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Courts\"/>
    </mc:Choice>
  </mc:AlternateContent>
  <bookViews>
    <workbookView xWindow="0" yWindow="0" windowWidth="20160" windowHeight="8130"/>
  </bookViews>
  <sheets>
    <sheet name="Army Costs" sheetId="1" r:id="rId1"/>
    <sheet name="Money Value" sheetId="6" r:id="rId2"/>
    <sheet name="Distribution of Money" sheetId="2" r:id="rId3"/>
    <sheet name="Distribution of Troops" sheetId="3" r:id="rId4"/>
    <sheet name="Year 323" sheetId="4" r:id="rId5"/>
    <sheet name="Year 322" sheetId="8" r:id="rId6"/>
    <sheet name="Year 321" sheetId="9" r:id="rId7"/>
    <sheet name="Year 320" sheetId="11" r:id="rId8"/>
    <sheet name="Year 319" sheetId="12" r:id="rId9"/>
    <sheet name="Year 318" sheetId="13" r:id="rId10"/>
    <sheet name="Year 317" sheetId="14" r:id="rId11"/>
    <sheet name="Year 316" sheetId="15" r:id="rId12"/>
    <sheet name="Year 315" sheetId="16" r:id="rId13"/>
    <sheet name="Trade deals" sheetId="10" r:id="rId1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9" i="16" l="1"/>
  <c r="K29" i="16" s="1"/>
  <c r="I29" i="16"/>
  <c r="G29" i="16"/>
  <c r="E29" i="16"/>
  <c r="I28" i="16"/>
  <c r="G28" i="16"/>
  <c r="E28" i="16"/>
  <c r="J28" i="16" s="1"/>
  <c r="D28" i="16"/>
  <c r="J27" i="16"/>
  <c r="K27" i="16" s="1"/>
  <c r="I27" i="16"/>
  <c r="G27" i="16"/>
  <c r="D27" i="16"/>
  <c r="J26" i="16"/>
  <c r="K26" i="16" s="1"/>
  <c r="I26" i="16"/>
  <c r="G26" i="16"/>
  <c r="D26" i="16"/>
  <c r="J25" i="16"/>
  <c r="K25" i="16" s="1"/>
  <c r="L25" i="16" s="1"/>
  <c r="I25" i="16"/>
  <c r="G25" i="16"/>
  <c r="D25" i="16"/>
  <c r="J24" i="16"/>
  <c r="K24" i="16" s="1"/>
  <c r="I24" i="16"/>
  <c r="G24" i="16"/>
  <c r="D24" i="16"/>
  <c r="J23" i="16"/>
  <c r="K23" i="16" s="1"/>
  <c r="I23" i="16"/>
  <c r="G23" i="16"/>
  <c r="D23" i="16"/>
  <c r="I22" i="16"/>
  <c r="G22" i="16"/>
  <c r="F22" i="16"/>
  <c r="E22" i="16"/>
  <c r="J22" i="16" s="1"/>
  <c r="K22" i="16" s="1"/>
  <c r="D22" i="16"/>
  <c r="I21" i="16"/>
  <c r="G21" i="16"/>
  <c r="F21" i="16"/>
  <c r="E21" i="16"/>
  <c r="J21" i="16" s="1"/>
  <c r="D21" i="16"/>
  <c r="J20" i="16"/>
  <c r="K20" i="16" s="1"/>
  <c r="I20" i="16"/>
  <c r="G20" i="16"/>
  <c r="C20" i="16"/>
  <c r="D20" i="16" s="1"/>
  <c r="J19" i="16"/>
  <c r="K19" i="16" s="1"/>
  <c r="I19" i="16"/>
  <c r="G19" i="16"/>
  <c r="C19" i="16"/>
  <c r="D19" i="16" s="1"/>
  <c r="J18" i="16"/>
  <c r="K18" i="16" s="1"/>
  <c r="I18" i="16"/>
  <c r="G18" i="16"/>
  <c r="D18" i="16"/>
  <c r="J17" i="16"/>
  <c r="I17" i="16"/>
  <c r="G17" i="16"/>
  <c r="D17" i="16"/>
  <c r="C17" i="16"/>
  <c r="J16" i="16"/>
  <c r="I16" i="16"/>
  <c r="G16" i="16"/>
  <c r="D16" i="16"/>
  <c r="J15" i="16"/>
  <c r="I15" i="16"/>
  <c r="G15" i="16"/>
  <c r="D15" i="16"/>
  <c r="J14" i="16"/>
  <c r="I14" i="16"/>
  <c r="G14" i="16"/>
  <c r="D14" i="16"/>
  <c r="J13" i="16"/>
  <c r="I13" i="16"/>
  <c r="G13" i="16"/>
  <c r="D13" i="16"/>
  <c r="J12" i="16"/>
  <c r="I12" i="16"/>
  <c r="G12" i="16"/>
  <c r="K12" i="16" s="1"/>
  <c r="L12" i="16" s="1"/>
  <c r="D12" i="16"/>
  <c r="J11" i="16"/>
  <c r="I11" i="16"/>
  <c r="G11" i="16"/>
  <c r="D11" i="16"/>
  <c r="J10" i="16"/>
  <c r="K10" i="16" s="1"/>
  <c r="I10" i="16"/>
  <c r="G10" i="16"/>
  <c r="D10" i="16"/>
  <c r="J9" i="16"/>
  <c r="K9" i="16" s="1"/>
  <c r="I9" i="16"/>
  <c r="G9" i="16"/>
  <c r="D9" i="16"/>
  <c r="J8" i="16"/>
  <c r="K8" i="16" s="1"/>
  <c r="I8" i="16"/>
  <c r="G8" i="16"/>
  <c r="D8" i="16"/>
  <c r="J7" i="16"/>
  <c r="K7" i="16" s="1"/>
  <c r="I7" i="16"/>
  <c r="G7" i="16"/>
  <c r="D7" i="16"/>
  <c r="J6" i="16"/>
  <c r="I6" i="16"/>
  <c r="G6" i="16"/>
  <c r="D6" i="16"/>
  <c r="J5" i="16"/>
  <c r="I5" i="16"/>
  <c r="G5" i="16"/>
  <c r="D5" i="16"/>
  <c r="J4" i="16"/>
  <c r="I4" i="16"/>
  <c r="G4" i="16"/>
  <c r="D4" i="16"/>
  <c r="C4" i="16"/>
  <c r="J3" i="16"/>
  <c r="I3" i="16"/>
  <c r="G3" i="16"/>
  <c r="D3" i="16"/>
  <c r="J2" i="16"/>
  <c r="I2" i="16"/>
  <c r="G2" i="16"/>
  <c r="D2" i="16"/>
  <c r="D2" i="15"/>
  <c r="D3" i="15"/>
  <c r="D4" i="15"/>
  <c r="D5" i="15"/>
  <c r="D6" i="15"/>
  <c r="D7" i="15"/>
  <c r="D8" i="15"/>
  <c r="D9" i="15"/>
  <c r="D10" i="15"/>
  <c r="D11" i="15"/>
  <c r="D12" i="15"/>
  <c r="D13" i="15"/>
  <c r="D14" i="15"/>
  <c r="D15" i="15"/>
  <c r="D16" i="15"/>
  <c r="D17" i="15"/>
  <c r="D18" i="15"/>
  <c r="D19" i="15"/>
  <c r="D20" i="15"/>
  <c r="D21" i="15"/>
  <c r="D22" i="15"/>
  <c r="D23" i="15"/>
  <c r="D24" i="15"/>
  <c r="D25" i="15"/>
  <c r="D26" i="15"/>
  <c r="D27" i="15"/>
  <c r="D28" i="15"/>
  <c r="C20" i="15"/>
  <c r="C19" i="15"/>
  <c r="C17" i="15"/>
  <c r="C4" i="15"/>
  <c r="E29" i="15"/>
  <c r="E28" i="15"/>
  <c r="E21" i="15"/>
  <c r="E22" i="15"/>
  <c r="F22" i="15"/>
  <c r="F21" i="15"/>
  <c r="K17" i="16" l="1"/>
  <c r="L17" i="16" s="1"/>
  <c r="L29" i="16"/>
  <c r="P29" i="16" s="1"/>
  <c r="K28" i="16"/>
  <c r="L28" i="16" s="1"/>
  <c r="P28" i="16" s="1"/>
  <c r="L23" i="16"/>
  <c r="P23" i="16" s="1"/>
  <c r="K21" i="16"/>
  <c r="L21" i="16" s="1"/>
  <c r="P21" i="16" s="1"/>
  <c r="K2" i="16"/>
  <c r="K3" i="16"/>
  <c r="L3" i="16" s="1"/>
  <c r="P3" i="16" s="1"/>
  <c r="L22" i="16"/>
  <c r="P22" i="16" s="1"/>
  <c r="K4" i="16"/>
  <c r="L4" i="16" s="1"/>
  <c r="P4" i="16" s="1"/>
  <c r="L7" i="16"/>
  <c r="P7" i="16" s="1"/>
  <c r="L8" i="16"/>
  <c r="P8" i="16" s="1"/>
  <c r="L9" i="16"/>
  <c r="P9" i="16" s="1"/>
  <c r="L10" i="16"/>
  <c r="P10" i="16" s="1"/>
  <c r="K13" i="16"/>
  <c r="L13" i="16" s="1"/>
  <c r="P13" i="16" s="1"/>
  <c r="K14" i="16"/>
  <c r="L14" i="16" s="1"/>
  <c r="P14" i="16" s="1"/>
  <c r="K15" i="16"/>
  <c r="L15" i="16" s="1"/>
  <c r="P15" i="16" s="1"/>
  <c r="K16" i="16"/>
  <c r="P17" i="16"/>
  <c r="L2" i="16"/>
  <c r="P2" i="16" s="1"/>
  <c r="K6" i="16"/>
  <c r="L6" i="16" s="1"/>
  <c r="P6" i="16" s="1"/>
  <c r="L16" i="16"/>
  <c r="P16" i="16" s="1"/>
  <c r="P12" i="16"/>
  <c r="P25" i="16"/>
  <c r="K11" i="16"/>
  <c r="L11" i="16" s="1"/>
  <c r="P11" i="16" s="1"/>
  <c r="L24" i="16"/>
  <c r="P24" i="16" s="1"/>
  <c r="K5" i="16"/>
  <c r="L5" i="16" s="1"/>
  <c r="P5" i="16" s="1"/>
  <c r="L18" i="16"/>
  <c r="P18" i="16" s="1"/>
  <c r="L19" i="16"/>
  <c r="P19" i="16" s="1"/>
  <c r="L20" i="16"/>
  <c r="P20" i="16" s="1"/>
  <c r="L26" i="16"/>
  <c r="P26" i="16" s="1"/>
  <c r="L27" i="16"/>
  <c r="P27" i="16" s="1"/>
  <c r="J29" i="15"/>
  <c r="K29" i="15" s="1"/>
  <c r="I29" i="15"/>
  <c r="G29" i="15"/>
  <c r="J28" i="15"/>
  <c r="I28" i="15"/>
  <c r="G28" i="15"/>
  <c r="J27" i="15"/>
  <c r="I27" i="15"/>
  <c r="G27" i="15"/>
  <c r="J26" i="15"/>
  <c r="I26" i="15"/>
  <c r="G26" i="15"/>
  <c r="J25" i="15"/>
  <c r="I25" i="15"/>
  <c r="G25" i="15"/>
  <c r="J24" i="15"/>
  <c r="I24" i="15"/>
  <c r="G24" i="15"/>
  <c r="J23" i="15"/>
  <c r="I23" i="15"/>
  <c r="G23" i="15"/>
  <c r="J22" i="15"/>
  <c r="I22" i="15"/>
  <c r="G22" i="15"/>
  <c r="J21" i="15"/>
  <c r="I21" i="15"/>
  <c r="G21" i="15"/>
  <c r="J20" i="15"/>
  <c r="I20" i="15"/>
  <c r="G20" i="15"/>
  <c r="J19" i="15"/>
  <c r="I19" i="15"/>
  <c r="G19" i="15"/>
  <c r="J18" i="15"/>
  <c r="I18" i="15"/>
  <c r="G18" i="15"/>
  <c r="J17" i="15"/>
  <c r="I17" i="15"/>
  <c r="G17" i="15"/>
  <c r="J16" i="15"/>
  <c r="I16" i="15"/>
  <c r="G16" i="15"/>
  <c r="J15" i="15"/>
  <c r="I15" i="15"/>
  <c r="G15" i="15"/>
  <c r="J14" i="15"/>
  <c r="I14" i="15"/>
  <c r="G14" i="15"/>
  <c r="J13" i="15"/>
  <c r="I13" i="15"/>
  <c r="G13" i="15"/>
  <c r="J12" i="15"/>
  <c r="I12" i="15"/>
  <c r="G12" i="15"/>
  <c r="J11" i="15"/>
  <c r="I11" i="15"/>
  <c r="G11" i="15"/>
  <c r="J10" i="15"/>
  <c r="I10" i="15"/>
  <c r="G10" i="15"/>
  <c r="J9" i="15"/>
  <c r="I9" i="15"/>
  <c r="G9" i="15"/>
  <c r="J8" i="15"/>
  <c r="I8" i="15"/>
  <c r="G8" i="15"/>
  <c r="J7" i="15"/>
  <c r="I7" i="15"/>
  <c r="G7" i="15"/>
  <c r="J6" i="15"/>
  <c r="I6" i="15"/>
  <c r="G6" i="15"/>
  <c r="J5" i="15"/>
  <c r="I5" i="15"/>
  <c r="G5" i="15"/>
  <c r="J4" i="15"/>
  <c r="I4" i="15"/>
  <c r="G4" i="15"/>
  <c r="J3" i="15"/>
  <c r="I3" i="15"/>
  <c r="G3" i="15"/>
  <c r="J2" i="15"/>
  <c r="I2" i="15"/>
  <c r="G2" i="15"/>
  <c r="G17" i="14"/>
  <c r="J29" i="14"/>
  <c r="I29" i="14"/>
  <c r="G29" i="14"/>
  <c r="J28" i="14"/>
  <c r="K28" i="14" s="1"/>
  <c r="L28" i="14" s="1"/>
  <c r="P28" i="14" s="1"/>
  <c r="I28" i="14"/>
  <c r="G28" i="14"/>
  <c r="J27" i="14"/>
  <c r="K27" i="14" s="1"/>
  <c r="I27" i="14"/>
  <c r="G27" i="14"/>
  <c r="J26" i="14"/>
  <c r="K26" i="14" s="1"/>
  <c r="L26" i="14" s="1"/>
  <c r="P26" i="14" s="1"/>
  <c r="I26" i="14"/>
  <c r="G26" i="14"/>
  <c r="J25" i="14"/>
  <c r="K25" i="14" s="1"/>
  <c r="I25" i="14"/>
  <c r="G25" i="14"/>
  <c r="J24" i="14"/>
  <c r="K24" i="14" s="1"/>
  <c r="L24" i="14" s="1"/>
  <c r="P24" i="14" s="1"/>
  <c r="I24" i="14"/>
  <c r="G24" i="14"/>
  <c r="J23" i="14"/>
  <c r="K23" i="14" s="1"/>
  <c r="I23" i="14"/>
  <c r="G23" i="14"/>
  <c r="E23" i="14"/>
  <c r="J22" i="14"/>
  <c r="K22" i="14" s="1"/>
  <c r="L22" i="14" s="1"/>
  <c r="P22" i="14" s="1"/>
  <c r="I22" i="14"/>
  <c r="G22" i="14"/>
  <c r="J21" i="14"/>
  <c r="K21" i="14" s="1"/>
  <c r="L21" i="14" s="1"/>
  <c r="P21" i="14" s="1"/>
  <c r="I21" i="14"/>
  <c r="G21" i="14"/>
  <c r="J20" i="14"/>
  <c r="K20" i="14" s="1"/>
  <c r="I20" i="14"/>
  <c r="G20" i="14"/>
  <c r="J19" i="14"/>
  <c r="K19" i="14" s="1"/>
  <c r="L19" i="14" s="1"/>
  <c r="P19" i="14" s="1"/>
  <c r="I19" i="14"/>
  <c r="G19" i="14"/>
  <c r="J18" i="14"/>
  <c r="K18" i="14" s="1"/>
  <c r="L18" i="14" s="1"/>
  <c r="P18" i="14" s="1"/>
  <c r="I18" i="14"/>
  <c r="G18" i="14"/>
  <c r="J17" i="14"/>
  <c r="I17" i="14"/>
  <c r="K17" i="14" s="1"/>
  <c r="J16" i="14"/>
  <c r="I16" i="14"/>
  <c r="G16" i="14"/>
  <c r="J15" i="14"/>
  <c r="I15" i="14"/>
  <c r="G15" i="14"/>
  <c r="J14" i="14"/>
  <c r="I14" i="14"/>
  <c r="K14" i="14" s="1"/>
  <c r="G14" i="14"/>
  <c r="J13" i="14"/>
  <c r="K13" i="14" s="1"/>
  <c r="L13" i="14" s="1"/>
  <c r="P13" i="14" s="1"/>
  <c r="I13" i="14"/>
  <c r="G13" i="14"/>
  <c r="J12" i="14"/>
  <c r="K12" i="14" s="1"/>
  <c r="L12" i="14" s="1"/>
  <c r="P12" i="14" s="1"/>
  <c r="I12" i="14"/>
  <c r="G12" i="14"/>
  <c r="J11" i="14"/>
  <c r="K11" i="14" s="1"/>
  <c r="L11" i="14" s="1"/>
  <c r="P11" i="14" s="1"/>
  <c r="I11" i="14"/>
  <c r="G11" i="14"/>
  <c r="J10" i="14"/>
  <c r="K10" i="14" s="1"/>
  <c r="L10" i="14" s="1"/>
  <c r="P10" i="14" s="1"/>
  <c r="I10" i="14"/>
  <c r="G10" i="14"/>
  <c r="J9" i="14"/>
  <c r="K9" i="14" s="1"/>
  <c r="L9" i="14" s="1"/>
  <c r="P9" i="14" s="1"/>
  <c r="I9" i="14"/>
  <c r="G9" i="14"/>
  <c r="J8" i="14"/>
  <c r="K8" i="14" s="1"/>
  <c r="I8" i="14"/>
  <c r="G8" i="14"/>
  <c r="J7" i="14"/>
  <c r="K7" i="14" s="1"/>
  <c r="L7" i="14" s="1"/>
  <c r="P7" i="14" s="1"/>
  <c r="I7" i="14"/>
  <c r="G7" i="14"/>
  <c r="J6" i="14"/>
  <c r="K6" i="14" s="1"/>
  <c r="L6" i="14" s="1"/>
  <c r="P6" i="14" s="1"/>
  <c r="I6" i="14"/>
  <c r="G6" i="14"/>
  <c r="J5" i="14"/>
  <c r="K5" i="14" s="1"/>
  <c r="L5" i="14" s="1"/>
  <c r="P5" i="14" s="1"/>
  <c r="I5" i="14"/>
  <c r="G5" i="14"/>
  <c r="J4" i="14"/>
  <c r="K4" i="14" s="1"/>
  <c r="L4" i="14" s="1"/>
  <c r="P4" i="14" s="1"/>
  <c r="I4" i="14"/>
  <c r="G4" i="14"/>
  <c r="J3" i="14"/>
  <c r="K3" i="14" s="1"/>
  <c r="L3" i="14" s="1"/>
  <c r="P3" i="14" s="1"/>
  <c r="I3" i="14"/>
  <c r="G3" i="14"/>
  <c r="J2" i="14"/>
  <c r="K2" i="14" s="1"/>
  <c r="L2" i="14" s="1"/>
  <c r="P2" i="14" s="1"/>
  <c r="I2" i="14"/>
  <c r="G2" i="14"/>
  <c r="K3" i="15" l="1"/>
  <c r="K7" i="15"/>
  <c r="K11" i="15"/>
  <c r="L11" i="15" s="1"/>
  <c r="P11" i="15" s="1"/>
  <c r="K15" i="15"/>
  <c r="L15" i="15" s="1"/>
  <c r="P15" i="15" s="1"/>
  <c r="K23" i="15"/>
  <c r="K27" i="15"/>
  <c r="K5" i="15"/>
  <c r="K9" i="15"/>
  <c r="K4" i="15"/>
  <c r="L4" i="15" s="1"/>
  <c r="P4" i="15" s="1"/>
  <c r="K8" i="15"/>
  <c r="L8" i="15" s="1"/>
  <c r="P8" i="15" s="1"/>
  <c r="K12" i="15"/>
  <c r="L12" i="15" s="1"/>
  <c r="P12" i="15" s="1"/>
  <c r="K16" i="15"/>
  <c r="L16" i="15" s="1"/>
  <c r="P16" i="15" s="1"/>
  <c r="K24" i="15"/>
  <c r="L24" i="15" s="1"/>
  <c r="P24" i="15" s="1"/>
  <c r="K22" i="15"/>
  <c r="L22" i="15" s="1"/>
  <c r="P22" i="15" s="1"/>
  <c r="L5" i="15"/>
  <c r="P5" i="15" s="1"/>
  <c r="L9" i="15"/>
  <c r="P9" i="15" s="1"/>
  <c r="K21" i="15"/>
  <c r="L21" i="15" s="1"/>
  <c r="P21" i="15" s="1"/>
  <c r="K2" i="15"/>
  <c r="L2" i="15" s="1"/>
  <c r="P2" i="15" s="1"/>
  <c r="K6" i="15"/>
  <c r="L6" i="15" s="1"/>
  <c r="P6" i="15" s="1"/>
  <c r="K10" i="15"/>
  <c r="L10" i="15" s="1"/>
  <c r="P10" i="15" s="1"/>
  <c r="K14" i="15"/>
  <c r="K18" i="15"/>
  <c r="L18" i="15" s="1"/>
  <c r="P18" i="15" s="1"/>
  <c r="K20" i="15"/>
  <c r="L20" i="15" s="1"/>
  <c r="P20" i="15" s="1"/>
  <c r="K26" i="15"/>
  <c r="L26" i="15" s="1"/>
  <c r="P26" i="15" s="1"/>
  <c r="K28" i="15"/>
  <c r="L28" i="15" s="1"/>
  <c r="P28" i="15" s="1"/>
  <c r="L3" i="15"/>
  <c r="P3" i="15" s="1"/>
  <c r="L7" i="15"/>
  <c r="P7" i="15" s="1"/>
  <c r="K13" i="15"/>
  <c r="L13" i="15" s="1"/>
  <c r="P13" i="15" s="1"/>
  <c r="K17" i="15"/>
  <c r="L17" i="15" s="1"/>
  <c r="P17" i="15" s="1"/>
  <c r="K25" i="15"/>
  <c r="L25" i="15" s="1"/>
  <c r="P25" i="15" s="1"/>
  <c r="K19" i="15"/>
  <c r="L19" i="15" s="1"/>
  <c r="P19" i="15" s="1"/>
  <c r="L27" i="15"/>
  <c r="P27" i="15" s="1"/>
  <c r="L29" i="15"/>
  <c r="P29" i="15" s="1"/>
  <c r="L14" i="15"/>
  <c r="P14" i="15" s="1"/>
  <c r="L23" i="15"/>
  <c r="P23" i="15" s="1"/>
  <c r="K16" i="14"/>
  <c r="K15" i="14"/>
  <c r="L15" i="14" s="1"/>
  <c r="P15" i="14" s="1"/>
  <c r="L16" i="14"/>
  <c r="P16" i="14" s="1"/>
  <c r="L27" i="14"/>
  <c r="P27" i="14" s="1"/>
  <c r="L20" i="14"/>
  <c r="P20" i="14" s="1"/>
  <c r="K29" i="14"/>
  <c r="L29" i="14" s="1"/>
  <c r="P29" i="14" s="1"/>
  <c r="L8" i="14"/>
  <c r="P8" i="14" s="1"/>
  <c r="L23" i="14"/>
  <c r="P23" i="14" s="1"/>
  <c r="L17" i="14"/>
  <c r="P17" i="14" s="1"/>
  <c r="L14" i="14"/>
  <c r="P14" i="14" s="1"/>
  <c r="L25" i="14"/>
  <c r="P25" i="14" s="1"/>
  <c r="J29" i="13"/>
  <c r="K29" i="13" s="1"/>
  <c r="L29" i="13" s="1"/>
  <c r="P29" i="13" s="1"/>
  <c r="I29" i="13"/>
  <c r="G29" i="13"/>
  <c r="J28" i="13"/>
  <c r="I28" i="13"/>
  <c r="G28" i="13"/>
  <c r="J27" i="13"/>
  <c r="I27" i="13"/>
  <c r="K27" i="13" s="1"/>
  <c r="L27" i="13" s="1"/>
  <c r="P27" i="13" s="1"/>
  <c r="G27" i="13"/>
  <c r="J26" i="13"/>
  <c r="K26" i="13" s="1"/>
  <c r="L26" i="13" s="1"/>
  <c r="P26" i="13" s="1"/>
  <c r="I26" i="13"/>
  <c r="G26" i="13"/>
  <c r="J25" i="13"/>
  <c r="K25" i="13" s="1"/>
  <c r="I25" i="13"/>
  <c r="G25" i="13"/>
  <c r="J24" i="13"/>
  <c r="K24" i="13" s="1"/>
  <c r="L24" i="13" s="1"/>
  <c r="P24" i="13" s="1"/>
  <c r="I24" i="13"/>
  <c r="G24" i="13"/>
  <c r="I23" i="13"/>
  <c r="G23" i="13"/>
  <c r="K23" i="13" s="1"/>
  <c r="E23" i="13"/>
  <c r="J23" i="13" s="1"/>
  <c r="J22" i="13"/>
  <c r="K22" i="13" s="1"/>
  <c r="L22" i="13" s="1"/>
  <c r="P22" i="13" s="1"/>
  <c r="I22" i="13"/>
  <c r="G22" i="13"/>
  <c r="J21" i="13"/>
  <c r="K21" i="13" s="1"/>
  <c r="L21" i="13" s="1"/>
  <c r="P21" i="13" s="1"/>
  <c r="I21" i="13"/>
  <c r="G21" i="13"/>
  <c r="J20" i="13"/>
  <c r="I20" i="13"/>
  <c r="G20" i="13"/>
  <c r="J19" i="13"/>
  <c r="I19" i="13"/>
  <c r="G19" i="13"/>
  <c r="J18" i="13"/>
  <c r="K18" i="13" s="1"/>
  <c r="L18" i="13" s="1"/>
  <c r="P18" i="13" s="1"/>
  <c r="I18" i="13"/>
  <c r="G18" i="13"/>
  <c r="J17" i="13"/>
  <c r="K17" i="13" s="1"/>
  <c r="L17" i="13" s="1"/>
  <c r="P17" i="13" s="1"/>
  <c r="I17" i="13"/>
  <c r="G17" i="13"/>
  <c r="J16" i="13"/>
  <c r="I16" i="13"/>
  <c r="G16" i="13"/>
  <c r="J15" i="13"/>
  <c r="K15" i="13" s="1"/>
  <c r="L15" i="13" s="1"/>
  <c r="P15" i="13" s="1"/>
  <c r="I15" i="13"/>
  <c r="G15" i="13"/>
  <c r="J14" i="13"/>
  <c r="I14" i="13"/>
  <c r="G14" i="13"/>
  <c r="K14" i="13" s="1"/>
  <c r="L14" i="13" s="1"/>
  <c r="P14" i="13" s="1"/>
  <c r="J13" i="13"/>
  <c r="K13" i="13" s="1"/>
  <c r="L13" i="13" s="1"/>
  <c r="P13" i="13" s="1"/>
  <c r="I13" i="13"/>
  <c r="G13" i="13"/>
  <c r="J12" i="13"/>
  <c r="K12" i="13" s="1"/>
  <c r="L12" i="13" s="1"/>
  <c r="P12" i="13" s="1"/>
  <c r="I12" i="13"/>
  <c r="G12" i="13"/>
  <c r="J11" i="13"/>
  <c r="K11" i="13" s="1"/>
  <c r="L11" i="13" s="1"/>
  <c r="P11" i="13" s="1"/>
  <c r="I11" i="13"/>
  <c r="G11" i="13"/>
  <c r="J10" i="13"/>
  <c r="K10" i="13" s="1"/>
  <c r="L10" i="13" s="1"/>
  <c r="P10" i="13" s="1"/>
  <c r="I10" i="13"/>
  <c r="G10" i="13"/>
  <c r="J9" i="13"/>
  <c r="K9" i="13" s="1"/>
  <c r="L9" i="13" s="1"/>
  <c r="P9" i="13" s="1"/>
  <c r="I9" i="13"/>
  <c r="G9" i="13"/>
  <c r="J8" i="13"/>
  <c r="I8" i="13"/>
  <c r="G8" i="13"/>
  <c r="J7" i="13"/>
  <c r="I7" i="13"/>
  <c r="G7" i="13"/>
  <c r="J6" i="13"/>
  <c r="K6" i="13" s="1"/>
  <c r="L6" i="13" s="1"/>
  <c r="P6" i="13" s="1"/>
  <c r="I6" i="13"/>
  <c r="G6" i="13"/>
  <c r="J5" i="13"/>
  <c r="K5" i="13" s="1"/>
  <c r="L5" i="13" s="1"/>
  <c r="P5" i="13" s="1"/>
  <c r="I5" i="13"/>
  <c r="G5" i="13"/>
  <c r="J4" i="13"/>
  <c r="K4" i="13" s="1"/>
  <c r="L4" i="13" s="1"/>
  <c r="P4" i="13" s="1"/>
  <c r="I4" i="13"/>
  <c r="G4" i="13"/>
  <c r="J3" i="13"/>
  <c r="K3" i="13" s="1"/>
  <c r="L3" i="13" s="1"/>
  <c r="P3" i="13" s="1"/>
  <c r="I3" i="13"/>
  <c r="G3" i="13"/>
  <c r="J2" i="13"/>
  <c r="K2" i="13" s="1"/>
  <c r="L2" i="13" s="1"/>
  <c r="P2" i="13" s="1"/>
  <c r="I2" i="13"/>
  <c r="G2" i="13"/>
  <c r="K7" i="13" l="1"/>
  <c r="K19" i="13"/>
  <c r="L19" i="13" s="1"/>
  <c r="P19" i="13" s="1"/>
  <c r="K28" i="13"/>
  <c r="L28" i="13" s="1"/>
  <c r="P28" i="13" s="1"/>
  <c r="L7" i="13"/>
  <c r="P7" i="13" s="1"/>
  <c r="K8" i="13"/>
  <c r="L8" i="13" s="1"/>
  <c r="P8" i="13" s="1"/>
  <c r="K16" i="13"/>
  <c r="L16" i="13" s="1"/>
  <c r="P16" i="13" s="1"/>
  <c r="L25" i="13"/>
  <c r="P25" i="13" s="1"/>
  <c r="K20" i="13"/>
  <c r="L20" i="13" s="1"/>
  <c r="P20" i="13" s="1"/>
  <c r="L23" i="13"/>
  <c r="P23" i="13" s="1"/>
  <c r="J30" i="12"/>
  <c r="K30" i="12" s="1"/>
  <c r="I30" i="12"/>
  <c r="G30" i="12"/>
  <c r="J29" i="12"/>
  <c r="K29" i="12" s="1"/>
  <c r="L29" i="12" s="1"/>
  <c r="P29" i="12" s="1"/>
  <c r="I29" i="12"/>
  <c r="G29" i="12"/>
  <c r="J28" i="12"/>
  <c r="K28" i="12" s="1"/>
  <c r="I28" i="12"/>
  <c r="G28" i="12"/>
  <c r="J27" i="12"/>
  <c r="I27" i="12"/>
  <c r="G27" i="12"/>
  <c r="J26" i="12"/>
  <c r="K26" i="12" s="1"/>
  <c r="I26" i="12"/>
  <c r="G26" i="12"/>
  <c r="J25" i="12"/>
  <c r="I25" i="12"/>
  <c r="G25" i="12"/>
  <c r="J24" i="12"/>
  <c r="K24" i="12" s="1"/>
  <c r="I24" i="12"/>
  <c r="G24" i="12"/>
  <c r="I23" i="12"/>
  <c r="G23" i="12"/>
  <c r="E23" i="12"/>
  <c r="J23" i="12" s="1"/>
  <c r="K23" i="12" s="1"/>
  <c r="J22" i="12"/>
  <c r="I22" i="12"/>
  <c r="G22" i="12"/>
  <c r="J21" i="12"/>
  <c r="K21" i="12" s="1"/>
  <c r="L21" i="12" s="1"/>
  <c r="P21" i="12" s="1"/>
  <c r="I21" i="12"/>
  <c r="G21" i="12"/>
  <c r="J20" i="12"/>
  <c r="I20" i="12"/>
  <c r="K20" i="12" s="1"/>
  <c r="G20" i="12"/>
  <c r="J19" i="12"/>
  <c r="K19" i="12" s="1"/>
  <c r="I19" i="12"/>
  <c r="G19" i="12"/>
  <c r="J18" i="12"/>
  <c r="I18" i="12"/>
  <c r="G18" i="12"/>
  <c r="J17" i="12"/>
  <c r="K17" i="12" s="1"/>
  <c r="I17" i="12"/>
  <c r="G17" i="12"/>
  <c r="J16" i="12"/>
  <c r="I16" i="12"/>
  <c r="G16" i="12"/>
  <c r="K16" i="12" s="1"/>
  <c r="J15" i="12"/>
  <c r="K15" i="12" s="1"/>
  <c r="I15" i="12"/>
  <c r="G15" i="12"/>
  <c r="J14" i="12"/>
  <c r="I14" i="12"/>
  <c r="G14" i="12"/>
  <c r="K14" i="12" s="1"/>
  <c r="J13" i="12"/>
  <c r="K13" i="12" s="1"/>
  <c r="I13" i="12"/>
  <c r="G13" i="12"/>
  <c r="J12" i="12"/>
  <c r="K12" i="12" s="1"/>
  <c r="I12" i="12"/>
  <c r="G12" i="12"/>
  <c r="J11" i="12"/>
  <c r="K11" i="12" s="1"/>
  <c r="I11" i="12"/>
  <c r="G11" i="12"/>
  <c r="J10" i="12"/>
  <c r="I10" i="12"/>
  <c r="G10" i="12"/>
  <c r="J9" i="12"/>
  <c r="K9" i="12" s="1"/>
  <c r="I9" i="12"/>
  <c r="G9" i="12"/>
  <c r="J8" i="12"/>
  <c r="K8" i="12" s="1"/>
  <c r="I8" i="12"/>
  <c r="G8" i="12"/>
  <c r="J7" i="12"/>
  <c r="K7" i="12" s="1"/>
  <c r="L7" i="12" s="1"/>
  <c r="P7" i="12" s="1"/>
  <c r="I7" i="12"/>
  <c r="G7" i="12"/>
  <c r="J6" i="12"/>
  <c r="K6" i="12" s="1"/>
  <c r="I6" i="12"/>
  <c r="G6" i="12"/>
  <c r="J5" i="12"/>
  <c r="K5" i="12" s="1"/>
  <c r="L5" i="12" s="1"/>
  <c r="P5" i="12" s="1"/>
  <c r="I5" i="12"/>
  <c r="G5" i="12"/>
  <c r="J4" i="12"/>
  <c r="K4" i="12" s="1"/>
  <c r="I4" i="12"/>
  <c r="G4" i="12"/>
  <c r="J3" i="12"/>
  <c r="K3" i="12" s="1"/>
  <c r="I3" i="12"/>
  <c r="G3" i="12"/>
  <c r="J2" i="12"/>
  <c r="K2" i="12" s="1"/>
  <c r="L2" i="12" s="1"/>
  <c r="P2" i="12" s="1"/>
  <c r="I2" i="12"/>
  <c r="G2" i="12"/>
  <c r="K25" i="12" l="1"/>
  <c r="L25" i="12" s="1"/>
  <c r="P25" i="12" s="1"/>
  <c r="K27" i="12"/>
  <c r="L27" i="12" s="1"/>
  <c r="P27" i="12" s="1"/>
  <c r="L26" i="12"/>
  <c r="P26" i="12" s="1"/>
  <c r="L9" i="12"/>
  <c r="P9" i="12" s="1"/>
  <c r="L17" i="12"/>
  <c r="P17" i="12" s="1"/>
  <c r="K22" i="12"/>
  <c r="L22" i="12" s="1"/>
  <c r="P22" i="12" s="1"/>
  <c r="K18" i="12"/>
  <c r="L18" i="12" s="1"/>
  <c r="P18" i="12" s="1"/>
  <c r="K10" i="12"/>
  <c r="L10" i="12" s="1"/>
  <c r="P10" i="12" s="1"/>
  <c r="L19" i="12"/>
  <c r="P19" i="12" s="1"/>
  <c r="L3" i="12"/>
  <c r="P3" i="12" s="1"/>
  <c r="L6" i="12"/>
  <c r="P6" i="12" s="1"/>
  <c r="L13" i="12"/>
  <c r="P13" i="12" s="1"/>
  <c r="L14" i="12"/>
  <c r="P14" i="12" s="1"/>
  <c r="L30" i="12"/>
  <c r="P30" i="12" s="1"/>
  <c r="L12" i="12"/>
  <c r="P12" i="12" s="1"/>
  <c r="L16" i="12"/>
  <c r="P16" i="12" s="1"/>
  <c r="L8" i="12"/>
  <c r="P8" i="12" s="1"/>
  <c r="L11" i="12"/>
  <c r="P11" i="12" s="1"/>
  <c r="L15" i="12"/>
  <c r="P15" i="12" s="1"/>
  <c r="L20" i="12"/>
  <c r="L23" i="12"/>
  <c r="P23" i="12" s="1"/>
  <c r="L24" i="12"/>
  <c r="P24" i="12" s="1"/>
  <c r="L4" i="12"/>
  <c r="P4" i="12" s="1"/>
  <c r="L28" i="12"/>
  <c r="P28" i="12" s="1"/>
  <c r="D5" i="1"/>
  <c r="I18" i="11"/>
  <c r="D4" i="1"/>
  <c r="J30" i="11"/>
  <c r="K30" i="11" s="1"/>
  <c r="I30" i="11"/>
  <c r="G30" i="11"/>
  <c r="G21" i="11"/>
  <c r="I21" i="11"/>
  <c r="J21" i="11"/>
  <c r="K21" i="11" s="1"/>
  <c r="J29" i="11"/>
  <c r="K29" i="11" s="1"/>
  <c r="I29" i="11"/>
  <c r="G29" i="11"/>
  <c r="I27" i="11"/>
  <c r="G27" i="11"/>
  <c r="J27" i="11"/>
  <c r="K27" i="11" s="1"/>
  <c r="J25" i="11"/>
  <c r="G24" i="11"/>
  <c r="I24" i="11"/>
  <c r="J24" i="11"/>
  <c r="E23" i="11"/>
  <c r="I22" i="11"/>
  <c r="G23" i="11"/>
  <c r="I23" i="11"/>
  <c r="J23" i="11"/>
  <c r="J16" i="11"/>
  <c r="I16" i="11"/>
  <c r="G16" i="11"/>
  <c r="J26" i="11"/>
  <c r="I26" i="11"/>
  <c r="G26" i="11"/>
  <c r="J28" i="11"/>
  <c r="I28" i="11"/>
  <c r="G28" i="11"/>
  <c r="I25" i="11"/>
  <c r="G25" i="11"/>
  <c r="J22" i="11"/>
  <c r="K22" i="11" s="1"/>
  <c r="G22" i="11"/>
  <c r="J20" i="11"/>
  <c r="K20" i="11" s="1"/>
  <c r="I20" i="11"/>
  <c r="G20" i="11"/>
  <c r="J19" i="11"/>
  <c r="I19" i="11"/>
  <c r="G19" i="11"/>
  <c r="J18" i="11"/>
  <c r="G18" i="11"/>
  <c r="J17" i="11"/>
  <c r="I17" i="11"/>
  <c r="G17" i="11"/>
  <c r="J15" i="11"/>
  <c r="I15" i="11"/>
  <c r="G15" i="11"/>
  <c r="J14" i="11"/>
  <c r="I14" i="11"/>
  <c r="G14" i="11"/>
  <c r="J13" i="11"/>
  <c r="J12" i="11"/>
  <c r="I12" i="11"/>
  <c r="G12" i="11"/>
  <c r="J11" i="11"/>
  <c r="I11" i="11"/>
  <c r="G11" i="11"/>
  <c r="J10" i="11"/>
  <c r="I10" i="11"/>
  <c r="G10" i="11"/>
  <c r="J9" i="11"/>
  <c r="I9" i="11"/>
  <c r="G9" i="11"/>
  <c r="J8" i="11"/>
  <c r="K8" i="11" s="1"/>
  <c r="L8" i="11" s="1"/>
  <c r="P8" i="11" s="1"/>
  <c r="I8" i="11"/>
  <c r="G8" i="11"/>
  <c r="J7" i="11"/>
  <c r="K7" i="11" s="1"/>
  <c r="L7" i="11" s="1"/>
  <c r="P7" i="11" s="1"/>
  <c r="I7" i="11"/>
  <c r="G7" i="11"/>
  <c r="J6" i="11"/>
  <c r="K6" i="11" s="1"/>
  <c r="L6" i="11" s="1"/>
  <c r="P6" i="11" s="1"/>
  <c r="I6" i="11"/>
  <c r="G6" i="11"/>
  <c r="J5" i="11"/>
  <c r="K5" i="11" s="1"/>
  <c r="L5" i="11" s="1"/>
  <c r="P5" i="11" s="1"/>
  <c r="I5" i="11"/>
  <c r="G5" i="11"/>
  <c r="J4" i="11"/>
  <c r="K4" i="11" s="1"/>
  <c r="L4" i="11" s="1"/>
  <c r="P4" i="11" s="1"/>
  <c r="I4" i="11"/>
  <c r="G4" i="11"/>
  <c r="J3" i="11"/>
  <c r="I3" i="11"/>
  <c r="G3" i="11"/>
  <c r="J2" i="11"/>
  <c r="K2" i="11" s="1"/>
  <c r="L2" i="11" s="1"/>
  <c r="P2" i="11" s="1"/>
  <c r="I2" i="11"/>
  <c r="G2" i="11"/>
  <c r="P35" i="12" l="1"/>
  <c r="P20" i="12"/>
  <c r="K17" i="11"/>
  <c r="K12" i="11"/>
  <c r="L12" i="11" s="1"/>
  <c r="P12" i="11" s="1"/>
  <c r="K15" i="11"/>
  <c r="K23" i="11"/>
  <c r="L23" i="11" s="1"/>
  <c r="P23" i="11" s="1"/>
  <c r="K14" i="11"/>
  <c r="L14" i="11" s="1"/>
  <c r="P14" i="11" s="1"/>
  <c r="K18" i="11"/>
  <c r="L18" i="11" s="1"/>
  <c r="P18" i="11" s="1"/>
  <c r="K26" i="11"/>
  <c r="L26" i="11" s="1"/>
  <c r="P26" i="11" s="1"/>
  <c r="K25" i="11"/>
  <c r="L25" i="11" s="1"/>
  <c r="P25" i="11" s="1"/>
  <c r="K16" i="11"/>
  <c r="L16" i="11" s="1"/>
  <c r="P16" i="11" s="1"/>
  <c r="K24" i="11"/>
  <c r="L24" i="11" s="1"/>
  <c r="P24" i="11" s="1"/>
  <c r="K19" i="11"/>
  <c r="L19" i="11" s="1"/>
  <c r="P19" i="11" s="1"/>
  <c r="K28" i="11"/>
  <c r="L28" i="11" s="1"/>
  <c r="P28" i="11" s="1"/>
  <c r="L30" i="11"/>
  <c r="P30" i="11" s="1"/>
  <c r="L17" i="11"/>
  <c r="P17" i="11" s="1"/>
  <c r="L15" i="11"/>
  <c r="P15" i="11" s="1"/>
  <c r="L20" i="11"/>
  <c r="P20" i="11" s="1"/>
  <c r="L27" i="11"/>
  <c r="P27" i="11" s="1"/>
  <c r="L29" i="11"/>
  <c r="L21" i="11"/>
  <c r="P21" i="11" s="1"/>
  <c r="K10" i="11"/>
  <c r="L10" i="11" s="1"/>
  <c r="P10" i="11" s="1"/>
  <c r="K11" i="11"/>
  <c r="L11" i="11" s="1"/>
  <c r="P11" i="11" s="1"/>
  <c r="K3" i="11"/>
  <c r="L3" i="11" s="1"/>
  <c r="P3" i="11" s="1"/>
  <c r="L22" i="11"/>
  <c r="P22" i="11" s="1"/>
  <c r="K9" i="11"/>
  <c r="L9" i="11" s="1"/>
  <c r="P9" i="11" s="1"/>
  <c r="I13" i="11"/>
  <c r="G13" i="11"/>
  <c r="K13" i="11" s="1"/>
  <c r="L13" i="11" s="1"/>
  <c r="P13" i="11" s="1"/>
  <c r="K9" i="9"/>
  <c r="K10" i="9"/>
  <c r="K11" i="9"/>
  <c r="K3" i="9"/>
  <c r="K20" i="9"/>
  <c r="K21" i="9"/>
  <c r="K17" i="9"/>
  <c r="K12" i="9"/>
  <c r="K4" i="9"/>
  <c r="K5" i="9"/>
  <c r="K6" i="9"/>
  <c r="K7" i="9"/>
  <c r="K8" i="9"/>
  <c r="K13" i="9"/>
  <c r="K14" i="9"/>
  <c r="K15" i="9"/>
  <c r="K16" i="9"/>
  <c r="K18" i="9"/>
  <c r="K19" i="9"/>
  <c r="L19" i="9" s="1"/>
  <c r="P19" i="9" s="1"/>
  <c r="K22" i="9"/>
  <c r="H13" i="9"/>
  <c r="H14" i="9"/>
  <c r="J13" i="9"/>
  <c r="L13" i="9" s="1"/>
  <c r="P13" i="9" s="1"/>
  <c r="I13" i="9"/>
  <c r="G13" i="9"/>
  <c r="J6" i="9"/>
  <c r="I6" i="9"/>
  <c r="G6" i="9"/>
  <c r="J22" i="9"/>
  <c r="I22" i="9"/>
  <c r="G22" i="9"/>
  <c r="J21" i="9"/>
  <c r="I21" i="9"/>
  <c r="G21" i="9"/>
  <c r="J20" i="9"/>
  <c r="I20" i="9"/>
  <c r="G20" i="9"/>
  <c r="J19" i="9"/>
  <c r="I19" i="9"/>
  <c r="G19" i="9"/>
  <c r="J18" i="9"/>
  <c r="I18" i="9"/>
  <c r="G18" i="9"/>
  <c r="J17" i="9"/>
  <c r="L17" i="9" s="1"/>
  <c r="P17" i="9" s="1"/>
  <c r="I17" i="9"/>
  <c r="G17" i="9"/>
  <c r="J16" i="9"/>
  <c r="I16" i="9"/>
  <c r="L16" i="9" s="1"/>
  <c r="P16" i="9" s="1"/>
  <c r="G16" i="9"/>
  <c r="J15" i="9"/>
  <c r="I15" i="9"/>
  <c r="G15" i="9"/>
  <c r="J14" i="9"/>
  <c r="I14" i="9"/>
  <c r="G14" i="9"/>
  <c r="L12" i="9"/>
  <c r="P12" i="9" s="1"/>
  <c r="J12" i="9"/>
  <c r="I12" i="9"/>
  <c r="G12" i="9"/>
  <c r="J11" i="9"/>
  <c r="I11" i="9"/>
  <c r="G11" i="9"/>
  <c r="J10" i="9"/>
  <c r="L10" i="9" s="1"/>
  <c r="P10" i="9" s="1"/>
  <c r="I10" i="9"/>
  <c r="G10" i="9"/>
  <c r="J9" i="9"/>
  <c r="I9" i="9"/>
  <c r="G9" i="9"/>
  <c r="J8" i="9"/>
  <c r="I8" i="9"/>
  <c r="G8" i="9"/>
  <c r="J7" i="9"/>
  <c r="L7" i="9" s="1"/>
  <c r="P7" i="9" s="1"/>
  <c r="I7" i="9"/>
  <c r="G7" i="9"/>
  <c r="J5" i="9"/>
  <c r="I5" i="9"/>
  <c r="G5" i="9"/>
  <c r="J4" i="9"/>
  <c r="L4" i="9" s="1"/>
  <c r="P4" i="9" s="1"/>
  <c r="I4" i="9"/>
  <c r="G4" i="9"/>
  <c r="J3" i="9"/>
  <c r="I3" i="9"/>
  <c r="G3" i="9"/>
  <c r="J2" i="9"/>
  <c r="K2" i="9" s="1"/>
  <c r="L2" i="9" s="1"/>
  <c r="P2" i="9" s="1"/>
  <c r="I2" i="9"/>
  <c r="G2" i="9"/>
  <c r="P29" i="11" l="1"/>
  <c r="L11" i="9"/>
  <c r="P11" i="9" s="1"/>
  <c r="L3" i="9"/>
  <c r="P3" i="9" s="1"/>
  <c r="L20" i="9"/>
  <c r="P20" i="9" s="1"/>
  <c r="L21" i="9"/>
  <c r="P21" i="9" s="1"/>
  <c r="L9" i="9"/>
  <c r="P9" i="9" s="1"/>
  <c r="L8" i="9"/>
  <c r="P8" i="9" s="1"/>
  <c r="L14" i="9"/>
  <c r="P14" i="9" s="1"/>
  <c r="L22" i="9"/>
  <c r="P22" i="9" s="1"/>
  <c r="L6" i="9"/>
  <c r="P6" i="9" s="1"/>
  <c r="L5" i="9"/>
  <c r="P5" i="9" s="1"/>
  <c r="L15" i="9"/>
  <c r="P15" i="9" s="1"/>
  <c r="L18" i="9"/>
  <c r="P18" i="9" s="1"/>
  <c r="K17" i="8"/>
  <c r="K18" i="8"/>
  <c r="K11" i="8"/>
  <c r="P8" i="8"/>
  <c r="J13" i="8"/>
  <c r="I13" i="8"/>
  <c r="G13" i="8"/>
  <c r="K13" i="8" s="1"/>
  <c r="J20" i="8"/>
  <c r="I20" i="8"/>
  <c r="G20" i="8"/>
  <c r="J19" i="8"/>
  <c r="K19" i="8" s="1"/>
  <c r="L19" i="8" s="1"/>
  <c r="P19" i="8" s="1"/>
  <c r="I19" i="8"/>
  <c r="G19" i="8"/>
  <c r="J18" i="8"/>
  <c r="I18" i="8"/>
  <c r="G18" i="8"/>
  <c r="J17" i="8"/>
  <c r="I17" i="8"/>
  <c r="G17" i="8"/>
  <c r="J16" i="8"/>
  <c r="I16" i="8"/>
  <c r="G16" i="8"/>
  <c r="J15" i="8"/>
  <c r="I15" i="8"/>
  <c r="G15" i="8"/>
  <c r="J14" i="8"/>
  <c r="I14" i="8"/>
  <c r="G14" i="8"/>
  <c r="J12" i="8"/>
  <c r="K12" i="8" s="1"/>
  <c r="L12" i="8" s="1"/>
  <c r="P12" i="8" s="1"/>
  <c r="I12" i="8"/>
  <c r="G12" i="8"/>
  <c r="J11" i="8"/>
  <c r="I11" i="8"/>
  <c r="G11" i="8"/>
  <c r="J10" i="8"/>
  <c r="K10" i="8" s="1"/>
  <c r="L10" i="8" s="1"/>
  <c r="P10" i="8" s="1"/>
  <c r="I10" i="8"/>
  <c r="G10" i="8"/>
  <c r="J9" i="8"/>
  <c r="K9" i="8" s="1"/>
  <c r="I9" i="8"/>
  <c r="G9" i="8"/>
  <c r="J8" i="8"/>
  <c r="K8" i="8" s="1"/>
  <c r="L8" i="8" s="1"/>
  <c r="I8" i="8"/>
  <c r="G8" i="8"/>
  <c r="J7" i="8"/>
  <c r="I7" i="8"/>
  <c r="G7" i="8"/>
  <c r="K7" i="8" s="1"/>
  <c r="J6" i="8"/>
  <c r="K6" i="8" s="1"/>
  <c r="L6" i="8" s="1"/>
  <c r="P6" i="8" s="1"/>
  <c r="I6" i="8"/>
  <c r="G6" i="8"/>
  <c r="J5" i="8"/>
  <c r="I5" i="8"/>
  <c r="G5" i="8"/>
  <c r="J4" i="8"/>
  <c r="K4" i="8" s="1"/>
  <c r="L4" i="8" s="1"/>
  <c r="P4" i="8" s="1"/>
  <c r="I4" i="8"/>
  <c r="G4" i="8"/>
  <c r="J3" i="8"/>
  <c r="K3" i="8" s="1"/>
  <c r="I3" i="8"/>
  <c r="G3" i="8"/>
  <c r="J2" i="8"/>
  <c r="K2" i="8" s="1"/>
  <c r="L2" i="8" s="1"/>
  <c r="P2" i="8" s="1"/>
  <c r="I2" i="8"/>
  <c r="G2" i="8"/>
  <c r="L19" i="4"/>
  <c r="L14" i="4"/>
  <c r="L15" i="4"/>
  <c r="L16" i="4"/>
  <c r="L17" i="4"/>
  <c r="L13" i="4"/>
  <c r="L11" i="4"/>
  <c r="L9" i="4"/>
  <c r="L2" i="4"/>
  <c r="L3" i="4"/>
  <c r="L4" i="4"/>
  <c r="L5" i="4"/>
  <c r="L6" i="4"/>
  <c r="L7" i="4"/>
  <c r="L8" i="4"/>
  <c r="L10" i="4"/>
  <c r="L12" i="4"/>
  <c r="L18" i="4"/>
  <c r="C13" i="2"/>
  <c r="C16" i="2"/>
  <c r="E16" i="2" s="1"/>
  <c r="C17" i="2"/>
  <c r="M4" i="4"/>
  <c r="Q4" i="4" s="1"/>
  <c r="K4" i="4"/>
  <c r="J4" i="4"/>
  <c r="H4" i="4"/>
  <c r="L13" i="8" l="1"/>
  <c r="P13" i="8" s="1"/>
  <c r="L17" i="8"/>
  <c r="P17" i="8" s="1"/>
  <c r="K5" i="8"/>
  <c r="L5" i="8" s="1"/>
  <c r="P5" i="8" s="1"/>
  <c r="K14" i="8"/>
  <c r="L14" i="8" s="1"/>
  <c r="P14" i="8" s="1"/>
  <c r="L7" i="8"/>
  <c r="P7" i="8" s="1"/>
  <c r="K15" i="8"/>
  <c r="L15" i="8" s="1"/>
  <c r="P15" i="8" s="1"/>
  <c r="K16" i="8"/>
  <c r="L16" i="8" s="1"/>
  <c r="P16" i="8" s="1"/>
  <c r="K20" i="8"/>
  <c r="L20" i="8" s="1"/>
  <c r="P20" i="8" s="1"/>
  <c r="L9" i="8"/>
  <c r="P9" i="8" s="1"/>
  <c r="L3" i="8"/>
  <c r="P3" i="8" s="1"/>
  <c r="L11" i="8"/>
  <c r="P11" i="8" s="1"/>
  <c r="L18" i="8"/>
  <c r="P18" i="8" s="1"/>
  <c r="H10" i="4"/>
  <c r="J10" i="4"/>
  <c r="K10" i="4"/>
  <c r="M10" i="4" s="1"/>
  <c r="K2" i="4"/>
  <c r="M2" i="4" s="1"/>
  <c r="Q2" i="4" s="1"/>
  <c r="K3" i="4"/>
  <c r="M3" i="4" s="1"/>
  <c r="Q3" i="4" s="1"/>
  <c r="K5" i="4"/>
  <c r="M5" i="4" s="1"/>
  <c r="Q5" i="4" s="1"/>
  <c r="K6" i="4"/>
  <c r="M6" i="4" s="1"/>
  <c r="Q6" i="4" s="1"/>
  <c r="K7" i="4"/>
  <c r="M7" i="4" s="1"/>
  <c r="K8" i="4"/>
  <c r="K9" i="4"/>
  <c r="M9" i="4" s="1"/>
  <c r="K11" i="4"/>
  <c r="M11" i="4" s="1"/>
  <c r="K12" i="4"/>
  <c r="M12" i="4" s="1"/>
  <c r="K13" i="4"/>
  <c r="K14" i="4"/>
  <c r="M14" i="4" s="1"/>
  <c r="K15" i="4"/>
  <c r="M15" i="4" s="1"/>
  <c r="K16" i="4"/>
  <c r="M16" i="4" s="1"/>
  <c r="K17" i="4"/>
  <c r="M17" i="4" s="1"/>
  <c r="Q17" i="4" s="1"/>
  <c r="K18" i="4"/>
  <c r="M18" i="4" s="1"/>
  <c r="Q18" i="4" s="1"/>
  <c r="K19" i="4"/>
  <c r="M19" i="4" s="1"/>
  <c r="Q19" i="4" s="1"/>
  <c r="J2" i="4"/>
  <c r="J3" i="4"/>
  <c r="J5" i="4"/>
  <c r="J6" i="4"/>
  <c r="J7" i="4"/>
  <c r="J8" i="4"/>
  <c r="J9" i="4"/>
  <c r="J11" i="4"/>
  <c r="J12" i="4"/>
  <c r="J13" i="4"/>
  <c r="J14" i="4"/>
  <c r="J15" i="4"/>
  <c r="J16" i="4"/>
  <c r="J17" i="4"/>
  <c r="J18" i="4"/>
  <c r="J19" i="4"/>
  <c r="H2" i="4"/>
  <c r="H3" i="4"/>
  <c r="H5" i="4"/>
  <c r="H6" i="4"/>
  <c r="H7" i="4"/>
  <c r="H8" i="4"/>
  <c r="H9" i="4"/>
  <c r="H11" i="4"/>
  <c r="H12" i="4"/>
  <c r="H13" i="4"/>
  <c r="H14" i="4"/>
  <c r="H15" i="4"/>
  <c r="H16" i="4"/>
  <c r="H17" i="4"/>
  <c r="H18" i="4"/>
  <c r="H19" i="4"/>
  <c r="M8" i="4" l="1"/>
  <c r="Q8" i="4" s="1"/>
  <c r="M13" i="4"/>
  <c r="Q13" i="4" s="1"/>
  <c r="Q14" i="4"/>
  <c r="Q10" i="4"/>
  <c r="Q9" i="4"/>
  <c r="Q16" i="4"/>
  <c r="Q12" i="4"/>
  <c r="Q7" i="4"/>
  <c r="Q15" i="4"/>
  <c r="Q11" i="4"/>
  <c r="D2" i="1"/>
  <c r="F2" i="1" s="1"/>
  <c r="D3" i="2" l="1"/>
  <c r="D4" i="2"/>
  <c r="D5" i="2"/>
  <c r="D6" i="2"/>
  <c r="D7" i="2"/>
  <c r="D8" i="2"/>
  <c r="D9" i="2"/>
  <c r="D10" i="2"/>
  <c r="D2" i="2"/>
  <c r="F5" i="1"/>
  <c r="F4" i="1"/>
  <c r="D3" i="1"/>
  <c r="G5" i="3" l="1"/>
  <c r="G9" i="3"/>
  <c r="G2" i="3"/>
  <c r="G13" i="3"/>
  <c r="G6" i="3"/>
  <c r="G10" i="3"/>
  <c r="G12" i="3"/>
  <c r="G3" i="3"/>
  <c r="G7" i="3"/>
  <c r="G11" i="3"/>
  <c r="G4" i="3"/>
  <c r="G8" i="3"/>
  <c r="F3" i="1"/>
  <c r="F6" i="1" s="1"/>
</calcChain>
</file>

<file path=xl/sharedStrings.xml><?xml version="1.0" encoding="utf-8"?>
<sst xmlns="http://schemas.openxmlformats.org/spreadsheetml/2006/main" count="852" uniqueCount="143">
  <si>
    <t xml:space="preserve">Infantry member </t>
  </si>
  <si>
    <t>Time Period in months</t>
  </si>
  <si>
    <t>Cavalry member</t>
  </si>
  <si>
    <t>Ship</t>
  </si>
  <si>
    <t>Maintaince Cost</t>
  </si>
  <si>
    <t>Soldiers to be hired</t>
  </si>
  <si>
    <t>Army Cost in talents</t>
  </si>
  <si>
    <t>Total</t>
  </si>
  <si>
    <t>Location</t>
  </si>
  <si>
    <t>Owner</t>
  </si>
  <si>
    <t>Total Value in Talents</t>
  </si>
  <si>
    <t>Athens</t>
  </si>
  <si>
    <t>Harpalus</t>
  </si>
  <si>
    <t>Persepolis</t>
  </si>
  <si>
    <t xml:space="preserve">Sardis </t>
  </si>
  <si>
    <t>Krateros</t>
  </si>
  <si>
    <t>Babylon</t>
  </si>
  <si>
    <t>Bactria</t>
  </si>
  <si>
    <t>Pella</t>
  </si>
  <si>
    <t>Antipater</t>
  </si>
  <si>
    <t>Infantry</t>
  </si>
  <si>
    <t>Cavalry</t>
  </si>
  <si>
    <t>Ships</t>
  </si>
  <si>
    <t>Commander</t>
  </si>
  <si>
    <t>Antigonos</t>
  </si>
  <si>
    <t>Kilikia</t>
  </si>
  <si>
    <t>Kelania</t>
  </si>
  <si>
    <t>Total Value in Drachms</t>
  </si>
  <si>
    <t>Cost in Drachms per month</t>
  </si>
  <si>
    <t>Cost in Talents per month</t>
  </si>
  <si>
    <t>Peukestas</t>
  </si>
  <si>
    <t>Archers/Slingers</t>
  </si>
  <si>
    <t>Archer</t>
  </si>
  <si>
    <t>Region</t>
  </si>
  <si>
    <t>Population</t>
  </si>
  <si>
    <t>Low Grain Harvest</t>
  </si>
  <si>
    <t>Normal Grain Harvest</t>
  </si>
  <si>
    <t>High Grain Harvest</t>
  </si>
  <si>
    <t>Required Grain</t>
  </si>
  <si>
    <t>Macedonia</t>
  </si>
  <si>
    <t xml:space="preserve">Top 3 trade resources </t>
  </si>
  <si>
    <t>timber, gold, silver</t>
  </si>
  <si>
    <t>Thrace</t>
  </si>
  <si>
    <t>gold, tin, silver</t>
  </si>
  <si>
    <t>Mysia</t>
  </si>
  <si>
    <t>Phrygia</t>
  </si>
  <si>
    <t>Lydia</t>
  </si>
  <si>
    <t>Syria</t>
  </si>
  <si>
    <t>Egypt</t>
  </si>
  <si>
    <t>Mesopotamia</t>
  </si>
  <si>
    <t>Babylonia</t>
  </si>
  <si>
    <t>Media</t>
  </si>
  <si>
    <t>Ionia</t>
  </si>
  <si>
    <t>Paphlogonia</t>
  </si>
  <si>
    <t>grain, produce, papyrus, gems</t>
  </si>
  <si>
    <t>Potential Troop levy</t>
  </si>
  <si>
    <t>horses, salt</t>
  </si>
  <si>
    <t>grain, horses, gold</t>
  </si>
  <si>
    <t>Suplus Grain</t>
  </si>
  <si>
    <t>Tax Income in Talents</t>
  </si>
  <si>
    <t>Trade Income</t>
  </si>
  <si>
    <t>Revenue - Expenses</t>
  </si>
  <si>
    <t>Satrap</t>
  </si>
  <si>
    <t>Army Costs</t>
  </si>
  <si>
    <t>Other Expenditure</t>
  </si>
  <si>
    <t>Garrisoned Soldier Cost</t>
  </si>
  <si>
    <t>Garrison Size</t>
  </si>
  <si>
    <t>Capadocia</t>
  </si>
  <si>
    <t>Parthia + Aria</t>
  </si>
  <si>
    <t>Bactria + Sogdiane</t>
  </si>
  <si>
    <t>Persis+ Drangiane</t>
  </si>
  <si>
    <t>Dark Blue</t>
  </si>
  <si>
    <t>Red</t>
  </si>
  <si>
    <t>Green</t>
  </si>
  <si>
    <t>Orange</t>
  </si>
  <si>
    <t>Yellow</t>
  </si>
  <si>
    <t>Purple</t>
  </si>
  <si>
    <t>Light Blue</t>
  </si>
  <si>
    <t>10 talents</t>
  </si>
  <si>
    <t>50 talents</t>
  </si>
  <si>
    <t>100 talents</t>
  </si>
  <si>
    <t>250 talents</t>
  </si>
  <si>
    <t>500 talents</t>
  </si>
  <si>
    <t>750 talents</t>
  </si>
  <si>
    <t>1000 talents</t>
  </si>
  <si>
    <t>grain, dates, salt</t>
  </si>
  <si>
    <t>timber, dyes</t>
  </si>
  <si>
    <t>timber</t>
  </si>
  <si>
    <t>grain</t>
  </si>
  <si>
    <t>gold</t>
  </si>
  <si>
    <t>produce</t>
  </si>
  <si>
    <t>tin</t>
  </si>
  <si>
    <t>grain, gold</t>
  </si>
  <si>
    <t>fish</t>
  </si>
  <si>
    <t>Greece</t>
  </si>
  <si>
    <t>Harpalos</t>
  </si>
  <si>
    <t>Ptolemy</t>
  </si>
  <si>
    <t>Peithon</t>
  </si>
  <si>
    <t>Lysimachos</t>
  </si>
  <si>
    <t>Eumenes</t>
  </si>
  <si>
    <t>Nearchos</t>
  </si>
  <si>
    <t>Kassander</t>
  </si>
  <si>
    <t>Alexandria</t>
  </si>
  <si>
    <t>Meleagros</t>
  </si>
  <si>
    <t>Krateros/Nearchos</t>
  </si>
  <si>
    <t>Cyrene</t>
  </si>
  <si>
    <t>Macedon</t>
  </si>
  <si>
    <t>Perdiccas</t>
  </si>
  <si>
    <t>Sardis</t>
  </si>
  <si>
    <t>Peukestas/Lysimachos</t>
  </si>
  <si>
    <t>Seleukos</t>
  </si>
  <si>
    <t>Eumenes/Antigonos</t>
  </si>
  <si>
    <t>Trade Details</t>
  </si>
  <si>
    <t xml:space="preserve">Babylon </t>
  </si>
  <si>
    <t>Persis</t>
  </si>
  <si>
    <t>Black sea tax</t>
  </si>
  <si>
    <t>20 talents</t>
  </si>
  <si>
    <t>Smyrna</t>
  </si>
  <si>
    <t>Egyptian grain tax</t>
  </si>
  <si>
    <t>Bosphorus</t>
  </si>
  <si>
    <t>Koile Syria</t>
  </si>
  <si>
    <t>Tax on persian tribes</t>
  </si>
  <si>
    <t>Cost per year in Talents</t>
  </si>
  <si>
    <t>Arachosia</t>
  </si>
  <si>
    <t>Baktria</t>
  </si>
  <si>
    <t>Cyprus</t>
  </si>
  <si>
    <t>timber, copper</t>
  </si>
  <si>
    <t>Drangiane</t>
  </si>
  <si>
    <t>Parthia</t>
  </si>
  <si>
    <t>Aria</t>
  </si>
  <si>
    <t>Hyrcania</t>
  </si>
  <si>
    <t>Gedrosia</t>
  </si>
  <si>
    <t>Elymais</t>
  </si>
  <si>
    <t>Indian</t>
  </si>
  <si>
    <t>Leonnatus</t>
  </si>
  <si>
    <t>Chandragupta</t>
  </si>
  <si>
    <t xml:space="preserve">Armenia </t>
  </si>
  <si>
    <t>5000 talents</t>
  </si>
  <si>
    <t>Syracuse</t>
  </si>
  <si>
    <t>(timber)</t>
  </si>
  <si>
    <t>Polyperchon</t>
  </si>
  <si>
    <t>Demetrios</t>
  </si>
  <si>
    <t>Meleagros/Peithon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</si>
</sst>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rgb="FF373A3C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2">
    <xf numFmtId="0" fontId="0" fillId="0" borderId="0" xfId="0"/>
    <xf numFmtId="3" fontId="0" fillId="0" borderId="0" xfId="0" applyNumberFormat="1"/>
    <xf numFmtId="3" fontId="1" fillId="0" borderId="0" xfId="0" applyNumberFormat="1" applyFont="1"/>
    <xf numFmtId="4" fontId="0" fillId="0" borderId="0" xfId="0" applyNumberFormat="1"/>
    <xf numFmtId="1" fontId="0" fillId="0" borderId="0" xfId="0" applyNumberFormat="1"/>
    <xf numFmtId="3" fontId="0" fillId="2" borderId="0" xfId="0" applyNumberFormat="1" applyFill="1"/>
    <xf numFmtId="3" fontId="0" fillId="0" borderId="0" xfId="0" applyNumberFormat="1" applyFill="1"/>
    <xf numFmtId="3" fontId="0" fillId="3" borderId="1" xfId="0" applyNumberFormat="1" applyFont="1" applyFill="1" applyBorder="1"/>
    <xf numFmtId="0" fontId="0" fillId="3" borderId="1" xfId="0" applyFont="1" applyFill="1" applyBorder="1"/>
    <xf numFmtId="0" fontId="0" fillId="2" borderId="0" xfId="0" applyFill="1"/>
    <xf numFmtId="4" fontId="0" fillId="2" borderId="0" xfId="0" applyNumberFormat="1" applyFill="1"/>
    <xf numFmtId="1" fontId="0" fillId="2" borderId="0" xfId="0" applyNumberFormat="1" applyFill="1"/>
  </cellXfs>
  <cellStyles count="1">
    <cellStyle name="Normal" xfId="0" builtinId="0"/>
  </cellStyles>
  <dxfs count="63"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1" name="Table1" displayName="Table1" ref="A1:Q19" totalsRowShown="0">
  <autoFilter ref="A1:Q19"/>
  <tableColumns count="17">
    <tableColumn id="1" name="Region"/>
    <tableColumn id="15" name="Satrap"/>
    <tableColumn id="22" name="Garrison Size"/>
    <tableColumn id="16" name="Garrisoned Soldier Cost"/>
    <tableColumn id="17" name="Army Costs"/>
    <tableColumn id="2" name="Population"/>
    <tableColumn id="4" name="Potential Troop levy"/>
    <tableColumn id="6" name="Low Grain Harvest" dataDxfId="62">
      <calculatedColumnFormula>Table1[[#This Row],[Normal Grain Harvest]]*0.6</calculatedColumnFormula>
    </tableColumn>
    <tableColumn id="7" name="Normal Grain Harvest" dataDxfId="61"/>
    <tableColumn id="8" name="High Grain Harvest" dataDxfId="60">
      <calculatedColumnFormula>Table1[[#This Row],[Normal Grain Harvest]]*1.3</calculatedColumnFormula>
    </tableColumn>
    <tableColumn id="9" name="Required Grain" dataDxfId="59">
      <calculatedColumnFormula>(Table1[[#This Row],[Population]]*365)/1000</calculatedColumnFormula>
    </tableColumn>
    <tableColumn id="14" name="Suplus Grain" dataDxfId="58">
      <calculatedColumnFormula>Table1[[#This Row],[Normal Grain Harvest]]-Table1[[#This Row],[Required Grain]]</calculatedColumnFormula>
    </tableColumn>
    <tableColumn id="10" name="Tax Income in Talents" dataDxfId="57">
      <calculatedColumnFormula>(Table1[[#This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56">
      <calculatedColumnFormula>(Table1[[#This Row],[Tax Income in Talents]]+Table1[[#This Row],[Trade Income]]-Table1[[#This Row],[Army Costs]]-Table1[[#This Row],[Other Expenditure]]-Table1[[#This Row],[Garrisoned Soldier Cost]])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13" displayName="Table13" ref="A1:P20" totalsRowShown="0">
  <autoFilter ref="A1:P20"/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55">
      <calculatedColumnFormula>Table13[[#This Row],[Normal Grain Harvest]]*0.6</calculatedColumnFormula>
    </tableColumn>
    <tableColumn id="7" name="Normal Grain Harvest" dataDxfId="54"/>
    <tableColumn id="8" name="High Grain Harvest" dataDxfId="53">
      <calculatedColumnFormula>Table13[[#This Row],[Normal Grain Harvest]]*1.3</calculatedColumnFormula>
    </tableColumn>
    <tableColumn id="9" name="Required Grain" dataDxfId="52">
      <calculatedColumnFormula>(Table13[[#This Row],[Population]]*365)/1000</calculatedColumnFormula>
    </tableColumn>
    <tableColumn id="14" name="Suplus Grain" dataDxfId="51">
      <calculatedColumnFormula>Table13[[#This Row],[Normal Grain Harvest]]-Table13[[#This Row],[Required Grain]]</calculatedColumnFormula>
    </tableColumn>
    <tableColumn id="10" name="Tax Income in Talents" dataDxfId="50">
      <calculatedColumnFormula>(Table13[[#This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49">
      <calculatedColumnFormula>(Table13[[#This Row],[Tax Income in Talents]]+Table13[[#This Row],[Trade Income]]-Table13[[#This Row],[Other Expenditure]]-Table13[[#This Row],[Garrisoned Soldier Cost]])</calculatedColumnFormula>
    </tableColumn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able134" displayName="Table134" ref="A1:P22" totalsRowShown="0">
  <autoFilter ref="A1:P22"/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48">
      <calculatedColumnFormula>Table134[[#This Row],[Normal Grain Harvest]]*0.6</calculatedColumnFormula>
    </tableColumn>
    <tableColumn id="7" name="Normal Grain Harvest" dataDxfId="47"/>
    <tableColumn id="8" name="High Grain Harvest" dataDxfId="46">
      <calculatedColumnFormula>Table134[[#This Row],[Normal Grain Harvest]]*1.3</calculatedColumnFormula>
    </tableColumn>
    <tableColumn id="9" name="Required Grain" dataDxfId="45">
      <calculatedColumnFormula>(Table134[[#This Row],[Population]]*365)/1000</calculatedColumnFormula>
    </tableColumn>
    <tableColumn id="14" name="Suplus Grain" dataDxfId="44">
      <calculatedColumnFormula>Table134[[#This Row],[Normal Grain Harvest]]-Table134[[#This Row],[Required Grain]]</calculatedColumnFormula>
    </tableColumn>
    <tableColumn id="10" name="Tax Income in Talents" dataDxfId="43">
      <calculatedColumnFormula>(Table134[[#This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42">
      <calculatedColumnFormula>(Table134[[#This Row],[Tax Income in Talents]]+Table134[[#This Row],[Trade Income]]-Table134[[#This Row],[Other Expenditure]]-Table134[[#This Row],[Garrisoned Soldier Cost]])</calculatedColumnFormula>
    </tableColumn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4" name="Table1345" displayName="Table1345" ref="A1:P30" totalsRowShown="0">
  <autoFilter ref="A1:P30"/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41">
      <calculatedColumnFormula>Table1345[[#This Row],[Normal Grain Harvest]]*0.6</calculatedColumnFormula>
    </tableColumn>
    <tableColumn id="7" name="Normal Grain Harvest" dataDxfId="40"/>
    <tableColumn id="8" name="High Grain Harvest" dataDxfId="39">
      <calculatedColumnFormula>Table1345[[#This Row],[Normal Grain Harvest]]*1.3</calculatedColumnFormula>
    </tableColumn>
    <tableColumn id="9" name="Required Grain" dataDxfId="38">
      <calculatedColumnFormula>(Table1345[[#This Row],[Population]]*365)/1000</calculatedColumnFormula>
    </tableColumn>
    <tableColumn id="14" name="Suplus Grain" dataDxfId="37">
      <calculatedColumnFormula>Table1345[[#This Row],[Normal Grain Harvest]]-Table1345[[#This Row],[Required Grain]]</calculatedColumnFormula>
    </tableColumn>
    <tableColumn id="10" name="Tax Income in Talents" dataDxfId="36">
      <calculatedColumnFormula>(Table1345[[#This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35">
      <calculatedColumnFormula>(Table1345[[#This Row],[Tax Income in Talents]]+Table1345[[#This Row],[Trade Income]]-Table1345[[#This Row],[Other Expenditure]]-Table1345[[#This Row],[Garrisoned Soldier Cost]])</calculatedColumnFormula>
    </tableColumn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5" name="Table13456" displayName="Table13456" ref="A1:P30" totalsRowShown="0">
  <autoFilter ref="A1:P30"/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34">
      <calculatedColumnFormula>Table13456[[#This Row],[Normal Grain Harvest]]*0.6</calculatedColumnFormula>
    </tableColumn>
    <tableColumn id="7" name="Normal Grain Harvest" dataDxfId="33"/>
    <tableColumn id="8" name="High Grain Harvest" dataDxfId="32">
      <calculatedColumnFormula>Table13456[[#This Row],[Normal Grain Harvest]]*1.3</calculatedColumnFormula>
    </tableColumn>
    <tableColumn id="9" name="Required Grain" dataDxfId="31">
      <calculatedColumnFormula>(Table13456[[#This Row],[Population]]*365)/1000</calculatedColumnFormula>
    </tableColumn>
    <tableColumn id="14" name="Suplus Grain" dataDxfId="30">
      <calculatedColumnFormula>Table13456[[#This Row],[Normal Grain Harvest]]-Table13456[[#This Row],[Required Grain]]</calculatedColumnFormula>
    </tableColumn>
    <tableColumn id="10" name="Tax Income in Talents" dataDxfId="29">
      <calculatedColumnFormula>(Table13456[[#This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28">
      <calculatedColumnFormula>(Table13456[[#This Row],[Tax Income in Talents]]+Table13456[[#This Row],[Trade Income]]-Table13456[[#This Row],[Other Expenditure]]-Table13456[[#This Row],[Garrisoned Soldier Cost]])</calculatedColumnFormula>
    </tableColumn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6" name="Table134567" displayName="Table134567" ref="A1:P29" totalsRowShown="0">
  <autoFilter ref="A1:P29"/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27">
      <calculatedColumnFormula>Table134567[[#This Row],[Normal Grain Harvest]]*0.6</calculatedColumnFormula>
    </tableColumn>
    <tableColumn id="7" name="Normal Grain Harvest" dataDxfId="26"/>
    <tableColumn id="8" name="High Grain Harvest" dataDxfId="25">
      <calculatedColumnFormula>Table134567[[#This Row],[Normal Grain Harvest]]*1.3</calculatedColumnFormula>
    </tableColumn>
    <tableColumn id="9" name="Required Grain" dataDxfId="24">
      <calculatedColumnFormula>(Table134567[[#This Row],[Population]]*365)/1000</calculatedColumnFormula>
    </tableColumn>
    <tableColumn id="14" name="Suplus Grain" dataDxfId="23">
      <calculatedColumnFormula>Table134567[[#This Row],[Normal Grain Harvest]]-Table134567[[#This Row],[Required Grain]]</calculatedColumnFormula>
    </tableColumn>
    <tableColumn id="10" name="Tax Income in Talents" dataDxfId="22">
      <calculatedColumnFormula>(Table134567[[#This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21">
      <calculatedColumnFormula>(Table134567[[#This Row],[Tax Income in Talents]]+Table134567[[#This Row],[Trade Income]]-Table134567[[#This Row],[Other Expenditure]]-Table134567[[#This Row],[Garrisoned Soldier Cost]])</calculatedColumnFormula>
    </tableColumn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id="7" name="Table1345678" displayName="Table1345678" ref="A1:P29" totalsRowShown="0">
  <autoFilter ref="A1:P29"/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20">
      <calculatedColumnFormula>Table1345678[[#This Row],[Normal Grain Harvest]]*0.6</calculatedColumnFormula>
    </tableColumn>
    <tableColumn id="7" name="Normal Grain Harvest" dataDxfId="19"/>
    <tableColumn id="8" name="High Grain Harvest" dataDxfId="18">
      <calculatedColumnFormula>Table1345678[[#This Row],[Normal Grain Harvest]]*1.3</calculatedColumnFormula>
    </tableColumn>
    <tableColumn id="9" name="Required Grain" dataDxfId="17">
      <calculatedColumnFormula>(Table1345678[[#This Row],[Population]]*365)/1000</calculatedColumnFormula>
    </tableColumn>
    <tableColumn id="14" name="Suplus Grain" dataDxfId="16">
      <calculatedColumnFormula>Table1345678[[#This Row],[Normal Grain Harvest]]-Table1345678[[#This Row],[Required Grain]]</calculatedColumnFormula>
    </tableColumn>
    <tableColumn id="10" name="Tax Income in Talents" dataDxfId="15">
      <calculatedColumnFormula>(Table1345678[[#This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14">
      <calculatedColumnFormula>(Table1345678[[#This Row],[Tax Income in Talents]]+Table1345678[[#This Row],[Trade Income]]-Table1345678[[#This Row],[Other Expenditure]]-Table1345678[[#This Row],[Garrisoned Soldier Cost]])</calculatedColumnFormula>
    </tableColumn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id="8" name="Table13456789" displayName="Table13456789" ref="A1:P29" totalsRowShown="0">
  <autoFilter ref="A1:P29"/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13">
      <calculatedColumnFormula>Table13456789[[#This Row],[Normal Grain Harvest]]*0.6</calculatedColumnFormula>
    </tableColumn>
    <tableColumn id="7" name="Normal Grain Harvest" dataDxfId="12"/>
    <tableColumn id="8" name="High Grain Harvest" dataDxfId="11">
      <calculatedColumnFormula>Table13456789[[#This Row],[Normal Grain Harvest]]*1.3</calculatedColumnFormula>
    </tableColumn>
    <tableColumn id="9" name="Required Grain" dataDxfId="10">
      <calculatedColumnFormula>(Table13456789[[#This Row],[Population]]*365)/1000</calculatedColumnFormula>
    </tableColumn>
    <tableColumn id="14" name="Suplus Grain" dataDxfId="9">
      <calculatedColumnFormula>Table13456789[[#This Row],[Low Grain Harvest]]-Table13456789[[#This Row],[Required Grain]]</calculatedColumnFormula>
    </tableColumn>
    <tableColumn id="10" name="Tax Income in Talents" dataDxfId="8">
      <calculatedColumnFormula>(Table13456789[[#This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7">
      <calculatedColumnFormula>(Table13456789[[#This Row],[Tax Income in Talents]]+Table13456789[[#This Row],[Trade Income]]-Table13456789[[#This Row],[Other Expenditure]]-Table13456789[[#This Row],[Garrisoned Soldier Cost]])</calculatedColumnFormula>
    </tableColumn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id="9" name="Table1345678910" displayName="Table1345678910" ref="A1:P29" totalsRowShown="0">
  <autoFilter ref="A1:P29"/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6">
      <calculatedColumnFormula>Table1345678910[[#This Row],[Normal Grain Harvest]]*0.6</calculatedColumnFormula>
    </tableColumn>
    <tableColumn id="7" name="Normal Grain Harvest" dataDxfId="5"/>
    <tableColumn id="8" name="High Grain Harvest" dataDxfId="4">
      <calculatedColumnFormula>Table1345678910[[#This Row],[Normal Grain Harvest]]*1.3</calculatedColumnFormula>
    </tableColumn>
    <tableColumn id="9" name="Required Grain" dataDxfId="3">
      <calculatedColumnFormula>(Table1345678910[[#This Row],[Population]]*365)/1000</calculatedColumnFormula>
    </tableColumn>
    <tableColumn id="14" name="Suplus Grain" dataDxfId="2">
      <calculatedColumnFormula>Table1345678910[[#This Row],[Low Grain Harvest]]-Table1345678910[[#This Row],[Required Grain]]</calculatedColumnFormula>
    </tableColumn>
    <tableColumn id="10" name="Tax Income in Talents" dataDxfId="1">
      <calculatedColumnFormula>(Table1345678910[[#This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0">
      <calculatedColumnFormula>(Table1345678910[[#This Row],[Tax Income in Talents]]+Table1345678910[[#This Row],[Trade Income]]-Table1345678910[[#This Row],[Other Expenditure]]-Table1345678910[[#This Row],[Garrisoned Soldier Cost]])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E5" sqref="E5"/>
    </sheetView>
  </sheetViews>
  <sheetFormatPr defaultRowHeight="15" x14ac:dyDescent="0.25"/>
  <cols>
    <col min="1" max="1" width="17.28515625" customWidth="1"/>
    <col min="2" max="2" width="16.5703125" customWidth="1"/>
    <col min="3" max="3" width="17.85546875" customWidth="1"/>
    <col min="4" max="4" width="18.5703125" customWidth="1"/>
    <col min="5" max="5" width="12.85546875" customWidth="1"/>
    <col min="6" max="6" width="9.140625" customWidth="1"/>
  </cols>
  <sheetData>
    <row r="1" spans="1:6" x14ac:dyDescent="0.25">
      <c r="A1" t="s">
        <v>4</v>
      </c>
      <c r="B1" t="s">
        <v>1</v>
      </c>
      <c r="C1" t="s">
        <v>28</v>
      </c>
      <c r="D1" t="s">
        <v>29</v>
      </c>
      <c r="E1" t="s">
        <v>5</v>
      </c>
      <c r="F1" t="s">
        <v>6</v>
      </c>
    </row>
    <row r="2" spans="1:6" x14ac:dyDescent="0.25">
      <c r="A2" t="s">
        <v>32</v>
      </c>
      <c r="B2">
        <v>7</v>
      </c>
      <c r="C2">
        <v>150</v>
      </c>
      <c r="D2">
        <f>(C2/6000)*B2</f>
        <v>0.17500000000000002</v>
      </c>
      <c r="E2" s="1">
        <v>5000</v>
      </c>
      <c r="F2">
        <f>E2*D2</f>
        <v>875.00000000000011</v>
      </c>
    </row>
    <row r="3" spans="1:6" x14ac:dyDescent="0.25">
      <c r="A3" t="s">
        <v>0</v>
      </c>
      <c r="B3">
        <v>7</v>
      </c>
      <c r="C3">
        <v>250</v>
      </c>
      <c r="D3">
        <f>(C3/6000)*B3</f>
        <v>0.29166666666666663</v>
      </c>
      <c r="E3" s="1">
        <v>20000</v>
      </c>
      <c r="F3">
        <f>E3*D3</f>
        <v>5833.333333333333</v>
      </c>
    </row>
    <row r="4" spans="1:6" x14ac:dyDescent="0.25">
      <c r="A4" t="s">
        <v>2</v>
      </c>
      <c r="B4">
        <v>7</v>
      </c>
      <c r="C4">
        <v>500</v>
      </c>
      <c r="D4">
        <f>(C4/6000)*B4</f>
        <v>0.58333333333333326</v>
      </c>
      <c r="E4">
        <v>2000</v>
      </c>
      <c r="F4">
        <f t="shared" ref="F4:F5" si="0">E4*D4</f>
        <v>1166.6666666666665</v>
      </c>
    </row>
    <row r="5" spans="1:6" x14ac:dyDescent="0.25">
      <c r="A5" t="s">
        <v>3</v>
      </c>
      <c r="B5">
        <v>7</v>
      </c>
      <c r="C5">
        <v>6000</v>
      </c>
      <c r="D5">
        <f>(C5/6000)*B5</f>
        <v>7</v>
      </c>
      <c r="F5">
        <f t="shared" si="0"/>
        <v>0</v>
      </c>
    </row>
    <row r="6" spans="1:6" x14ac:dyDescent="0.25">
      <c r="A6" t="s">
        <v>7</v>
      </c>
      <c r="F6">
        <f>SUM(F2:F5)</f>
        <v>7875</v>
      </c>
    </row>
    <row r="19" spans="5:6" x14ac:dyDescent="0.25">
      <c r="E19" s="1"/>
      <c r="F1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8"/>
  <sheetViews>
    <sheetView workbookViewId="0">
      <selection activeCell="A9" sqref="A9"/>
    </sheetView>
  </sheetViews>
  <sheetFormatPr defaultRowHeight="15" x14ac:dyDescent="0.25"/>
  <sheetData>
    <row r="2" spans="1:2" x14ac:dyDescent="0.25">
      <c r="A2" t="s">
        <v>79</v>
      </c>
      <c r="B2" t="s">
        <v>76</v>
      </c>
    </row>
    <row r="3" spans="1:2" x14ac:dyDescent="0.25">
      <c r="A3" t="s">
        <v>80</v>
      </c>
      <c r="B3" t="s">
        <v>75</v>
      </c>
    </row>
    <row r="4" spans="1:2" x14ac:dyDescent="0.25">
      <c r="A4" t="s">
        <v>81</v>
      </c>
      <c r="B4" t="s">
        <v>74</v>
      </c>
    </row>
    <row r="5" spans="1:2" x14ac:dyDescent="0.25">
      <c r="A5" t="s">
        <v>82</v>
      </c>
      <c r="B5" t="s">
        <v>73</v>
      </c>
    </row>
    <row r="6" spans="1:2" x14ac:dyDescent="0.25">
      <c r="A6" t="s">
        <v>83</v>
      </c>
      <c r="B6" t="s">
        <v>72</v>
      </c>
    </row>
    <row r="7" spans="1:2" x14ac:dyDescent="0.25">
      <c r="A7" t="s">
        <v>84</v>
      </c>
      <c r="B7" t="s">
        <v>71</v>
      </c>
    </row>
    <row r="8" spans="1:2" x14ac:dyDescent="0.25">
      <c r="A8" t="s">
        <v>137</v>
      </c>
      <c r="B8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D10" sqref="D10"/>
    </sheetView>
  </sheetViews>
  <sheetFormatPr defaultRowHeight="15" x14ac:dyDescent="0.25"/>
  <cols>
    <col min="1" max="1" width="10.85546875" customWidth="1"/>
    <col min="2" max="2" width="9.28515625" customWidth="1"/>
    <col min="3" max="3" width="20" customWidth="1"/>
    <col min="4" max="4" width="14.42578125" customWidth="1"/>
  </cols>
  <sheetData>
    <row r="1" spans="1:5" x14ac:dyDescent="0.25">
      <c r="A1" t="s">
        <v>8</v>
      </c>
      <c r="B1" t="s">
        <v>9</v>
      </c>
      <c r="C1" t="s">
        <v>10</v>
      </c>
      <c r="D1" t="s">
        <v>27</v>
      </c>
    </row>
    <row r="2" spans="1:5" x14ac:dyDescent="0.25">
      <c r="A2" t="s">
        <v>11</v>
      </c>
      <c r="B2" t="s">
        <v>12</v>
      </c>
      <c r="C2" s="1"/>
      <c r="D2">
        <f>C2*6000</f>
        <v>0</v>
      </c>
    </row>
    <row r="3" spans="1:5" x14ac:dyDescent="0.25">
      <c r="A3" t="s">
        <v>25</v>
      </c>
      <c r="B3" t="s">
        <v>15</v>
      </c>
      <c r="C3" s="1"/>
      <c r="D3">
        <f t="shared" ref="D3:D10" si="0">C3*6000</f>
        <v>0</v>
      </c>
    </row>
    <row r="4" spans="1:5" x14ac:dyDescent="0.25">
      <c r="A4" t="s">
        <v>13</v>
      </c>
      <c r="B4" t="s">
        <v>30</v>
      </c>
      <c r="C4" s="1"/>
      <c r="D4">
        <f t="shared" si="0"/>
        <v>0</v>
      </c>
    </row>
    <row r="5" spans="1:5" x14ac:dyDescent="0.25">
      <c r="A5" t="s">
        <v>14</v>
      </c>
      <c r="B5" t="s">
        <v>99</v>
      </c>
      <c r="C5" s="1"/>
      <c r="D5">
        <f t="shared" si="0"/>
        <v>0</v>
      </c>
    </row>
    <row r="6" spans="1:5" x14ac:dyDescent="0.25">
      <c r="A6" t="s">
        <v>16</v>
      </c>
      <c r="B6" t="s">
        <v>103</v>
      </c>
      <c r="C6" s="1"/>
      <c r="D6">
        <f t="shared" si="0"/>
        <v>0</v>
      </c>
    </row>
    <row r="7" spans="1:5" x14ac:dyDescent="0.25">
      <c r="A7" t="s">
        <v>17</v>
      </c>
      <c r="B7" t="s">
        <v>98</v>
      </c>
      <c r="C7" s="1"/>
      <c r="D7">
        <f t="shared" si="0"/>
        <v>0</v>
      </c>
    </row>
    <row r="8" spans="1:5" x14ac:dyDescent="0.25">
      <c r="A8" t="s">
        <v>18</v>
      </c>
      <c r="B8" t="s">
        <v>19</v>
      </c>
      <c r="C8" s="1"/>
      <c r="D8">
        <f t="shared" si="0"/>
        <v>0</v>
      </c>
    </row>
    <row r="9" spans="1:5" ht="14.25" customHeight="1" x14ac:dyDescent="0.25">
      <c r="A9" t="s">
        <v>26</v>
      </c>
      <c r="B9" t="s">
        <v>24</v>
      </c>
      <c r="C9" s="1"/>
      <c r="D9">
        <f t="shared" si="0"/>
        <v>0</v>
      </c>
    </row>
    <row r="10" spans="1:5" x14ac:dyDescent="0.25">
      <c r="A10" t="s">
        <v>102</v>
      </c>
      <c r="B10" t="s">
        <v>96</v>
      </c>
      <c r="C10" s="1"/>
      <c r="D10">
        <f t="shared" si="0"/>
        <v>0</v>
      </c>
    </row>
    <row r="11" spans="1:5" x14ac:dyDescent="0.25">
      <c r="C11" s="1"/>
    </row>
    <row r="13" spans="1:5" x14ac:dyDescent="0.25">
      <c r="C13" s="1">
        <f>SUM(C2:C10)</f>
        <v>0</v>
      </c>
      <c r="D13" s="1"/>
    </row>
    <row r="16" spans="1:5" x14ac:dyDescent="0.25">
      <c r="C16">
        <f>90000-36000-21600</f>
        <v>32400</v>
      </c>
      <c r="D16">
        <v>0.6</v>
      </c>
      <c r="E16">
        <f>C16*D16</f>
        <v>19440</v>
      </c>
    </row>
    <row r="17" spans="3:3" x14ac:dyDescent="0.25">
      <c r="C17">
        <f>90000*0.4</f>
        <v>36000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E12" sqref="E12"/>
    </sheetView>
  </sheetViews>
  <sheetFormatPr defaultRowHeight="15" x14ac:dyDescent="0.25"/>
  <cols>
    <col min="2" max="3" width="13.5703125" customWidth="1"/>
  </cols>
  <sheetData>
    <row r="1" spans="1:7" x14ac:dyDescent="0.25">
      <c r="A1" t="s">
        <v>8</v>
      </c>
      <c r="B1" t="s">
        <v>23</v>
      </c>
      <c r="C1" t="s">
        <v>31</v>
      </c>
      <c r="D1" t="s">
        <v>20</v>
      </c>
      <c r="E1" t="s">
        <v>21</v>
      </c>
      <c r="F1" t="s">
        <v>22</v>
      </c>
      <c r="G1" t="s">
        <v>122</v>
      </c>
    </row>
    <row r="2" spans="1:7" x14ac:dyDescent="0.25">
      <c r="A2" t="s">
        <v>25</v>
      </c>
      <c r="B2" t="s">
        <v>24</v>
      </c>
      <c r="D2" s="1"/>
      <c r="E2" s="1">
        <v>1620</v>
      </c>
      <c r="F2">
        <v>0</v>
      </c>
      <c r="G2">
        <f>(D2*'Army Costs'!$D$3)+(E2*'Army Costs'!$D$4)+('Distribution of Troops'!F2*'Army Costs'!$D$5)+(C2*'Army Costs'!$D$2)</f>
        <v>944.99999999999989</v>
      </c>
    </row>
    <row r="3" spans="1:7" x14ac:dyDescent="0.25">
      <c r="A3" t="s">
        <v>42</v>
      </c>
      <c r="B3" t="s">
        <v>15</v>
      </c>
      <c r="D3" s="1">
        <v>9900</v>
      </c>
      <c r="E3" s="1">
        <v>1485</v>
      </c>
      <c r="F3">
        <v>0</v>
      </c>
      <c r="G3">
        <f>(D3*'Army Costs'!$D$3)+(E3*'Army Costs'!$D$4)+('Distribution of Troops'!F3*'Army Costs'!$D$5)+(C3*'Army Costs'!$D$2)</f>
        <v>3753.7499999999995</v>
      </c>
    </row>
    <row r="4" spans="1:7" x14ac:dyDescent="0.25">
      <c r="A4" t="s">
        <v>106</v>
      </c>
      <c r="B4" t="s">
        <v>19</v>
      </c>
      <c r="D4" s="1">
        <v>17000</v>
      </c>
      <c r="E4" s="1">
        <v>3000</v>
      </c>
      <c r="F4">
        <v>0</v>
      </c>
      <c r="G4">
        <f>(D4*'Army Costs'!$D$3)+(E4*'Army Costs'!$D$4)+('Distribution of Troops'!F4*'Army Costs'!$D$5)+(C4*'Army Costs'!$D$2)</f>
        <v>6708.333333333333</v>
      </c>
    </row>
    <row r="5" spans="1:7" x14ac:dyDescent="0.25">
      <c r="A5" t="s">
        <v>106</v>
      </c>
      <c r="B5" t="s">
        <v>107</v>
      </c>
      <c r="C5" s="1"/>
      <c r="D5" s="1"/>
      <c r="E5">
        <v>235</v>
      </c>
      <c r="G5">
        <f>(D5*'Army Costs'!$D$3)+(E5*'Army Costs'!$D$4)+('Distribution of Troops'!F5*'Army Costs'!$D$5)+(C5*'Army Costs'!$D$2)</f>
        <v>137.08333333333331</v>
      </c>
    </row>
    <row r="6" spans="1:7" x14ac:dyDescent="0.25">
      <c r="A6" t="s">
        <v>42</v>
      </c>
      <c r="B6" t="s">
        <v>100</v>
      </c>
      <c r="F6">
        <v>3500</v>
      </c>
      <c r="G6">
        <f>(D6*'Army Costs'!$D$3)+(E6*'Army Costs'!$D$4)+('Distribution of Troops'!F6*'Army Costs'!$D$5)+(C6*'Army Costs'!$D$2)</f>
        <v>24500</v>
      </c>
    </row>
    <row r="7" spans="1:7" x14ac:dyDescent="0.25">
      <c r="A7" t="s">
        <v>94</v>
      </c>
      <c r="B7" t="s">
        <v>95</v>
      </c>
      <c r="D7" s="1"/>
      <c r="E7" s="1"/>
      <c r="G7">
        <f>(D7*'Army Costs'!$D$3)+(E7*'Army Costs'!$D$4)+('Distribution of Troops'!F7*'Army Costs'!$D$5)+(C7*'Army Costs'!$D$2)</f>
        <v>0</v>
      </c>
    </row>
    <row r="8" spans="1:7" x14ac:dyDescent="0.25">
      <c r="A8" t="s">
        <v>108</v>
      </c>
      <c r="B8" t="s">
        <v>99</v>
      </c>
      <c r="D8" s="1"/>
      <c r="E8" s="1">
        <v>0</v>
      </c>
      <c r="G8">
        <f>(D8*'Army Costs'!$D$3)+(E8*'Army Costs'!$D$4)+('Distribution of Troops'!F8*'Army Costs'!$D$5)+(C8*'Army Costs'!$D$2)</f>
        <v>0</v>
      </c>
    </row>
    <row r="9" spans="1:7" x14ac:dyDescent="0.25">
      <c r="A9" t="s">
        <v>16</v>
      </c>
      <c r="B9" t="s">
        <v>103</v>
      </c>
      <c r="C9">
        <v>2000</v>
      </c>
      <c r="D9" s="1">
        <v>3000</v>
      </c>
      <c r="E9" s="1"/>
      <c r="G9">
        <f>(D9*'Army Costs'!$D$3)+(E9*'Army Costs'!$D$4)+('Distribution of Troops'!F9*'Army Costs'!$D$5)+(C9*'Army Costs'!$D$2)</f>
        <v>1225</v>
      </c>
    </row>
    <row r="10" spans="1:7" x14ac:dyDescent="0.25">
      <c r="A10" t="s">
        <v>51</v>
      </c>
      <c r="B10" t="s">
        <v>97</v>
      </c>
      <c r="E10" s="1"/>
      <c r="G10">
        <f>(D10*'Army Costs'!$D$3)+(E10*'Army Costs'!$D$4)+('Distribution of Troops'!F10*'Army Costs'!$D$5)+(C10*'Army Costs'!$D$2)</f>
        <v>0</v>
      </c>
    </row>
    <row r="11" spans="1:7" x14ac:dyDescent="0.25">
      <c r="A11" t="s">
        <v>17</v>
      </c>
      <c r="B11" t="s">
        <v>109</v>
      </c>
      <c r="C11">
        <v>1000</v>
      </c>
      <c r="D11" s="1">
        <v>1000</v>
      </c>
      <c r="G11">
        <f>(D11*'Army Costs'!$D$3)+(E11*'Army Costs'!$D$4)+('Distribution of Troops'!F11*'Army Costs'!$D$5)+(C11*'Army Costs'!$D$2)</f>
        <v>466.66666666666663</v>
      </c>
    </row>
    <row r="12" spans="1:7" x14ac:dyDescent="0.25">
      <c r="A12" t="s">
        <v>48</v>
      </c>
      <c r="B12" t="s">
        <v>96</v>
      </c>
      <c r="D12" s="1">
        <v>5000</v>
      </c>
      <c r="E12" s="1">
        <v>800</v>
      </c>
      <c r="F12">
        <v>500</v>
      </c>
      <c r="G12">
        <f>(D12*'Army Costs'!$D$3)+(E12*'Army Costs'!$D$4)+('Distribution of Troops'!F12*'Army Costs'!$D$5)+(C12*'Army Costs'!$D$2)</f>
        <v>5425</v>
      </c>
    </row>
    <row r="13" spans="1:7" x14ac:dyDescent="0.25">
      <c r="A13" t="s">
        <v>48</v>
      </c>
      <c r="B13" t="s">
        <v>110</v>
      </c>
      <c r="D13" s="1"/>
      <c r="E13" s="1">
        <v>200</v>
      </c>
      <c r="G13">
        <f>(D13*'Army Costs'!$D$3)+(E13*'Army Costs'!$D$4)+('Distribution of Troops'!F13*'Army Costs'!$D$5)+(C13*'Army Costs'!$D$2)</f>
        <v>116.66666666666666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zoomScaleNormal="100" workbookViewId="0">
      <pane xSplit="1" topLeftCell="D1" activePane="topRight" state="frozen"/>
      <selection pane="topRight" activeCell="E23" sqref="E23"/>
    </sheetView>
  </sheetViews>
  <sheetFormatPr defaultRowHeight="15" x14ac:dyDescent="0.25"/>
  <cols>
    <col min="1" max="5" width="17.7109375" customWidth="1"/>
    <col min="6" max="6" width="14" customWidth="1"/>
    <col min="7" max="7" width="22.42578125" customWidth="1"/>
    <col min="8" max="8" width="19.42578125" customWidth="1"/>
    <col min="9" max="9" width="20.42578125" customWidth="1"/>
    <col min="10" max="10" width="18" customWidth="1"/>
    <col min="11" max="12" width="14.85546875" customWidth="1"/>
    <col min="13" max="13" width="22.5703125" customWidth="1"/>
    <col min="14" max="14" width="21" customWidth="1"/>
    <col min="15" max="15" width="14.7109375" customWidth="1"/>
    <col min="16" max="16" width="19.28515625" customWidth="1"/>
    <col min="17" max="17" width="16.7109375" customWidth="1"/>
  </cols>
  <sheetData>
    <row r="1" spans="1:17" x14ac:dyDescent="0.25">
      <c r="A1" t="s">
        <v>33</v>
      </c>
      <c r="B1" t="s">
        <v>62</v>
      </c>
      <c r="C1" t="s">
        <v>66</v>
      </c>
      <c r="D1" t="s">
        <v>65</v>
      </c>
      <c r="E1" t="s">
        <v>63</v>
      </c>
      <c r="F1" t="s">
        <v>34</v>
      </c>
      <c r="G1" t="s">
        <v>55</v>
      </c>
      <c r="H1" t="s">
        <v>35</v>
      </c>
      <c r="I1" t="s">
        <v>36</v>
      </c>
      <c r="J1" t="s">
        <v>37</v>
      </c>
      <c r="K1" t="s">
        <v>38</v>
      </c>
      <c r="L1" t="s">
        <v>58</v>
      </c>
      <c r="M1" t="s">
        <v>59</v>
      </c>
      <c r="N1" t="s">
        <v>40</v>
      </c>
      <c r="O1" t="s">
        <v>60</v>
      </c>
      <c r="P1" t="s">
        <v>64</v>
      </c>
      <c r="Q1" t="s">
        <v>61</v>
      </c>
    </row>
    <row r="2" spans="1:17" x14ac:dyDescent="0.25">
      <c r="A2" t="s">
        <v>39</v>
      </c>
      <c r="B2" t="s">
        <v>19</v>
      </c>
      <c r="C2" s="1">
        <v>1000</v>
      </c>
      <c r="D2">
        <v>500</v>
      </c>
      <c r="E2">
        <v>6000</v>
      </c>
      <c r="F2" s="1">
        <v>200000</v>
      </c>
      <c r="G2" s="1">
        <v>12000</v>
      </c>
      <c r="H2" s="1">
        <f>Table1[[#This Row],[Normal Grain Harvest]]*0.6</f>
        <v>1500000</v>
      </c>
      <c r="I2" s="1">
        <v>2500000</v>
      </c>
      <c r="J2" s="1">
        <f>Table1[[#This Row],[Normal Grain Harvest]]*1.3</f>
        <v>3250000</v>
      </c>
      <c r="K2" s="1">
        <f>(Table1[[#This Row],[Population]]*365)/1000</f>
        <v>73000</v>
      </c>
      <c r="L2" s="1">
        <f>Table1[[#This Row],[Normal Grain Harvest]]-Table1[[#This Row],[Required Grain]]</f>
        <v>2427000</v>
      </c>
      <c r="M2" s="3">
        <f>(Table1[[#This Row],[Suplus Grain]]/2)/2000</f>
        <v>606.75</v>
      </c>
      <c r="N2" t="s">
        <v>41</v>
      </c>
      <c r="Q2" s="4">
        <f>(Table1[[#This Row],[Tax Income in Talents]]+Table1[[#This Row],[Trade Income]]-Table1[[#This Row],[Army Costs]]-Table1[[#This Row],[Other Expenditure]]-Table1[[#This Row],[Garrisoned Soldier Cost]])</f>
        <v>-5893.25</v>
      </c>
    </row>
    <row r="3" spans="1:17" x14ac:dyDescent="0.25">
      <c r="A3" t="s">
        <v>42</v>
      </c>
      <c r="B3" t="s">
        <v>104</v>
      </c>
      <c r="C3" s="1">
        <v>1000</v>
      </c>
      <c r="D3">
        <v>500</v>
      </c>
      <c r="E3">
        <v>5750</v>
      </c>
      <c r="F3" s="1">
        <v>200000</v>
      </c>
      <c r="G3">
        <v>7000</v>
      </c>
      <c r="H3" s="1">
        <f>Table1[[#This Row],[Normal Grain Harvest]]*0.6</f>
        <v>1500000</v>
      </c>
      <c r="I3" s="1">
        <v>2500000</v>
      </c>
      <c r="J3" s="1">
        <f>Table1[[#This Row],[Normal Grain Harvest]]*1.3</f>
        <v>3250000</v>
      </c>
      <c r="K3" s="1">
        <f>(Table1[[#This Row],[Population]]*365)/1000</f>
        <v>73000</v>
      </c>
      <c r="L3" s="1">
        <f>Table1[[#This Row],[Low Grain Harvest]]-Table1[[#This Row],[Required Grain]]</f>
        <v>1427000</v>
      </c>
      <c r="M3" s="3">
        <f>(Table1[[#This Row],[Suplus Grain]]/2)/2000</f>
        <v>356.75</v>
      </c>
      <c r="N3" t="s">
        <v>43</v>
      </c>
      <c r="Q3" s="4">
        <f>(Table1[[#This Row],[Tax Income in Talents]]+Table1[[#This Row],[Trade Income]]-Table1[[#This Row],[Army Costs]]-Table1[[#This Row],[Other Expenditure]]-Table1[[#This Row],[Garrisoned Soldier Cost]])</f>
        <v>-5893.25</v>
      </c>
    </row>
    <row r="4" spans="1:17" x14ac:dyDescent="0.25">
      <c r="A4" t="s">
        <v>53</v>
      </c>
      <c r="C4" s="1">
        <v>3000</v>
      </c>
      <c r="D4">
        <v>1500</v>
      </c>
      <c r="F4" s="1">
        <v>500000</v>
      </c>
      <c r="G4" s="1">
        <v>15000</v>
      </c>
      <c r="H4" s="1">
        <f>Table1[[#This Row],[Normal Grain Harvest]]*0.6</f>
        <v>4050000</v>
      </c>
      <c r="I4" s="1">
        <v>6750000</v>
      </c>
      <c r="J4" s="1">
        <f>Table1[[#This Row],[Normal Grain Harvest]]*1.3</f>
        <v>8775000</v>
      </c>
      <c r="K4" s="1">
        <f>(Table1[[#This Row],[Population]]*365)/1000</f>
        <v>182500</v>
      </c>
      <c r="L4" s="1">
        <f>Table1[[#This Row],[Normal Grain Harvest]]-Table1[[#This Row],[Required Grain]]</f>
        <v>6567500</v>
      </c>
      <c r="M4" s="3">
        <f>(Table1[[#This Row],[Suplus Grain]]/2)/2000</f>
        <v>1641.875</v>
      </c>
      <c r="N4" t="s">
        <v>93</v>
      </c>
      <c r="Q4" s="4">
        <f>(Table1[[#This Row],[Tax Income in Talents]]+Table1[[#This Row],[Trade Income]]-Table1[[#This Row],[Army Costs]]-Table1[[#This Row],[Other Expenditure]]-Table1[[#This Row],[Garrisoned Soldier Cost]])</f>
        <v>141.875</v>
      </c>
    </row>
    <row r="5" spans="1:17" x14ac:dyDescent="0.25">
      <c r="A5" t="s">
        <v>94</v>
      </c>
      <c r="B5" t="s">
        <v>95</v>
      </c>
      <c r="C5" s="1">
        <v>3000</v>
      </c>
      <c r="D5">
        <v>1500</v>
      </c>
      <c r="E5">
        <v>7500</v>
      </c>
      <c r="F5" s="1">
        <v>500000</v>
      </c>
      <c r="G5" s="1">
        <v>15000</v>
      </c>
      <c r="H5" s="1">
        <f>Table1[[#This Row],[Normal Grain Harvest]]*0.6</f>
        <v>4050000</v>
      </c>
      <c r="I5" s="1">
        <v>6750000</v>
      </c>
      <c r="J5" s="1">
        <f>Table1[[#This Row],[Normal Grain Harvest]]*1.3</f>
        <v>8775000</v>
      </c>
      <c r="K5" s="1">
        <f>(Table1[[#This Row],[Population]]*365)/1000</f>
        <v>182500</v>
      </c>
      <c r="L5" s="1">
        <f>Table1[[#This Row],[Normal Grain Harvest]]-Table1[[#This Row],[Required Grain]]</f>
        <v>6567500</v>
      </c>
      <c r="M5" s="3">
        <f>(Table1[[#This Row],[Suplus Grain]]/2)/2000</f>
        <v>1641.875</v>
      </c>
      <c r="N5" t="s">
        <v>93</v>
      </c>
      <c r="Q5" s="4">
        <f>(Table1[[#This Row],[Tax Income in Talents]]+Table1[[#This Row],[Trade Income]]-Table1[[#This Row],[Army Costs]]-Table1[[#This Row],[Other Expenditure]]-Table1[[#This Row],[Garrisoned Soldier Cost]])</f>
        <v>-7358.125</v>
      </c>
    </row>
    <row r="6" spans="1:17" x14ac:dyDescent="0.25">
      <c r="A6" t="s">
        <v>52</v>
      </c>
      <c r="B6" t="s">
        <v>100</v>
      </c>
      <c r="C6" s="1">
        <v>3000</v>
      </c>
      <c r="D6">
        <v>1500</v>
      </c>
      <c r="F6" s="1">
        <v>500000</v>
      </c>
      <c r="G6" s="1">
        <v>13000</v>
      </c>
      <c r="H6" s="1">
        <f>Table1[[#This Row],[Normal Grain Harvest]]*0.6</f>
        <v>4050000</v>
      </c>
      <c r="I6" s="1">
        <v>6750000</v>
      </c>
      <c r="J6" s="1">
        <f>Table1[[#This Row],[Normal Grain Harvest]]*1.3</f>
        <v>8775000</v>
      </c>
      <c r="K6" s="1">
        <f>(Table1[[#This Row],[Population]]*365)/1000</f>
        <v>182500</v>
      </c>
      <c r="L6" s="1">
        <f>Table1[[#This Row],[Normal Grain Harvest]]-Table1[[#This Row],[Required Grain]]</f>
        <v>6567500</v>
      </c>
      <c r="M6" s="3">
        <f>(Table1[[#This Row],[Suplus Grain]]/2)/2000</f>
        <v>1641.875</v>
      </c>
      <c r="N6" t="s">
        <v>93</v>
      </c>
      <c r="Q6" s="4">
        <f>(Table1[[#This Row],[Tax Income in Talents]]+Table1[[#This Row],[Trade Income]]-Table1[[#This Row],[Army Costs]]-Table1[[#This Row],[Other Expenditure]]-Table1[[#This Row],[Garrisoned Soldier Cost]])</f>
        <v>141.875</v>
      </c>
    </row>
    <row r="7" spans="1:17" x14ac:dyDescent="0.25">
      <c r="A7" t="s">
        <v>44</v>
      </c>
      <c r="C7" s="1">
        <v>3000</v>
      </c>
      <c r="D7">
        <v>1500</v>
      </c>
      <c r="F7" s="1">
        <v>500000</v>
      </c>
      <c r="G7" s="1">
        <v>10000</v>
      </c>
      <c r="H7" s="1">
        <f>Table1[[#This Row],[Normal Grain Harvest]]*0.6</f>
        <v>4050000</v>
      </c>
      <c r="I7" s="1">
        <v>6750000</v>
      </c>
      <c r="J7" s="1">
        <f>Table1[[#This Row],[Normal Grain Harvest]]*1.3</f>
        <v>8775000</v>
      </c>
      <c r="K7" s="1">
        <f>(Table1[[#This Row],[Population]]*365)/1000</f>
        <v>182500</v>
      </c>
      <c r="L7" s="1">
        <f>Table1[[#This Row],[Normal Grain Harvest]]-Table1[[#This Row],[Required Grain]]</f>
        <v>6567500</v>
      </c>
      <c r="M7" s="3">
        <f>(Table1[[#This Row],[Suplus Grain]]/2)/2000</f>
        <v>1641.875</v>
      </c>
      <c r="N7" t="s">
        <v>90</v>
      </c>
      <c r="Q7" s="4">
        <f>(Table1[[#This Row],[Tax Income in Talents]]+Table1[[#This Row],[Trade Income]]-Table1[[#This Row],[Army Costs]]-Table1[[#This Row],[Other Expenditure]]-Table1[[#This Row],[Garrisoned Soldier Cost]])</f>
        <v>141.875</v>
      </c>
    </row>
    <row r="8" spans="1:17" x14ac:dyDescent="0.25">
      <c r="A8" t="s">
        <v>45</v>
      </c>
      <c r="B8" t="s">
        <v>24</v>
      </c>
      <c r="C8" s="1">
        <v>3000</v>
      </c>
      <c r="D8">
        <v>1500</v>
      </c>
      <c r="E8">
        <v>5400</v>
      </c>
      <c r="F8" s="1">
        <v>500000</v>
      </c>
      <c r="G8" s="1">
        <v>20000</v>
      </c>
      <c r="H8" s="1">
        <f>Table1[[#This Row],[Normal Grain Harvest]]*0.6</f>
        <v>4050000</v>
      </c>
      <c r="I8" s="1">
        <v>6750000</v>
      </c>
      <c r="J8" s="1">
        <f>Table1[[#This Row],[Normal Grain Harvest]]*1.3</f>
        <v>8775000</v>
      </c>
      <c r="K8" s="1">
        <f>(Table1[[#This Row],[Population]]*365)/1000</f>
        <v>182500</v>
      </c>
      <c r="L8" s="1">
        <f>Table1[[#This Row],[Normal Grain Harvest]]-Table1[[#This Row],[Required Grain]]</f>
        <v>6567500</v>
      </c>
      <c r="M8" s="3">
        <f>(Table1[[#This Row],[Suplus Grain]]/2)/2000</f>
        <v>1641.875</v>
      </c>
      <c r="N8" t="s">
        <v>89</v>
      </c>
      <c r="Q8" s="4">
        <f>(Table1[[#This Row],[Tax Income in Talents]]+Table1[[#This Row],[Trade Income]]-Table1[[#This Row],[Army Costs]]-Table1[[#This Row],[Other Expenditure]]-Table1[[#This Row],[Garrisoned Soldier Cost]])</f>
        <v>-5258.125</v>
      </c>
    </row>
    <row r="9" spans="1:17" x14ac:dyDescent="0.25">
      <c r="A9" t="s">
        <v>46</v>
      </c>
      <c r="B9" t="s">
        <v>99</v>
      </c>
      <c r="C9" s="1">
        <v>3000</v>
      </c>
      <c r="D9">
        <v>1500</v>
      </c>
      <c r="F9" s="1">
        <v>500000</v>
      </c>
      <c r="G9" s="1">
        <v>20000</v>
      </c>
      <c r="H9" s="1">
        <f>Table1[[#This Row],[Normal Grain Harvest]]*0.6</f>
        <v>4050000</v>
      </c>
      <c r="I9" s="1">
        <v>6750000</v>
      </c>
      <c r="J9" s="1">
        <f>Table1[[#This Row],[Normal Grain Harvest]]*1.3</f>
        <v>8775000</v>
      </c>
      <c r="K9" s="1">
        <f>(Table1[[#This Row],[Population]]*365)/1000</f>
        <v>182500</v>
      </c>
      <c r="L9" s="1">
        <f>Table1[[#This Row],[Required Grain]]-Table1[[#This Row],[Low Grain Harvest]]</f>
        <v>-3867500</v>
      </c>
      <c r="M9" s="3">
        <f>(Table1[[#This Row],[Suplus Grain]]/2)/2000</f>
        <v>-966.875</v>
      </c>
      <c r="N9" t="s">
        <v>88</v>
      </c>
      <c r="Q9" s="4">
        <f>(Table1[[#This Row],[Tax Income in Talents]]+Table1[[#This Row],[Trade Income]]-Table1[[#This Row],[Army Costs]]-Table1[[#This Row],[Other Expenditure]]-Table1[[#This Row],[Garrisoned Soldier Cost]])</f>
        <v>-2466.875</v>
      </c>
    </row>
    <row r="10" spans="1:17" x14ac:dyDescent="0.25">
      <c r="A10" t="s">
        <v>67</v>
      </c>
      <c r="C10" s="1">
        <v>3000</v>
      </c>
      <c r="D10">
        <v>1500</v>
      </c>
      <c r="F10" s="1">
        <v>400000</v>
      </c>
      <c r="G10" s="1">
        <v>20000</v>
      </c>
      <c r="H10" s="1">
        <f>Table1[[#This Row],[Normal Grain Harvest]]*0.6</f>
        <v>4050000</v>
      </c>
      <c r="I10" s="1">
        <v>6750000</v>
      </c>
      <c r="J10" s="1">
        <f>Table1[[#This Row],[Normal Grain Harvest]]*1.3</f>
        <v>8775000</v>
      </c>
      <c r="K10" s="1">
        <f>(Table1[[#This Row],[Population]]*365)/1000</f>
        <v>146000</v>
      </c>
      <c r="L10" s="1">
        <f>Table1[[#This Row],[Normal Grain Harvest]]-Table1[[#This Row],[Required Grain]]</f>
        <v>6604000</v>
      </c>
      <c r="M10" s="3">
        <f>(Table1[[#This Row],[Suplus Grain]]/2)/2000</f>
        <v>1651</v>
      </c>
      <c r="N10" t="s">
        <v>91</v>
      </c>
      <c r="Q10" s="4">
        <f>(Table1[[#This Row],[Tax Income in Talents]]+Table1[[#This Row],[Trade Income]]-Table1[[#This Row],[Army Costs]]-Table1[[#This Row],[Other Expenditure]]-Table1[[#This Row],[Garrisoned Soldier Cost]])</f>
        <v>151</v>
      </c>
    </row>
    <row r="11" spans="1:17" x14ac:dyDescent="0.25">
      <c r="A11" t="s">
        <v>25</v>
      </c>
      <c r="B11" t="s">
        <v>24</v>
      </c>
      <c r="C11" s="1">
        <v>3000</v>
      </c>
      <c r="D11">
        <v>1500</v>
      </c>
      <c r="F11" s="1">
        <v>750000</v>
      </c>
      <c r="G11" s="1">
        <v>13000</v>
      </c>
      <c r="H11" s="1">
        <f>Table1[[#This Row],[Normal Grain Harvest]]*0.6</f>
        <v>4050000</v>
      </c>
      <c r="I11" s="1">
        <v>6750000</v>
      </c>
      <c r="J11" s="1">
        <f>Table1[[#This Row],[Normal Grain Harvest]]*1.3</f>
        <v>8775000</v>
      </c>
      <c r="K11" s="1">
        <f>(Table1[[#This Row],[Population]]*365)/1000</f>
        <v>273750</v>
      </c>
      <c r="L11" s="1">
        <f>Table1[[#This Row],[Low Grain Harvest]]-Table1[[#This Row],[Required Grain]]</f>
        <v>3776250</v>
      </c>
      <c r="M11" s="3">
        <f>(Table1[[#This Row],[Suplus Grain]]/2)/2000</f>
        <v>944.0625</v>
      </c>
      <c r="N11" t="s">
        <v>87</v>
      </c>
      <c r="Q11" s="4">
        <f>(Table1[[#This Row],[Tax Income in Talents]]+Table1[[#This Row],[Trade Income]]-Table1[[#This Row],[Army Costs]]-Table1[[#This Row],[Other Expenditure]]-Table1[[#This Row],[Garrisoned Soldier Cost]])</f>
        <v>-555.9375</v>
      </c>
    </row>
    <row r="12" spans="1:17" x14ac:dyDescent="0.25">
      <c r="A12" t="s">
        <v>47</v>
      </c>
      <c r="C12" s="1">
        <v>3000</v>
      </c>
      <c r="D12">
        <v>1500</v>
      </c>
      <c r="F12" s="1">
        <v>1000000</v>
      </c>
      <c r="G12" s="1">
        <v>20000</v>
      </c>
      <c r="H12" s="1">
        <f>Table1[[#This Row],[Normal Grain Harvest]]*0.6</f>
        <v>4500000</v>
      </c>
      <c r="I12" s="1">
        <v>7500000</v>
      </c>
      <c r="J12" s="1">
        <f>Table1[[#This Row],[Normal Grain Harvest]]*1.3</f>
        <v>9750000</v>
      </c>
      <c r="K12" s="1">
        <f>(Table1[[#This Row],[Population]]*365)/1000</f>
        <v>365000</v>
      </c>
      <c r="L12" s="1">
        <f>Table1[[#This Row],[Normal Grain Harvest]]-Table1[[#This Row],[Required Grain]]</f>
        <v>7135000</v>
      </c>
      <c r="M12" s="3">
        <f>(Table1[[#This Row],[Suplus Grain]]/2)/2000</f>
        <v>1783.75</v>
      </c>
      <c r="N12" t="s">
        <v>86</v>
      </c>
      <c r="Q12" s="4">
        <f>(Table1[[#This Row],[Tax Income in Talents]]+Table1[[#This Row],[Trade Income]]-Table1[[#This Row],[Army Costs]]-Table1[[#This Row],[Other Expenditure]]-Table1[[#This Row],[Garrisoned Soldier Cost]])</f>
        <v>283.75</v>
      </c>
    </row>
    <row r="13" spans="1:17" x14ac:dyDescent="0.25">
      <c r="A13" t="s">
        <v>48</v>
      </c>
      <c r="B13" t="s">
        <v>96</v>
      </c>
      <c r="C13" s="1">
        <v>7500</v>
      </c>
      <c r="D13">
        <v>3750</v>
      </c>
      <c r="E13">
        <v>10000</v>
      </c>
      <c r="F13" s="1">
        <v>3500000</v>
      </c>
      <c r="G13" s="1">
        <v>80000</v>
      </c>
      <c r="H13" s="1">
        <f>Table1[[#This Row],[Normal Grain Harvest]]*0.6</f>
        <v>13500000</v>
      </c>
      <c r="I13" s="1">
        <v>22500000</v>
      </c>
      <c r="J13" s="1">
        <f>Table1[[#This Row],[Normal Grain Harvest]]*1.3</f>
        <v>29250000</v>
      </c>
      <c r="K13" s="1">
        <f>(Table1[[#This Row],[Population]]*365)/1000</f>
        <v>1277500</v>
      </c>
      <c r="L13" s="1">
        <f>Table1[[#This Row],[High Grain Harvest]]-Table1[[#This Row],[Required Grain]]</f>
        <v>27972500</v>
      </c>
      <c r="M13" s="3">
        <f>(Table1[[#This Row],[Suplus Grain]]/2)/2000</f>
        <v>6993.125</v>
      </c>
      <c r="N13" t="s">
        <v>54</v>
      </c>
      <c r="Q13" s="4">
        <f>(Table1[[#This Row],[Tax Income in Talents]]+Table1[[#This Row],[Trade Income]]-Table1[[#This Row],[Army Costs]]-Table1[[#This Row],[Other Expenditure]]-Table1[[#This Row],[Garrisoned Soldier Cost]])</f>
        <v>-6756.875</v>
      </c>
    </row>
    <row r="14" spans="1:17" x14ac:dyDescent="0.25">
      <c r="A14" t="s">
        <v>49</v>
      </c>
      <c r="B14" t="s">
        <v>101</v>
      </c>
      <c r="C14" s="1">
        <v>5000</v>
      </c>
      <c r="D14">
        <v>2500</v>
      </c>
      <c r="F14" s="1">
        <v>2000000</v>
      </c>
      <c r="G14" s="1">
        <v>45000</v>
      </c>
      <c r="H14" s="1">
        <f>Table1[[#This Row],[Normal Grain Harvest]]*0.6</f>
        <v>7800000</v>
      </c>
      <c r="I14" s="1">
        <v>13000000</v>
      </c>
      <c r="J14" s="1">
        <f>Table1[[#This Row],[Normal Grain Harvest]]*1.3</f>
        <v>16900000</v>
      </c>
      <c r="K14" s="1">
        <f>(Table1[[#This Row],[Population]]*365)/1000</f>
        <v>730000</v>
      </c>
      <c r="L14" s="1">
        <f>Table1[[#This Row],[High Grain Harvest]]-Table1[[#This Row],[Required Grain]]</f>
        <v>16170000</v>
      </c>
      <c r="M14" s="3">
        <f>(Table1[[#This Row],[Suplus Grain]]/2)/2000</f>
        <v>4042.5</v>
      </c>
      <c r="N14" t="s">
        <v>85</v>
      </c>
      <c r="Q14" s="4">
        <f>(Table1[[#This Row],[Tax Income in Talents]]+Table1[[#This Row],[Trade Income]]-Table1[[#This Row],[Army Costs]]-Table1[[#This Row],[Other Expenditure]]-Table1[[#This Row],[Garrisoned Soldier Cost]])</f>
        <v>1542.5</v>
      </c>
    </row>
    <row r="15" spans="1:17" x14ac:dyDescent="0.25">
      <c r="A15" t="s">
        <v>50</v>
      </c>
      <c r="B15" t="s">
        <v>103</v>
      </c>
      <c r="C15" s="1">
        <v>5000</v>
      </c>
      <c r="D15">
        <v>2500</v>
      </c>
      <c r="E15">
        <v>37640</v>
      </c>
      <c r="F15" s="1">
        <v>1500000</v>
      </c>
      <c r="G15" s="1">
        <v>40000</v>
      </c>
      <c r="H15" s="1">
        <f>Table1[[#This Row],[Normal Grain Harvest]]*0.6</f>
        <v>7800000</v>
      </c>
      <c r="I15" s="1">
        <v>13000000</v>
      </c>
      <c r="J15" s="1">
        <f>Table1[[#This Row],[Normal Grain Harvest]]*1.3</f>
        <v>16900000</v>
      </c>
      <c r="K15" s="1">
        <f>(Table1[[#This Row],[Population]]*365)/1000</f>
        <v>547500</v>
      </c>
      <c r="L15" s="1">
        <f>Table1[[#This Row],[High Grain Harvest]]-Table1[[#This Row],[Required Grain]]</f>
        <v>16352500</v>
      </c>
      <c r="M15" s="3">
        <f>(Table1[[#This Row],[Suplus Grain]]/2)/2000</f>
        <v>4088.125</v>
      </c>
      <c r="N15" t="s">
        <v>85</v>
      </c>
      <c r="Q15" s="4">
        <f>(Table1[[#This Row],[Tax Income in Talents]]+Table1[[#This Row],[Trade Income]]-Table1[[#This Row],[Army Costs]]-Table1[[#This Row],[Other Expenditure]]-Table1[[#This Row],[Garrisoned Soldier Cost]])</f>
        <v>-36051.875</v>
      </c>
    </row>
    <row r="16" spans="1:17" x14ac:dyDescent="0.25">
      <c r="A16" t="s">
        <v>51</v>
      </c>
      <c r="B16" t="s">
        <v>97</v>
      </c>
      <c r="C16" s="1">
        <v>5000</v>
      </c>
      <c r="D16">
        <v>2500</v>
      </c>
      <c r="E16">
        <v>150</v>
      </c>
      <c r="F16" s="1">
        <v>1000000</v>
      </c>
      <c r="G16" s="1">
        <v>45000</v>
      </c>
      <c r="H16" s="1">
        <f>Table1[[#This Row],[Normal Grain Harvest]]*0.6</f>
        <v>7800000</v>
      </c>
      <c r="I16" s="1">
        <v>13000000</v>
      </c>
      <c r="J16" s="1">
        <f>Table1[[#This Row],[Normal Grain Harvest]]*1.3</f>
        <v>16900000</v>
      </c>
      <c r="K16" s="1">
        <f>(Table1[[#This Row],[Population]]*365)/1000</f>
        <v>365000</v>
      </c>
      <c r="L16" s="1">
        <f>Table1[[#This Row],[High Grain Harvest]]-Table1[[#This Row],[Required Grain]]</f>
        <v>16535000</v>
      </c>
      <c r="M16" s="3">
        <f>(Table1[[#This Row],[Suplus Grain]]/2)/2000</f>
        <v>4133.75</v>
      </c>
      <c r="N16" t="s">
        <v>56</v>
      </c>
      <c r="Q16" s="4">
        <f>(Table1[[#This Row],[Tax Income in Talents]]+Table1[[#This Row],[Trade Income]]-Table1[[#This Row],[Army Costs]]-Table1[[#This Row],[Other Expenditure]]-Table1[[#This Row],[Garrisoned Soldier Cost]])</f>
        <v>1483.75</v>
      </c>
    </row>
    <row r="17" spans="1:17" x14ac:dyDescent="0.25">
      <c r="A17" t="s">
        <v>70</v>
      </c>
      <c r="B17" t="s">
        <v>30</v>
      </c>
      <c r="C17" s="1">
        <v>5000</v>
      </c>
      <c r="D17">
        <v>2500</v>
      </c>
      <c r="E17">
        <v>250</v>
      </c>
      <c r="F17" s="1">
        <v>2250000</v>
      </c>
      <c r="G17" s="1">
        <v>45000</v>
      </c>
      <c r="H17" s="1">
        <f>Table1[[#This Row],[Normal Grain Harvest]]*0.6</f>
        <v>7800000</v>
      </c>
      <c r="I17" s="1">
        <v>13000000</v>
      </c>
      <c r="J17" s="1">
        <f>Table1[[#This Row],[Normal Grain Harvest]]*1.3</f>
        <v>16900000</v>
      </c>
      <c r="K17" s="1">
        <f>(Table1[[#This Row],[Population]]*365)/1000</f>
        <v>821250</v>
      </c>
      <c r="L17" s="1">
        <f>Table1[[#This Row],[Low Grain Harvest]]-Table1[[#This Row],[Required Grain]]</f>
        <v>6978750</v>
      </c>
      <c r="M17" s="3">
        <f>(Table1[[#This Row],[Suplus Grain]]/2)/2000</f>
        <v>1744.6875</v>
      </c>
      <c r="N17" t="s">
        <v>57</v>
      </c>
      <c r="Q17" s="4">
        <f>(Table1[[#This Row],[Tax Income in Talents]]+Table1[[#This Row],[Trade Income]]-Table1[[#This Row],[Army Costs]]-Table1[[#This Row],[Other Expenditure]]-Table1[[#This Row],[Garrisoned Soldier Cost]])</f>
        <v>-1005.3125</v>
      </c>
    </row>
    <row r="18" spans="1:17" x14ac:dyDescent="0.25">
      <c r="A18" t="s">
        <v>68</v>
      </c>
      <c r="C18" s="1">
        <v>3000</v>
      </c>
      <c r="D18">
        <v>1500</v>
      </c>
      <c r="F18" s="1">
        <v>750000</v>
      </c>
      <c r="G18">
        <v>7000</v>
      </c>
      <c r="H18" s="1">
        <f>Table1[[#This Row],[Normal Grain Harvest]]*0.6</f>
        <v>3900000</v>
      </c>
      <c r="I18" s="1">
        <v>6500000</v>
      </c>
      <c r="J18" s="1">
        <f>Table1[[#This Row],[Normal Grain Harvest]]*1.3</f>
        <v>8450000</v>
      </c>
      <c r="K18" s="1">
        <f>(Table1[[#This Row],[Population]]*365)/1000</f>
        <v>273750</v>
      </c>
      <c r="L18" s="1">
        <f>Table1[[#This Row],[Normal Grain Harvest]]-Table1[[#This Row],[Required Grain]]</f>
        <v>6226250</v>
      </c>
      <c r="M18" s="3">
        <f>(Table1[[#This Row],[Suplus Grain]]/2)/2000</f>
        <v>1556.5625</v>
      </c>
      <c r="N18" t="s">
        <v>88</v>
      </c>
      <c r="Q18" s="4">
        <f>(Table1[[#This Row],[Tax Income in Talents]]+Table1[[#This Row],[Trade Income]]-Table1[[#This Row],[Army Costs]]-Table1[[#This Row],[Other Expenditure]]-Table1[[#This Row],[Garrisoned Soldier Cost]])</f>
        <v>56.5625</v>
      </c>
    </row>
    <row r="19" spans="1:17" x14ac:dyDescent="0.25">
      <c r="A19" t="s">
        <v>69</v>
      </c>
      <c r="B19" t="s">
        <v>98</v>
      </c>
      <c r="C19" s="1">
        <v>3000</v>
      </c>
      <c r="D19">
        <v>1500</v>
      </c>
      <c r="E19">
        <v>9500</v>
      </c>
      <c r="F19" s="1">
        <v>1000000</v>
      </c>
      <c r="G19" s="1">
        <v>20000</v>
      </c>
      <c r="H19" s="1">
        <f>Table1[[#This Row],[Normal Grain Harvest]]*0.6</f>
        <v>4500000</v>
      </c>
      <c r="I19" s="1">
        <v>7500000</v>
      </c>
      <c r="J19" s="1">
        <f>Table1[[#This Row],[Normal Grain Harvest]]*1.3</f>
        <v>9750000</v>
      </c>
      <c r="K19" s="1">
        <f>(Table1[[#This Row],[Population]]*365)/1000</f>
        <v>365000</v>
      </c>
      <c r="L19" s="1">
        <f>Table1[[#This Row],[High Grain Harvest]]-Table1[[#This Row],[Required Grain]]</f>
        <v>9385000</v>
      </c>
      <c r="M19" s="3">
        <f>(Table1[[#This Row],[Suplus Grain]]/2)/2000</f>
        <v>2346.25</v>
      </c>
      <c r="N19" t="s">
        <v>92</v>
      </c>
      <c r="Q19" s="4">
        <f>(Table1[[#This Row],[Tax Income in Talents]]+Table1[[#This Row],[Trade Income]]-Table1[[#This Row],[Army Costs]]-Table1[[#This Row],[Other Expenditure]]-Table1[[#This Row],[Garrisoned Soldier Cost]])</f>
        <v>-8653.75</v>
      </c>
    </row>
    <row r="21" spans="1:17" x14ac:dyDescent="0.25">
      <c r="F21" s="1"/>
      <c r="G21" s="1"/>
    </row>
    <row r="22" spans="1:17" x14ac:dyDescent="0.25">
      <c r="F22" s="1"/>
    </row>
    <row r="23" spans="1:17" x14ac:dyDescent="0.25">
      <c r="H23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opLeftCell="G1" workbookViewId="0">
      <selection sqref="A1:P20"/>
    </sheetView>
  </sheetViews>
  <sheetFormatPr defaultRowHeight="15" x14ac:dyDescent="0.25"/>
  <cols>
    <col min="5" max="5" width="15.140625" customWidth="1"/>
    <col min="6" max="6" width="11.7109375" customWidth="1"/>
    <col min="7" max="7" width="13.140625" customWidth="1"/>
    <col min="8" max="8" width="11.140625" customWidth="1"/>
    <col min="9" max="9" width="10.85546875" customWidth="1"/>
    <col min="10" max="10" width="11" customWidth="1"/>
    <col min="11" max="11" width="12" customWidth="1"/>
    <col min="12" max="12" width="10.42578125" customWidth="1"/>
    <col min="13" max="13" width="12.42578125" customWidth="1"/>
    <col min="14" max="14" width="10" customWidth="1"/>
    <col min="15" max="15" width="10.42578125" customWidth="1"/>
    <col min="16" max="16" width="21.28515625" customWidth="1"/>
  </cols>
  <sheetData>
    <row r="1" spans="1:16" x14ac:dyDescent="0.25">
      <c r="A1" t="s">
        <v>33</v>
      </c>
      <c r="B1" t="s">
        <v>62</v>
      </c>
      <c r="C1" t="s">
        <v>66</v>
      </c>
      <c r="D1" t="s">
        <v>65</v>
      </c>
      <c r="E1" t="s">
        <v>34</v>
      </c>
      <c r="F1" t="s">
        <v>55</v>
      </c>
      <c r="G1" t="s">
        <v>35</v>
      </c>
      <c r="H1" t="s">
        <v>36</v>
      </c>
      <c r="I1" t="s">
        <v>37</v>
      </c>
      <c r="J1" t="s">
        <v>38</v>
      </c>
      <c r="K1" t="s">
        <v>58</v>
      </c>
      <c r="L1" t="s">
        <v>59</v>
      </c>
      <c r="M1" t="s">
        <v>40</v>
      </c>
      <c r="N1" t="s">
        <v>60</v>
      </c>
      <c r="O1" t="s">
        <v>64</v>
      </c>
      <c r="P1" t="s">
        <v>61</v>
      </c>
    </row>
    <row r="2" spans="1:16" x14ac:dyDescent="0.25">
      <c r="A2" t="s">
        <v>39</v>
      </c>
      <c r="B2" t="s">
        <v>19</v>
      </c>
      <c r="C2" s="1">
        <v>1000</v>
      </c>
      <c r="D2">
        <v>500</v>
      </c>
      <c r="E2" s="1">
        <v>200000</v>
      </c>
      <c r="F2" s="1">
        <v>12000</v>
      </c>
      <c r="G2" s="1">
        <f>Table13[[#This Row],[Normal Grain Harvest]]*0.6</f>
        <v>1500000</v>
      </c>
      <c r="H2" s="1">
        <v>2500000</v>
      </c>
      <c r="I2" s="1">
        <f>Table13[[#This Row],[Normal Grain Harvest]]*1.3</f>
        <v>3250000</v>
      </c>
      <c r="J2" s="1">
        <f>(Table13[[#This Row],[Population]]*365)/1000</f>
        <v>73000</v>
      </c>
      <c r="K2" s="1">
        <f>Table13[[#This Row],[Normal Grain Harvest]]-Table13[[#This Row],[Required Grain]]</f>
        <v>2427000</v>
      </c>
      <c r="L2" s="3">
        <f>(Table13[[#This Row],[Suplus Grain]]/2)/2000</f>
        <v>606.75</v>
      </c>
      <c r="M2" t="s">
        <v>41</v>
      </c>
      <c r="P2" s="4">
        <f>(Table13[[#This Row],[Tax Income in Talents]]+Table13[[#This Row],[Trade Income]]-Table13[[#This Row],[Other Expenditure]]-Table13[[#This Row],[Garrisoned Soldier Cost]])</f>
        <v>106.75</v>
      </c>
    </row>
    <row r="3" spans="1:16" x14ac:dyDescent="0.25">
      <c r="A3" t="s">
        <v>42</v>
      </c>
      <c r="B3" t="s">
        <v>104</v>
      </c>
      <c r="C3" s="1">
        <v>1000</v>
      </c>
      <c r="D3">
        <v>500</v>
      </c>
      <c r="E3" s="1">
        <v>200000</v>
      </c>
      <c r="F3">
        <v>7000</v>
      </c>
      <c r="G3" s="1">
        <f>Table13[[#This Row],[Normal Grain Harvest]]*0.6</f>
        <v>1500000</v>
      </c>
      <c r="H3" s="1">
        <v>2500000</v>
      </c>
      <c r="I3" s="1">
        <f>Table13[[#This Row],[Normal Grain Harvest]]*1.3</f>
        <v>3250000</v>
      </c>
      <c r="J3" s="1">
        <f>(Table13[[#This Row],[Population]]*365)/1000</f>
        <v>73000</v>
      </c>
      <c r="K3" s="1">
        <f>Table13[[#This Row],[Normal Grain Harvest]]-Table13[[#This Row],[Required Grain]]</f>
        <v>2427000</v>
      </c>
      <c r="L3" s="3">
        <f>(Table13[[#This Row],[Suplus Grain]]/2)/2000</f>
        <v>606.75</v>
      </c>
      <c r="M3" t="s">
        <v>43</v>
      </c>
      <c r="P3" s="4">
        <f>(Table13[[#This Row],[Tax Income in Talents]]+Table13[[#This Row],[Trade Income]]-Table13[[#This Row],[Other Expenditure]]-Table13[[#This Row],[Garrisoned Soldier Cost]])</f>
        <v>106.75</v>
      </c>
    </row>
    <row r="4" spans="1:16" x14ac:dyDescent="0.25">
      <c r="A4" t="s">
        <v>53</v>
      </c>
      <c r="C4" s="1">
        <v>3000</v>
      </c>
      <c r="D4">
        <v>1500</v>
      </c>
      <c r="E4" s="1">
        <v>500000</v>
      </c>
      <c r="F4" s="1">
        <v>15000</v>
      </c>
      <c r="G4" s="1">
        <f>Table13[[#This Row],[Normal Grain Harvest]]*0.6</f>
        <v>4050000</v>
      </c>
      <c r="H4" s="1">
        <v>6750000</v>
      </c>
      <c r="I4" s="1">
        <f>Table13[[#This Row],[Normal Grain Harvest]]*1.3</f>
        <v>8775000</v>
      </c>
      <c r="J4" s="1">
        <f>(Table13[[#This Row],[Population]]*365)/1000</f>
        <v>182500</v>
      </c>
      <c r="K4" s="1">
        <f>Table13[[#This Row],[Normal Grain Harvest]]-Table13[[#This Row],[Required Grain]]</f>
        <v>6567500</v>
      </c>
      <c r="L4" s="3">
        <f>(Table13[[#This Row],[Suplus Grain]]/2)/2000</f>
        <v>1641.875</v>
      </c>
      <c r="M4" t="s">
        <v>93</v>
      </c>
      <c r="P4" s="4">
        <f>(Table13[[#This Row],[Tax Income in Talents]]+Table13[[#This Row],[Trade Income]]-Table13[[#This Row],[Other Expenditure]]-Table13[[#This Row],[Garrisoned Soldier Cost]])</f>
        <v>141.875</v>
      </c>
    </row>
    <row r="5" spans="1:16" x14ac:dyDescent="0.25">
      <c r="A5" t="s">
        <v>94</v>
      </c>
      <c r="B5" t="s">
        <v>95</v>
      </c>
      <c r="C5" s="1">
        <v>3000</v>
      </c>
      <c r="D5">
        <v>1500</v>
      </c>
      <c r="E5" s="1">
        <v>500000</v>
      </c>
      <c r="F5" s="1">
        <v>15000</v>
      </c>
      <c r="G5" s="5">
        <f>Table13[[#This Row],[Normal Grain Harvest]]*0.6</f>
        <v>4050000</v>
      </c>
      <c r="H5" s="1">
        <v>6750000</v>
      </c>
      <c r="I5" s="1">
        <f>Table13[[#This Row],[Normal Grain Harvest]]*1.3</f>
        <v>8775000</v>
      </c>
      <c r="J5" s="1">
        <f>(Table13[[#This Row],[Population]]*365)/1000</f>
        <v>182500</v>
      </c>
      <c r="K5" s="1">
        <f>Table13[[#This Row],[Low Grain Harvest]]-Table13[[#This Row],[Required Grain]]</f>
        <v>3867500</v>
      </c>
      <c r="L5" s="3">
        <f>(Table13[[#This Row],[Suplus Grain]]/2)/2000</f>
        <v>966.875</v>
      </c>
      <c r="M5" t="s">
        <v>93</v>
      </c>
      <c r="N5">
        <v>1000</v>
      </c>
      <c r="P5" s="4">
        <f>(Table13[[#This Row],[Tax Income in Talents]]+Table13[[#This Row],[Trade Income]]-Table13[[#This Row],[Other Expenditure]]-Table13[[#This Row],[Garrisoned Soldier Cost]])</f>
        <v>466.875</v>
      </c>
    </row>
    <row r="6" spans="1:16" x14ac:dyDescent="0.25">
      <c r="A6" t="s">
        <v>52</v>
      </c>
      <c r="B6" t="s">
        <v>111</v>
      </c>
      <c r="C6" s="1">
        <v>3000</v>
      </c>
      <c r="D6">
        <v>1500</v>
      </c>
      <c r="E6" s="1">
        <v>500000</v>
      </c>
      <c r="F6" s="1">
        <v>13000</v>
      </c>
      <c r="G6" s="1">
        <f>Table13[[#This Row],[Normal Grain Harvest]]*0.6</f>
        <v>4050000</v>
      </c>
      <c r="H6" s="1">
        <v>6750000</v>
      </c>
      <c r="I6" s="1">
        <f>Table13[[#This Row],[Normal Grain Harvest]]*1.3</f>
        <v>8775000</v>
      </c>
      <c r="J6" s="1">
        <f>(Table13[[#This Row],[Population]]*365)/1000</f>
        <v>182500</v>
      </c>
      <c r="K6" s="1">
        <f>Table13[[#This Row],[Normal Grain Harvest]]-Table13[[#This Row],[Required Grain]]</f>
        <v>6567500</v>
      </c>
      <c r="L6" s="3">
        <f>(Table13[[#This Row],[Suplus Grain]]/2)/2000</f>
        <v>1641.875</v>
      </c>
      <c r="M6" t="s">
        <v>93</v>
      </c>
      <c r="P6" s="4">
        <f>(Table13[[#This Row],[Tax Income in Talents]]+Table13[[#This Row],[Trade Income]]-Table13[[#This Row],[Other Expenditure]]-Table13[[#This Row],[Garrisoned Soldier Cost]])</f>
        <v>141.875</v>
      </c>
    </row>
    <row r="7" spans="1:16" x14ac:dyDescent="0.25">
      <c r="A7" t="s">
        <v>44</v>
      </c>
      <c r="B7" t="s">
        <v>99</v>
      </c>
      <c r="C7" s="1">
        <v>3000</v>
      </c>
      <c r="D7">
        <v>1500</v>
      </c>
      <c r="E7" s="1">
        <v>500000</v>
      </c>
      <c r="F7" s="1">
        <v>10000</v>
      </c>
      <c r="G7" s="5">
        <f>Table13[[#This Row],[Normal Grain Harvest]]*0.6</f>
        <v>4050000</v>
      </c>
      <c r="H7" s="1">
        <v>6750000</v>
      </c>
      <c r="I7" s="1">
        <f>Table13[[#This Row],[Normal Grain Harvest]]*1.3</f>
        <v>8775000</v>
      </c>
      <c r="J7" s="1">
        <f>(Table13[[#This Row],[Population]]*365)/1000</f>
        <v>182500</v>
      </c>
      <c r="K7" s="1">
        <f>Table13[[#This Row],[Low Grain Harvest]]-Table13[[#This Row],[Required Grain]]</f>
        <v>3867500</v>
      </c>
      <c r="L7" s="3">
        <f>(Table13[[#This Row],[Suplus Grain]]/2)/2000</f>
        <v>966.875</v>
      </c>
      <c r="M7" t="s">
        <v>90</v>
      </c>
      <c r="P7" s="4">
        <f>(Table13[[#This Row],[Tax Income in Talents]]+Table13[[#This Row],[Trade Income]]-Table13[[#This Row],[Other Expenditure]]-Table13[[#This Row],[Garrisoned Soldier Cost]])</f>
        <v>-533.125</v>
      </c>
    </row>
    <row r="8" spans="1:16" x14ac:dyDescent="0.25">
      <c r="A8" t="s">
        <v>45</v>
      </c>
      <c r="B8" t="s">
        <v>24</v>
      </c>
      <c r="C8" s="1">
        <v>3000</v>
      </c>
      <c r="D8">
        <v>1500</v>
      </c>
      <c r="E8" s="1">
        <v>500000</v>
      </c>
      <c r="F8" s="1">
        <v>20000</v>
      </c>
      <c r="G8" s="1">
        <f>Table13[[#This Row],[Normal Grain Harvest]]*0.6</f>
        <v>4050000</v>
      </c>
      <c r="H8" s="1">
        <v>6750000</v>
      </c>
      <c r="I8" s="1">
        <f>Table13[[#This Row],[Normal Grain Harvest]]*1.3</f>
        <v>8775000</v>
      </c>
      <c r="J8" s="1">
        <f>(Table13[[#This Row],[Population]]*365)/1000</f>
        <v>182500</v>
      </c>
      <c r="K8" s="1">
        <f>Table13[[#This Row],[Normal Grain Harvest]]-Table13[[#This Row],[Required Grain]]</f>
        <v>6567500</v>
      </c>
      <c r="L8" s="3">
        <f>(Table13[[#This Row],[Suplus Grain]]/2)/2000</f>
        <v>1641.875</v>
      </c>
      <c r="M8" t="s">
        <v>89</v>
      </c>
      <c r="P8" s="4">
        <f>(Table13[[#This Row],[Tax Income in Talents]]+Table13[[#This Row],[Trade Income]]-Table13[[#This Row],[Other Expenditure]]-Table13[[#This Row],[Garrisoned Soldier Cost]])</f>
        <v>141.875</v>
      </c>
    </row>
    <row r="9" spans="1:16" x14ac:dyDescent="0.25">
      <c r="A9" t="s">
        <v>46</v>
      </c>
      <c r="B9" t="s">
        <v>99</v>
      </c>
      <c r="C9" s="1">
        <v>3000</v>
      </c>
      <c r="D9">
        <v>1500</v>
      </c>
      <c r="E9" s="1">
        <v>500000</v>
      </c>
      <c r="F9" s="1">
        <v>20000</v>
      </c>
      <c r="G9" s="1">
        <f>Table13[[#This Row],[Normal Grain Harvest]]*0.6</f>
        <v>4050000</v>
      </c>
      <c r="H9" s="1">
        <v>6750000</v>
      </c>
      <c r="I9" s="1">
        <f>Table13[[#This Row],[Normal Grain Harvest]]*1.3</f>
        <v>8775000</v>
      </c>
      <c r="J9" s="1">
        <f>(Table13[[#This Row],[Population]]*365)/1000</f>
        <v>182500</v>
      </c>
      <c r="K9" s="1">
        <f>Table13[[#This Row],[Normal Grain Harvest]]-Table13[[#This Row],[Required Grain]]</f>
        <v>6567500</v>
      </c>
      <c r="L9" s="3">
        <f>(Table13[[#This Row],[Suplus Grain]]/2)/2000</f>
        <v>1641.875</v>
      </c>
      <c r="M9" t="s">
        <v>88</v>
      </c>
      <c r="P9" s="4">
        <f>(Table13[[#This Row],[Tax Income in Talents]]+Table13[[#This Row],[Trade Income]]-Table13[[#This Row],[Other Expenditure]]-Table13[[#This Row],[Garrisoned Soldier Cost]])</f>
        <v>141.875</v>
      </c>
    </row>
    <row r="10" spans="1:16" x14ac:dyDescent="0.25">
      <c r="A10" t="s">
        <v>67</v>
      </c>
      <c r="C10" s="1">
        <v>3000</v>
      </c>
      <c r="D10">
        <v>1500</v>
      </c>
      <c r="E10" s="1">
        <v>400000</v>
      </c>
      <c r="F10" s="1">
        <v>20000</v>
      </c>
      <c r="G10" s="1">
        <f>Table13[[#This Row],[Normal Grain Harvest]]*0.6</f>
        <v>4050000</v>
      </c>
      <c r="H10" s="1">
        <v>6750000</v>
      </c>
      <c r="I10" s="1">
        <f>Table13[[#This Row],[Normal Grain Harvest]]*1.3</f>
        <v>8775000</v>
      </c>
      <c r="J10" s="1">
        <f>(Table13[[#This Row],[Population]]*365)/1000</f>
        <v>146000</v>
      </c>
      <c r="K10" s="1">
        <f>Table13[[#This Row],[Normal Grain Harvest]]-Table13[[#This Row],[Required Grain]]</f>
        <v>6604000</v>
      </c>
      <c r="L10" s="3">
        <f>(Table13[[#This Row],[Suplus Grain]]/2)/2000</f>
        <v>1651</v>
      </c>
      <c r="M10" t="s">
        <v>91</v>
      </c>
      <c r="P10" s="4">
        <f>(Table13[[#This Row],[Tax Income in Talents]]+Table13[[#This Row],[Trade Income]]-Table13[[#This Row],[Other Expenditure]]-Table13[[#This Row],[Garrisoned Soldier Cost]])</f>
        <v>151</v>
      </c>
    </row>
    <row r="11" spans="1:16" x14ac:dyDescent="0.25">
      <c r="A11" t="s">
        <v>25</v>
      </c>
      <c r="B11" t="s">
        <v>24</v>
      </c>
      <c r="C11" s="1">
        <v>3000</v>
      </c>
      <c r="D11">
        <v>1500</v>
      </c>
      <c r="E11" s="1">
        <v>750000</v>
      </c>
      <c r="F11" s="1">
        <v>13000</v>
      </c>
      <c r="G11" s="1">
        <f>Table13[[#This Row],[Normal Grain Harvest]]*0.6</f>
        <v>4050000</v>
      </c>
      <c r="H11" s="1">
        <v>6750000</v>
      </c>
      <c r="I11" s="1">
        <f>Table13[[#This Row],[Normal Grain Harvest]]*1.3</f>
        <v>8775000</v>
      </c>
      <c r="J11" s="1">
        <f>(Table13[[#This Row],[Population]]*365)/1000</f>
        <v>273750</v>
      </c>
      <c r="K11" s="1">
        <f>Table13[[#This Row],[Normal Grain Harvest]]-Table13[[#This Row],[Required Grain]]</f>
        <v>6476250</v>
      </c>
      <c r="L11" s="3">
        <f>(Table13[[#This Row],[Suplus Grain]]/2)/2000</f>
        <v>1619.0625</v>
      </c>
      <c r="M11" t="s">
        <v>87</v>
      </c>
      <c r="P11" s="4">
        <f>(Table13[[#This Row],[Tax Income in Talents]]+Table13[[#This Row],[Trade Income]]-Table13[[#This Row],[Other Expenditure]]-Table13[[#This Row],[Garrisoned Soldier Cost]])</f>
        <v>119.0625</v>
      </c>
    </row>
    <row r="12" spans="1:16" x14ac:dyDescent="0.25">
      <c r="A12" t="s">
        <v>47</v>
      </c>
      <c r="C12" s="1">
        <v>3000</v>
      </c>
      <c r="D12">
        <v>1500</v>
      </c>
      <c r="E12" s="1">
        <v>1000000</v>
      </c>
      <c r="F12" s="1">
        <v>20000</v>
      </c>
      <c r="G12" s="1">
        <f>Table13[[#This Row],[Normal Grain Harvest]]*0.6</f>
        <v>4500000</v>
      </c>
      <c r="H12" s="1">
        <v>7500000</v>
      </c>
      <c r="I12" s="1">
        <f>Table13[[#This Row],[Normal Grain Harvest]]*1.3</f>
        <v>9750000</v>
      </c>
      <c r="J12" s="1">
        <f>(Table13[[#This Row],[Population]]*365)/1000</f>
        <v>365000</v>
      </c>
      <c r="K12" s="1">
        <f>Table13[[#This Row],[Normal Grain Harvest]]-Table13[[#This Row],[Required Grain]]</f>
        <v>7135000</v>
      </c>
      <c r="L12" s="3">
        <f>(Table13[[#This Row],[Suplus Grain]]/2)/2000</f>
        <v>1783.75</v>
      </c>
      <c r="M12" t="s">
        <v>86</v>
      </c>
      <c r="P12" s="4">
        <f>(Table13[[#This Row],[Tax Income in Talents]]+Table13[[#This Row],[Trade Income]]-Table13[[#This Row],[Other Expenditure]]-Table13[[#This Row],[Garrisoned Soldier Cost]])</f>
        <v>283.75</v>
      </c>
    </row>
    <row r="13" spans="1:16" x14ac:dyDescent="0.25">
      <c r="A13" t="s">
        <v>105</v>
      </c>
      <c r="B13" t="s">
        <v>96</v>
      </c>
      <c r="C13" s="1">
        <v>3000</v>
      </c>
      <c r="D13">
        <v>1500</v>
      </c>
      <c r="E13" s="1">
        <v>1000000</v>
      </c>
      <c r="F13" s="1">
        <v>20000</v>
      </c>
      <c r="G13" s="5">
        <f>Table13[[#This Row],[Normal Grain Harvest]]*0.6</f>
        <v>4500000</v>
      </c>
      <c r="H13" s="1">
        <v>7500000</v>
      </c>
      <c r="I13" s="1">
        <f>Table13[[#This Row],[Normal Grain Harvest]]*1.3</f>
        <v>9750000</v>
      </c>
      <c r="J13" s="1">
        <f>(Table13[[#This Row],[Population]]*365)/1000</f>
        <v>365000</v>
      </c>
      <c r="K13" s="1">
        <f>Table13[[#This Row],[Low Grain Harvest]]-Table13[[#This Row],[Required Grain]]</f>
        <v>4135000</v>
      </c>
      <c r="L13" s="3">
        <f>(Table13[[#This Row],[Suplus Grain]]/2)/2000</f>
        <v>1033.75</v>
      </c>
      <c r="M13" t="s">
        <v>86</v>
      </c>
      <c r="P13" s="4">
        <f>(Table13[[#This Row],[Tax Income in Talents]]+Table13[[#This Row],[Trade Income]]-Table13[[#This Row],[Other Expenditure]]-Table13[[#This Row],[Garrisoned Soldier Cost]])</f>
        <v>-466.25</v>
      </c>
    </row>
    <row r="14" spans="1:16" x14ac:dyDescent="0.25">
      <c r="A14" t="s">
        <v>48</v>
      </c>
      <c r="B14" t="s">
        <v>96</v>
      </c>
      <c r="C14" s="1">
        <v>7500</v>
      </c>
      <c r="D14">
        <v>3750</v>
      </c>
      <c r="E14" s="1">
        <v>3500000</v>
      </c>
      <c r="F14" s="1">
        <v>80000</v>
      </c>
      <c r="G14" s="1">
        <f>Table13[[#This Row],[Normal Grain Harvest]]*0.6</f>
        <v>13500000</v>
      </c>
      <c r="H14" s="1">
        <v>22500000</v>
      </c>
      <c r="I14" s="5">
        <f>Table13[[#This Row],[Normal Grain Harvest]]*1.3</f>
        <v>29250000</v>
      </c>
      <c r="J14" s="1">
        <f>(Table13[[#This Row],[Population]]*365)/1000</f>
        <v>1277500</v>
      </c>
      <c r="K14" s="1">
        <f>Table13[[#This Row],[High Grain Harvest]]-Table13[[#This Row],[Required Grain]]</f>
        <v>27972500</v>
      </c>
      <c r="L14" s="3">
        <f>(Table13[[#This Row],[Suplus Grain]]/2)/2000</f>
        <v>6993.125</v>
      </c>
      <c r="M14" t="s">
        <v>54</v>
      </c>
      <c r="P14" s="4">
        <f>(Table13[[#This Row],[Tax Income in Talents]]+Table13[[#This Row],[Trade Income]]-Table13[[#This Row],[Other Expenditure]]-Table13[[#This Row],[Garrisoned Soldier Cost]])</f>
        <v>3243.125</v>
      </c>
    </row>
    <row r="15" spans="1:16" x14ac:dyDescent="0.25">
      <c r="A15" t="s">
        <v>49</v>
      </c>
      <c r="B15" t="s">
        <v>101</v>
      </c>
      <c r="C15" s="1">
        <v>5000</v>
      </c>
      <c r="D15">
        <v>2500</v>
      </c>
      <c r="E15" s="1">
        <v>2000000</v>
      </c>
      <c r="F15" s="1">
        <v>45000</v>
      </c>
      <c r="G15" s="1">
        <f>Table13[[#This Row],[Normal Grain Harvest]]*0.6</f>
        <v>7800000</v>
      </c>
      <c r="H15" s="1">
        <v>13000000</v>
      </c>
      <c r="I15" s="5">
        <f>Table13[[#This Row],[Normal Grain Harvest]]*1.3</f>
        <v>16900000</v>
      </c>
      <c r="J15" s="1">
        <f>(Table13[[#This Row],[Population]]*365)/1000</f>
        <v>730000</v>
      </c>
      <c r="K15" s="1">
        <f>Table13[[#This Row],[High Grain Harvest]]-Table13[[#This Row],[Required Grain]]</f>
        <v>16170000</v>
      </c>
      <c r="L15" s="3">
        <f>(Table13[[#This Row],[Suplus Grain]]/2)/2000</f>
        <v>4042.5</v>
      </c>
      <c r="M15" t="s">
        <v>85</v>
      </c>
      <c r="P15" s="4">
        <f>(Table13[[#This Row],[Tax Income in Talents]]+Table13[[#This Row],[Trade Income]]-Table13[[#This Row],[Other Expenditure]]-Table13[[#This Row],[Garrisoned Soldier Cost]])</f>
        <v>1542.5</v>
      </c>
    </row>
    <row r="16" spans="1:16" x14ac:dyDescent="0.25">
      <c r="A16" t="s">
        <v>50</v>
      </c>
      <c r="B16" t="s">
        <v>103</v>
      </c>
      <c r="C16" s="1">
        <v>5000</v>
      </c>
      <c r="D16">
        <v>2500</v>
      </c>
      <c r="E16" s="1">
        <v>1500000</v>
      </c>
      <c r="F16" s="1">
        <v>40000</v>
      </c>
      <c r="G16" s="1">
        <f>Table13[[#This Row],[Normal Grain Harvest]]*0.6</f>
        <v>7800000</v>
      </c>
      <c r="H16" s="1">
        <v>13000000</v>
      </c>
      <c r="I16" s="1">
        <f>Table13[[#This Row],[Normal Grain Harvest]]*1.3</f>
        <v>16900000</v>
      </c>
      <c r="J16" s="1">
        <f>(Table13[[#This Row],[Population]]*365)/1000</f>
        <v>547500</v>
      </c>
      <c r="K16" s="1">
        <f>Table13[[#This Row],[High Grain Harvest]]-Table13[[#This Row],[Required Grain]]</f>
        <v>16352500</v>
      </c>
      <c r="L16" s="3">
        <f>(Table13[[#This Row],[Suplus Grain]]/2)/2000</f>
        <v>4088.125</v>
      </c>
      <c r="M16" t="s">
        <v>85</v>
      </c>
      <c r="P16" s="4">
        <f>(Table13[[#This Row],[Tax Income in Talents]]+Table13[[#This Row],[Trade Income]]-Table13[[#This Row],[Other Expenditure]]-Table13[[#This Row],[Garrisoned Soldier Cost]])</f>
        <v>1588.125</v>
      </c>
    </row>
    <row r="17" spans="1:16" x14ac:dyDescent="0.25">
      <c r="A17" t="s">
        <v>51</v>
      </c>
      <c r="B17" t="s">
        <v>97</v>
      </c>
      <c r="C17" s="1">
        <v>5000</v>
      </c>
      <c r="D17">
        <v>2500</v>
      </c>
      <c r="E17" s="1">
        <v>1000000</v>
      </c>
      <c r="F17" s="1">
        <v>45000</v>
      </c>
      <c r="G17" s="1">
        <f>Table13[[#This Row],[Normal Grain Harvest]]*0.6</f>
        <v>7800000</v>
      </c>
      <c r="H17" s="1">
        <v>13000000</v>
      </c>
      <c r="I17" s="1">
        <f>Table13[[#This Row],[Normal Grain Harvest]]*1.3</f>
        <v>16900000</v>
      </c>
      <c r="J17" s="1">
        <f>(Table13[[#This Row],[Population]]*365)/1000</f>
        <v>365000</v>
      </c>
      <c r="K17" s="1">
        <f>Table13[[#This Row],[Normal Grain Harvest]]-Table13[[#This Row],[Required Grain]]</f>
        <v>12635000</v>
      </c>
      <c r="L17" s="3">
        <f>(Table13[[#This Row],[Suplus Grain]]/2)/2000</f>
        <v>3158.75</v>
      </c>
      <c r="M17" t="s">
        <v>56</v>
      </c>
      <c r="P17" s="4">
        <f>(Table13[[#This Row],[Tax Income in Talents]]+Table13[[#This Row],[Trade Income]]-Table13[[#This Row],[Other Expenditure]]-Table13[[#This Row],[Garrisoned Soldier Cost]])</f>
        <v>658.75</v>
      </c>
    </row>
    <row r="18" spans="1:16" x14ac:dyDescent="0.25">
      <c r="A18" t="s">
        <v>70</v>
      </c>
      <c r="B18" t="s">
        <v>30</v>
      </c>
      <c r="C18" s="1">
        <v>5000</v>
      </c>
      <c r="D18">
        <v>2500</v>
      </c>
      <c r="E18" s="1">
        <v>2250000</v>
      </c>
      <c r="F18" s="1">
        <v>45000</v>
      </c>
      <c r="G18" s="1">
        <f>Table13[[#This Row],[Normal Grain Harvest]]*0.6</f>
        <v>7800000</v>
      </c>
      <c r="H18" s="1">
        <v>13000000</v>
      </c>
      <c r="I18" s="1">
        <f>Table13[[#This Row],[Normal Grain Harvest]]*1.3</f>
        <v>16900000</v>
      </c>
      <c r="J18" s="1">
        <f>(Table13[[#This Row],[Population]]*365)/1000</f>
        <v>821250</v>
      </c>
      <c r="K18" s="1">
        <f>Table13[[#This Row],[Normal Grain Harvest]]-Table13[[#This Row],[Required Grain]]</f>
        <v>12178750</v>
      </c>
      <c r="L18" s="3">
        <f>(Table13[[#This Row],[Suplus Grain]]/2)/2000</f>
        <v>3044.6875</v>
      </c>
      <c r="M18" t="s">
        <v>57</v>
      </c>
      <c r="P18" s="4">
        <f>(Table13[[#This Row],[Tax Income in Talents]]+Table13[[#This Row],[Trade Income]]-Table13[[#This Row],[Other Expenditure]]-Table13[[#This Row],[Garrisoned Soldier Cost]])</f>
        <v>544.6875</v>
      </c>
    </row>
    <row r="19" spans="1:16" x14ac:dyDescent="0.25">
      <c r="A19" t="s">
        <v>68</v>
      </c>
      <c r="B19" t="s">
        <v>109</v>
      </c>
      <c r="C19" s="1">
        <v>3000</v>
      </c>
      <c r="D19">
        <v>1500</v>
      </c>
      <c r="E19" s="1">
        <v>750000</v>
      </c>
      <c r="F19">
        <v>7000</v>
      </c>
      <c r="G19" s="1">
        <f>Table13[[#This Row],[Normal Grain Harvest]]*0.6</f>
        <v>3900000</v>
      </c>
      <c r="H19" s="1">
        <v>6500000</v>
      </c>
      <c r="I19" s="1">
        <f>Table13[[#This Row],[Normal Grain Harvest]]*1.3</f>
        <v>8450000</v>
      </c>
      <c r="J19" s="1">
        <f>(Table13[[#This Row],[Population]]*365)/1000</f>
        <v>273750</v>
      </c>
      <c r="K19" s="1">
        <f>Table13[[#This Row],[Normal Grain Harvest]]-Table13[[#This Row],[Required Grain]]</f>
        <v>6226250</v>
      </c>
      <c r="L19" s="3">
        <f>(Table13[[#This Row],[Suplus Grain]]/2)/2000</f>
        <v>1556.5625</v>
      </c>
      <c r="M19" t="s">
        <v>88</v>
      </c>
      <c r="P19" s="4">
        <f>(Table13[[#This Row],[Tax Income in Talents]]+Table13[[#This Row],[Trade Income]]-Table13[[#This Row],[Other Expenditure]]-Table13[[#This Row],[Garrisoned Soldier Cost]])</f>
        <v>56.5625</v>
      </c>
    </row>
    <row r="20" spans="1:16" x14ac:dyDescent="0.25">
      <c r="A20" t="s">
        <v>69</v>
      </c>
      <c r="B20" t="s">
        <v>98</v>
      </c>
      <c r="C20" s="1">
        <v>3000</v>
      </c>
      <c r="D20">
        <v>1500</v>
      </c>
      <c r="E20" s="1">
        <v>1000000</v>
      </c>
      <c r="F20" s="1">
        <v>20000</v>
      </c>
      <c r="G20" s="1">
        <f>Table13[[#This Row],[Normal Grain Harvest]]*0.6</f>
        <v>4500000</v>
      </c>
      <c r="H20" s="1">
        <v>7500000</v>
      </c>
      <c r="I20" s="5">
        <f>Table13[[#This Row],[Normal Grain Harvest]]*1.3</f>
        <v>9750000</v>
      </c>
      <c r="J20" s="1">
        <f>(Table13[[#This Row],[Population]]*365)/1000</f>
        <v>365000</v>
      </c>
      <c r="K20" s="1">
        <f>Table13[[#This Row],[High Grain Harvest]]-Table13[[#This Row],[Required Grain]]</f>
        <v>9385000</v>
      </c>
      <c r="L20" s="3">
        <f>(Table13[[#This Row],[Suplus Grain]]/2)/2000</f>
        <v>2346.25</v>
      </c>
      <c r="M20" t="s">
        <v>92</v>
      </c>
      <c r="P20" s="4">
        <f>(Table13[[#This Row],[Tax Income in Talents]]+Table13[[#This Row],[Trade Income]]-Table13[[#This Row],[Other Expenditure]]-Table13[[#This Row],[Garrisoned Soldier Cost]])</f>
        <v>846.25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pane xSplit="7" ySplit="11" topLeftCell="H12" activePane="bottomRight" state="frozen"/>
      <selection pane="topRight" activeCell="H1" sqref="H1"/>
      <selection pane="bottomLeft" activeCell="A12" sqref="A12"/>
      <selection pane="bottomRight" activeCell="P22" sqref="A1:P22"/>
    </sheetView>
  </sheetViews>
  <sheetFormatPr defaultRowHeight="15" x14ac:dyDescent="0.25"/>
  <cols>
    <col min="3" max="3" width="9" customWidth="1"/>
    <col min="4" max="4" width="6.28515625" customWidth="1"/>
    <col min="5" max="6" width="9.140625" customWidth="1"/>
    <col min="7" max="7" width="9.7109375" customWidth="1"/>
    <col min="8" max="8" width="10.28515625" customWidth="1"/>
    <col min="9" max="9" width="10.42578125" customWidth="1"/>
    <col min="11" max="11" width="11.42578125" customWidth="1"/>
    <col min="12" max="12" width="10.85546875" customWidth="1"/>
    <col min="13" max="13" width="11.140625" customWidth="1"/>
  </cols>
  <sheetData>
    <row r="1" spans="1:16" x14ac:dyDescent="0.25">
      <c r="A1" t="s">
        <v>33</v>
      </c>
      <c r="B1" t="s">
        <v>62</v>
      </c>
      <c r="C1" t="s">
        <v>66</v>
      </c>
      <c r="D1" t="s">
        <v>65</v>
      </c>
      <c r="E1" t="s">
        <v>34</v>
      </c>
      <c r="F1" t="s">
        <v>55</v>
      </c>
      <c r="G1" t="s">
        <v>35</v>
      </c>
      <c r="H1" t="s">
        <v>36</v>
      </c>
      <c r="I1" t="s">
        <v>37</v>
      </c>
      <c r="J1" t="s">
        <v>38</v>
      </c>
      <c r="K1" t="s">
        <v>58</v>
      </c>
      <c r="L1" t="s">
        <v>59</v>
      </c>
      <c r="M1" t="s">
        <v>40</v>
      </c>
      <c r="N1" t="s">
        <v>60</v>
      </c>
      <c r="O1" t="s">
        <v>64</v>
      </c>
      <c r="P1" t="s">
        <v>61</v>
      </c>
    </row>
    <row r="2" spans="1:16" x14ac:dyDescent="0.25">
      <c r="A2" t="s">
        <v>39</v>
      </c>
      <c r="B2" t="s">
        <v>19</v>
      </c>
      <c r="C2" s="1">
        <v>1000</v>
      </c>
      <c r="D2">
        <v>500</v>
      </c>
      <c r="E2" s="1">
        <v>200000</v>
      </c>
      <c r="F2" s="1">
        <v>12000</v>
      </c>
      <c r="G2" s="1">
        <f>Table134[[#This Row],[Normal Grain Harvest]]*0.6</f>
        <v>1500000</v>
      </c>
      <c r="H2" s="1">
        <v>2500000</v>
      </c>
      <c r="I2" s="1">
        <f>Table134[[#This Row],[Normal Grain Harvest]]*1.3</f>
        <v>3250000</v>
      </c>
      <c r="J2" s="1">
        <f>(Table134[[#This Row],[Population]]*365)/1000</f>
        <v>73000</v>
      </c>
      <c r="K2" s="1">
        <f>Table134[[#This Row],[Normal Grain Harvest]]-Table134[[#This Row],[Required Grain]]</f>
        <v>2427000</v>
      </c>
      <c r="L2" s="3">
        <f>(Table134[[#This Row],[Suplus Grain]]/2)/2000</f>
        <v>606.75</v>
      </c>
      <c r="M2" t="s">
        <v>41</v>
      </c>
      <c r="P2" s="4">
        <f>(Table134[[#This Row],[Tax Income in Talents]]+Table134[[#This Row],[Trade Income]]-Table134[[#This Row],[Other Expenditure]]-Table134[[#This Row],[Garrisoned Soldier Cost]])</f>
        <v>106.75</v>
      </c>
    </row>
    <row r="3" spans="1:16" x14ac:dyDescent="0.25">
      <c r="A3" t="s">
        <v>42</v>
      </c>
      <c r="B3" t="s">
        <v>104</v>
      </c>
      <c r="C3" s="1">
        <v>1000</v>
      </c>
      <c r="D3">
        <v>500</v>
      </c>
      <c r="E3" s="1">
        <v>200000</v>
      </c>
      <c r="F3">
        <v>7000</v>
      </c>
      <c r="G3" s="1">
        <f>Table134[[#This Row],[Normal Grain Harvest]]*0.6</f>
        <v>1500000</v>
      </c>
      <c r="H3" s="1">
        <v>2500000</v>
      </c>
      <c r="I3" s="1">
        <f>Table134[[#This Row],[Normal Grain Harvest]]*1.3</f>
        <v>3250000</v>
      </c>
      <c r="J3" s="1">
        <f>(Table134[[#This Row],[Population]]*365)/1000</f>
        <v>73000</v>
      </c>
      <c r="K3" s="1">
        <f>Table134[[#This Row],[Low Grain Harvest]]-Table134[[#This Row],[Required Grain]]</f>
        <v>1427000</v>
      </c>
      <c r="L3" s="3">
        <f>(Table134[[#This Row],[Suplus Grain]]/2)/2000</f>
        <v>356.75</v>
      </c>
      <c r="M3" t="s">
        <v>43</v>
      </c>
      <c r="P3" s="4">
        <f>(Table134[[#This Row],[Tax Income in Talents]]+Table134[[#This Row],[Trade Income]]-Table134[[#This Row],[Other Expenditure]]-Table134[[#This Row],[Garrisoned Soldier Cost]])</f>
        <v>-143.25</v>
      </c>
    </row>
    <row r="4" spans="1:16" x14ac:dyDescent="0.25">
      <c r="A4" t="s">
        <v>53</v>
      </c>
      <c r="C4" s="1">
        <v>3000</v>
      </c>
      <c r="D4">
        <v>1500</v>
      </c>
      <c r="E4" s="1">
        <v>500000</v>
      </c>
      <c r="F4" s="1">
        <v>15000</v>
      </c>
      <c r="G4" s="1">
        <f>Table134[[#This Row],[Normal Grain Harvest]]*0.6</f>
        <v>4050000</v>
      </c>
      <c r="H4" s="1">
        <v>6750000</v>
      </c>
      <c r="I4" s="1">
        <f>Table134[[#This Row],[Normal Grain Harvest]]*1.3</f>
        <v>8775000</v>
      </c>
      <c r="J4" s="1">
        <f>(Table134[[#This Row],[Population]]*365)/1000</f>
        <v>182500</v>
      </c>
      <c r="K4" s="1">
        <f>Table134[[#This Row],[Normal Grain Harvest]]-Table134[[#This Row],[Required Grain]]</f>
        <v>6567500</v>
      </c>
      <c r="L4" s="3">
        <f>(Table134[[#This Row],[Suplus Grain]]/2)/2000</f>
        <v>1641.875</v>
      </c>
      <c r="M4" t="s">
        <v>93</v>
      </c>
      <c r="P4" s="4">
        <f>(Table134[[#This Row],[Tax Income in Talents]]+Table134[[#This Row],[Trade Income]]-Table134[[#This Row],[Other Expenditure]]-Table134[[#This Row],[Garrisoned Soldier Cost]])</f>
        <v>141.875</v>
      </c>
    </row>
    <row r="5" spans="1:16" x14ac:dyDescent="0.25">
      <c r="A5" t="s">
        <v>94</v>
      </c>
      <c r="C5" s="1">
        <v>2700</v>
      </c>
      <c r="D5">
        <v>1350</v>
      </c>
      <c r="E5" s="1">
        <v>450000</v>
      </c>
      <c r="F5" s="1">
        <v>15000</v>
      </c>
      <c r="G5" s="6">
        <f>Table134[[#This Row],[Normal Grain Harvest]]*0.6</f>
        <v>4050000</v>
      </c>
      <c r="H5" s="1">
        <v>6750000</v>
      </c>
      <c r="I5" s="1">
        <f>Table134[[#This Row],[Normal Grain Harvest]]*1.3</f>
        <v>8775000</v>
      </c>
      <c r="J5" s="1">
        <f>(Table134[[#This Row],[Population]]*365)/1000</f>
        <v>164250</v>
      </c>
      <c r="K5" s="1">
        <f>Table134[[#This Row],[Normal Grain Harvest]]-Table134[[#This Row],[Required Grain]]</f>
        <v>6585750</v>
      </c>
      <c r="L5" s="3">
        <f>(Table134[[#This Row],[Suplus Grain]]/2)/2000</f>
        <v>1646.4375</v>
      </c>
      <c r="M5" t="s">
        <v>93</v>
      </c>
      <c r="N5">
        <v>200</v>
      </c>
      <c r="P5" s="4">
        <f>(Table134[[#This Row],[Tax Income in Talents]]+Table134[[#This Row],[Trade Income]]-Table134[[#This Row],[Other Expenditure]]-Table134[[#This Row],[Garrisoned Soldier Cost]])</f>
        <v>496.4375</v>
      </c>
    </row>
    <row r="6" spans="1:16" x14ac:dyDescent="0.25">
      <c r="A6" t="s">
        <v>119</v>
      </c>
      <c r="C6" s="1">
        <v>3000</v>
      </c>
      <c r="D6">
        <v>1500</v>
      </c>
      <c r="E6" s="1">
        <v>500000</v>
      </c>
      <c r="F6" s="1">
        <v>13000</v>
      </c>
      <c r="G6" s="1">
        <f>Table134[[#This Row],[Normal Grain Harvest]]*0.6</f>
        <v>4050000</v>
      </c>
      <c r="H6" s="1">
        <v>6750000</v>
      </c>
      <c r="I6" s="1">
        <f>Table134[[#This Row],[Normal Grain Harvest]]*1.3</f>
        <v>8775000</v>
      </c>
      <c r="J6" s="1">
        <f>(Table134[[#This Row],[Population]]*365)/1000</f>
        <v>182500</v>
      </c>
      <c r="K6" s="1">
        <f>Table134[[#This Row],[Normal Grain Harvest]]-Table134[[#This Row],[Required Grain]]</f>
        <v>6567500</v>
      </c>
      <c r="L6" s="3">
        <f>(Table134[[#This Row],[Suplus Grain]]/2)/2000</f>
        <v>1641.875</v>
      </c>
      <c r="M6" t="s">
        <v>93</v>
      </c>
      <c r="P6" s="4">
        <f>(Table134[[#This Row],[Tax Income in Talents]]+Table134[[#This Row],[Trade Income]]-Table134[[#This Row],[Other Expenditure]]-Table134[[#This Row],[Garrisoned Soldier Cost]])</f>
        <v>141.875</v>
      </c>
    </row>
    <row r="7" spans="1:16" x14ac:dyDescent="0.25">
      <c r="A7" t="s">
        <v>52</v>
      </c>
      <c r="B7" t="s">
        <v>111</v>
      </c>
      <c r="C7" s="1">
        <v>3000</v>
      </c>
      <c r="D7">
        <v>1500</v>
      </c>
      <c r="E7" s="1">
        <v>500000</v>
      </c>
      <c r="F7" s="1">
        <v>13000</v>
      </c>
      <c r="G7" s="1">
        <f>Table134[[#This Row],[Normal Grain Harvest]]*0.6</f>
        <v>4050000</v>
      </c>
      <c r="H7" s="1">
        <v>6750000</v>
      </c>
      <c r="I7" s="1">
        <f>Table134[[#This Row],[Normal Grain Harvest]]*1.3</f>
        <v>8775000</v>
      </c>
      <c r="J7" s="1">
        <f>(Table134[[#This Row],[Population]]*365)/1000</f>
        <v>182500</v>
      </c>
      <c r="K7" s="1">
        <f>Table134[[#This Row],[Normal Grain Harvest]]-Table134[[#This Row],[Required Grain]]</f>
        <v>6567500</v>
      </c>
      <c r="L7" s="3">
        <f>(Table134[[#This Row],[Suplus Grain]]/2)/2000</f>
        <v>1641.875</v>
      </c>
      <c r="M7" t="s">
        <v>93</v>
      </c>
      <c r="P7" s="4">
        <f>(Table134[[#This Row],[Tax Income in Talents]]+Table134[[#This Row],[Trade Income]]-Table134[[#This Row],[Other Expenditure]]-Table134[[#This Row],[Garrisoned Soldier Cost]])</f>
        <v>141.875</v>
      </c>
    </row>
    <row r="8" spans="1:16" x14ac:dyDescent="0.25">
      <c r="A8" t="s">
        <v>44</v>
      </c>
      <c r="B8" t="s">
        <v>99</v>
      </c>
      <c r="C8" s="1">
        <v>3000</v>
      </c>
      <c r="D8">
        <v>1500</v>
      </c>
      <c r="E8" s="1">
        <v>500000</v>
      </c>
      <c r="F8" s="1">
        <v>10000</v>
      </c>
      <c r="G8" s="6">
        <f>Table134[[#This Row],[Normal Grain Harvest]]*0.6</f>
        <v>4050000</v>
      </c>
      <c r="H8" s="1">
        <v>6750000</v>
      </c>
      <c r="I8" s="1">
        <f>Table134[[#This Row],[Normal Grain Harvest]]*1.3</f>
        <v>8775000</v>
      </c>
      <c r="J8" s="1">
        <f>(Table134[[#This Row],[Population]]*365)/1000</f>
        <v>182500</v>
      </c>
      <c r="K8" s="1">
        <f>Table134[[#This Row],[Normal Grain Harvest]]-Table134[[#This Row],[Required Grain]]</f>
        <v>6567500</v>
      </c>
      <c r="L8" s="3">
        <f>(Table134[[#This Row],[Suplus Grain]]/2)/2000</f>
        <v>1641.875</v>
      </c>
      <c r="M8" t="s">
        <v>90</v>
      </c>
      <c r="P8" s="4">
        <f>(Table134[[#This Row],[Tax Income in Talents]]+Table134[[#This Row],[Trade Income]]-Table134[[#This Row],[Other Expenditure]]-Table134[[#This Row],[Garrisoned Soldier Cost]])</f>
        <v>141.875</v>
      </c>
    </row>
    <row r="9" spans="1:16" x14ac:dyDescent="0.25">
      <c r="A9" t="s">
        <v>45</v>
      </c>
      <c r="B9" t="s">
        <v>24</v>
      </c>
      <c r="C9" s="1">
        <v>4000</v>
      </c>
      <c r="D9">
        <v>1800</v>
      </c>
      <c r="E9" s="1">
        <v>500000</v>
      </c>
      <c r="F9" s="1">
        <v>20000</v>
      </c>
      <c r="G9" s="1">
        <f>Table134[[#This Row],[Normal Grain Harvest]]*0.6</f>
        <v>4050000</v>
      </c>
      <c r="H9" s="1">
        <v>6750000</v>
      </c>
      <c r="I9" s="1">
        <f>Table134[[#This Row],[Normal Grain Harvest]]*1.3</f>
        <v>8775000</v>
      </c>
      <c r="J9" s="1">
        <f>(Table134[[#This Row],[Population]]*365)/1000</f>
        <v>182500</v>
      </c>
      <c r="K9" s="1">
        <f>Table134[[#This Row],[High Grain Harvest]]-Table134[[#This Row],[Required Grain]]</f>
        <v>8592500</v>
      </c>
      <c r="L9" s="3">
        <f>(Table134[[#This Row],[Suplus Grain]]/2)/2000</f>
        <v>2148.125</v>
      </c>
      <c r="M9" t="s">
        <v>89</v>
      </c>
      <c r="P9" s="4">
        <f>(Table134[[#This Row],[Tax Income in Talents]]+Table134[[#This Row],[Trade Income]]-Table134[[#This Row],[Other Expenditure]]-Table134[[#This Row],[Garrisoned Soldier Cost]])</f>
        <v>348.125</v>
      </c>
    </row>
    <row r="10" spans="1:16" x14ac:dyDescent="0.25">
      <c r="A10" t="s">
        <v>46</v>
      </c>
      <c r="B10" t="s">
        <v>99</v>
      </c>
      <c r="C10" s="1">
        <v>3000</v>
      </c>
      <c r="D10">
        <v>1500</v>
      </c>
      <c r="E10" s="1">
        <v>500000</v>
      </c>
      <c r="F10" s="1">
        <v>20000</v>
      </c>
      <c r="G10" s="1">
        <f>Table134[[#This Row],[Normal Grain Harvest]]*0.6</f>
        <v>4050000</v>
      </c>
      <c r="H10" s="1">
        <v>6750000</v>
      </c>
      <c r="I10" s="1">
        <f>Table134[[#This Row],[Normal Grain Harvest]]*1.3</f>
        <v>8775000</v>
      </c>
      <c r="J10" s="1">
        <f>(Table134[[#This Row],[Population]]*365)/1000</f>
        <v>182500</v>
      </c>
      <c r="K10" s="1">
        <f>Table134[[#This Row],[Low Grain Harvest]]-Table134[[#This Row],[Required Grain]]</f>
        <v>3867500</v>
      </c>
      <c r="L10" s="3">
        <f>(Table134[[#This Row],[Suplus Grain]]/2)/2000</f>
        <v>966.875</v>
      </c>
      <c r="M10" t="s">
        <v>88</v>
      </c>
      <c r="P10" s="4">
        <f>(Table134[[#This Row],[Tax Income in Talents]]+Table134[[#This Row],[Trade Income]]-Table134[[#This Row],[Other Expenditure]]-Table134[[#This Row],[Garrisoned Soldier Cost]])</f>
        <v>-533.125</v>
      </c>
    </row>
    <row r="11" spans="1:16" x14ac:dyDescent="0.25">
      <c r="A11" t="s">
        <v>67</v>
      </c>
      <c r="B11" t="s">
        <v>24</v>
      </c>
      <c r="C11" s="1">
        <v>4000</v>
      </c>
      <c r="D11">
        <v>1800</v>
      </c>
      <c r="E11" s="1">
        <v>400000</v>
      </c>
      <c r="F11" s="1">
        <v>20000</v>
      </c>
      <c r="G11" s="1">
        <f>Table134[[#This Row],[Normal Grain Harvest]]*0.6</f>
        <v>4050000</v>
      </c>
      <c r="H11" s="1">
        <v>6750000</v>
      </c>
      <c r="I11" s="1">
        <f>Table134[[#This Row],[Normal Grain Harvest]]*1.3</f>
        <v>8775000</v>
      </c>
      <c r="J11" s="1">
        <f>(Table134[[#This Row],[Population]]*365)/1000</f>
        <v>146000</v>
      </c>
      <c r="K11" s="1">
        <f>Table134[[#This Row],[High Grain Harvest]]-Table134[[#This Row],[Required Grain]]</f>
        <v>8629000</v>
      </c>
      <c r="L11" s="3">
        <f>(Table134[[#This Row],[Suplus Grain]]/2)/2000</f>
        <v>2157.25</v>
      </c>
      <c r="M11" t="s">
        <v>91</v>
      </c>
      <c r="P11" s="4">
        <f>(Table134[[#This Row],[Tax Income in Talents]]+Table134[[#This Row],[Trade Income]]-Table134[[#This Row],[Other Expenditure]]-Table134[[#This Row],[Garrisoned Soldier Cost]])</f>
        <v>357.25</v>
      </c>
    </row>
    <row r="12" spans="1:16" x14ac:dyDescent="0.25">
      <c r="A12" t="s">
        <v>25</v>
      </c>
      <c r="B12" t="s">
        <v>24</v>
      </c>
      <c r="C12" s="1">
        <v>4000</v>
      </c>
      <c r="D12">
        <v>1800</v>
      </c>
      <c r="E12" s="1">
        <v>750000</v>
      </c>
      <c r="F12" s="1">
        <v>13000</v>
      </c>
      <c r="G12" s="1">
        <f>Table134[[#This Row],[Normal Grain Harvest]]*0.6</f>
        <v>4050000</v>
      </c>
      <c r="H12" s="1">
        <v>6750000</v>
      </c>
      <c r="I12" s="1">
        <f>Table134[[#This Row],[Normal Grain Harvest]]*1.3</f>
        <v>8775000</v>
      </c>
      <c r="J12" s="1">
        <f>(Table134[[#This Row],[Population]]*365)/1000</f>
        <v>273750</v>
      </c>
      <c r="K12" s="1">
        <f>Table134[[#This Row],[Low Grain Harvest]]-Table134[[#This Row],[Required Grain]]</f>
        <v>3776250</v>
      </c>
      <c r="L12" s="3">
        <f>(Table134[[#This Row],[Suplus Grain]]/2)/2000</f>
        <v>944.0625</v>
      </c>
      <c r="M12" t="s">
        <v>87</v>
      </c>
      <c r="P12" s="4">
        <f>(Table134[[#This Row],[Tax Income in Talents]]+Table134[[#This Row],[Trade Income]]-Table134[[#This Row],[Other Expenditure]]-Table134[[#This Row],[Garrisoned Soldier Cost]])</f>
        <v>-855.9375</v>
      </c>
    </row>
    <row r="13" spans="1:16" x14ac:dyDescent="0.25">
      <c r="A13" t="s">
        <v>47</v>
      </c>
      <c r="B13" t="s">
        <v>96</v>
      </c>
      <c r="C13" s="1">
        <v>1500</v>
      </c>
      <c r="D13">
        <v>1500</v>
      </c>
      <c r="E13" s="1">
        <v>500000</v>
      </c>
      <c r="F13" s="1">
        <v>10000</v>
      </c>
      <c r="G13" s="1">
        <f>Table134[[#This Row],[Normal Grain Harvest]]*0.6</f>
        <v>2250000</v>
      </c>
      <c r="H13" s="1">
        <f>7500000/2</f>
        <v>3750000</v>
      </c>
      <c r="I13" s="1">
        <f>Table134[[#This Row],[Normal Grain Harvest]]*1.3</f>
        <v>4875000</v>
      </c>
      <c r="J13" s="1">
        <f>(Table134[[#This Row],[Population]]*365)/1000</f>
        <v>182500</v>
      </c>
      <c r="K13" s="1">
        <f>Table134[[#This Row],[Normal Grain Harvest]]-Table134[[#This Row],[Required Grain]]</f>
        <v>3567500</v>
      </c>
      <c r="L13" s="3">
        <f>(Table134[[#This Row],[Suplus Grain]]/2)/2000</f>
        <v>891.875</v>
      </c>
      <c r="M13" t="s">
        <v>86</v>
      </c>
      <c r="P13" s="4">
        <f>(Table134[[#This Row],[Tax Income in Talents]]+Table134[[#This Row],[Trade Income]]-Table134[[#This Row],[Other Expenditure]]-Table134[[#This Row],[Garrisoned Soldier Cost]])</f>
        <v>-608.125</v>
      </c>
    </row>
    <row r="14" spans="1:16" x14ac:dyDescent="0.25">
      <c r="A14" t="s">
        <v>120</v>
      </c>
      <c r="B14" t="s">
        <v>96</v>
      </c>
      <c r="C14" s="1">
        <v>1500</v>
      </c>
      <c r="D14">
        <v>1500</v>
      </c>
      <c r="E14" s="1">
        <v>500000</v>
      </c>
      <c r="F14" s="1">
        <v>10000</v>
      </c>
      <c r="G14" s="1">
        <f>Table134[[#This Row],[Normal Grain Harvest]]*0.6</f>
        <v>2250000</v>
      </c>
      <c r="H14" s="1">
        <f>7500000/2</f>
        <v>3750000</v>
      </c>
      <c r="I14" s="1">
        <f>Table134[[#This Row],[Normal Grain Harvest]]*1.3</f>
        <v>4875000</v>
      </c>
      <c r="J14" s="1">
        <f>(Table134[[#This Row],[Population]]*365)/1000</f>
        <v>182500</v>
      </c>
      <c r="K14" s="1">
        <f>Table134[[#This Row],[Normal Grain Harvest]]-Table134[[#This Row],[Required Grain]]</f>
        <v>3567500</v>
      </c>
      <c r="L14" s="3">
        <f>(Table134[[#This Row],[Suplus Grain]]/2)/2000</f>
        <v>891.875</v>
      </c>
      <c r="M14" t="s">
        <v>86</v>
      </c>
      <c r="P14" s="4">
        <f>(Table134[[#This Row],[Tax Income in Talents]]+Table134[[#This Row],[Trade Income]]-Table134[[#This Row],[Other Expenditure]]-Table134[[#This Row],[Garrisoned Soldier Cost]])</f>
        <v>-608.125</v>
      </c>
    </row>
    <row r="15" spans="1:16" x14ac:dyDescent="0.25">
      <c r="A15" t="s">
        <v>105</v>
      </c>
      <c r="B15" t="s">
        <v>96</v>
      </c>
      <c r="C15" s="1">
        <v>200</v>
      </c>
      <c r="D15">
        <v>100</v>
      </c>
      <c r="E15" s="1">
        <v>1000000</v>
      </c>
      <c r="F15" s="1">
        <v>20000</v>
      </c>
      <c r="G15" s="6">
        <f>Table134[[#This Row],[Normal Grain Harvest]]*0.6</f>
        <v>4500000</v>
      </c>
      <c r="H15" s="1">
        <v>7500000</v>
      </c>
      <c r="I15" s="1">
        <f>Table134[[#This Row],[Normal Grain Harvest]]*1.3</f>
        <v>9750000</v>
      </c>
      <c r="J15" s="1">
        <f>(Table134[[#This Row],[Population]]*365)/1000</f>
        <v>365000</v>
      </c>
      <c r="K15" s="1">
        <f>Table134[[#This Row],[Normal Grain Harvest]]-Table134[[#This Row],[Required Grain]]</f>
        <v>7135000</v>
      </c>
      <c r="L15" s="3">
        <f>(Table134[[#This Row],[Suplus Grain]]/2)/2000</f>
        <v>1783.75</v>
      </c>
      <c r="M15" t="s">
        <v>86</v>
      </c>
      <c r="P15" s="4">
        <f>(Table134[[#This Row],[Tax Income in Talents]]+Table134[[#This Row],[Trade Income]]-Table134[[#This Row],[Other Expenditure]]-Table134[[#This Row],[Garrisoned Soldier Cost]])</f>
        <v>1683.75</v>
      </c>
    </row>
    <row r="16" spans="1:16" x14ac:dyDescent="0.25">
      <c r="A16" t="s">
        <v>48</v>
      </c>
      <c r="B16" t="s">
        <v>96</v>
      </c>
      <c r="C16" s="1">
        <v>6000</v>
      </c>
      <c r="D16">
        <v>2400</v>
      </c>
      <c r="E16" s="1">
        <v>3500000</v>
      </c>
      <c r="F16" s="1">
        <v>80000</v>
      </c>
      <c r="G16" s="1">
        <f>Table134[[#This Row],[Normal Grain Harvest]]*0.6</f>
        <v>13905000</v>
      </c>
      <c r="H16" s="1">
        <v>23175000</v>
      </c>
      <c r="I16" s="6">
        <f>Table134[[#This Row],[Normal Grain Harvest]]*1.3</f>
        <v>30127500</v>
      </c>
      <c r="J16" s="1">
        <f>(Table134[[#This Row],[Population]]*365)/1000</f>
        <v>1277500</v>
      </c>
      <c r="K16" s="1">
        <f>Table134[[#This Row],[Normal Grain Harvest]]-Table134[[#This Row],[Required Grain]]</f>
        <v>21897500</v>
      </c>
      <c r="L16" s="3">
        <f>(Table134[[#This Row],[Suplus Grain]]/2)/2000</f>
        <v>5474.375</v>
      </c>
      <c r="M16">
        <v>273</v>
      </c>
      <c r="P16" s="4">
        <f>(Table134[[#This Row],[Tax Income in Talents]]+Table134[[#This Row],[Trade Income]]-Table134[[#This Row],[Other Expenditure]]-Table134[[#This Row],[Garrisoned Soldier Cost]])</f>
        <v>3074.375</v>
      </c>
    </row>
    <row r="17" spans="1:16" x14ac:dyDescent="0.25">
      <c r="A17" t="s">
        <v>49</v>
      </c>
      <c r="B17" t="s">
        <v>101</v>
      </c>
      <c r="C17" s="1">
        <v>5000</v>
      </c>
      <c r="D17">
        <v>2500</v>
      </c>
      <c r="E17" s="1">
        <v>2000000</v>
      </c>
      <c r="F17" s="1">
        <v>45000</v>
      </c>
      <c r="G17" s="1">
        <f>Table134[[#This Row],[Normal Grain Harvest]]*0.6</f>
        <v>7800000</v>
      </c>
      <c r="H17" s="1">
        <v>13000000</v>
      </c>
      <c r="I17" s="6">
        <f>Table134[[#This Row],[Normal Grain Harvest]]*1.3</f>
        <v>16900000</v>
      </c>
      <c r="J17" s="1">
        <f>(Table134[[#This Row],[Population]]*365)/1000</f>
        <v>730000</v>
      </c>
      <c r="K17" s="1">
        <f>Table134[[#This Row],[Low Grain Harvest]]-Table134[[#This Row],[Required Grain]]</f>
        <v>7070000</v>
      </c>
      <c r="L17" s="3">
        <f>(Table134[[#This Row],[Suplus Grain]]/2)/2000</f>
        <v>1767.5</v>
      </c>
      <c r="M17" t="s">
        <v>85</v>
      </c>
      <c r="P17" s="4">
        <f>(Table134[[#This Row],[Tax Income in Talents]]+Table134[[#This Row],[Trade Income]]-Table134[[#This Row],[Other Expenditure]]-Table134[[#This Row],[Garrisoned Soldier Cost]])</f>
        <v>-732.5</v>
      </c>
    </row>
    <row r="18" spans="1:16" x14ac:dyDescent="0.25">
      <c r="A18" t="s">
        <v>50</v>
      </c>
      <c r="B18" t="s">
        <v>103</v>
      </c>
      <c r="C18" s="1">
        <v>5000</v>
      </c>
      <c r="D18">
        <v>2500</v>
      </c>
      <c r="E18" s="1">
        <v>1500000</v>
      </c>
      <c r="F18" s="1">
        <v>40000</v>
      </c>
      <c r="G18" s="1">
        <f>Table134[[#This Row],[Normal Grain Harvest]]*0.6</f>
        <v>7800000</v>
      </c>
      <c r="H18" s="1">
        <v>13000000</v>
      </c>
      <c r="I18" s="1">
        <f>Table134[[#This Row],[Normal Grain Harvest]]*1.3</f>
        <v>16900000</v>
      </c>
      <c r="J18" s="1">
        <f>(Table134[[#This Row],[Population]]*365)/1000</f>
        <v>547500</v>
      </c>
      <c r="K18" s="1">
        <f>Table134[[#This Row],[Normal Grain Harvest]]-Table134[[#This Row],[Required Grain]]</f>
        <v>12452500</v>
      </c>
      <c r="L18" s="3">
        <f>(Table134[[#This Row],[Suplus Grain]]/2)/2000</f>
        <v>3113.125</v>
      </c>
      <c r="M18" t="s">
        <v>85</v>
      </c>
      <c r="N18">
        <v>10</v>
      </c>
      <c r="P18" s="4">
        <f>(Table134[[#This Row],[Tax Income in Talents]]+Table134[[#This Row],[Trade Income]]-Table134[[#This Row],[Other Expenditure]]-Table134[[#This Row],[Garrisoned Soldier Cost]])</f>
        <v>623.125</v>
      </c>
    </row>
    <row r="19" spans="1:16" x14ac:dyDescent="0.25">
      <c r="A19" t="s">
        <v>51</v>
      </c>
      <c r="B19" t="s">
        <v>97</v>
      </c>
      <c r="C19" s="1">
        <v>5000</v>
      </c>
      <c r="D19">
        <v>2500</v>
      </c>
      <c r="E19" s="1">
        <v>1000000</v>
      </c>
      <c r="F19" s="1">
        <v>45000</v>
      </c>
      <c r="G19" s="1">
        <f>Table134[[#This Row],[Normal Grain Harvest]]*0.6</f>
        <v>7800000</v>
      </c>
      <c r="H19" s="1">
        <v>13000000</v>
      </c>
      <c r="I19" s="1">
        <f>Table134[[#This Row],[Normal Grain Harvest]]*1.3</f>
        <v>16900000</v>
      </c>
      <c r="J19" s="1">
        <f>(Table134[[#This Row],[Population]]*365)/1000</f>
        <v>365000</v>
      </c>
      <c r="K19" s="1">
        <f>Table134[[#This Row],[Normal Grain Harvest]]-Table134[[#This Row],[Required Grain]]</f>
        <v>12635000</v>
      </c>
      <c r="L19" s="3">
        <f>(Table134[[#This Row],[Suplus Grain]]/2)/2000</f>
        <v>3158.75</v>
      </c>
      <c r="M19" t="s">
        <v>56</v>
      </c>
      <c r="P19" s="4">
        <f>(Table134[[#This Row],[Tax Income in Talents]]+Table134[[#This Row],[Trade Income]]-Table134[[#This Row],[Other Expenditure]]-Table134[[#This Row],[Garrisoned Soldier Cost]])</f>
        <v>658.75</v>
      </c>
    </row>
    <row r="20" spans="1:16" x14ac:dyDescent="0.25">
      <c r="A20" t="s">
        <v>70</v>
      </c>
      <c r="B20" t="s">
        <v>30</v>
      </c>
      <c r="C20" s="1">
        <v>5000</v>
      </c>
      <c r="D20">
        <v>2500</v>
      </c>
      <c r="E20" s="1">
        <v>2250000</v>
      </c>
      <c r="F20" s="1">
        <v>45000</v>
      </c>
      <c r="G20" s="1">
        <f>Table134[[#This Row],[Normal Grain Harvest]]*0.6</f>
        <v>7800000</v>
      </c>
      <c r="H20" s="1">
        <v>13000000</v>
      </c>
      <c r="I20" s="1">
        <f>Table134[[#This Row],[Normal Grain Harvest]]*1.3</f>
        <v>16900000</v>
      </c>
      <c r="J20" s="1">
        <f>(Table134[[#This Row],[Population]]*365)/1000</f>
        <v>821250</v>
      </c>
      <c r="K20" s="1">
        <f>Table134[[#This Row],[Low Grain Harvest]]-Table134[[#This Row],[Required Grain]]</f>
        <v>6978750</v>
      </c>
      <c r="L20" s="3">
        <f>(Table134[[#This Row],[Suplus Grain]]/2)/2000</f>
        <v>1744.6875</v>
      </c>
      <c r="M20" t="s">
        <v>57</v>
      </c>
      <c r="P20" s="4">
        <f>(Table134[[#This Row],[Tax Income in Talents]]+Table134[[#This Row],[Trade Income]]-Table134[[#This Row],[Other Expenditure]]-Table134[[#This Row],[Garrisoned Soldier Cost]])</f>
        <v>-755.3125</v>
      </c>
    </row>
    <row r="21" spans="1:16" x14ac:dyDescent="0.25">
      <c r="A21" t="s">
        <v>68</v>
      </c>
      <c r="B21" t="s">
        <v>109</v>
      </c>
      <c r="C21" s="1">
        <v>3000</v>
      </c>
      <c r="D21">
        <v>1500</v>
      </c>
      <c r="E21" s="1">
        <v>750000</v>
      </c>
      <c r="F21">
        <v>7000</v>
      </c>
      <c r="G21" s="1">
        <f>Table134[[#This Row],[Normal Grain Harvest]]*0.6</f>
        <v>3900000</v>
      </c>
      <c r="H21" s="1">
        <v>6500000</v>
      </c>
      <c r="I21" s="1">
        <f>Table134[[#This Row],[Normal Grain Harvest]]*1.3</f>
        <v>8450000</v>
      </c>
      <c r="J21" s="1">
        <f>(Table134[[#This Row],[Population]]*365)/1000</f>
        <v>273750</v>
      </c>
      <c r="K21" s="1">
        <f>Table134[[#This Row],[Low Grain Harvest]]-Table134[[#This Row],[Required Grain]]</f>
        <v>3626250</v>
      </c>
      <c r="L21" s="3">
        <f>(Table134[[#This Row],[Suplus Grain]]/2)/2000</f>
        <v>906.5625</v>
      </c>
      <c r="M21" t="s">
        <v>88</v>
      </c>
      <c r="P21" s="4">
        <f>(Table134[[#This Row],[Tax Income in Talents]]+Table134[[#This Row],[Trade Income]]-Table134[[#This Row],[Other Expenditure]]-Table134[[#This Row],[Garrisoned Soldier Cost]])</f>
        <v>-593.4375</v>
      </c>
    </row>
    <row r="22" spans="1:16" x14ac:dyDescent="0.25">
      <c r="A22" t="s">
        <v>69</v>
      </c>
      <c r="B22" t="s">
        <v>98</v>
      </c>
      <c r="C22" s="1">
        <v>3000</v>
      </c>
      <c r="D22">
        <v>1500</v>
      </c>
      <c r="E22" s="1">
        <v>1000000</v>
      </c>
      <c r="F22" s="1">
        <v>20000</v>
      </c>
      <c r="G22" s="1">
        <f>Table134[[#This Row],[Normal Grain Harvest]]*0.6</f>
        <v>4500000</v>
      </c>
      <c r="H22" s="1">
        <v>7500000</v>
      </c>
      <c r="I22" s="6">
        <f>Table134[[#This Row],[Normal Grain Harvest]]*1.3</f>
        <v>9750000</v>
      </c>
      <c r="J22" s="1">
        <f>(Table134[[#This Row],[Population]]*365)/1000</f>
        <v>365000</v>
      </c>
      <c r="K22" s="1">
        <f>Table134[[#This Row],[Normal Grain Harvest]]-Table134[[#This Row],[Required Grain]]</f>
        <v>7135000</v>
      </c>
      <c r="L22" s="3">
        <f>(Table134[[#This Row],[Suplus Grain]]/2)/2000</f>
        <v>1783.75</v>
      </c>
      <c r="M22" t="s">
        <v>92</v>
      </c>
      <c r="P22" s="4">
        <f>(Table134[[#This Row],[Tax Income in Talents]]+Table134[[#This Row],[Trade Income]]-Table134[[#This Row],[Other Expenditure]]-Table134[[#This Row],[Garrisoned Soldier Cost]])</f>
        <v>283.75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opLeftCell="A11" workbookViewId="0">
      <pane xSplit="1" topLeftCell="B1" activePane="topRight" state="frozen"/>
      <selection activeCell="A13" sqref="A13"/>
      <selection pane="topRight" activeCell="B19" sqref="B19"/>
    </sheetView>
  </sheetViews>
  <sheetFormatPr defaultRowHeight="15" x14ac:dyDescent="0.25"/>
  <cols>
    <col min="1" max="1" width="23.85546875" customWidth="1"/>
    <col min="2" max="2" width="33.42578125" customWidth="1"/>
    <col min="8" max="8" width="10.140625" bestFit="1" customWidth="1"/>
    <col min="9" max="9" width="11.7109375" customWidth="1"/>
    <col min="11" max="11" width="10.140625" bestFit="1" customWidth="1"/>
  </cols>
  <sheetData>
    <row r="1" spans="1:16" x14ac:dyDescent="0.25">
      <c r="A1" t="s">
        <v>33</v>
      </c>
      <c r="B1" t="s">
        <v>62</v>
      </c>
      <c r="C1" t="s">
        <v>66</v>
      </c>
      <c r="D1" t="s">
        <v>65</v>
      </c>
      <c r="E1" t="s">
        <v>34</v>
      </c>
      <c r="F1" t="s">
        <v>55</v>
      </c>
      <c r="G1" t="s">
        <v>35</v>
      </c>
      <c r="H1" t="s">
        <v>36</v>
      </c>
      <c r="I1" t="s">
        <v>37</v>
      </c>
      <c r="J1" t="s">
        <v>38</v>
      </c>
      <c r="K1" t="s">
        <v>58</v>
      </c>
      <c r="L1" t="s">
        <v>59</v>
      </c>
      <c r="M1" t="s">
        <v>40</v>
      </c>
      <c r="N1" t="s">
        <v>60</v>
      </c>
      <c r="O1" t="s">
        <v>64</v>
      </c>
      <c r="P1" t="s">
        <v>61</v>
      </c>
    </row>
    <row r="2" spans="1:16" x14ac:dyDescent="0.25">
      <c r="A2" t="s">
        <v>39</v>
      </c>
      <c r="B2" t="s">
        <v>19</v>
      </c>
      <c r="C2" s="1">
        <v>1000</v>
      </c>
      <c r="D2">
        <v>500</v>
      </c>
      <c r="E2" s="1">
        <v>200000</v>
      </c>
      <c r="F2" s="1">
        <v>12000</v>
      </c>
      <c r="G2" s="1">
        <f>Table1345[[#This Row],[Normal Grain Harvest]]*0.6</f>
        <v>1500000</v>
      </c>
      <c r="H2" s="1">
        <v>2500000</v>
      </c>
      <c r="I2" s="1">
        <f>Table1345[[#This Row],[Normal Grain Harvest]]*1.3</f>
        <v>3250000</v>
      </c>
      <c r="J2" s="1">
        <f>(Table1345[[#This Row],[Population]]*365)/1000</f>
        <v>73000</v>
      </c>
      <c r="K2" s="1">
        <f>Table1345[[#This Row],[Normal Grain Harvest]]-Table1345[[#This Row],[Required Grain]]</f>
        <v>2427000</v>
      </c>
      <c r="L2" s="3">
        <f>(Table1345[[#This Row],[Suplus Grain]]/2)/2000</f>
        <v>606.75</v>
      </c>
      <c r="M2" t="s">
        <v>41</v>
      </c>
      <c r="P2" s="4">
        <f>(Table1345[[#This Row],[Tax Income in Talents]]+Table1345[[#This Row],[Trade Income]]-Table1345[[#This Row],[Other Expenditure]]-Table1345[[#This Row],[Garrisoned Soldier Cost]])</f>
        <v>106.75</v>
      </c>
    </row>
    <row r="3" spans="1:16" x14ac:dyDescent="0.25">
      <c r="A3" t="s">
        <v>42</v>
      </c>
      <c r="B3" t="s">
        <v>104</v>
      </c>
      <c r="C3" s="1">
        <v>1000</v>
      </c>
      <c r="D3">
        <v>500</v>
      </c>
      <c r="E3" s="1">
        <v>200000</v>
      </c>
      <c r="F3">
        <v>7000</v>
      </c>
      <c r="G3" s="1">
        <f>Table1345[[#This Row],[Normal Grain Harvest]]*0.6</f>
        <v>1500000</v>
      </c>
      <c r="H3" s="1">
        <v>2500000</v>
      </c>
      <c r="I3" s="1">
        <f>Table1345[[#This Row],[Normal Grain Harvest]]*1.3</f>
        <v>3250000</v>
      </c>
      <c r="J3" s="1">
        <f>(Table1345[[#This Row],[Population]]*365)/1000</f>
        <v>73000</v>
      </c>
      <c r="K3" s="1">
        <f>Table1345[[#This Row],[Low Grain Harvest]]-Table1345[[#This Row],[Required Grain]]</f>
        <v>1427000</v>
      </c>
      <c r="L3" s="3">
        <f>(Table1345[[#This Row],[Suplus Grain]]/2)/2000</f>
        <v>356.75</v>
      </c>
      <c r="M3" t="s">
        <v>43</v>
      </c>
      <c r="P3" s="4">
        <f>(Table1345[[#This Row],[Tax Income in Talents]]+Table1345[[#This Row],[Trade Income]]-Table1345[[#This Row],[Other Expenditure]]-Table1345[[#This Row],[Garrisoned Soldier Cost]])</f>
        <v>-143.25</v>
      </c>
    </row>
    <row r="4" spans="1:16" x14ac:dyDescent="0.25">
      <c r="A4" t="s">
        <v>53</v>
      </c>
      <c r="C4" s="1">
        <v>3000</v>
      </c>
      <c r="D4">
        <v>1500</v>
      </c>
      <c r="E4" s="1">
        <v>500000</v>
      </c>
      <c r="F4" s="1">
        <v>15000</v>
      </c>
      <c r="G4" s="1">
        <f>Table1345[[#This Row],[Normal Grain Harvest]]*0.6</f>
        <v>4050000</v>
      </c>
      <c r="H4" s="1">
        <v>6750000</v>
      </c>
      <c r="I4" s="1">
        <f>Table1345[[#This Row],[Normal Grain Harvest]]*1.3</f>
        <v>8775000</v>
      </c>
      <c r="J4" s="1">
        <f>(Table1345[[#This Row],[Population]]*365)/1000</f>
        <v>182500</v>
      </c>
      <c r="K4" s="1">
        <f>Table1345[[#This Row],[Normal Grain Harvest]]-Table1345[[#This Row],[Required Grain]]</f>
        <v>6567500</v>
      </c>
      <c r="L4" s="3">
        <f>(Table1345[[#This Row],[Suplus Grain]]/2)/2000</f>
        <v>1641.875</v>
      </c>
      <c r="M4" t="s">
        <v>93</v>
      </c>
      <c r="P4" s="4">
        <f>(Table1345[[#This Row],[Tax Income in Talents]]+Table1345[[#This Row],[Trade Income]]-Table1345[[#This Row],[Other Expenditure]]-Table1345[[#This Row],[Garrisoned Soldier Cost]])</f>
        <v>141.875</v>
      </c>
    </row>
    <row r="5" spans="1:16" x14ac:dyDescent="0.25">
      <c r="A5" t="s">
        <v>94</v>
      </c>
      <c r="C5" s="1">
        <v>2700</v>
      </c>
      <c r="D5">
        <v>1350</v>
      </c>
      <c r="E5" s="1">
        <v>450000</v>
      </c>
      <c r="F5" s="1">
        <v>15000</v>
      </c>
      <c r="G5" s="6">
        <f>Table1345[[#This Row],[Normal Grain Harvest]]*0.6</f>
        <v>4050000</v>
      </c>
      <c r="H5" s="1">
        <v>6750000</v>
      </c>
      <c r="I5" s="1">
        <f>Table1345[[#This Row],[Normal Grain Harvest]]*1.3</f>
        <v>8775000</v>
      </c>
      <c r="J5" s="1">
        <f>(Table1345[[#This Row],[Population]]*365)/1000</f>
        <v>164250</v>
      </c>
      <c r="K5" s="1">
        <f>Table1345[[#This Row],[Normal Grain Harvest]]-Table1345[[#This Row],[Required Grain]]</f>
        <v>6585750</v>
      </c>
      <c r="L5" s="3">
        <f>(Table1345[[#This Row],[Suplus Grain]]/2)/2000</f>
        <v>1646.4375</v>
      </c>
      <c r="M5" t="s">
        <v>93</v>
      </c>
      <c r="N5">
        <v>200</v>
      </c>
      <c r="P5" s="4">
        <f>(Table1345[[#This Row],[Tax Income in Talents]]+Table1345[[#This Row],[Trade Income]]-Table1345[[#This Row],[Other Expenditure]]-Table1345[[#This Row],[Garrisoned Soldier Cost]])</f>
        <v>496.4375</v>
      </c>
    </row>
    <row r="6" spans="1:16" x14ac:dyDescent="0.25">
      <c r="A6" t="s">
        <v>119</v>
      </c>
      <c r="C6" s="1">
        <v>3000</v>
      </c>
      <c r="D6">
        <v>1500</v>
      </c>
      <c r="E6" s="1">
        <v>500000</v>
      </c>
      <c r="F6" s="1">
        <v>13000</v>
      </c>
      <c r="G6" s="1">
        <f>Table1345[[#This Row],[Normal Grain Harvest]]*0.6</f>
        <v>4050000</v>
      </c>
      <c r="H6" s="1">
        <v>6750000</v>
      </c>
      <c r="I6" s="1">
        <f>Table1345[[#This Row],[Normal Grain Harvest]]*1.3</f>
        <v>8775000</v>
      </c>
      <c r="J6" s="1">
        <f>(Table1345[[#This Row],[Population]]*365)/1000</f>
        <v>182500</v>
      </c>
      <c r="K6" s="1">
        <f>Table1345[[#This Row],[Normal Grain Harvest]]-Table1345[[#This Row],[Required Grain]]</f>
        <v>6567500</v>
      </c>
      <c r="L6" s="3">
        <f>(Table1345[[#This Row],[Suplus Grain]]/2)/2000</f>
        <v>1641.875</v>
      </c>
      <c r="M6" t="s">
        <v>93</v>
      </c>
      <c r="P6" s="4">
        <f>(Table1345[[#This Row],[Tax Income in Talents]]+Table1345[[#This Row],[Trade Income]]-Table1345[[#This Row],[Other Expenditure]]-Table1345[[#This Row],[Garrisoned Soldier Cost]])</f>
        <v>141.875</v>
      </c>
    </row>
    <row r="7" spans="1:16" x14ac:dyDescent="0.25">
      <c r="A7" t="s">
        <v>52</v>
      </c>
      <c r="B7" t="s">
        <v>111</v>
      </c>
      <c r="C7" s="1">
        <v>3000</v>
      </c>
      <c r="D7">
        <v>1500</v>
      </c>
      <c r="E7" s="1">
        <v>500000</v>
      </c>
      <c r="F7" s="1">
        <v>13000</v>
      </c>
      <c r="G7" s="1">
        <f>Table1345[[#This Row],[Normal Grain Harvest]]*0.6</f>
        <v>4050000</v>
      </c>
      <c r="H7" s="1">
        <v>6750000</v>
      </c>
      <c r="I7" s="1">
        <f>Table1345[[#This Row],[Normal Grain Harvest]]*1.3</f>
        <v>8775000</v>
      </c>
      <c r="J7" s="1">
        <f>(Table1345[[#This Row],[Population]]*365)/1000</f>
        <v>182500</v>
      </c>
      <c r="K7" s="1">
        <f>Table1345[[#This Row],[Normal Grain Harvest]]-Table1345[[#This Row],[Required Grain]]</f>
        <v>6567500</v>
      </c>
      <c r="L7" s="3">
        <f>(Table1345[[#This Row],[Suplus Grain]]/2)/2000</f>
        <v>1641.875</v>
      </c>
      <c r="M7" t="s">
        <v>93</v>
      </c>
      <c r="P7" s="4">
        <f>(Table1345[[#This Row],[Tax Income in Talents]]+Table1345[[#This Row],[Trade Income]]-Table1345[[#This Row],[Other Expenditure]]-Table1345[[#This Row],[Garrisoned Soldier Cost]])</f>
        <v>141.875</v>
      </c>
    </row>
    <row r="8" spans="1:16" x14ac:dyDescent="0.25">
      <c r="A8" t="s">
        <v>44</v>
      </c>
      <c r="B8" t="s">
        <v>99</v>
      </c>
      <c r="C8" s="1">
        <v>3000</v>
      </c>
      <c r="D8">
        <v>1500</v>
      </c>
      <c r="E8" s="1">
        <v>500000</v>
      </c>
      <c r="F8" s="1">
        <v>10000</v>
      </c>
      <c r="G8" s="6">
        <f>Table1345[[#This Row],[Normal Grain Harvest]]*0.6</f>
        <v>4050000</v>
      </c>
      <c r="H8" s="1">
        <v>6750000</v>
      </c>
      <c r="I8" s="1">
        <f>Table1345[[#This Row],[Normal Grain Harvest]]*1.3</f>
        <v>8775000</v>
      </c>
      <c r="J8" s="1">
        <f>(Table1345[[#This Row],[Population]]*365)/1000</f>
        <v>182500</v>
      </c>
      <c r="K8" s="1">
        <f>Table1345[[#This Row],[Normal Grain Harvest]]-Table1345[[#This Row],[Required Grain]]</f>
        <v>6567500</v>
      </c>
      <c r="L8" s="3">
        <f>(Table1345[[#This Row],[Suplus Grain]]/2)/2000</f>
        <v>1641.875</v>
      </c>
      <c r="M8" t="s">
        <v>90</v>
      </c>
      <c r="P8" s="4">
        <f>(Table1345[[#This Row],[Tax Income in Talents]]+Table1345[[#This Row],[Trade Income]]-Table1345[[#This Row],[Other Expenditure]]-Table1345[[#This Row],[Garrisoned Soldier Cost]])</f>
        <v>141.875</v>
      </c>
    </row>
    <row r="9" spans="1:16" x14ac:dyDescent="0.25">
      <c r="A9" t="s">
        <v>45</v>
      </c>
      <c r="B9" t="s">
        <v>24</v>
      </c>
      <c r="C9" s="1">
        <v>4000</v>
      </c>
      <c r="D9">
        <v>1800</v>
      </c>
      <c r="E9" s="1">
        <v>500000</v>
      </c>
      <c r="F9" s="1">
        <v>20000</v>
      </c>
      <c r="G9" s="1">
        <f>Table1345[[#This Row],[Normal Grain Harvest]]*0.6</f>
        <v>4050000</v>
      </c>
      <c r="H9" s="1">
        <v>6750000</v>
      </c>
      <c r="I9" s="1">
        <f>Table1345[[#This Row],[Normal Grain Harvest]]*1.3</f>
        <v>8775000</v>
      </c>
      <c r="J9" s="1">
        <f>(Table1345[[#This Row],[Population]]*365)/1000</f>
        <v>182500</v>
      </c>
      <c r="K9" s="1">
        <f>Table1345[[#This Row],[High Grain Harvest]]-Table1345[[#This Row],[Required Grain]]</f>
        <v>8592500</v>
      </c>
      <c r="L9" s="3">
        <f>(Table1345[[#This Row],[Suplus Grain]]/2)/2000</f>
        <v>2148.125</v>
      </c>
      <c r="M9" t="s">
        <v>89</v>
      </c>
      <c r="P9" s="4">
        <f>(Table1345[[#This Row],[Tax Income in Talents]]+Table1345[[#This Row],[Trade Income]]-Table1345[[#This Row],[Other Expenditure]]-Table1345[[#This Row],[Garrisoned Soldier Cost]])</f>
        <v>348.125</v>
      </c>
    </row>
    <row r="10" spans="1:16" x14ac:dyDescent="0.25">
      <c r="A10" t="s">
        <v>46</v>
      </c>
      <c r="B10" t="s">
        <v>99</v>
      </c>
      <c r="C10" s="1">
        <v>3000</v>
      </c>
      <c r="D10">
        <v>1500</v>
      </c>
      <c r="E10" s="1">
        <v>500000</v>
      </c>
      <c r="F10" s="1">
        <v>20000</v>
      </c>
      <c r="G10" s="1">
        <f>Table1345[[#This Row],[Normal Grain Harvest]]*0.6</f>
        <v>4050000</v>
      </c>
      <c r="H10" s="1">
        <v>6750000</v>
      </c>
      <c r="I10" s="1">
        <f>Table1345[[#This Row],[Normal Grain Harvest]]*1.3</f>
        <v>8775000</v>
      </c>
      <c r="J10" s="1">
        <f>(Table1345[[#This Row],[Population]]*365)/1000</f>
        <v>182500</v>
      </c>
      <c r="K10" s="1">
        <f>Table1345[[#This Row],[Low Grain Harvest]]-Table1345[[#This Row],[Required Grain]]</f>
        <v>3867500</v>
      </c>
      <c r="L10" s="3">
        <f>(Table1345[[#This Row],[Suplus Grain]]/2)/2000</f>
        <v>966.875</v>
      </c>
      <c r="M10" t="s">
        <v>88</v>
      </c>
      <c r="P10" s="4">
        <f>(Table1345[[#This Row],[Tax Income in Talents]]+Table1345[[#This Row],[Trade Income]]-Table1345[[#This Row],[Other Expenditure]]-Table1345[[#This Row],[Garrisoned Soldier Cost]])</f>
        <v>-533.125</v>
      </c>
    </row>
    <row r="11" spans="1:16" x14ac:dyDescent="0.25">
      <c r="A11" t="s">
        <v>67</v>
      </c>
      <c r="B11" t="s">
        <v>24</v>
      </c>
      <c r="C11" s="1">
        <v>4000</v>
      </c>
      <c r="D11">
        <v>1800</v>
      </c>
      <c r="E11" s="1">
        <v>400000</v>
      </c>
      <c r="F11" s="1">
        <v>20000</v>
      </c>
      <c r="G11" s="1">
        <f>Table1345[[#This Row],[Normal Grain Harvest]]*0.6</f>
        <v>4050000</v>
      </c>
      <c r="H11" s="1">
        <v>6750000</v>
      </c>
      <c r="I11" s="1">
        <f>Table1345[[#This Row],[Normal Grain Harvest]]*1.3</f>
        <v>8775000</v>
      </c>
      <c r="J11" s="1">
        <f>(Table1345[[#This Row],[Population]]*365)/1000</f>
        <v>146000</v>
      </c>
      <c r="K11" s="1">
        <f>Table1345[[#This Row],[High Grain Harvest]]-Table1345[[#This Row],[Required Grain]]</f>
        <v>8629000</v>
      </c>
      <c r="L11" s="3">
        <f>(Table1345[[#This Row],[Suplus Grain]]/2)/2000</f>
        <v>2157.25</v>
      </c>
      <c r="M11" t="s">
        <v>91</v>
      </c>
      <c r="P11" s="4">
        <f>(Table1345[[#This Row],[Tax Income in Talents]]+Table1345[[#This Row],[Trade Income]]-Table1345[[#This Row],[Other Expenditure]]-Table1345[[#This Row],[Garrisoned Soldier Cost]])</f>
        <v>357.25</v>
      </c>
    </row>
    <row r="12" spans="1:16" x14ac:dyDescent="0.25">
      <c r="A12" t="s">
        <v>25</v>
      </c>
      <c r="B12" t="s">
        <v>24</v>
      </c>
      <c r="C12" s="1">
        <v>4000</v>
      </c>
      <c r="D12">
        <v>1800</v>
      </c>
      <c r="E12" s="1">
        <v>750000</v>
      </c>
      <c r="F12" s="1">
        <v>13000</v>
      </c>
      <c r="G12" s="1">
        <f>Table1345[[#This Row],[Normal Grain Harvest]]*0.6</f>
        <v>4050000</v>
      </c>
      <c r="H12" s="1">
        <v>6750000</v>
      </c>
      <c r="I12" s="1">
        <f>Table1345[[#This Row],[Normal Grain Harvest]]*1.3</f>
        <v>8775000</v>
      </c>
      <c r="J12" s="1">
        <f>(Table1345[[#This Row],[Population]]*365)/1000</f>
        <v>273750</v>
      </c>
      <c r="K12" s="1">
        <f>Table1345[[#This Row],[High Grain Harvest]]-Table1345[[#This Row],[Required Grain]]</f>
        <v>8501250</v>
      </c>
      <c r="L12" s="3">
        <f>(Table1345[[#This Row],[Suplus Grain]]/2)/2000</f>
        <v>2125.3125</v>
      </c>
      <c r="M12" t="s">
        <v>87</v>
      </c>
      <c r="P12" s="4">
        <f>(Table1345[[#This Row],[Tax Income in Talents]]+Table1345[[#This Row],[Trade Income]]-Table1345[[#This Row],[Other Expenditure]]-Table1345[[#This Row],[Garrisoned Soldier Cost]])</f>
        <v>325.3125</v>
      </c>
    </row>
    <row r="13" spans="1:16" x14ac:dyDescent="0.25">
      <c r="A13" t="s">
        <v>47</v>
      </c>
      <c r="B13" t="s">
        <v>103</v>
      </c>
      <c r="C13" s="1">
        <v>1000</v>
      </c>
      <c r="D13">
        <v>1000</v>
      </c>
      <c r="E13" s="1">
        <v>500000</v>
      </c>
      <c r="F13" s="1">
        <v>10000</v>
      </c>
      <c r="G13" s="1">
        <f>Table1345[[#This Row],[Normal Grain Harvest]]*0.6</f>
        <v>2925000</v>
      </c>
      <c r="H13" s="1">
        <v>4875000</v>
      </c>
      <c r="I13" s="1">
        <f>Table1345[[#This Row],[Normal Grain Harvest]]*1.3</f>
        <v>6337500</v>
      </c>
      <c r="J13" s="1">
        <f>(Table1345[[#This Row],[Population]]*365)/1000</f>
        <v>182500</v>
      </c>
      <c r="K13" s="1">
        <f>Table1345[[#This Row],[Low Grain Harvest]]-Table1345[[#This Row],[Normal Grain Harvest]]</f>
        <v>-1950000</v>
      </c>
      <c r="L13" s="3">
        <f>(Table1345[[#This Row],[Suplus Grain]]/2)/2000</f>
        <v>-487.5</v>
      </c>
      <c r="M13" t="s">
        <v>86</v>
      </c>
      <c r="P13" s="4">
        <f>(Table1345[[#This Row],[Tax Income in Talents]]+Table1345[[#This Row],[Trade Income]]-Table1345[[#This Row],[Other Expenditure]]-Table1345[[#This Row],[Garrisoned Soldier Cost]])</f>
        <v>-1487.5</v>
      </c>
    </row>
    <row r="14" spans="1:16" x14ac:dyDescent="0.25">
      <c r="A14" t="s">
        <v>120</v>
      </c>
      <c r="B14" t="s">
        <v>96</v>
      </c>
      <c r="C14" s="1">
        <v>3000</v>
      </c>
      <c r="D14">
        <v>2000</v>
      </c>
      <c r="E14" s="1">
        <v>500000</v>
      </c>
      <c r="F14" s="1">
        <v>10000</v>
      </c>
      <c r="G14" s="1">
        <f>Table1345[[#This Row],[Normal Grain Harvest]]*0.6</f>
        <v>2250000</v>
      </c>
      <c r="H14" s="1">
        <v>3750000</v>
      </c>
      <c r="I14" s="1">
        <f>Table1345[[#This Row],[Normal Grain Harvest]]*1.3</f>
        <v>4875000</v>
      </c>
      <c r="J14" s="1">
        <f>(Table1345[[#This Row],[Population]]*365)/1000</f>
        <v>182500</v>
      </c>
      <c r="K14" s="1">
        <f>Table1345[[#This Row],[High Grain Harvest]]-Table1345[[#This Row],[Required Grain]]</f>
        <v>4692500</v>
      </c>
      <c r="L14" s="3">
        <f>(Table1345[[#This Row],[Suplus Grain]]/2)/2000</f>
        <v>1173.125</v>
      </c>
      <c r="M14" t="s">
        <v>86</v>
      </c>
      <c r="P14" s="4">
        <f>(Table1345[[#This Row],[Tax Income in Talents]]+Table1345[[#This Row],[Trade Income]]-Table1345[[#This Row],[Other Expenditure]]-Table1345[[#This Row],[Garrisoned Soldier Cost]])</f>
        <v>-826.875</v>
      </c>
    </row>
    <row r="15" spans="1:16" x14ac:dyDescent="0.25">
      <c r="A15" t="s">
        <v>105</v>
      </c>
      <c r="B15" t="s">
        <v>96</v>
      </c>
      <c r="C15" s="1">
        <v>500</v>
      </c>
      <c r="D15">
        <v>250</v>
      </c>
      <c r="E15" s="1">
        <v>1000000</v>
      </c>
      <c r="F15" s="1">
        <v>20000</v>
      </c>
      <c r="G15" s="6">
        <f>Table1345[[#This Row],[Normal Grain Harvest]]*0.6</f>
        <v>4500000</v>
      </c>
      <c r="H15" s="1">
        <v>7500000</v>
      </c>
      <c r="I15" s="1">
        <f>Table1345[[#This Row],[Normal Grain Harvest]]*1.3</f>
        <v>9750000</v>
      </c>
      <c r="J15" s="1">
        <f>(Table1345[[#This Row],[Population]]*365)/1000</f>
        <v>365000</v>
      </c>
      <c r="K15" s="1">
        <f>Table1345[[#This Row],[High Grain Harvest]]-Table1345[[#This Row],[Required Grain]]</f>
        <v>9385000</v>
      </c>
      <c r="L15" s="3">
        <f>(Table1345[[#This Row],[Suplus Grain]]/2)/2000</f>
        <v>2346.25</v>
      </c>
      <c r="M15" t="s">
        <v>86</v>
      </c>
      <c r="P15" s="4">
        <f>(Table1345[[#This Row],[Tax Income in Talents]]+Table1345[[#This Row],[Trade Income]]-Table1345[[#This Row],[Other Expenditure]]-Table1345[[#This Row],[Garrisoned Soldier Cost]])</f>
        <v>2096.25</v>
      </c>
    </row>
    <row r="16" spans="1:16" x14ac:dyDescent="0.25">
      <c r="A16" t="s">
        <v>125</v>
      </c>
      <c r="C16" s="1">
        <v>500</v>
      </c>
      <c r="D16">
        <v>250</v>
      </c>
      <c r="E16" s="1">
        <v>500000</v>
      </c>
      <c r="F16" s="1">
        <v>10000</v>
      </c>
      <c r="G16" s="1">
        <f>Table1345[[#This Row],[Normal Grain Harvest]]*0.6</f>
        <v>2250000</v>
      </c>
      <c r="H16" s="1">
        <v>3750000</v>
      </c>
      <c r="I16" s="1">
        <f>Table1345[[#This Row],[Normal Grain Harvest]]*1.3</f>
        <v>4875000</v>
      </c>
      <c r="J16" s="1">
        <f>(Table1345[[#This Row],[Population]]*365)/1000</f>
        <v>182500</v>
      </c>
      <c r="K16" s="1">
        <f>Table1345[[#This Row],[High Grain Harvest]]-Table1345[[#This Row],[Required Grain]]</f>
        <v>4692500</v>
      </c>
      <c r="L16" s="3">
        <f>(Table1345[[#This Row],[Suplus Grain]]/2)/2000</f>
        <v>1173.125</v>
      </c>
      <c r="M16" t="s">
        <v>126</v>
      </c>
      <c r="P16" s="4">
        <f>(Table1345[[#This Row],[Tax Income in Talents]]+Table1345[[#This Row],[Trade Income]]-Table1345[[#This Row],[Other Expenditure]]-Table1345[[#This Row],[Garrisoned Soldier Cost]])</f>
        <v>923.125</v>
      </c>
    </row>
    <row r="17" spans="1:16" x14ac:dyDescent="0.25">
      <c r="A17" t="s">
        <v>48</v>
      </c>
      <c r="B17" t="s">
        <v>96</v>
      </c>
      <c r="C17" s="1">
        <v>4500</v>
      </c>
      <c r="D17">
        <v>4000</v>
      </c>
      <c r="E17" s="1">
        <v>3500000</v>
      </c>
      <c r="F17" s="1">
        <v>80000</v>
      </c>
      <c r="G17" s="1">
        <f>Table1345[[#This Row],[Normal Grain Harvest]]*0.6</f>
        <v>14322150</v>
      </c>
      <c r="H17" s="1">
        <v>23870250</v>
      </c>
      <c r="I17" s="6">
        <f>Table1345[[#This Row],[Normal Grain Harvest]]*1.3</f>
        <v>31031325</v>
      </c>
      <c r="J17" s="1">
        <f>(Table1345[[#This Row],[Population]]*365)/1000</f>
        <v>1277500</v>
      </c>
      <c r="K17" s="1">
        <f>Table1345[[#This Row],[High Grain Harvest]]-Table1345[[#This Row],[Required Grain]]</f>
        <v>29753825</v>
      </c>
      <c r="L17" s="3">
        <f>(Table1345[[#This Row],[Suplus Grain]]/2)/2000</f>
        <v>7438.4562500000002</v>
      </c>
      <c r="P17" s="4">
        <f>(Table1345[[#This Row],[Tax Income in Talents]]+Table1345[[#This Row],[Trade Income]]-Table1345[[#This Row],[Other Expenditure]]-Table1345[[#This Row],[Garrisoned Soldier Cost]])</f>
        <v>3438.4562500000002</v>
      </c>
    </row>
    <row r="18" spans="1:16" x14ac:dyDescent="0.25">
      <c r="A18" t="s">
        <v>49</v>
      </c>
      <c r="B18" t="s">
        <v>101</v>
      </c>
      <c r="C18" s="1">
        <v>1000</v>
      </c>
      <c r="D18">
        <v>500</v>
      </c>
      <c r="E18" s="1">
        <v>2000000</v>
      </c>
      <c r="F18" s="1">
        <v>45000</v>
      </c>
      <c r="G18" s="1">
        <f>Table1345[[#This Row],[Normal Grain Harvest]]*0.6</f>
        <v>10140000</v>
      </c>
      <c r="H18" s="1">
        <v>16900000</v>
      </c>
      <c r="I18" s="6">
        <f>Table1345[[#This Row],[Normal Grain Harvest]]*1.3</f>
        <v>21970000</v>
      </c>
      <c r="J18" s="1">
        <f>(Table1345[[#This Row],[Population]]*365)/1000</f>
        <v>730000</v>
      </c>
      <c r="K18" s="1">
        <f>Table1345[[#This Row],[Low Grain Harvest]]-Table1345[[#This Row],[Required Grain]]</f>
        <v>9410000</v>
      </c>
      <c r="L18" s="3">
        <f>(Table1345[[#This Row],[Suplus Grain]]/2)/2000</f>
        <v>2352.5</v>
      </c>
      <c r="M18" t="s">
        <v>85</v>
      </c>
      <c r="P18" s="4">
        <f>(Table1345[[#This Row],[Tax Income in Talents]]+Table1345[[#This Row],[Trade Income]]-Table1345[[#This Row],[Other Expenditure]]-Table1345[[#This Row],[Garrisoned Soldier Cost]])</f>
        <v>1852.5</v>
      </c>
    </row>
    <row r="19" spans="1:16" x14ac:dyDescent="0.25">
      <c r="A19" t="s">
        <v>50</v>
      </c>
      <c r="B19" t="s">
        <v>103</v>
      </c>
      <c r="C19" s="1">
        <v>2000</v>
      </c>
      <c r="D19">
        <v>1000</v>
      </c>
      <c r="E19" s="1">
        <v>1300000</v>
      </c>
      <c r="F19" s="1">
        <v>40000</v>
      </c>
      <c r="G19" s="1">
        <f>Table1345[[#This Row],[Normal Grain Harvest]]*0.6</f>
        <v>9360000</v>
      </c>
      <c r="H19" s="1">
        <v>15600000</v>
      </c>
      <c r="I19" s="1">
        <f>Table1345[[#This Row],[Normal Grain Harvest]]*1.3</f>
        <v>20280000</v>
      </c>
      <c r="J19" s="1">
        <f>(Table1345[[#This Row],[Population]]*365)/1000</f>
        <v>474500</v>
      </c>
      <c r="K19" s="1">
        <f>Table1345[[#This Row],[Low Grain Harvest]]-Table1345[[#This Row],[Required Grain]]</f>
        <v>8885500</v>
      </c>
      <c r="L19" s="3">
        <f>(Table1345[[#This Row],[Suplus Grain]]/2)/2000</f>
        <v>2221.375</v>
      </c>
      <c r="M19" t="s">
        <v>85</v>
      </c>
      <c r="N19">
        <v>10</v>
      </c>
      <c r="P19" s="4">
        <f>(Table1345[[#This Row],[Tax Income in Talents]]+Table1345[[#This Row],[Trade Income]]-Table1345[[#This Row],[Other Expenditure]]-Table1345[[#This Row],[Garrisoned Soldier Cost]])</f>
        <v>1231.375</v>
      </c>
    </row>
    <row r="20" spans="1:16" x14ac:dyDescent="0.25">
      <c r="A20" t="s">
        <v>51</v>
      </c>
      <c r="B20" t="s">
        <v>97</v>
      </c>
      <c r="C20" s="1">
        <v>750</v>
      </c>
      <c r="D20">
        <v>750</v>
      </c>
      <c r="E20" s="1">
        <v>600000</v>
      </c>
      <c r="F20" s="1">
        <v>22500</v>
      </c>
      <c r="G20" s="1">
        <f>Table1345[[#This Row],[Normal Grain Harvest]]*0.6</f>
        <v>5850000</v>
      </c>
      <c r="H20" s="1">
        <v>9750000</v>
      </c>
      <c r="I20" s="1">
        <f>Table1345[[#This Row],[Normal Grain Harvest]]*1.3</f>
        <v>12675000</v>
      </c>
      <c r="J20" s="1">
        <f>(Table1345[[#This Row],[Population]]*365)/1000</f>
        <v>219000</v>
      </c>
      <c r="K20" s="1">
        <f>Table1345[[#This Row],[Normal Grain Harvest]]-Table1345[[#This Row],[Required Grain]]</f>
        <v>9531000</v>
      </c>
      <c r="L20" s="3">
        <f>(Table1345[[#This Row],[Suplus Grain]]/2)/2000</f>
        <v>2382.75</v>
      </c>
      <c r="M20" t="s">
        <v>56</v>
      </c>
      <c r="P20" s="4">
        <f>(Table1345[[#This Row],[Tax Income in Talents]]+Table1345[[#This Row],[Trade Income]]-Table1345[[#This Row],[Other Expenditure]]-Table1345[[#This Row],[Garrisoned Soldier Cost]])</f>
        <v>1632.75</v>
      </c>
    </row>
    <row r="21" spans="1:16" x14ac:dyDescent="0.25">
      <c r="A21" t="s">
        <v>132</v>
      </c>
      <c r="B21" t="s">
        <v>134</v>
      </c>
      <c r="C21" s="1">
        <v>2000</v>
      </c>
      <c r="D21">
        <v>1000</v>
      </c>
      <c r="E21" s="1">
        <v>600000</v>
      </c>
      <c r="F21" s="1">
        <v>22500</v>
      </c>
      <c r="G21" s="1">
        <f>Table1345[[#This Row],[Normal Grain Harvest]]*0.6</f>
        <v>4500000</v>
      </c>
      <c r="H21" s="1">
        <v>7500000</v>
      </c>
      <c r="I21" s="1">
        <f>Table1345[[#This Row],[Normal Grain Harvest]]*1.3</f>
        <v>9750000</v>
      </c>
      <c r="J21" s="1">
        <f>(Table1345[[#This Row],[Population]]*365)/1000</f>
        <v>219000</v>
      </c>
      <c r="K21" s="1">
        <f>Table1345[[#This Row],[Normal Grain Harvest]]-Table1345[[#This Row],[Required Grain]]</f>
        <v>7281000</v>
      </c>
      <c r="L21" s="3">
        <f>(Table1345[[#This Row],[Suplus Grain]]/2)/2000</f>
        <v>1820.25</v>
      </c>
      <c r="P21" s="4">
        <f>(Table1345[[#This Row],[Tax Income in Talents]]+Table1345[[#This Row],[Trade Income]]-Table1345[[#This Row],[Other Expenditure]]-Table1345[[#This Row],[Garrisoned Soldier Cost]])</f>
        <v>820.25</v>
      </c>
    </row>
    <row r="22" spans="1:16" x14ac:dyDescent="0.25">
      <c r="A22" t="s">
        <v>114</v>
      </c>
      <c r="B22" t="s">
        <v>134</v>
      </c>
      <c r="C22" s="1">
        <v>3000</v>
      </c>
      <c r="D22">
        <v>1500</v>
      </c>
      <c r="E22">
        <v>1350000</v>
      </c>
      <c r="F22">
        <v>27000</v>
      </c>
      <c r="G22" s="1">
        <f>Table1345[[#This Row],[Normal Grain Harvest]]*0.6</f>
        <v>6084000</v>
      </c>
      <c r="H22">
        <v>10140000</v>
      </c>
      <c r="I22" s="1">
        <f>Table1345[[#This Row],[Normal Grain Harvest]]*1.3</f>
        <v>13182000</v>
      </c>
      <c r="J22" s="1">
        <f>(Table1345[[#This Row],[Population]]*365)/1000</f>
        <v>492750</v>
      </c>
      <c r="K22" s="1">
        <f>Table1345[[#This Row],[Normal Grain Harvest]]-Table1345[[#This Row],[Required Grain]]</f>
        <v>9647250</v>
      </c>
      <c r="L22" s="3">
        <f>(Table1345[[#This Row],[Suplus Grain]]/2)/2000</f>
        <v>2411.8125</v>
      </c>
      <c r="M22" t="s">
        <v>57</v>
      </c>
      <c r="P22" s="4">
        <f>(Table1345[[#This Row],[Tax Income in Talents]]+Table1345[[#This Row],[Trade Income]]-Table1345[[#This Row],[Other Expenditure]]-Table1345[[#This Row],[Garrisoned Soldier Cost]])</f>
        <v>911.8125</v>
      </c>
    </row>
    <row r="23" spans="1:16" x14ac:dyDescent="0.25">
      <c r="A23" t="s">
        <v>127</v>
      </c>
      <c r="B23" t="s">
        <v>30</v>
      </c>
      <c r="C23" s="1">
        <v>0</v>
      </c>
      <c r="D23">
        <v>0</v>
      </c>
      <c r="E23">
        <f>2250000*0.4</f>
        <v>900000</v>
      </c>
      <c r="F23" s="1">
        <v>18000</v>
      </c>
      <c r="G23" s="1">
        <f>Table1345[[#This Row],[Normal Grain Harvest]]*0.6</f>
        <v>4056000</v>
      </c>
      <c r="H23">
        <v>6760000</v>
      </c>
      <c r="I23" s="1">
        <f>Table1345[[#This Row],[Normal Grain Harvest]]*1.3</f>
        <v>8788000</v>
      </c>
      <c r="J23" s="1">
        <f>(Table1345[[#This Row],[Population]]*365)/1000</f>
        <v>328500</v>
      </c>
      <c r="K23" s="1">
        <f>Table1345[[#This Row],[High Grain Harvest]]-Table1345[[#This Row],[Required Grain]]</f>
        <v>8459500</v>
      </c>
      <c r="L23" s="3">
        <f>(Table1345[[#This Row],[Suplus Grain]]/2)/2000</f>
        <v>2114.875</v>
      </c>
      <c r="P23" s="4">
        <f>(Table1345[[#This Row],[Tax Income in Talents]]+Table1345[[#This Row],[Trade Income]]-Table1345[[#This Row],[Other Expenditure]]-Table1345[[#This Row],[Garrisoned Soldier Cost]])</f>
        <v>2114.875</v>
      </c>
    </row>
    <row r="24" spans="1:16" x14ac:dyDescent="0.25">
      <c r="A24" t="s">
        <v>129</v>
      </c>
      <c r="B24" t="s">
        <v>30</v>
      </c>
      <c r="C24" s="1">
        <v>0</v>
      </c>
      <c r="D24">
        <v>0</v>
      </c>
      <c r="E24">
        <v>375000</v>
      </c>
      <c r="F24" s="1">
        <v>3500</v>
      </c>
      <c r="G24" s="1">
        <f>Table1345[[#This Row],[Normal Grain Harvest]]*0.6</f>
        <v>2535000</v>
      </c>
      <c r="H24" s="1">
        <v>4225000</v>
      </c>
      <c r="I24" s="1">
        <f>Table1345[[#This Row],[Normal Grain Harvest]]*1.3</f>
        <v>5492500</v>
      </c>
      <c r="J24" s="1">
        <f>(Table1345[[#This Row],[Population]]*365)/1000</f>
        <v>136875</v>
      </c>
      <c r="K24" s="1">
        <f>Table1345[[#This Row],[High Grain Harvest]]-Table1345[[#This Row],[Required Grain]]</f>
        <v>5355625</v>
      </c>
      <c r="L24" s="3">
        <f>(Table1345[[#This Row],[Suplus Grain]]/2)/2000</f>
        <v>1338.90625</v>
      </c>
      <c r="P24" s="4">
        <f>(Table1345[[#This Row],[Tax Income in Talents]]+Table1345[[#This Row],[Trade Income]]-Table1345[[#This Row],[Other Expenditure]]-Table1345[[#This Row],[Garrisoned Soldier Cost]])</f>
        <v>1338.90625</v>
      </c>
    </row>
    <row r="25" spans="1:16" x14ac:dyDescent="0.25">
      <c r="A25" t="s">
        <v>128</v>
      </c>
      <c r="B25" t="s">
        <v>97</v>
      </c>
      <c r="C25" s="1">
        <v>1000</v>
      </c>
      <c r="D25">
        <v>500</v>
      </c>
      <c r="E25">
        <v>375000</v>
      </c>
      <c r="F25">
        <v>3500</v>
      </c>
      <c r="G25" s="1">
        <f>Table1345[[#This Row],[Normal Grain Harvest]]*0.6</f>
        <v>2535000</v>
      </c>
      <c r="H25" s="7">
        <v>4225000</v>
      </c>
      <c r="I25" s="1">
        <f>Table1345[[#This Row],[Normal Grain Harvest]]*1.3</f>
        <v>5492500</v>
      </c>
      <c r="J25" s="1">
        <f>(Table1345[[#This Row],[Population]]*365)/1000</f>
        <v>136875</v>
      </c>
      <c r="K25" s="1">
        <f>Table1345[[#This Row],[High Grain Harvest]]-Table1345[[#This Row],[Required Grain]]</f>
        <v>5355625</v>
      </c>
      <c r="L25" s="3">
        <f>(Table1345[[#This Row],[Suplus Grain]]/2)/2000</f>
        <v>1338.90625</v>
      </c>
      <c r="M25" t="s">
        <v>88</v>
      </c>
      <c r="P25" s="4">
        <f>(Table1345[[#This Row],[Tax Income in Talents]]+Table1345[[#This Row],[Trade Income]]-Table1345[[#This Row],[Other Expenditure]]-Table1345[[#This Row],[Garrisoned Soldier Cost]])</f>
        <v>838.90625</v>
      </c>
    </row>
    <row r="26" spans="1:16" x14ac:dyDescent="0.25">
      <c r="A26" t="s">
        <v>123</v>
      </c>
      <c r="B26" t="s">
        <v>30</v>
      </c>
      <c r="C26" s="1">
        <v>0</v>
      </c>
      <c r="D26">
        <v>0</v>
      </c>
      <c r="E26" s="1">
        <v>200000</v>
      </c>
      <c r="F26">
        <v>7000</v>
      </c>
      <c r="G26" s="1">
        <f>Table1345[[#This Row],[Normal Grain Harvest]]*0.6</f>
        <v>1950000</v>
      </c>
      <c r="H26" s="1">
        <v>3250000</v>
      </c>
      <c r="I26" s="1">
        <f>Table1345[[#This Row],[Normal Grain Harvest]]*1.3</f>
        <v>4225000</v>
      </c>
      <c r="J26" s="1">
        <f>(Table1345[[#This Row],[Population]]*365)/1000</f>
        <v>73000</v>
      </c>
      <c r="K26" s="1">
        <f>Table1345[[#This Row],[High Grain Harvest]]-Table1345[[#This Row],[Required Grain]]</f>
        <v>4152000</v>
      </c>
      <c r="L26" s="3">
        <f>(Table1345[[#This Row],[Suplus Grain]]/2)/2000</f>
        <v>1038</v>
      </c>
      <c r="P26" s="4">
        <f>(Table1345[[#This Row],[Tax Income in Talents]]+Table1345[[#This Row],[Trade Income]]-Table1345[[#This Row],[Other Expenditure]]-Table1345[[#This Row],[Garrisoned Soldier Cost]])</f>
        <v>1038</v>
      </c>
    </row>
    <row r="27" spans="1:16" x14ac:dyDescent="0.25">
      <c r="A27" t="s">
        <v>130</v>
      </c>
      <c r="B27" t="s">
        <v>97</v>
      </c>
      <c r="C27" s="1">
        <v>500</v>
      </c>
      <c r="D27">
        <v>250</v>
      </c>
      <c r="E27" s="1">
        <v>200000</v>
      </c>
      <c r="F27">
        <v>4000</v>
      </c>
      <c r="G27" s="1">
        <f>Table1345[[#This Row],[Normal Grain Harvest]]*0.6</f>
        <v>1170000</v>
      </c>
      <c r="H27" s="1">
        <v>1950000</v>
      </c>
      <c r="I27" s="1">
        <f>Table1345[[#This Row],[Normal Grain Harvest]]*1.3</f>
        <v>2535000</v>
      </c>
      <c r="J27" s="1">
        <f>(Table1345[[#This Row],[Population]]*365)/1000</f>
        <v>73000</v>
      </c>
      <c r="K27" s="1">
        <f>Table1345[[#This Row],[Normal Grain Harvest]]-Table1345[[#This Row],[Required Grain]]</f>
        <v>1877000</v>
      </c>
      <c r="L27" s="3">
        <f>(Table1345[[#This Row],[Suplus Grain]]/2)/2000</f>
        <v>469.25</v>
      </c>
      <c r="P27" s="4">
        <f>(Table1345[[#This Row],[Tax Income in Talents]]+Table1345[[#This Row],[Trade Income]]-Table1345[[#This Row],[Other Expenditure]]-Table1345[[#This Row],[Garrisoned Soldier Cost]])</f>
        <v>219.25</v>
      </c>
    </row>
    <row r="28" spans="1:16" x14ac:dyDescent="0.25">
      <c r="A28" t="s">
        <v>69</v>
      </c>
      <c r="B28" t="s">
        <v>30</v>
      </c>
      <c r="C28" s="1">
        <v>3000</v>
      </c>
      <c r="D28">
        <v>1500</v>
      </c>
      <c r="E28" s="1">
        <v>800000</v>
      </c>
      <c r="F28" s="1">
        <v>16000</v>
      </c>
      <c r="G28" s="1">
        <f>Table1345[[#This Row],[Normal Grain Harvest]]*0.6</f>
        <v>4680000</v>
      </c>
      <c r="H28" s="1">
        <v>7800000</v>
      </c>
      <c r="I28" s="6">
        <f>Table1345[[#This Row],[Normal Grain Harvest]]*1.3</f>
        <v>10140000</v>
      </c>
      <c r="J28" s="1">
        <f>(Table1345[[#This Row],[Population]]*365)/1000</f>
        <v>292000</v>
      </c>
      <c r="K28" s="1">
        <f>Table1345[[#This Row],[High Grain Harvest]]-Table1345[[#This Row],[Required Grain]]</f>
        <v>9848000</v>
      </c>
      <c r="L28" s="3">
        <f>(Table1345[[#This Row],[Suplus Grain]]/2)/2000</f>
        <v>2462</v>
      </c>
      <c r="M28" t="s">
        <v>92</v>
      </c>
      <c r="P28" s="4">
        <f>(Table1345[[#This Row],[Tax Income in Talents]]+Table1345[[#This Row],[Trade Income]]-Table1345[[#This Row],[Other Expenditure]]-Table1345[[#This Row],[Garrisoned Soldier Cost]])</f>
        <v>962</v>
      </c>
    </row>
    <row r="29" spans="1:16" x14ac:dyDescent="0.25">
      <c r="A29" t="s">
        <v>131</v>
      </c>
      <c r="B29" t="s">
        <v>134</v>
      </c>
      <c r="E29">
        <v>7000</v>
      </c>
      <c r="F29">
        <v>500</v>
      </c>
      <c r="G29" s="1">
        <f>Table1345[[#This Row],[Normal Grain Harvest]]*0.6</f>
        <v>7800</v>
      </c>
      <c r="H29" s="1">
        <v>13000</v>
      </c>
      <c r="I29" s="1">
        <f>Table1345[[#This Row],[Normal Grain Harvest]]*1.3</f>
        <v>16900</v>
      </c>
      <c r="J29" s="1">
        <f>(Table1345[[#This Row],[Population]]*365)/1000</f>
        <v>2555</v>
      </c>
      <c r="K29" s="1">
        <f>Table1345[[#This Row],[Normal Grain Harvest]]-Table1345[[#This Row],[Required Grain]]</f>
        <v>10445</v>
      </c>
      <c r="L29" s="3">
        <f>(Table1345[[#This Row],[Suplus Grain]]/2)/2000</f>
        <v>2.6112500000000001</v>
      </c>
      <c r="P29" s="4">
        <f>(Table1345[[#This Row],[Tax Income in Talents]]+Table1345[[#This Row],[Trade Income]]-Table1345[[#This Row],[Other Expenditure]]-Table1345[[#This Row],[Garrisoned Soldier Cost]])</f>
        <v>2.6112500000000001</v>
      </c>
    </row>
    <row r="30" spans="1:16" x14ac:dyDescent="0.25">
      <c r="A30" t="s">
        <v>133</v>
      </c>
      <c r="B30" t="s">
        <v>135</v>
      </c>
      <c r="C30" s="1">
        <v>1000</v>
      </c>
      <c r="D30">
        <v>500</v>
      </c>
      <c r="E30" s="1">
        <v>200000</v>
      </c>
      <c r="F30">
        <v>7000</v>
      </c>
      <c r="G30" s="1">
        <f>Table1345[[#This Row],[Normal Grain Harvest]]*0.6</f>
        <v>1500000</v>
      </c>
      <c r="H30" s="1">
        <v>2500000</v>
      </c>
      <c r="I30" s="1">
        <f>Table1345[[#This Row],[Normal Grain Harvest]]*1.3</f>
        <v>3250000</v>
      </c>
      <c r="J30" s="1">
        <f>(Table1345[[#This Row],[Population]]*365)/1000</f>
        <v>73000</v>
      </c>
      <c r="K30" s="1">
        <f>Table1345[[#This Row],[Normal Grain Harvest]]-Table1345[[#This Row],[Required Grain]]</f>
        <v>2427000</v>
      </c>
      <c r="L30" s="3">
        <f>(Table1345[[#This Row],[Suplus Grain]]/2)/2000</f>
        <v>606.75</v>
      </c>
      <c r="P30" s="4">
        <f>(Table1345[[#This Row],[Tax Income in Talents]]+Table1345[[#This Row],[Trade Income]]-Table1345[[#This Row],[Other Expenditure]]-Table1345[[#This Row],[Garrisoned Soldier Cost]])</f>
        <v>106.75</v>
      </c>
    </row>
    <row r="33" spans="8:12" x14ac:dyDescent="0.25">
      <c r="H33" s="7"/>
      <c r="L33" s="3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topLeftCell="A12" zoomScaleNormal="100" workbookViewId="0">
      <pane xSplit="1" topLeftCell="K1" activePane="topRight" state="frozen"/>
      <selection pane="topRight" sqref="A1:P30"/>
    </sheetView>
  </sheetViews>
  <sheetFormatPr defaultRowHeight="15" x14ac:dyDescent="0.25"/>
  <cols>
    <col min="1" max="1" width="14.5703125" customWidth="1"/>
    <col min="2" max="2" width="17.7109375" customWidth="1"/>
    <col min="6" max="6" width="12.7109375" customWidth="1"/>
    <col min="7" max="7" width="11.5703125" customWidth="1"/>
    <col min="8" max="8" width="12.42578125" customWidth="1"/>
    <col min="9" max="9" width="10.85546875" customWidth="1"/>
    <col min="10" max="10" width="10.42578125" customWidth="1"/>
    <col min="11" max="11" width="10.7109375" customWidth="1"/>
    <col min="12" max="12" width="10.5703125" customWidth="1"/>
    <col min="13" max="13" width="11.42578125" customWidth="1"/>
    <col min="16" max="16" width="27.140625" customWidth="1"/>
  </cols>
  <sheetData>
    <row r="1" spans="1:16" x14ac:dyDescent="0.25">
      <c r="A1" t="s">
        <v>33</v>
      </c>
      <c r="B1" t="s">
        <v>62</v>
      </c>
      <c r="C1" t="s">
        <v>66</v>
      </c>
      <c r="D1" t="s">
        <v>65</v>
      </c>
      <c r="E1" t="s">
        <v>34</v>
      </c>
      <c r="F1" t="s">
        <v>55</v>
      </c>
      <c r="G1" t="s">
        <v>35</v>
      </c>
      <c r="H1" t="s">
        <v>36</v>
      </c>
      <c r="I1" t="s">
        <v>37</v>
      </c>
      <c r="J1" t="s">
        <v>38</v>
      </c>
      <c r="K1" t="s">
        <v>58</v>
      </c>
      <c r="L1" t="s">
        <v>59</v>
      </c>
      <c r="M1" t="s">
        <v>40</v>
      </c>
      <c r="N1" t="s">
        <v>60</v>
      </c>
      <c r="O1" t="s">
        <v>64</v>
      </c>
      <c r="P1" t="s">
        <v>61</v>
      </c>
    </row>
    <row r="2" spans="1:16" x14ac:dyDescent="0.25">
      <c r="A2" t="s">
        <v>39</v>
      </c>
      <c r="B2" t="s">
        <v>15</v>
      </c>
      <c r="C2" s="1">
        <v>1000</v>
      </c>
      <c r="D2">
        <v>500</v>
      </c>
      <c r="E2" s="1">
        <v>200000</v>
      </c>
      <c r="F2" s="1">
        <v>12000</v>
      </c>
      <c r="G2" s="1">
        <f>Table13456[[#This Row],[Normal Grain Harvest]]*0.6</f>
        <v>1950000</v>
      </c>
      <c r="H2" s="1">
        <v>3250000</v>
      </c>
      <c r="I2" s="1">
        <f>Table13456[[#This Row],[Normal Grain Harvest]]*1.3</f>
        <v>4225000</v>
      </c>
      <c r="J2" s="1">
        <f>(Table13456[[#This Row],[Population]]*365)/1000</f>
        <v>73000</v>
      </c>
      <c r="K2" s="1">
        <f>Table13456[[#This Row],[Normal Grain Harvest]]-Table13456[[#This Row],[Required Grain]]</f>
        <v>3177000</v>
      </c>
      <c r="L2" s="3">
        <f>(Table13456[[#This Row],[Suplus Grain]]/2)/2000</f>
        <v>794.25</v>
      </c>
      <c r="M2" t="s">
        <v>41</v>
      </c>
      <c r="P2" s="4">
        <f>(Table13456[[#This Row],[Tax Income in Talents]]+Table13456[[#This Row],[Trade Income]]-Table13456[[#This Row],[Other Expenditure]]-Table13456[[#This Row],[Garrisoned Soldier Cost]])</f>
        <v>294.25</v>
      </c>
    </row>
    <row r="3" spans="1:16" x14ac:dyDescent="0.25">
      <c r="A3" t="s">
        <v>42</v>
      </c>
      <c r="B3" t="s">
        <v>15</v>
      </c>
      <c r="C3" s="1">
        <v>1000</v>
      </c>
      <c r="D3">
        <v>500</v>
      </c>
      <c r="E3" s="1">
        <v>200000</v>
      </c>
      <c r="F3">
        <v>7000</v>
      </c>
      <c r="G3" s="1">
        <f>Table13456[[#This Row],[Normal Grain Harvest]]*0.6</f>
        <v>1950000</v>
      </c>
      <c r="H3" s="1">
        <v>3250000</v>
      </c>
      <c r="I3" s="1">
        <f>Table13456[[#This Row],[Normal Grain Harvest]]*1.3</f>
        <v>4225000</v>
      </c>
      <c r="J3" s="1">
        <f>(Table13456[[#This Row],[Population]]*365)/1000</f>
        <v>73000</v>
      </c>
      <c r="K3" s="1">
        <f>Table13456[[#This Row],[Normal Grain Harvest]]-Table13456[[#This Row],[Required Grain]]</f>
        <v>3177000</v>
      </c>
      <c r="L3" s="3">
        <f>(Table13456[[#This Row],[Suplus Grain]]/2)/2000</f>
        <v>794.25</v>
      </c>
      <c r="M3" t="s">
        <v>43</v>
      </c>
      <c r="P3" s="4">
        <f>(Table13456[[#This Row],[Tax Income in Talents]]+Table13456[[#This Row],[Trade Income]]-Table13456[[#This Row],[Other Expenditure]]-Table13456[[#This Row],[Garrisoned Soldier Cost]])</f>
        <v>294.25</v>
      </c>
    </row>
    <row r="4" spans="1:16" x14ac:dyDescent="0.25">
      <c r="A4" t="s">
        <v>53</v>
      </c>
      <c r="C4" s="1">
        <v>3000</v>
      </c>
      <c r="D4">
        <v>1500</v>
      </c>
      <c r="E4" s="1">
        <v>500000</v>
      </c>
      <c r="F4" s="1">
        <v>15000</v>
      </c>
      <c r="G4" s="1">
        <f>Table13456[[#This Row],[Normal Grain Harvest]]*0.6</f>
        <v>4050000</v>
      </c>
      <c r="H4" s="1">
        <v>6750000</v>
      </c>
      <c r="I4" s="1">
        <f>Table13456[[#This Row],[Normal Grain Harvest]]*1.3</f>
        <v>8775000</v>
      </c>
      <c r="J4" s="1">
        <f>(Table13456[[#This Row],[Population]]*365)/1000</f>
        <v>182500</v>
      </c>
      <c r="K4" s="1">
        <f>Table13456[[#This Row],[Normal Grain Harvest]]-Table13456[[#This Row],[Required Grain]]</f>
        <v>6567500</v>
      </c>
      <c r="L4" s="3">
        <f>(Table13456[[#This Row],[Suplus Grain]]/2)/2000</f>
        <v>1641.875</v>
      </c>
      <c r="M4" t="s">
        <v>93</v>
      </c>
      <c r="P4" s="4">
        <f>(Table13456[[#This Row],[Tax Income in Talents]]+Table13456[[#This Row],[Trade Income]]-Table13456[[#This Row],[Other Expenditure]]-Table13456[[#This Row],[Garrisoned Soldier Cost]])</f>
        <v>141.875</v>
      </c>
    </row>
    <row r="5" spans="1:16" x14ac:dyDescent="0.25">
      <c r="A5" t="s">
        <v>94</v>
      </c>
      <c r="C5" s="1">
        <v>2700</v>
      </c>
      <c r="D5">
        <v>1350</v>
      </c>
      <c r="E5" s="1">
        <v>450000</v>
      </c>
      <c r="F5" s="1">
        <v>15000</v>
      </c>
      <c r="G5" s="6">
        <f>Table13456[[#This Row],[Normal Grain Harvest]]*0.6</f>
        <v>5265000</v>
      </c>
      <c r="H5" s="1">
        <v>8775000</v>
      </c>
      <c r="I5" s="1">
        <f>Table13456[[#This Row],[Normal Grain Harvest]]*1.3</f>
        <v>11407500</v>
      </c>
      <c r="J5" s="1">
        <f>(Table13456[[#This Row],[Population]]*365)/1000</f>
        <v>164250</v>
      </c>
      <c r="K5" s="1">
        <f>Table13456[[#This Row],[Normal Grain Harvest]]-Table13456[[#This Row],[Required Grain]]</f>
        <v>8610750</v>
      </c>
      <c r="L5" s="3">
        <f>(Table13456[[#This Row],[Suplus Grain]]/2)/2000</f>
        <v>2152.6875</v>
      </c>
      <c r="M5" t="s">
        <v>93</v>
      </c>
      <c r="N5">
        <v>200</v>
      </c>
      <c r="P5" s="4">
        <f>(Table13456[[#This Row],[Tax Income in Talents]]+Table13456[[#This Row],[Trade Income]]-Table13456[[#This Row],[Other Expenditure]]-Table13456[[#This Row],[Garrisoned Soldier Cost]])</f>
        <v>1002.6875</v>
      </c>
    </row>
    <row r="6" spans="1:16" x14ac:dyDescent="0.25">
      <c r="A6" t="s">
        <v>119</v>
      </c>
      <c r="C6" s="1">
        <v>3000</v>
      </c>
      <c r="D6">
        <v>1500</v>
      </c>
      <c r="E6" s="1">
        <v>500000</v>
      </c>
      <c r="F6" s="1">
        <v>13000</v>
      </c>
      <c r="G6" s="1">
        <f>Table13456[[#This Row],[Normal Grain Harvest]]*0.6</f>
        <v>4050000</v>
      </c>
      <c r="H6" s="1">
        <v>6750000</v>
      </c>
      <c r="I6" s="1">
        <f>Table13456[[#This Row],[Normal Grain Harvest]]*1.3</f>
        <v>8775000</v>
      </c>
      <c r="J6" s="1">
        <f>(Table13456[[#This Row],[Population]]*365)/1000</f>
        <v>182500</v>
      </c>
      <c r="K6" s="1">
        <f>Table13456[[#This Row],[Normal Grain Harvest]]-Table13456[[#This Row],[Required Grain]]</f>
        <v>6567500</v>
      </c>
      <c r="L6" s="3">
        <f>(Table13456[[#This Row],[Suplus Grain]]/2)/2000</f>
        <v>1641.875</v>
      </c>
      <c r="M6" t="s">
        <v>93</v>
      </c>
      <c r="P6" s="4">
        <f>(Table13456[[#This Row],[Tax Income in Talents]]+Table13456[[#This Row],[Trade Income]]-Table13456[[#This Row],[Other Expenditure]]-Table13456[[#This Row],[Garrisoned Soldier Cost]])</f>
        <v>141.875</v>
      </c>
    </row>
    <row r="7" spans="1:16" x14ac:dyDescent="0.25">
      <c r="A7" t="s">
        <v>52</v>
      </c>
      <c r="B7" t="s">
        <v>15</v>
      </c>
      <c r="C7" s="1">
        <v>3000</v>
      </c>
      <c r="D7">
        <v>1500</v>
      </c>
      <c r="E7" s="1">
        <v>500000</v>
      </c>
      <c r="F7" s="1">
        <v>13000</v>
      </c>
      <c r="G7" s="1">
        <f>Table13456[[#This Row],[Normal Grain Harvest]]*0.6</f>
        <v>4050000</v>
      </c>
      <c r="H7" s="1">
        <v>6750000</v>
      </c>
      <c r="I7" s="1">
        <f>Table13456[[#This Row],[Normal Grain Harvest]]*1.3</f>
        <v>8775000</v>
      </c>
      <c r="J7" s="1">
        <f>(Table13456[[#This Row],[Population]]*365)/1000</f>
        <v>182500</v>
      </c>
      <c r="K7" s="1">
        <f>Table13456[[#This Row],[Normal Grain Harvest]]-Table13456[[#This Row],[Required Grain]]</f>
        <v>6567500</v>
      </c>
      <c r="L7" s="3">
        <f>(Table13456[[#This Row],[Suplus Grain]]/2)/2000</f>
        <v>1641.875</v>
      </c>
      <c r="M7" t="s">
        <v>93</v>
      </c>
      <c r="P7" s="4">
        <f>(Table13456[[#This Row],[Tax Income in Talents]]+Table13456[[#This Row],[Trade Income]]-Table13456[[#This Row],[Other Expenditure]]-Table13456[[#This Row],[Garrisoned Soldier Cost]])</f>
        <v>141.875</v>
      </c>
    </row>
    <row r="8" spans="1:16" x14ac:dyDescent="0.25">
      <c r="A8" t="s">
        <v>44</v>
      </c>
      <c r="C8" s="1">
        <v>3000</v>
      </c>
      <c r="D8">
        <v>1500</v>
      </c>
      <c r="E8" s="1">
        <v>500000</v>
      </c>
      <c r="F8" s="1">
        <v>10000</v>
      </c>
      <c r="G8" s="6">
        <f>Table13456[[#This Row],[Normal Grain Harvest]]*0.6</f>
        <v>4050000</v>
      </c>
      <c r="H8" s="1">
        <v>6750000</v>
      </c>
      <c r="I8" s="1">
        <f>Table13456[[#This Row],[Normal Grain Harvest]]*1.3</f>
        <v>8775000</v>
      </c>
      <c r="J8" s="1">
        <f>(Table13456[[#This Row],[Population]]*365)/1000</f>
        <v>182500</v>
      </c>
      <c r="K8" s="1">
        <f>Table13456[[#This Row],[Normal Grain Harvest]]-Table13456[[#This Row],[Required Grain]]</f>
        <v>6567500</v>
      </c>
      <c r="L8" s="3">
        <f>(Table13456[[#This Row],[Suplus Grain]]/2)/2000</f>
        <v>1641.875</v>
      </c>
      <c r="M8" t="s">
        <v>90</v>
      </c>
      <c r="P8" s="4">
        <f>(Table13456[[#This Row],[Tax Income in Talents]]+Table13456[[#This Row],[Trade Income]]-Table13456[[#This Row],[Other Expenditure]]-Table13456[[#This Row],[Garrisoned Soldier Cost]])</f>
        <v>141.875</v>
      </c>
    </row>
    <row r="9" spans="1:16" x14ac:dyDescent="0.25">
      <c r="A9" t="s">
        <v>45</v>
      </c>
      <c r="B9" t="s">
        <v>24</v>
      </c>
      <c r="C9" s="1">
        <v>4000</v>
      </c>
      <c r="D9">
        <v>1800</v>
      </c>
      <c r="E9" s="1">
        <v>500000</v>
      </c>
      <c r="F9" s="1">
        <v>20000</v>
      </c>
      <c r="G9" s="1">
        <f>Table13456[[#This Row],[Normal Grain Harvest]]*0.6</f>
        <v>4050000</v>
      </c>
      <c r="H9" s="1">
        <v>6750000</v>
      </c>
      <c r="I9" s="1">
        <f>Table13456[[#This Row],[Normal Grain Harvest]]*1.3</f>
        <v>8775000</v>
      </c>
      <c r="J9" s="1">
        <f>(Table13456[[#This Row],[Population]]*365)/1000</f>
        <v>182500</v>
      </c>
      <c r="K9" s="1">
        <f>Table13456[[#This Row],[Normal Grain Harvest]]-Table13456[[#This Row],[Required Grain]]</f>
        <v>6567500</v>
      </c>
      <c r="L9" s="3">
        <f>(Table13456[[#This Row],[Suplus Grain]]/2)/2000</f>
        <v>1641.875</v>
      </c>
      <c r="M9" t="s">
        <v>89</v>
      </c>
      <c r="P9" s="4">
        <f>(Table13456[[#This Row],[Tax Income in Talents]]+Table13456[[#This Row],[Trade Income]]-Table13456[[#This Row],[Other Expenditure]]-Table13456[[#This Row],[Garrisoned Soldier Cost]])</f>
        <v>-158.125</v>
      </c>
    </row>
    <row r="10" spans="1:16" x14ac:dyDescent="0.25">
      <c r="A10" t="s">
        <v>46</v>
      </c>
      <c r="C10" s="1">
        <v>3000</v>
      </c>
      <c r="D10">
        <v>1500</v>
      </c>
      <c r="E10" s="1">
        <v>500000</v>
      </c>
      <c r="F10" s="1">
        <v>20000</v>
      </c>
      <c r="G10" s="1">
        <f>Table13456[[#This Row],[Normal Grain Harvest]]*0.6</f>
        <v>4050000</v>
      </c>
      <c r="H10" s="1">
        <v>6750000</v>
      </c>
      <c r="I10" s="1">
        <f>Table13456[[#This Row],[Normal Grain Harvest]]*1.3</f>
        <v>8775000</v>
      </c>
      <c r="J10" s="1">
        <f>(Table13456[[#This Row],[Population]]*365)/1000</f>
        <v>182500</v>
      </c>
      <c r="K10" s="1">
        <f>Table13456[[#This Row],[Normal Grain Harvest]]-Table13456[[#This Row],[Required Grain]]</f>
        <v>6567500</v>
      </c>
      <c r="L10" s="3">
        <f>(Table13456[[#This Row],[Suplus Grain]]/2)/2000</f>
        <v>1641.875</v>
      </c>
      <c r="M10" t="s">
        <v>88</v>
      </c>
      <c r="P10" s="4">
        <f>(Table13456[[#This Row],[Tax Income in Talents]]+Table13456[[#This Row],[Trade Income]]-Table13456[[#This Row],[Other Expenditure]]-Table13456[[#This Row],[Garrisoned Soldier Cost]])</f>
        <v>141.875</v>
      </c>
    </row>
    <row r="11" spans="1:16" x14ac:dyDescent="0.25">
      <c r="A11" t="s">
        <v>67</v>
      </c>
      <c r="B11" t="s">
        <v>24</v>
      </c>
      <c r="C11" s="1">
        <v>4000</v>
      </c>
      <c r="D11">
        <v>1800</v>
      </c>
      <c r="E11" s="1">
        <v>400000</v>
      </c>
      <c r="F11" s="1">
        <v>20000</v>
      </c>
      <c r="G11" s="1">
        <f>Table13456[[#This Row],[Normal Grain Harvest]]*0.6</f>
        <v>4050000</v>
      </c>
      <c r="H11" s="1">
        <v>6750000</v>
      </c>
      <c r="I11" s="1">
        <f>Table13456[[#This Row],[Normal Grain Harvest]]*1.3</f>
        <v>8775000</v>
      </c>
      <c r="J11" s="1">
        <f>(Table13456[[#This Row],[Population]]*365)/1000</f>
        <v>146000</v>
      </c>
      <c r="K11" s="1">
        <f>Table13456[[#This Row],[Normal Grain Harvest]]-Table13456[[#This Row],[Required Grain]]</f>
        <v>6604000</v>
      </c>
      <c r="L11" s="3">
        <f>(Table13456[[#This Row],[Suplus Grain]]/2)/2000</f>
        <v>1651</v>
      </c>
      <c r="M11" t="s">
        <v>91</v>
      </c>
      <c r="P11" s="4">
        <f>(Table13456[[#This Row],[Tax Income in Talents]]+Table13456[[#This Row],[Trade Income]]-Table13456[[#This Row],[Other Expenditure]]-Table13456[[#This Row],[Garrisoned Soldier Cost]])</f>
        <v>-149</v>
      </c>
    </row>
    <row r="12" spans="1:16" x14ac:dyDescent="0.25">
      <c r="A12" t="s">
        <v>25</v>
      </c>
      <c r="B12" t="s">
        <v>24</v>
      </c>
      <c r="C12" s="1">
        <v>4000</v>
      </c>
      <c r="D12">
        <v>1800</v>
      </c>
      <c r="E12" s="1">
        <v>750000</v>
      </c>
      <c r="F12" s="1">
        <v>13000</v>
      </c>
      <c r="G12" s="1">
        <f>Table13456[[#This Row],[Normal Grain Harvest]]*0.6</f>
        <v>4050000</v>
      </c>
      <c r="H12" s="1">
        <v>6750000</v>
      </c>
      <c r="I12" s="1">
        <f>Table13456[[#This Row],[Normal Grain Harvest]]*1.3</f>
        <v>8775000</v>
      </c>
      <c r="J12" s="1">
        <f>(Table13456[[#This Row],[Population]]*365)/1000</f>
        <v>273750</v>
      </c>
      <c r="K12" s="1">
        <f>Table13456[[#This Row],[Normal Grain Harvest]]-Table13456[[#This Row],[Required Grain]]</f>
        <v>6476250</v>
      </c>
      <c r="L12" s="3">
        <f>(Table13456[[#This Row],[Suplus Grain]]/2)/2000</f>
        <v>1619.0625</v>
      </c>
      <c r="M12" t="s">
        <v>87</v>
      </c>
      <c r="P12" s="4">
        <f>(Table13456[[#This Row],[Tax Income in Talents]]+Table13456[[#This Row],[Trade Income]]-Table13456[[#This Row],[Other Expenditure]]-Table13456[[#This Row],[Garrisoned Soldier Cost]])</f>
        <v>-180.9375</v>
      </c>
    </row>
    <row r="13" spans="1:16" x14ac:dyDescent="0.25">
      <c r="A13" t="s">
        <v>47</v>
      </c>
      <c r="B13" t="s">
        <v>103</v>
      </c>
      <c r="C13" s="1">
        <v>1000</v>
      </c>
      <c r="D13">
        <v>1000</v>
      </c>
      <c r="E13" s="1">
        <v>500000</v>
      </c>
      <c r="F13" s="1">
        <v>10000</v>
      </c>
      <c r="G13" s="1">
        <f>Table13456[[#This Row],[Normal Grain Harvest]]*0.6</f>
        <v>2925000</v>
      </c>
      <c r="H13" s="1">
        <v>4875000</v>
      </c>
      <c r="I13" s="1">
        <f>Table13456[[#This Row],[Normal Grain Harvest]]*1.3</f>
        <v>6337500</v>
      </c>
      <c r="J13" s="1">
        <f>(Table13456[[#This Row],[Population]]*365)/1000</f>
        <v>182500</v>
      </c>
      <c r="K13" s="1">
        <f>Table13456[[#This Row],[Normal Grain Harvest]]-Table13456[[#This Row],[Required Grain]]</f>
        <v>4692500</v>
      </c>
      <c r="L13" s="3">
        <f>(Table13456[[#This Row],[Suplus Grain]]/2)/2000</f>
        <v>1173.125</v>
      </c>
      <c r="M13" t="s">
        <v>86</v>
      </c>
      <c r="P13" s="4">
        <f>(Table13456[[#This Row],[Tax Income in Talents]]+Table13456[[#This Row],[Trade Income]]-Table13456[[#This Row],[Other Expenditure]]-Table13456[[#This Row],[Garrisoned Soldier Cost]])</f>
        <v>173.125</v>
      </c>
    </row>
    <row r="14" spans="1:16" x14ac:dyDescent="0.25">
      <c r="A14" t="s">
        <v>120</v>
      </c>
      <c r="B14" t="s">
        <v>96</v>
      </c>
      <c r="C14" s="1">
        <v>3000</v>
      </c>
      <c r="D14">
        <v>2000</v>
      </c>
      <c r="E14" s="1">
        <v>500000</v>
      </c>
      <c r="F14" s="1">
        <v>10000</v>
      </c>
      <c r="G14" s="1">
        <f>Table13456[[#This Row],[Normal Grain Harvest]]*0.6</f>
        <v>2250000</v>
      </c>
      <c r="H14" s="1">
        <v>3750000</v>
      </c>
      <c r="I14" s="1">
        <f>Table13456[[#This Row],[Normal Grain Harvest]]*1.3</f>
        <v>4875000</v>
      </c>
      <c r="J14" s="1">
        <f>(Table13456[[#This Row],[Population]]*365)/1000</f>
        <v>182500</v>
      </c>
      <c r="K14" s="1">
        <f>Table13456[[#This Row],[Low Grain Harvest]]-Table13456[[#This Row],[Required Grain]]</f>
        <v>2067500</v>
      </c>
      <c r="L14" s="3">
        <f>(Table13456[[#This Row],[Suplus Grain]]/2)/2000</f>
        <v>516.875</v>
      </c>
      <c r="M14" t="s">
        <v>86</v>
      </c>
      <c r="P14" s="4">
        <f>(Table13456[[#This Row],[Tax Income in Talents]]+Table13456[[#This Row],[Trade Income]]-Table13456[[#This Row],[Other Expenditure]]-Table13456[[#This Row],[Garrisoned Soldier Cost]])</f>
        <v>-1483.125</v>
      </c>
    </row>
    <row r="15" spans="1:16" x14ac:dyDescent="0.25">
      <c r="A15" t="s">
        <v>105</v>
      </c>
      <c r="B15" t="s">
        <v>96</v>
      </c>
      <c r="C15" s="1">
        <v>500</v>
      </c>
      <c r="D15">
        <v>250</v>
      </c>
      <c r="E15" s="1">
        <v>1000000</v>
      </c>
      <c r="F15" s="1">
        <v>20000</v>
      </c>
      <c r="G15" s="6">
        <f>Table13456[[#This Row],[Normal Grain Harvest]]*0.6</f>
        <v>4500000</v>
      </c>
      <c r="H15" s="1">
        <v>7500000</v>
      </c>
      <c r="I15" s="1">
        <f>Table13456[[#This Row],[Normal Grain Harvest]]*1.3</f>
        <v>9750000</v>
      </c>
      <c r="J15" s="1">
        <f>(Table13456[[#This Row],[Population]]*365)/1000</f>
        <v>365000</v>
      </c>
      <c r="K15" s="1">
        <f>Table13456[[#This Row],[Normal Grain Harvest]]-Table13456[[#This Row],[Required Grain]]</f>
        <v>7135000</v>
      </c>
      <c r="L15" s="3">
        <f>(Table13456[[#This Row],[Suplus Grain]]/2)/2000</f>
        <v>1783.75</v>
      </c>
      <c r="M15" t="s">
        <v>86</v>
      </c>
      <c r="P15" s="4">
        <f>(Table13456[[#This Row],[Tax Income in Talents]]+Table13456[[#This Row],[Trade Income]]-Table13456[[#This Row],[Other Expenditure]]-Table13456[[#This Row],[Garrisoned Soldier Cost]])</f>
        <v>1533.75</v>
      </c>
    </row>
    <row r="16" spans="1:16" x14ac:dyDescent="0.25">
      <c r="A16" t="s">
        <v>125</v>
      </c>
      <c r="B16" t="s">
        <v>96</v>
      </c>
      <c r="C16" s="1">
        <v>500</v>
      </c>
      <c r="D16">
        <v>250</v>
      </c>
      <c r="E16" s="1">
        <v>500000</v>
      </c>
      <c r="F16" s="1">
        <v>10000</v>
      </c>
      <c r="G16" s="1">
        <f>Table13456[[#This Row],[Normal Grain Harvest]]*0.6</f>
        <v>2250000</v>
      </c>
      <c r="H16" s="1">
        <v>3750000</v>
      </c>
      <c r="I16" s="1">
        <f>Table13456[[#This Row],[Normal Grain Harvest]]*1.3</f>
        <v>4875000</v>
      </c>
      <c r="J16" s="1">
        <f>(Table13456[[#This Row],[Population]]*365)/1000</f>
        <v>182500</v>
      </c>
      <c r="K16" s="1">
        <f>Table13456[[#This Row],[Low Grain Harvest]]-Table13456[[#This Row],[Required Grain]]</f>
        <v>2067500</v>
      </c>
      <c r="L16" s="3">
        <f>(Table13456[[#This Row],[Suplus Grain]]/2)/2000</f>
        <v>516.875</v>
      </c>
      <c r="M16" t="s">
        <v>126</v>
      </c>
      <c r="P16" s="4">
        <f>(Table13456[[#This Row],[Tax Income in Talents]]+Table13456[[#This Row],[Trade Income]]-Table13456[[#This Row],[Other Expenditure]]-Table13456[[#This Row],[Garrisoned Soldier Cost]])</f>
        <v>266.875</v>
      </c>
    </row>
    <row r="17" spans="1:16" x14ac:dyDescent="0.25">
      <c r="A17" t="s">
        <v>48</v>
      </c>
      <c r="B17" t="s">
        <v>96</v>
      </c>
      <c r="C17" s="1">
        <v>4500</v>
      </c>
      <c r="D17">
        <v>4000</v>
      </c>
      <c r="E17" s="1">
        <v>3500000</v>
      </c>
      <c r="F17" s="1">
        <v>80000</v>
      </c>
      <c r="G17" s="1">
        <f>Table13456[[#This Row],[Normal Grain Harvest]]*0.6</f>
        <v>14751814.799999999</v>
      </c>
      <c r="H17" s="1">
        <v>24586358</v>
      </c>
      <c r="I17" s="6">
        <f>Table13456[[#This Row],[Normal Grain Harvest]]*1.3</f>
        <v>31962265.400000002</v>
      </c>
      <c r="J17" s="1">
        <f>(Table13456[[#This Row],[Population]]*365)/1000</f>
        <v>1277500</v>
      </c>
      <c r="K17" s="1">
        <f>Table13456[[#This Row],[Normal Grain Harvest]]-Table13456[[#This Row],[Required Grain]]</f>
        <v>23308858</v>
      </c>
      <c r="L17" s="3">
        <f>(Table13456[[#This Row],[Suplus Grain]]/2)/2000</f>
        <v>5827.2145</v>
      </c>
      <c r="P17" s="4">
        <f>(Table13456[[#This Row],[Tax Income in Talents]]+Table13456[[#This Row],[Trade Income]]-Table13456[[#This Row],[Other Expenditure]]-Table13456[[#This Row],[Garrisoned Soldier Cost]])</f>
        <v>1827.2145</v>
      </c>
    </row>
    <row r="18" spans="1:16" x14ac:dyDescent="0.25">
      <c r="A18" t="s">
        <v>49</v>
      </c>
      <c r="B18" t="s">
        <v>101</v>
      </c>
      <c r="C18" s="1">
        <v>1000</v>
      </c>
      <c r="D18">
        <v>500</v>
      </c>
      <c r="E18" s="1">
        <v>2000000</v>
      </c>
      <c r="F18" s="1">
        <v>45000</v>
      </c>
      <c r="G18" s="1">
        <f>Table13456[[#This Row],[Normal Grain Harvest]]*0.6</f>
        <v>10140000</v>
      </c>
      <c r="H18" s="1">
        <v>16900000</v>
      </c>
      <c r="I18" s="6">
        <f>Table13456[[#This Row],[Normal Grain Harvest]]*1.3</f>
        <v>21970000</v>
      </c>
      <c r="J18" s="1">
        <f>(Table13456[[#This Row],[Population]]*365)/1000</f>
        <v>730000</v>
      </c>
      <c r="K18" s="1">
        <f>Table13456[[#This Row],[Normal Grain Harvest]]-Table13456[[#This Row],[Required Grain]]</f>
        <v>16170000</v>
      </c>
      <c r="L18" s="3">
        <f>(Table13456[[#This Row],[Suplus Grain]]/2)/2000</f>
        <v>4042.5</v>
      </c>
      <c r="M18" t="s">
        <v>85</v>
      </c>
      <c r="P18" s="4">
        <f>(Table13456[[#This Row],[Tax Income in Talents]]+Table13456[[#This Row],[Trade Income]]-Table13456[[#This Row],[Other Expenditure]]-Table13456[[#This Row],[Garrisoned Soldier Cost]])</f>
        <v>3542.5</v>
      </c>
    </row>
    <row r="19" spans="1:16" x14ac:dyDescent="0.25">
      <c r="A19" t="s">
        <v>50</v>
      </c>
      <c r="B19" t="s">
        <v>103</v>
      </c>
      <c r="C19" s="1">
        <v>2000</v>
      </c>
      <c r="D19">
        <v>1000</v>
      </c>
      <c r="E19" s="1">
        <v>1300000</v>
      </c>
      <c r="F19" s="1">
        <v>40000</v>
      </c>
      <c r="G19" s="1">
        <f>Table13456[[#This Row],[Normal Grain Harvest]]*0.6</f>
        <v>9360000</v>
      </c>
      <c r="H19" s="1">
        <v>15600000</v>
      </c>
      <c r="I19" s="1">
        <f>Table13456[[#This Row],[Normal Grain Harvest]]*1.3</f>
        <v>20280000</v>
      </c>
      <c r="J19" s="1">
        <f>(Table13456[[#This Row],[Population]]*365)/1000</f>
        <v>474500</v>
      </c>
      <c r="K19" s="1">
        <f>Table13456[[#This Row],[Normal Grain Harvest]]-Table13456[[#This Row],[Required Grain]]</f>
        <v>15125500</v>
      </c>
      <c r="L19" s="3">
        <f>(Table13456[[#This Row],[Suplus Grain]]/2)/2000</f>
        <v>3781.375</v>
      </c>
      <c r="M19" t="s">
        <v>85</v>
      </c>
      <c r="N19">
        <v>10</v>
      </c>
      <c r="P19" s="4">
        <f>(Table13456[[#This Row],[Tax Income in Talents]]+Table13456[[#This Row],[Trade Income]]-Table13456[[#This Row],[Other Expenditure]]-Table13456[[#This Row],[Garrisoned Soldier Cost]])</f>
        <v>2791.375</v>
      </c>
    </row>
    <row r="20" spans="1:16" x14ac:dyDescent="0.25">
      <c r="A20" t="s">
        <v>51</v>
      </c>
      <c r="B20" t="s">
        <v>97</v>
      </c>
      <c r="C20" s="1">
        <v>750</v>
      </c>
      <c r="D20">
        <v>750</v>
      </c>
      <c r="E20" s="1">
        <v>600000</v>
      </c>
      <c r="F20" s="1">
        <v>22500</v>
      </c>
      <c r="G20" s="1">
        <f>Table13456[[#This Row],[Normal Grain Harvest]]*0.6</f>
        <v>5850000</v>
      </c>
      <c r="H20" s="1">
        <v>9750000</v>
      </c>
      <c r="I20" s="1">
        <f>Table13456[[#This Row],[Normal Grain Harvest]]*1.3</f>
        <v>12675000</v>
      </c>
      <c r="J20" s="1">
        <f>(Table13456[[#This Row],[Population]]*365)/1000</f>
        <v>219000</v>
      </c>
      <c r="K20" s="1">
        <f>Table13456[[#This Row],[High Grain Harvest]]-Table13456[[#This Row],[Required Grain]]</f>
        <v>12456000</v>
      </c>
      <c r="L20" s="3">
        <f>(Table13456[[#This Row],[Suplus Grain]]/2)/2000</f>
        <v>3114</v>
      </c>
      <c r="M20" t="s">
        <v>56</v>
      </c>
      <c r="P20" s="4">
        <f>(Table13456[[#This Row],[Tax Income in Talents]]+Table13456[[#This Row],[Trade Income]]-Table13456[[#This Row],[Other Expenditure]]-Table13456[[#This Row],[Garrisoned Soldier Cost]])</f>
        <v>2364</v>
      </c>
    </row>
    <row r="21" spans="1:16" x14ac:dyDescent="0.25">
      <c r="A21" t="s">
        <v>132</v>
      </c>
      <c r="B21" t="s">
        <v>134</v>
      </c>
      <c r="C21" s="1">
        <v>2000</v>
      </c>
      <c r="D21">
        <v>1000</v>
      </c>
      <c r="E21" s="1">
        <v>600000</v>
      </c>
      <c r="F21" s="1">
        <v>22500</v>
      </c>
      <c r="G21" s="1">
        <f>Table13456[[#This Row],[Normal Grain Harvest]]*0.6</f>
        <v>4500000</v>
      </c>
      <c r="H21" s="1">
        <v>7500000</v>
      </c>
      <c r="I21" s="1">
        <f>Table13456[[#This Row],[Normal Grain Harvest]]*1.3</f>
        <v>9750000</v>
      </c>
      <c r="J21" s="1">
        <f>(Table13456[[#This Row],[Population]]*365)/1000</f>
        <v>219000</v>
      </c>
      <c r="K21" s="1">
        <f>Table13456[[#This Row],[Normal Grain Harvest]]-Table13456[[#This Row],[Required Grain]]</f>
        <v>7281000</v>
      </c>
      <c r="L21" s="3">
        <f>(Table13456[[#This Row],[Suplus Grain]]/2)/2000</f>
        <v>1820.25</v>
      </c>
      <c r="P21" s="4">
        <f>(Table13456[[#This Row],[Tax Income in Talents]]+Table13456[[#This Row],[Trade Income]]-Table13456[[#This Row],[Other Expenditure]]-Table13456[[#This Row],[Garrisoned Soldier Cost]])</f>
        <v>820.25</v>
      </c>
    </row>
    <row r="22" spans="1:16" x14ac:dyDescent="0.25">
      <c r="A22" t="s">
        <v>114</v>
      </c>
      <c r="B22" t="s">
        <v>134</v>
      </c>
      <c r="C22" s="1">
        <v>3000</v>
      </c>
      <c r="D22">
        <v>1500</v>
      </c>
      <c r="E22">
        <v>1350000</v>
      </c>
      <c r="F22">
        <v>27000</v>
      </c>
      <c r="G22" s="1">
        <f>Table13456[[#This Row],[Normal Grain Harvest]]*0.6</f>
        <v>6084000</v>
      </c>
      <c r="H22">
        <v>10140000</v>
      </c>
      <c r="I22" s="1">
        <f>Table13456[[#This Row],[Normal Grain Harvest]]*1.3</f>
        <v>13182000</v>
      </c>
      <c r="J22" s="1">
        <f>(Table13456[[#This Row],[Population]]*365)/1000</f>
        <v>492750</v>
      </c>
      <c r="K22" s="1">
        <f>Table13456[[#This Row],[Normal Grain Harvest]]-Table13456[[#This Row],[Required Grain]]</f>
        <v>9647250</v>
      </c>
      <c r="L22" s="3">
        <f>(Table13456[[#This Row],[Suplus Grain]]/2)/2000</f>
        <v>2411.8125</v>
      </c>
      <c r="M22" t="s">
        <v>57</v>
      </c>
      <c r="P22" s="4">
        <f>(Table13456[[#This Row],[Tax Income in Talents]]+Table13456[[#This Row],[Trade Income]]-Table13456[[#This Row],[Other Expenditure]]-Table13456[[#This Row],[Garrisoned Soldier Cost]])</f>
        <v>911.8125</v>
      </c>
    </row>
    <row r="23" spans="1:16" x14ac:dyDescent="0.25">
      <c r="A23" t="s">
        <v>127</v>
      </c>
      <c r="B23" t="s">
        <v>30</v>
      </c>
      <c r="C23" s="1">
        <v>0</v>
      </c>
      <c r="D23">
        <v>0</v>
      </c>
      <c r="E23">
        <f>2250000*0.4</f>
        <v>900000</v>
      </c>
      <c r="F23" s="1">
        <v>18000</v>
      </c>
      <c r="G23" s="1">
        <f>Table13456[[#This Row],[Normal Grain Harvest]]*0.6</f>
        <v>4056000</v>
      </c>
      <c r="H23">
        <v>6760000</v>
      </c>
      <c r="I23" s="1">
        <f>Table13456[[#This Row],[Normal Grain Harvest]]*1.3</f>
        <v>8788000</v>
      </c>
      <c r="J23" s="1">
        <f>(Table13456[[#This Row],[Population]]*365)/1000</f>
        <v>328500</v>
      </c>
      <c r="K23" s="1">
        <f>Table13456[[#This Row],[Normal Grain Harvest]]-Table13456[[#This Row],[Required Grain]]</f>
        <v>6431500</v>
      </c>
      <c r="L23" s="3">
        <f>(Table13456[[#This Row],[Suplus Grain]]/2)/2000</f>
        <v>1607.875</v>
      </c>
      <c r="P23" s="4">
        <f>(Table13456[[#This Row],[Tax Income in Talents]]+Table13456[[#This Row],[Trade Income]]-Table13456[[#This Row],[Other Expenditure]]-Table13456[[#This Row],[Garrisoned Soldier Cost]])</f>
        <v>1607.875</v>
      </c>
    </row>
    <row r="24" spans="1:16" x14ac:dyDescent="0.25">
      <c r="A24" t="s">
        <v>129</v>
      </c>
      <c r="B24" t="s">
        <v>30</v>
      </c>
      <c r="C24" s="1">
        <v>0</v>
      </c>
      <c r="D24">
        <v>0</v>
      </c>
      <c r="E24">
        <v>375000</v>
      </c>
      <c r="F24" s="1">
        <v>3500</v>
      </c>
      <c r="G24" s="1">
        <f>Table13456[[#This Row],[Normal Grain Harvest]]*0.6</f>
        <v>2535000</v>
      </c>
      <c r="H24" s="1">
        <v>4225000</v>
      </c>
      <c r="I24" s="1">
        <f>Table13456[[#This Row],[Normal Grain Harvest]]*1.3</f>
        <v>5492500</v>
      </c>
      <c r="J24" s="1">
        <f>(Table13456[[#This Row],[Population]]*365)/1000</f>
        <v>136875</v>
      </c>
      <c r="K24" s="1">
        <f>Table13456[[#This Row],[Normal Grain Harvest]]-Table13456[[#This Row],[Required Grain]]</f>
        <v>4088125</v>
      </c>
      <c r="L24" s="3">
        <f>(Table13456[[#This Row],[Suplus Grain]]/2)/2000</f>
        <v>1022.03125</v>
      </c>
      <c r="P24" s="4">
        <f>(Table13456[[#This Row],[Tax Income in Talents]]+Table13456[[#This Row],[Trade Income]]-Table13456[[#This Row],[Other Expenditure]]-Table13456[[#This Row],[Garrisoned Soldier Cost]])</f>
        <v>1022.03125</v>
      </c>
    </row>
    <row r="25" spans="1:16" x14ac:dyDescent="0.25">
      <c r="A25" t="s">
        <v>128</v>
      </c>
      <c r="B25" t="s">
        <v>97</v>
      </c>
      <c r="C25" s="1">
        <v>1000</v>
      </c>
      <c r="D25">
        <v>500</v>
      </c>
      <c r="E25">
        <v>375000</v>
      </c>
      <c r="F25">
        <v>3500</v>
      </c>
      <c r="G25" s="1">
        <f>Table13456[[#This Row],[Normal Grain Harvest]]*0.6</f>
        <v>2535000</v>
      </c>
      <c r="H25" s="7">
        <v>4225000</v>
      </c>
      <c r="I25" s="1">
        <f>Table13456[[#This Row],[Normal Grain Harvest]]*1.3</f>
        <v>5492500</v>
      </c>
      <c r="J25" s="1">
        <f>(Table13456[[#This Row],[Population]]*365)/1000</f>
        <v>136875</v>
      </c>
      <c r="K25" s="1">
        <f>Table13456[[#This Row],[High Grain Harvest]]-Table13456[[#This Row],[Required Grain]]</f>
        <v>5355625</v>
      </c>
      <c r="L25" s="3">
        <f>(Table13456[[#This Row],[Suplus Grain]]/2)/2000</f>
        <v>1338.90625</v>
      </c>
      <c r="M25" t="s">
        <v>88</v>
      </c>
      <c r="P25" s="4">
        <f>(Table13456[[#This Row],[Tax Income in Talents]]+Table13456[[#This Row],[Trade Income]]-Table13456[[#This Row],[Other Expenditure]]-Table13456[[#This Row],[Garrisoned Soldier Cost]])</f>
        <v>838.90625</v>
      </c>
    </row>
    <row r="26" spans="1:16" x14ac:dyDescent="0.25">
      <c r="A26" t="s">
        <v>123</v>
      </c>
      <c r="B26" t="s">
        <v>30</v>
      </c>
      <c r="C26" s="1">
        <v>0</v>
      </c>
      <c r="D26">
        <v>0</v>
      </c>
      <c r="E26" s="1">
        <v>200000</v>
      </c>
      <c r="F26">
        <v>7000</v>
      </c>
      <c r="G26" s="1">
        <f>Table13456[[#This Row],[Normal Grain Harvest]]*0.6</f>
        <v>1950000</v>
      </c>
      <c r="H26" s="1">
        <v>3250000</v>
      </c>
      <c r="I26" s="1">
        <f>Table13456[[#This Row],[Normal Grain Harvest]]*1.3</f>
        <v>4225000</v>
      </c>
      <c r="J26" s="1">
        <f>(Table13456[[#This Row],[Population]]*365)/1000</f>
        <v>73000</v>
      </c>
      <c r="K26" s="1">
        <f>Table13456[[#This Row],[Normal Grain Harvest]]-Table13456[[#This Row],[Required Grain]]</f>
        <v>3177000</v>
      </c>
      <c r="L26" s="3">
        <f>(Table13456[[#This Row],[Suplus Grain]]/2)/2000</f>
        <v>794.25</v>
      </c>
      <c r="P26" s="4">
        <f>(Table13456[[#This Row],[Tax Income in Talents]]+Table13456[[#This Row],[Trade Income]]-Table13456[[#This Row],[Other Expenditure]]-Table13456[[#This Row],[Garrisoned Soldier Cost]])</f>
        <v>794.25</v>
      </c>
    </row>
    <row r="27" spans="1:16" x14ac:dyDescent="0.25">
      <c r="A27" t="s">
        <v>130</v>
      </c>
      <c r="B27" t="s">
        <v>97</v>
      </c>
      <c r="C27" s="1">
        <v>500</v>
      </c>
      <c r="D27">
        <v>250</v>
      </c>
      <c r="E27" s="1">
        <v>200000</v>
      </c>
      <c r="F27">
        <v>4000</v>
      </c>
      <c r="G27" s="1">
        <f>Table13456[[#This Row],[Normal Grain Harvest]]*0.6</f>
        <v>1170000</v>
      </c>
      <c r="H27" s="1">
        <v>1950000</v>
      </c>
      <c r="I27" s="1">
        <f>Table13456[[#This Row],[Normal Grain Harvest]]*1.3</f>
        <v>2535000</v>
      </c>
      <c r="J27" s="1">
        <f>(Table13456[[#This Row],[Population]]*365)/1000</f>
        <v>73000</v>
      </c>
      <c r="K27" s="1">
        <f>Table13456[[#This Row],[High Grain Harvest]]-Table13456[[#This Row],[Required Grain]]</f>
        <v>2462000</v>
      </c>
      <c r="L27" s="3">
        <f>(Table13456[[#This Row],[Suplus Grain]]/2)/2000</f>
        <v>615.5</v>
      </c>
      <c r="P27" s="4">
        <f>(Table13456[[#This Row],[Tax Income in Talents]]+Table13456[[#This Row],[Trade Income]]-Table13456[[#This Row],[Other Expenditure]]-Table13456[[#This Row],[Garrisoned Soldier Cost]])</f>
        <v>365.5</v>
      </c>
    </row>
    <row r="28" spans="1:16" x14ac:dyDescent="0.25">
      <c r="A28" t="s">
        <v>69</v>
      </c>
      <c r="B28" t="s">
        <v>30</v>
      </c>
      <c r="C28" s="1">
        <v>3000</v>
      </c>
      <c r="D28">
        <v>1500</v>
      </c>
      <c r="E28" s="1">
        <v>800000</v>
      </c>
      <c r="F28" s="1">
        <v>16000</v>
      </c>
      <c r="G28" s="1">
        <f>Table13456[[#This Row],[Normal Grain Harvest]]*0.6</f>
        <v>4680000</v>
      </c>
      <c r="H28" s="1">
        <v>7800000</v>
      </c>
      <c r="I28" s="6">
        <f>Table13456[[#This Row],[Normal Grain Harvest]]*1.3</f>
        <v>10140000</v>
      </c>
      <c r="J28" s="1">
        <f>(Table13456[[#This Row],[Population]]*365)/1000</f>
        <v>292000</v>
      </c>
      <c r="K28" s="1">
        <f>Table13456[[#This Row],[Normal Grain Harvest]]-Table13456[[#This Row],[Required Grain]]</f>
        <v>7508000</v>
      </c>
      <c r="L28" s="3">
        <f>(Table13456[[#This Row],[Suplus Grain]]/2)/2000</f>
        <v>1877</v>
      </c>
      <c r="M28" t="s">
        <v>92</v>
      </c>
      <c r="P28" s="4">
        <f>(Table13456[[#This Row],[Tax Income in Talents]]+Table13456[[#This Row],[Trade Income]]-Table13456[[#This Row],[Other Expenditure]]-Table13456[[#This Row],[Garrisoned Soldier Cost]])</f>
        <v>377</v>
      </c>
    </row>
    <row r="29" spans="1:16" x14ac:dyDescent="0.25">
      <c r="A29" t="s">
        <v>131</v>
      </c>
      <c r="B29" t="s">
        <v>134</v>
      </c>
      <c r="E29">
        <v>7000</v>
      </c>
      <c r="F29">
        <v>500</v>
      </c>
      <c r="G29" s="1">
        <f>Table13456[[#This Row],[Normal Grain Harvest]]*0.6</f>
        <v>7800</v>
      </c>
      <c r="H29" s="1">
        <v>13000</v>
      </c>
      <c r="I29" s="1">
        <f>Table13456[[#This Row],[Normal Grain Harvest]]*1.3</f>
        <v>16900</v>
      </c>
      <c r="J29" s="1">
        <f>(Table13456[[#This Row],[Population]]*365)/1000</f>
        <v>2555</v>
      </c>
      <c r="K29" s="1">
        <f>Table13456[[#This Row],[Normal Grain Harvest]]-Table13456[[#This Row],[Required Grain]]</f>
        <v>10445</v>
      </c>
      <c r="L29" s="3">
        <f>(Table13456[[#This Row],[Suplus Grain]]/2)/2000</f>
        <v>2.6112500000000001</v>
      </c>
      <c r="N29">
        <v>2</v>
      </c>
      <c r="P29" s="4">
        <f>(Table13456[[#This Row],[Tax Income in Talents]]+Table13456[[#This Row],[Trade Income]]-Table13456[[#This Row],[Other Expenditure]]-Table13456[[#This Row],[Garrisoned Soldier Cost]])</f>
        <v>4.6112500000000001</v>
      </c>
    </row>
    <row r="30" spans="1:16" x14ac:dyDescent="0.25">
      <c r="A30" t="s">
        <v>133</v>
      </c>
      <c r="B30" t="s">
        <v>135</v>
      </c>
      <c r="C30" s="1">
        <v>1000</v>
      </c>
      <c r="D30">
        <v>500</v>
      </c>
      <c r="E30" s="1">
        <v>200000</v>
      </c>
      <c r="F30">
        <v>7000</v>
      </c>
      <c r="G30" s="1">
        <f>Table13456[[#This Row],[Normal Grain Harvest]]*0.6</f>
        <v>1500000</v>
      </c>
      <c r="H30" s="1">
        <v>2500000</v>
      </c>
      <c r="I30" s="1">
        <f>Table13456[[#This Row],[Normal Grain Harvest]]*1.3</f>
        <v>3250000</v>
      </c>
      <c r="J30" s="1">
        <f>(Table13456[[#This Row],[Population]]*365)/1000</f>
        <v>73000</v>
      </c>
      <c r="K30" s="1">
        <f>Table13456[[#This Row],[Normal Grain Harvest]]-Table13456[[#This Row],[Required Grain]]</f>
        <v>2427000</v>
      </c>
      <c r="L30" s="3">
        <f>(Table13456[[#This Row],[Suplus Grain]]/2)/2000</f>
        <v>606.75</v>
      </c>
      <c r="P30" s="4">
        <f>(Table13456[[#This Row],[Tax Income in Talents]]+Table13456[[#This Row],[Trade Income]]-Table13456[[#This Row],[Other Expenditure]]-Table13456[[#This Row],[Garrisoned Soldier Cost]])</f>
        <v>106.75</v>
      </c>
    </row>
    <row r="35" spans="12:16" x14ac:dyDescent="0.25">
      <c r="P35" s="4">
        <f>SUM(P14,P15,P17)</f>
        <v>1877.8395</v>
      </c>
    </row>
    <row r="36" spans="12:16" x14ac:dyDescent="0.25">
      <c r="L36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opLeftCell="C9" workbookViewId="0">
      <selection sqref="A1:P29"/>
    </sheetView>
  </sheetViews>
  <sheetFormatPr defaultRowHeight="15" x14ac:dyDescent="0.25"/>
  <cols>
    <col min="11" max="11" width="10.140625" bestFit="1" customWidth="1"/>
  </cols>
  <sheetData>
    <row r="1" spans="1:16" x14ac:dyDescent="0.25">
      <c r="A1" t="s">
        <v>33</v>
      </c>
      <c r="B1" t="s">
        <v>62</v>
      </c>
      <c r="C1" t="s">
        <v>66</v>
      </c>
      <c r="D1" t="s">
        <v>65</v>
      </c>
      <c r="E1" t="s">
        <v>34</v>
      </c>
      <c r="F1" t="s">
        <v>55</v>
      </c>
      <c r="G1" t="s">
        <v>35</v>
      </c>
      <c r="H1" t="s">
        <v>36</v>
      </c>
      <c r="I1" t="s">
        <v>37</v>
      </c>
      <c r="J1" t="s">
        <v>38</v>
      </c>
      <c r="K1" t="s">
        <v>58</v>
      </c>
      <c r="L1" t="s">
        <v>59</v>
      </c>
      <c r="M1" t="s">
        <v>40</v>
      </c>
      <c r="N1" t="s">
        <v>60</v>
      </c>
      <c r="O1" t="s">
        <v>64</v>
      </c>
      <c r="P1" t="s">
        <v>61</v>
      </c>
    </row>
    <row r="2" spans="1:16" x14ac:dyDescent="0.25">
      <c r="A2" t="s">
        <v>39</v>
      </c>
      <c r="B2" t="s">
        <v>15</v>
      </c>
      <c r="C2" s="1">
        <v>1000</v>
      </c>
      <c r="D2">
        <v>500</v>
      </c>
      <c r="E2" s="1">
        <v>200000</v>
      </c>
      <c r="F2" s="1">
        <v>12000</v>
      </c>
      <c r="G2" s="1">
        <f>Table134567[[#This Row],[Normal Grain Harvest]]*0.6</f>
        <v>2068755</v>
      </c>
      <c r="H2">
        <v>3447925</v>
      </c>
      <c r="I2" s="1">
        <f>Table134567[[#This Row],[Normal Grain Harvest]]*1.3</f>
        <v>4482302.5</v>
      </c>
      <c r="J2" s="1">
        <f>(Table134567[[#This Row],[Population]]*365)/1000</f>
        <v>73000</v>
      </c>
      <c r="K2" s="1">
        <f>Table134567[[#This Row],[Normal Grain Harvest]]-Table134567[[#This Row],[Required Grain]]</f>
        <v>3374925</v>
      </c>
      <c r="L2" s="3">
        <f>(Table134567[[#This Row],[Suplus Grain]]/2)/2000</f>
        <v>843.73125000000005</v>
      </c>
      <c r="M2" t="s">
        <v>41</v>
      </c>
      <c r="P2" s="4">
        <f>(Table134567[[#This Row],[Tax Income in Talents]]+Table134567[[#This Row],[Trade Income]]-Table134567[[#This Row],[Other Expenditure]]-Table134567[[#This Row],[Garrisoned Soldier Cost]])</f>
        <v>343.73125000000005</v>
      </c>
    </row>
    <row r="3" spans="1:16" x14ac:dyDescent="0.25">
      <c r="A3" t="s">
        <v>42</v>
      </c>
      <c r="B3" t="s">
        <v>140</v>
      </c>
      <c r="C3" s="1">
        <v>1000</v>
      </c>
      <c r="D3">
        <v>500</v>
      </c>
      <c r="E3" s="1">
        <v>200000</v>
      </c>
      <c r="F3">
        <v>7000</v>
      </c>
      <c r="G3" s="1">
        <f>Table134567[[#This Row],[Normal Grain Harvest]]*0.6</f>
        <v>2068755</v>
      </c>
      <c r="H3">
        <v>3447925</v>
      </c>
      <c r="I3" s="1">
        <f>Table134567[[#This Row],[Normal Grain Harvest]]*1.3</f>
        <v>4482302.5</v>
      </c>
      <c r="J3" s="1">
        <f>(Table134567[[#This Row],[Population]]*365)/1000</f>
        <v>73000</v>
      </c>
      <c r="K3" s="1">
        <f>Table134567[[#This Row],[Normal Grain Harvest]]-Table134567[[#This Row],[Required Grain]]</f>
        <v>3374925</v>
      </c>
      <c r="L3" s="3">
        <f>(Table134567[[#This Row],[Suplus Grain]]/2)/2000</f>
        <v>843.73125000000005</v>
      </c>
      <c r="M3" t="s">
        <v>43</v>
      </c>
      <c r="P3" s="4">
        <f>(Table134567[[#This Row],[Tax Income in Talents]]+Table134567[[#This Row],[Trade Income]]-Table134567[[#This Row],[Other Expenditure]]-Table134567[[#This Row],[Garrisoned Soldier Cost]])</f>
        <v>343.73125000000005</v>
      </c>
    </row>
    <row r="4" spans="1:16" x14ac:dyDescent="0.25">
      <c r="A4" t="s">
        <v>53</v>
      </c>
      <c r="C4" s="1">
        <v>3000</v>
      </c>
      <c r="D4">
        <v>1500</v>
      </c>
      <c r="E4" s="1">
        <v>500000</v>
      </c>
      <c r="F4" s="1">
        <v>15000</v>
      </c>
      <c r="G4" s="1">
        <f>Table134567[[#This Row],[Normal Grain Harvest]]*0.6</f>
        <v>4296645</v>
      </c>
      <c r="H4">
        <v>7161075</v>
      </c>
      <c r="I4" s="1">
        <f>Table134567[[#This Row],[Normal Grain Harvest]]*1.3</f>
        <v>9309397.5</v>
      </c>
      <c r="J4" s="1">
        <f>(Table134567[[#This Row],[Population]]*365)/1000</f>
        <v>182500</v>
      </c>
      <c r="K4" s="1">
        <f>Table134567[[#This Row],[Normal Grain Harvest]]-Table134567[[#This Row],[Required Grain]]</f>
        <v>6978575</v>
      </c>
      <c r="L4" s="3">
        <f>(Table134567[[#This Row],[Suplus Grain]]/2)/2000</f>
        <v>1744.64375</v>
      </c>
      <c r="M4" t="s">
        <v>93</v>
      </c>
      <c r="P4" s="4">
        <f>(Table134567[[#This Row],[Tax Income in Talents]]+Table134567[[#This Row],[Trade Income]]-Table134567[[#This Row],[Other Expenditure]]-Table134567[[#This Row],[Garrisoned Soldier Cost]])</f>
        <v>244.64374999999995</v>
      </c>
    </row>
    <row r="5" spans="1:16" x14ac:dyDescent="0.25">
      <c r="A5" t="s">
        <v>94</v>
      </c>
      <c r="C5" s="1">
        <v>2700</v>
      </c>
      <c r="D5">
        <v>1350</v>
      </c>
      <c r="E5" s="1">
        <v>450000</v>
      </c>
      <c r="F5" s="1">
        <v>15000</v>
      </c>
      <c r="G5" s="6">
        <f>Table134567[[#This Row],[Normal Grain Harvest]]*0.6</f>
        <v>5585638.5</v>
      </c>
      <c r="H5">
        <v>9309397.5</v>
      </c>
      <c r="I5" s="1">
        <f>Table134567[[#This Row],[Normal Grain Harvest]]*1.3</f>
        <v>12102216.75</v>
      </c>
      <c r="J5" s="1">
        <f>(Table134567[[#This Row],[Population]]*365)/1000</f>
        <v>164250</v>
      </c>
      <c r="K5" s="1">
        <f>Table134567[[#This Row],[Normal Grain Harvest]]-Table134567[[#This Row],[Required Grain]]</f>
        <v>9145147.5</v>
      </c>
      <c r="L5" s="3">
        <f>(Table134567[[#This Row],[Suplus Grain]]/2)/2000</f>
        <v>2286.2868749999998</v>
      </c>
      <c r="M5" t="s">
        <v>93</v>
      </c>
      <c r="N5">
        <v>200</v>
      </c>
      <c r="P5" s="4">
        <f>(Table134567[[#This Row],[Tax Income in Talents]]+Table134567[[#This Row],[Trade Income]]-Table134567[[#This Row],[Other Expenditure]]-Table134567[[#This Row],[Garrisoned Soldier Cost]])</f>
        <v>1136.2868749999998</v>
      </c>
    </row>
    <row r="6" spans="1:16" x14ac:dyDescent="0.25">
      <c r="A6" t="s">
        <v>119</v>
      </c>
      <c r="C6" s="1">
        <v>3000</v>
      </c>
      <c r="D6">
        <v>1500</v>
      </c>
      <c r="E6" s="1">
        <v>500000</v>
      </c>
      <c r="F6" s="1">
        <v>13000</v>
      </c>
      <c r="G6" s="1">
        <f>Table134567[[#This Row],[Normal Grain Harvest]]*0.6</f>
        <v>4296645</v>
      </c>
      <c r="H6">
        <v>7161075</v>
      </c>
      <c r="I6" s="1">
        <f>Table134567[[#This Row],[Normal Grain Harvest]]*1.3</f>
        <v>9309397.5</v>
      </c>
      <c r="J6" s="1">
        <f>(Table134567[[#This Row],[Population]]*365)/1000</f>
        <v>182500</v>
      </c>
      <c r="K6" s="1">
        <f>Table134567[[#This Row],[Normal Grain Harvest]]-Table134567[[#This Row],[Required Grain]]</f>
        <v>6978575</v>
      </c>
      <c r="L6" s="3">
        <f>(Table134567[[#This Row],[Suplus Grain]]/2)/2000</f>
        <v>1744.64375</v>
      </c>
      <c r="M6" t="s">
        <v>93</v>
      </c>
      <c r="P6" s="4">
        <f>(Table134567[[#This Row],[Tax Income in Talents]]+Table134567[[#This Row],[Trade Income]]-Table134567[[#This Row],[Other Expenditure]]-Table134567[[#This Row],[Garrisoned Soldier Cost]])</f>
        <v>244.64374999999995</v>
      </c>
    </row>
    <row r="7" spans="1:16" x14ac:dyDescent="0.25">
      <c r="A7" t="s">
        <v>52</v>
      </c>
      <c r="B7" t="s">
        <v>141</v>
      </c>
      <c r="C7" s="1">
        <v>3000</v>
      </c>
      <c r="D7">
        <v>1500</v>
      </c>
      <c r="E7" s="1">
        <v>500000</v>
      </c>
      <c r="F7" s="1">
        <v>13000</v>
      </c>
      <c r="G7" s="1">
        <f>Table134567[[#This Row],[Normal Grain Harvest]]*0.6</f>
        <v>4296645</v>
      </c>
      <c r="H7">
        <v>7161075</v>
      </c>
      <c r="I7" s="1">
        <f>Table134567[[#This Row],[Normal Grain Harvest]]*1.3</f>
        <v>9309397.5</v>
      </c>
      <c r="J7" s="1">
        <f>(Table134567[[#This Row],[Population]]*365)/1000</f>
        <v>182500</v>
      </c>
      <c r="K7" s="1">
        <f>Table134567[[#This Row],[Low Grain Harvest]]-Table134567[[#This Row],[Required Grain]]</f>
        <v>4114145</v>
      </c>
      <c r="L7" s="3">
        <f>(Table134567[[#This Row],[Suplus Grain]]/2)/2000</f>
        <v>1028.5362500000001</v>
      </c>
      <c r="M7" t="s">
        <v>93</v>
      </c>
      <c r="P7" s="4">
        <f>(Table134567[[#This Row],[Tax Income in Talents]]+Table134567[[#This Row],[Trade Income]]-Table134567[[#This Row],[Other Expenditure]]-Table134567[[#This Row],[Garrisoned Soldier Cost]])</f>
        <v>-471.46374999999989</v>
      </c>
    </row>
    <row r="8" spans="1:16" x14ac:dyDescent="0.25">
      <c r="A8" t="s">
        <v>44</v>
      </c>
      <c r="B8" t="s">
        <v>141</v>
      </c>
      <c r="C8" s="1">
        <v>3000</v>
      </c>
      <c r="D8">
        <v>1500</v>
      </c>
      <c r="E8" s="1">
        <v>500000</v>
      </c>
      <c r="F8" s="1">
        <v>10000</v>
      </c>
      <c r="G8" s="6">
        <f>Table134567[[#This Row],[Normal Grain Harvest]]*0.6</f>
        <v>4296645</v>
      </c>
      <c r="H8">
        <v>7161075</v>
      </c>
      <c r="I8" s="1">
        <f>Table134567[[#This Row],[Normal Grain Harvest]]*1.3</f>
        <v>9309397.5</v>
      </c>
      <c r="J8" s="1">
        <f>(Table134567[[#This Row],[Population]]*365)/1000</f>
        <v>182500</v>
      </c>
      <c r="K8" s="1">
        <f>Table134567[[#This Row],[Low Grain Harvest]]-Table134567[[#This Row],[Required Grain]]</f>
        <v>4114145</v>
      </c>
      <c r="L8" s="3">
        <f>(Table134567[[#This Row],[Suplus Grain]]/2)/2000</f>
        <v>1028.5362500000001</v>
      </c>
      <c r="M8" t="s">
        <v>90</v>
      </c>
      <c r="P8" s="4">
        <f>(Table134567[[#This Row],[Tax Income in Talents]]+Table134567[[#This Row],[Trade Income]]-Table134567[[#This Row],[Other Expenditure]]-Table134567[[#This Row],[Garrisoned Soldier Cost]])</f>
        <v>-471.46374999999989</v>
      </c>
    </row>
    <row r="9" spans="1:16" x14ac:dyDescent="0.25">
      <c r="A9" t="s">
        <v>45</v>
      </c>
      <c r="B9" t="s">
        <v>141</v>
      </c>
      <c r="C9" s="1">
        <v>3000</v>
      </c>
      <c r="D9">
        <v>1500</v>
      </c>
      <c r="E9" s="1">
        <v>500000</v>
      </c>
      <c r="F9" s="1">
        <v>20000</v>
      </c>
      <c r="G9" s="1">
        <f>Table134567[[#This Row],[Normal Grain Harvest]]*0.6</f>
        <v>4296645</v>
      </c>
      <c r="H9">
        <v>7161075</v>
      </c>
      <c r="I9" s="1">
        <f>Table134567[[#This Row],[Normal Grain Harvest]]*1.3</f>
        <v>9309397.5</v>
      </c>
      <c r="J9" s="1">
        <f>(Table134567[[#This Row],[Population]]*365)/1000</f>
        <v>182500</v>
      </c>
      <c r="K9" s="1">
        <f>Table134567[[#This Row],[Normal Grain Harvest]]-Table134567[[#This Row],[Required Grain]]</f>
        <v>6978575</v>
      </c>
      <c r="L9" s="3">
        <f>(Table134567[[#This Row],[Suplus Grain]]/2)/2000</f>
        <v>1744.64375</v>
      </c>
      <c r="M9" t="s">
        <v>89</v>
      </c>
      <c r="P9" s="4">
        <f>(Table134567[[#This Row],[Tax Income in Talents]]+Table134567[[#This Row],[Trade Income]]-Table134567[[#This Row],[Other Expenditure]]-Table134567[[#This Row],[Garrisoned Soldier Cost]])</f>
        <v>244.64374999999995</v>
      </c>
    </row>
    <row r="10" spans="1:16" x14ac:dyDescent="0.25">
      <c r="A10" t="s">
        <v>46</v>
      </c>
      <c r="B10" t="s">
        <v>141</v>
      </c>
      <c r="C10" s="1">
        <v>2000</v>
      </c>
      <c r="D10">
        <v>1000</v>
      </c>
      <c r="E10" s="1">
        <v>500000</v>
      </c>
      <c r="F10" s="1">
        <v>20000</v>
      </c>
      <c r="G10" s="1">
        <f>Table134567[[#This Row],[Normal Grain Harvest]]*0.6</f>
        <v>4296645</v>
      </c>
      <c r="H10">
        <v>7161075</v>
      </c>
      <c r="I10" s="1">
        <f>Table134567[[#This Row],[Normal Grain Harvest]]*1.3</f>
        <v>9309397.5</v>
      </c>
      <c r="J10" s="1">
        <f>(Table134567[[#This Row],[Population]]*365)/1000</f>
        <v>182500</v>
      </c>
      <c r="K10" s="1">
        <f>Table134567[[#This Row],[Normal Grain Harvest]]-Table134567[[#This Row],[Required Grain]]</f>
        <v>6978575</v>
      </c>
      <c r="L10" s="3">
        <f>(Table134567[[#This Row],[Suplus Grain]]/2)/2000</f>
        <v>1744.64375</v>
      </c>
      <c r="M10" t="s">
        <v>88</v>
      </c>
      <c r="P10" s="4">
        <f>(Table134567[[#This Row],[Tax Income in Talents]]+Table134567[[#This Row],[Trade Income]]-Table134567[[#This Row],[Other Expenditure]]-Table134567[[#This Row],[Garrisoned Soldier Cost]])</f>
        <v>744.64374999999995</v>
      </c>
    </row>
    <row r="11" spans="1:16" x14ac:dyDescent="0.25">
      <c r="A11" t="s">
        <v>67</v>
      </c>
      <c r="C11" s="1">
        <v>4000</v>
      </c>
      <c r="D11">
        <v>2000</v>
      </c>
      <c r="E11" s="1">
        <v>400000</v>
      </c>
      <c r="F11" s="1">
        <v>20000</v>
      </c>
      <c r="G11" s="1">
        <f>Table134567[[#This Row],[Normal Grain Harvest]]*0.6</f>
        <v>4296645</v>
      </c>
      <c r="H11">
        <v>7161075</v>
      </c>
      <c r="I11" s="1">
        <f>Table134567[[#This Row],[Normal Grain Harvest]]*1.3</f>
        <v>9309397.5</v>
      </c>
      <c r="J11" s="1">
        <f>(Table134567[[#This Row],[Population]]*365)/1000</f>
        <v>146000</v>
      </c>
      <c r="K11" s="1">
        <f>Table134567[[#This Row],[Normal Grain Harvest]]-Table134567[[#This Row],[Required Grain]]</f>
        <v>7015075</v>
      </c>
      <c r="L11" s="3">
        <f>(Table134567[[#This Row],[Suplus Grain]]/2)/2000</f>
        <v>1753.76875</v>
      </c>
      <c r="M11" t="s">
        <v>91</v>
      </c>
      <c r="P11" s="4">
        <f>(Table134567[[#This Row],[Tax Income in Talents]]+Table134567[[#This Row],[Trade Income]]-Table134567[[#This Row],[Other Expenditure]]-Table134567[[#This Row],[Garrisoned Soldier Cost]])</f>
        <v>-246.23125000000005</v>
      </c>
    </row>
    <row r="12" spans="1:16" x14ac:dyDescent="0.25">
      <c r="A12" t="s">
        <v>25</v>
      </c>
      <c r="B12" t="s">
        <v>103</v>
      </c>
      <c r="C12" s="1">
        <v>1500</v>
      </c>
      <c r="D12">
        <v>500</v>
      </c>
      <c r="E12" s="1">
        <v>750000</v>
      </c>
      <c r="F12" s="1">
        <v>13000</v>
      </c>
      <c r="G12" s="1">
        <f>Table134567[[#This Row],[Normal Grain Harvest]]*0.6</f>
        <v>4296645</v>
      </c>
      <c r="H12">
        <v>7161075</v>
      </c>
      <c r="I12" s="1">
        <f>Table134567[[#This Row],[Normal Grain Harvest]]*1.3</f>
        <v>9309397.5</v>
      </c>
      <c r="J12" s="1">
        <f>(Table134567[[#This Row],[Population]]*365)/1000</f>
        <v>273750</v>
      </c>
      <c r="K12" s="1">
        <f>Table134567[[#This Row],[Normal Grain Harvest]]-Table134567[[#This Row],[Required Grain]]</f>
        <v>6887325</v>
      </c>
      <c r="L12" s="3">
        <f>(Table134567[[#This Row],[Suplus Grain]]/2)/2000</f>
        <v>1721.83125</v>
      </c>
      <c r="M12" t="s">
        <v>87</v>
      </c>
      <c r="P12" s="4">
        <f>(Table134567[[#This Row],[Tax Income in Talents]]+Table134567[[#This Row],[Trade Income]]-Table134567[[#This Row],[Other Expenditure]]-Table134567[[#This Row],[Garrisoned Soldier Cost]])</f>
        <v>1221.83125</v>
      </c>
    </row>
    <row r="13" spans="1:16" x14ac:dyDescent="0.25">
      <c r="A13" t="s">
        <v>47</v>
      </c>
      <c r="B13" t="s">
        <v>103</v>
      </c>
      <c r="C13" s="1">
        <v>1000</v>
      </c>
      <c r="D13">
        <v>1000</v>
      </c>
      <c r="E13" s="1">
        <v>500000</v>
      </c>
      <c r="F13" s="1">
        <v>10000</v>
      </c>
      <c r="G13" s="1">
        <f>Table134567[[#This Row],[Normal Grain Harvest]]*0.6</f>
        <v>3103132.5</v>
      </c>
      <c r="H13">
        <v>5171887.5</v>
      </c>
      <c r="I13" s="1">
        <f>Table134567[[#This Row],[Normal Grain Harvest]]*1.3</f>
        <v>6723453.75</v>
      </c>
      <c r="J13" s="1">
        <f>(Table134567[[#This Row],[Population]]*365)/1000</f>
        <v>182500</v>
      </c>
      <c r="K13" s="1">
        <f>Table134567[[#This Row],[Normal Grain Harvest]]-Table134567[[#This Row],[Required Grain]]</f>
        <v>4989387.5</v>
      </c>
      <c r="L13" s="3">
        <f>(Table134567[[#This Row],[Suplus Grain]]/2)/2000</f>
        <v>1247.346875</v>
      </c>
      <c r="M13" t="s">
        <v>86</v>
      </c>
      <c r="P13" s="4">
        <f>(Table134567[[#This Row],[Tax Income in Talents]]+Table134567[[#This Row],[Trade Income]]-Table134567[[#This Row],[Other Expenditure]]-Table134567[[#This Row],[Garrisoned Soldier Cost]])</f>
        <v>247.34687499999995</v>
      </c>
    </row>
    <row r="14" spans="1:16" x14ac:dyDescent="0.25">
      <c r="A14" t="s">
        <v>120</v>
      </c>
      <c r="B14" t="s">
        <v>96</v>
      </c>
      <c r="C14" s="1">
        <v>3000</v>
      </c>
      <c r="D14">
        <v>1500</v>
      </c>
      <c r="E14" s="1">
        <v>500000</v>
      </c>
      <c r="F14" s="1">
        <v>10000</v>
      </c>
      <c r="G14" s="1">
        <f>Table134567[[#This Row],[Normal Grain Harvest]]*0.6</f>
        <v>2387025</v>
      </c>
      <c r="H14">
        <v>3978375</v>
      </c>
      <c r="I14" s="1">
        <f>Table134567[[#This Row],[Normal Grain Harvest]]*1.3</f>
        <v>5171887.5</v>
      </c>
      <c r="J14" s="1">
        <f>(Table134567[[#This Row],[Population]]*365)/1000</f>
        <v>182500</v>
      </c>
      <c r="K14" s="1">
        <f>Table134567[[#This Row],[Low Grain Harvest]]-Table134567[[#This Row],[Required Grain]]</f>
        <v>2204525</v>
      </c>
      <c r="L14" s="3">
        <f>(Table134567[[#This Row],[Suplus Grain]]/2)/2000</f>
        <v>551.13125000000002</v>
      </c>
      <c r="M14" t="s">
        <v>86</v>
      </c>
      <c r="P14" s="4">
        <f>(Table134567[[#This Row],[Tax Income in Talents]]+Table134567[[#This Row],[Trade Income]]-Table134567[[#This Row],[Other Expenditure]]-Table134567[[#This Row],[Garrisoned Soldier Cost]])</f>
        <v>-948.86874999999998</v>
      </c>
    </row>
    <row r="15" spans="1:16" x14ac:dyDescent="0.25">
      <c r="A15" t="s">
        <v>105</v>
      </c>
      <c r="B15" t="s">
        <v>96</v>
      </c>
      <c r="C15" s="1">
        <v>500</v>
      </c>
      <c r="D15">
        <v>250</v>
      </c>
      <c r="E15" s="1">
        <v>1000000</v>
      </c>
      <c r="F15" s="1">
        <v>20000</v>
      </c>
      <c r="G15" s="6">
        <f>Table134567[[#This Row],[Normal Grain Harvest]]*0.6</f>
        <v>4774050</v>
      </c>
      <c r="H15">
        <v>7956750</v>
      </c>
      <c r="I15" s="1">
        <f>Table134567[[#This Row],[Normal Grain Harvest]]*1.3</f>
        <v>10343775</v>
      </c>
      <c r="J15" s="1">
        <f>(Table134567[[#This Row],[Population]]*365)/1000</f>
        <v>365000</v>
      </c>
      <c r="K15" s="1">
        <f>Table134567[[#This Row],[Normal Grain Harvest]]-Table134567[[#This Row],[Required Grain]]</f>
        <v>7591750</v>
      </c>
      <c r="L15" s="3">
        <f>(Table134567[[#This Row],[Suplus Grain]]/2)/2000</f>
        <v>1897.9375</v>
      </c>
      <c r="M15" t="s">
        <v>86</v>
      </c>
      <c r="P15" s="4">
        <f>(Table134567[[#This Row],[Tax Income in Talents]]+Table134567[[#This Row],[Trade Income]]-Table134567[[#This Row],[Other Expenditure]]-Table134567[[#This Row],[Garrisoned Soldier Cost]])</f>
        <v>1647.9375</v>
      </c>
    </row>
    <row r="16" spans="1:16" x14ac:dyDescent="0.25">
      <c r="A16" t="s">
        <v>125</v>
      </c>
      <c r="B16" t="s">
        <v>96</v>
      </c>
      <c r="C16" s="1">
        <v>500</v>
      </c>
      <c r="D16">
        <v>250</v>
      </c>
      <c r="E16" s="1">
        <v>500000</v>
      </c>
      <c r="F16" s="1">
        <v>10000</v>
      </c>
      <c r="G16" s="1">
        <f>Table134567[[#This Row],[Normal Grain Harvest]]*0.6</f>
        <v>2387025</v>
      </c>
      <c r="H16">
        <v>3978375</v>
      </c>
      <c r="I16" s="1">
        <f>Table134567[[#This Row],[Normal Grain Harvest]]*1.3</f>
        <v>5171887.5</v>
      </c>
      <c r="J16" s="1">
        <f>(Table134567[[#This Row],[Population]]*365)/1000</f>
        <v>182500</v>
      </c>
      <c r="K16" s="1">
        <f>Table134567[[#This Row],[Low Grain Harvest]]-Table134567[[#This Row],[Required Grain]]</f>
        <v>2204525</v>
      </c>
      <c r="L16" s="3">
        <f>(Table134567[[#This Row],[Suplus Grain]]/2)/2000</f>
        <v>551.13125000000002</v>
      </c>
      <c r="M16" t="s">
        <v>126</v>
      </c>
      <c r="P16" s="4">
        <f>(Table134567[[#This Row],[Tax Income in Talents]]+Table134567[[#This Row],[Trade Income]]-Table134567[[#This Row],[Other Expenditure]]-Table134567[[#This Row],[Garrisoned Soldier Cost]])</f>
        <v>301.13125000000002</v>
      </c>
    </row>
    <row r="17" spans="1:16" x14ac:dyDescent="0.25">
      <c r="A17" t="s">
        <v>48</v>
      </c>
      <c r="B17" t="s">
        <v>96</v>
      </c>
      <c r="C17" s="1">
        <v>4500</v>
      </c>
      <c r="D17">
        <v>4000</v>
      </c>
      <c r="E17" s="1">
        <v>3500000</v>
      </c>
      <c r="F17" s="1">
        <v>80000</v>
      </c>
      <c r="G17" s="1">
        <f>Table134567[[#This Row],[Normal Grain Harvest]]*0.6</f>
        <v>15650200.321320001</v>
      </c>
      <c r="H17">
        <v>26083667.202200003</v>
      </c>
      <c r="I17" s="6">
        <f>Table134567[[#This Row],[Normal Grain Harvest]]*1.3</f>
        <v>33908767.362860002</v>
      </c>
      <c r="J17" s="1">
        <f>(Table134567[[#This Row],[Population]]*365)/1000</f>
        <v>1277500</v>
      </c>
      <c r="K17" s="1">
        <f>Table134567[[#This Row],[Normal Grain Harvest]]-Table134567[[#This Row],[Required Grain]]</f>
        <v>24806167.202200003</v>
      </c>
      <c r="L17" s="3">
        <f>(Table134567[[#This Row],[Suplus Grain]]/2)/2000</f>
        <v>6201.5418005500005</v>
      </c>
      <c r="P17" s="4">
        <f>(Table134567[[#This Row],[Tax Income in Talents]]+Table134567[[#This Row],[Trade Income]]-Table134567[[#This Row],[Other Expenditure]]-Table134567[[#This Row],[Garrisoned Soldier Cost]])</f>
        <v>2201.5418005500005</v>
      </c>
    </row>
    <row r="18" spans="1:16" x14ac:dyDescent="0.25">
      <c r="A18" t="s">
        <v>49</v>
      </c>
      <c r="B18" t="s">
        <v>101</v>
      </c>
      <c r="C18" s="1">
        <v>1000</v>
      </c>
      <c r="D18">
        <v>500</v>
      </c>
      <c r="E18" s="1">
        <v>2000000</v>
      </c>
      <c r="F18" s="1">
        <v>45000</v>
      </c>
      <c r="G18" s="1">
        <f>Table134567[[#This Row],[Normal Grain Harvest]]*0.6</f>
        <v>10757526</v>
      </c>
      <c r="H18">
        <v>17929210</v>
      </c>
      <c r="I18" s="6">
        <f>Table134567[[#This Row],[Normal Grain Harvest]]*1.3</f>
        <v>23307973</v>
      </c>
      <c r="J18" s="1">
        <f>(Table134567[[#This Row],[Population]]*365)/1000</f>
        <v>730000</v>
      </c>
      <c r="K18" s="1">
        <f>Table134567[[#This Row],[Normal Grain Harvest]]-Table134567[[#This Row],[Required Grain]]</f>
        <v>17199210</v>
      </c>
      <c r="L18" s="3">
        <f>(Table134567[[#This Row],[Suplus Grain]]/2)/2000</f>
        <v>4299.8024999999998</v>
      </c>
      <c r="M18" t="s">
        <v>85</v>
      </c>
      <c r="P18" s="4">
        <f>(Table134567[[#This Row],[Tax Income in Talents]]+Table134567[[#This Row],[Trade Income]]-Table134567[[#This Row],[Other Expenditure]]-Table134567[[#This Row],[Garrisoned Soldier Cost]])</f>
        <v>3799.8024999999998</v>
      </c>
    </row>
    <row r="19" spans="1:16" x14ac:dyDescent="0.25">
      <c r="A19" t="s">
        <v>50</v>
      </c>
      <c r="B19" t="s">
        <v>103</v>
      </c>
      <c r="C19" s="1">
        <v>2000</v>
      </c>
      <c r="D19">
        <v>1000</v>
      </c>
      <c r="E19" s="1">
        <v>1300000</v>
      </c>
      <c r="F19" s="1">
        <v>40000</v>
      </c>
      <c r="G19" s="1">
        <f>Table134567[[#This Row],[Normal Grain Harvest]]*0.6</f>
        <v>9930024</v>
      </c>
      <c r="H19">
        <v>16550040</v>
      </c>
      <c r="I19" s="1">
        <f>Table134567[[#This Row],[Normal Grain Harvest]]*1.3</f>
        <v>21515052</v>
      </c>
      <c r="J19" s="1">
        <f>(Table134567[[#This Row],[Population]]*365)/1000</f>
        <v>474500</v>
      </c>
      <c r="K19" s="1">
        <f>Table134567[[#This Row],[Low Grain Harvest]]-Table134567[[#This Row],[Required Grain]]</f>
        <v>9455524</v>
      </c>
      <c r="L19" s="3">
        <f>(Table134567[[#This Row],[Suplus Grain]]/2)/2000</f>
        <v>2363.8809999999999</v>
      </c>
      <c r="M19" t="s">
        <v>85</v>
      </c>
      <c r="N19">
        <v>10</v>
      </c>
      <c r="P19" s="4">
        <f>(Table134567[[#This Row],[Tax Income in Talents]]+Table134567[[#This Row],[Trade Income]]-Table134567[[#This Row],[Other Expenditure]]-Table134567[[#This Row],[Garrisoned Soldier Cost]])</f>
        <v>1373.8809999999999</v>
      </c>
    </row>
    <row r="20" spans="1:16" x14ac:dyDescent="0.25">
      <c r="A20" t="s">
        <v>51</v>
      </c>
      <c r="B20" t="s">
        <v>97</v>
      </c>
      <c r="C20" s="1">
        <v>750</v>
      </c>
      <c r="D20">
        <v>750</v>
      </c>
      <c r="E20" s="1">
        <v>600000</v>
      </c>
      <c r="F20" s="1">
        <v>22500</v>
      </c>
      <c r="G20" s="1">
        <f>Table134567[[#This Row],[Normal Grain Harvest]]*0.6</f>
        <v>6206265</v>
      </c>
      <c r="H20">
        <v>10343775</v>
      </c>
      <c r="I20" s="1">
        <f>Table134567[[#This Row],[Normal Grain Harvest]]*1.3</f>
        <v>13446907.5</v>
      </c>
      <c r="J20" s="1">
        <f>(Table134567[[#This Row],[Population]]*365)/1000</f>
        <v>219000</v>
      </c>
      <c r="K20" s="1">
        <f>Table134567[[#This Row],[High Grain Harvest]]-Table134567[[#This Row],[Required Grain]]</f>
        <v>13227907.5</v>
      </c>
      <c r="L20" s="3">
        <f>(Table134567[[#This Row],[Suplus Grain]]/2)/2000</f>
        <v>3306.9768749999998</v>
      </c>
      <c r="M20" t="s">
        <v>56</v>
      </c>
      <c r="P20" s="4">
        <f>(Table134567[[#This Row],[Tax Income in Talents]]+Table134567[[#This Row],[Trade Income]]-Table134567[[#This Row],[Other Expenditure]]-Table134567[[#This Row],[Garrisoned Soldier Cost]])</f>
        <v>2556.9768749999998</v>
      </c>
    </row>
    <row r="21" spans="1:16" x14ac:dyDescent="0.25">
      <c r="A21" t="s">
        <v>132</v>
      </c>
      <c r="B21" t="s">
        <v>134</v>
      </c>
      <c r="C21" s="1">
        <v>2000</v>
      </c>
      <c r="D21">
        <v>1000</v>
      </c>
      <c r="E21" s="1">
        <v>600000</v>
      </c>
      <c r="F21" s="1">
        <v>22500</v>
      </c>
      <c r="G21" s="1">
        <f>Table134567[[#This Row],[Normal Grain Harvest]]*0.6</f>
        <v>4774050</v>
      </c>
      <c r="H21">
        <v>7956750</v>
      </c>
      <c r="I21" s="1">
        <f>Table134567[[#This Row],[Normal Grain Harvest]]*1.3</f>
        <v>10343775</v>
      </c>
      <c r="J21" s="1">
        <f>(Table134567[[#This Row],[Population]]*365)/1000</f>
        <v>219000</v>
      </c>
      <c r="K21" s="1">
        <f>Table134567[[#This Row],[Normal Grain Harvest]]-Table134567[[#This Row],[Required Grain]]</f>
        <v>7737750</v>
      </c>
      <c r="L21" s="3">
        <f>(Table134567[[#This Row],[Suplus Grain]]/2)/2000</f>
        <v>1934.4375</v>
      </c>
      <c r="P21" s="4">
        <f>(Table134567[[#This Row],[Tax Income in Talents]]+Table134567[[#This Row],[Trade Income]]-Table134567[[#This Row],[Other Expenditure]]-Table134567[[#This Row],[Garrisoned Soldier Cost]])</f>
        <v>934.4375</v>
      </c>
    </row>
    <row r="22" spans="1:16" x14ac:dyDescent="0.25">
      <c r="A22" t="s">
        <v>114</v>
      </c>
      <c r="B22" t="s">
        <v>134</v>
      </c>
      <c r="C22" s="1">
        <v>3000</v>
      </c>
      <c r="D22">
        <v>1500</v>
      </c>
      <c r="E22">
        <v>1350000</v>
      </c>
      <c r="F22">
        <v>27000</v>
      </c>
      <c r="G22" s="1">
        <f>Table134567[[#This Row],[Normal Grain Harvest]]*0.6</f>
        <v>6454515.5999999996</v>
      </c>
      <c r="H22">
        <v>10757526</v>
      </c>
      <c r="I22" s="1">
        <f>Table134567[[#This Row],[Normal Grain Harvest]]*1.3</f>
        <v>13984783.800000001</v>
      </c>
      <c r="J22" s="1">
        <f>(Table134567[[#This Row],[Population]]*365)/1000</f>
        <v>492750</v>
      </c>
      <c r="K22" s="1">
        <f>Table134567[[#This Row],[Normal Grain Harvest]]-Table134567[[#This Row],[Required Grain]]</f>
        <v>10264776</v>
      </c>
      <c r="L22" s="3">
        <f>(Table134567[[#This Row],[Suplus Grain]]/2)/2000</f>
        <v>2566.194</v>
      </c>
      <c r="M22" t="s">
        <v>57</v>
      </c>
      <c r="P22" s="4">
        <f>(Table134567[[#This Row],[Tax Income in Talents]]+Table134567[[#This Row],[Trade Income]]-Table134567[[#This Row],[Other Expenditure]]-Table134567[[#This Row],[Garrisoned Soldier Cost]])</f>
        <v>1066.194</v>
      </c>
    </row>
    <row r="23" spans="1:16" x14ac:dyDescent="0.25">
      <c r="A23" t="s">
        <v>127</v>
      </c>
      <c r="B23" t="s">
        <v>30</v>
      </c>
      <c r="C23" s="1">
        <v>0</v>
      </c>
      <c r="D23">
        <v>0</v>
      </c>
      <c r="E23">
        <f>2250000*0.4</f>
        <v>900000</v>
      </c>
      <c r="F23" s="1">
        <v>18000</v>
      </c>
      <c r="G23" s="1">
        <f>Table134567[[#This Row],[Normal Grain Harvest]]*0.6</f>
        <v>4303010.3999999994</v>
      </c>
      <c r="H23">
        <v>7171684</v>
      </c>
      <c r="I23" s="1">
        <f>Table134567[[#This Row],[Normal Grain Harvest]]*1.3</f>
        <v>9323189.2000000011</v>
      </c>
      <c r="J23" s="1">
        <f>(Table134567[[#This Row],[Population]]*365)/1000</f>
        <v>328500</v>
      </c>
      <c r="K23" s="1">
        <f>Table134567[[#This Row],[Low Grain Harvest]]-Table134567[[#This Row],[Required Grain]]</f>
        <v>3974510.3999999994</v>
      </c>
      <c r="L23" s="3">
        <f>(Table134567[[#This Row],[Suplus Grain]]/2)/2000</f>
        <v>993.62759999999992</v>
      </c>
      <c r="P23" s="4">
        <f>(Table134567[[#This Row],[Tax Income in Talents]]+Table134567[[#This Row],[Trade Income]]-Table134567[[#This Row],[Other Expenditure]]-Table134567[[#This Row],[Garrisoned Soldier Cost]])</f>
        <v>993.62759999999992</v>
      </c>
    </row>
    <row r="24" spans="1:16" x14ac:dyDescent="0.25">
      <c r="A24" t="s">
        <v>129</v>
      </c>
      <c r="B24" t="s">
        <v>30</v>
      </c>
      <c r="C24" s="1">
        <v>0</v>
      </c>
      <c r="D24">
        <v>0</v>
      </c>
      <c r="E24">
        <v>375000</v>
      </c>
      <c r="F24" s="1">
        <v>3500</v>
      </c>
      <c r="G24" s="1">
        <f>Table134567[[#This Row],[Normal Grain Harvest]]*0.6</f>
        <v>2689381.5</v>
      </c>
      <c r="H24">
        <v>4482302.5</v>
      </c>
      <c r="I24" s="1">
        <f>Table134567[[#This Row],[Normal Grain Harvest]]*1.3</f>
        <v>5826993.25</v>
      </c>
      <c r="J24" s="1">
        <f>(Table134567[[#This Row],[Population]]*365)/1000</f>
        <v>136875</v>
      </c>
      <c r="K24" s="1">
        <f>Table134567[[#This Row],[Normal Grain Harvest]]-Table134567[[#This Row],[Required Grain]]</f>
        <v>4345427.5</v>
      </c>
      <c r="L24" s="3">
        <f>(Table134567[[#This Row],[Suplus Grain]]/2)/2000</f>
        <v>1086.3568749999999</v>
      </c>
      <c r="P24" s="4">
        <f>(Table134567[[#This Row],[Tax Income in Talents]]+Table134567[[#This Row],[Trade Income]]-Table134567[[#This Row],[Other Expenditure]]-Table134567[[#This Row],[Garrisoned Soldier Cost]])</f>
        <v>1086.3568749999999</v>
      </c>
    </row>
    <row r="25" spans="1:16" x14ac:dyDescent="0.25">
      <c r="A25" t="s">
        <v>128</v>
      </c>
      <c r="B25" t="s">
        <v>97</v>
      </c>
      <c r="C25" s="1">
        <v>1000</v>
      </c>
      <c r="D25">
        <v>500</v>
      </c>
      <c r="E25">
        <v>375000</v>
      </c>
      <c r="F25">
        <v>3500</v>
      </c>
      <c r="G25" s="1">
        <f>Table134567[[#This Row],[Normal Grain Harvest]]*0.6</f>
        <v>2689381.5</v>
      </c>
      <c r="H25" s="8">
        <v>4482302.5</v>
      </c>
      <c r="I25" s="1">
        <f>Table134567[[#This Row],[Normal Grain Harvest]]*1.3</f>
        <v>5826993.25</v>
      </c>
      <c r="J25" s="1">
        <f>(Table134567[[#This Row],[Population]]*365)/1000</f>
        <v>136875</v>
      </c>
      <c r="K25" s="1">
        <f>Table134567[[#This Row],[Normal Grain Harvest]]-Table134567[[#This Row],[Required Grain]]</f>
        <v>4345427.5</v>
      </c>
      <c r="L25" s="3">
        <f>(Table134567[[#This Row],[Suplus Grain]]/2)/2000</f>
        <v>1086.3568749999999</v>
      </c>
      <c r="M25" t="s">
        <v>88</v>
      </c>
      <c r="P25" s="4">
        <f>(Table134567[[#This Row],[Tax Income in Talents]]+Table134567[[#This Row],[Trade Income]]-Table134567[[#This Row],[Other Expenditure]]-Table134567[[#This Row],[Garrisoned Soldier Cost]])</f>
        <v>586.35687499999995</v>
      </c>
    </row>
    <row r="26" spans="1:16" x14ac:dyDescent="0.25">
      <c r="A26" t="s">
        <v>123</v>
      </c>
      <c r="B26" t="s">
        <v>30</v>
      </c>
      <c r="C26" s="1">
        <v>0</v>
      </c>
      <c r="D26">
        <v>0</v>
      </c>
      <c r="E26" s="1">
        <v>200000</v>
      </c>
      <c r="F26">
        <v>7000</v>
      </c>
      <c r="G26" s="1">
        <f>Table134567[[#This Row],[Normal Grain Harvest]]*0.6</f>
        <v>2068755</v>
      </c>
      <c r="H26">
        <v>3447925</v>
      </c>
      <c r="I26" s="1">
        <f>Table134567[[#This Row],[Normal Grain Harvest]]*1.3</f>
        <v>4482302.5</v>
      </c>
      <c r="J26" s="1">
        <f>(Table134567[[#This Row],[Population]]*365)/1000</f>
        <v>73000</v>
      </c>
      <c r="K26" s="1">
        <f>Table134567[[#This Row],[Normal Grain Harvest]]-Table134567[[#This Row],[Required Grain]]</f>
        <v>3374925</v>
      </c>
      <c r="L26" s="3">
        <f>(Table134567[[#This Row],[Suplus Grain]]/2)/2000</f>
        <v>843.73125000000005</v>
      </c>
      <c r="P26" s="4">
        <f>(Table134567[[#This Row],[Tax Income in Talents]]+Table134567[[#This Row],[Trade Income]]-Table134567[[#This Row],[Other Expenditure]]-Table134567[[#This Row],[Garrisoned Soldier Cost]])</f>
        <v>843.73125000000005</v>
      </c>
    </row>
    <row r="27" spans="1:16" x14ac:dyDescent="0.25">
      <c r="A27" t="s">
        <v>130</v>
      </c>
      <c r="B27" t="s">
        <v>97</v>
      </c>
      <c r="C27" s="1">
        <v>500</v>
      </c>
      <c r="D27">
        <v>250</v>
      </c>
      <c r="E27" s="1">
        <v>200000</v>
      </c>
      <c r="F27">
        <v>4000</v>
      </c>
      <c r="G27" s="1">
        <f>Table134567[[#This Row],[Normal Grain Harvest]]*0.6</f>
        <v>1241253</v>
      </c>
      <c r="H27">
        <v>2068755</v>
      </c>
      <c r="I27" s="1">
        <f>Table134567[[#This Row],[Normal Grain Harvest]]*1.3</f>
        <v>2689381.5</v>
      </c>
      <c r="J27" s="1">
        <f>(Table134567[[#This Row],[Population]]*365)/1000</f>
        <v>73000</v>
      </c>
      <c r="K27" s="1">
        <f>Table134567[[#This Row],[High Grain Harvest]]-Table134567[[#This Row],[Required Grain]]</f>
        <v>2616381.5</v>
      </c>
      <c r="L27" s="3">
        <f>(Table134567[[#This Row],[Suplus Grain]]/2)/2000</f>
        <v>654.09537499999999</v>
      </c>
      <c r="P27" s="4">
        <f>(Table134567[[#This Row],[Tax Income in Talents]]+Table134567[[#This Row],[Trade Income]]-Table134567[[#This Row],[Other Expenditure]]-Table134567[[#This Row],[Garrisoned Soldier Cost]])</f>
        <v>404.09537499999999</v>
      </c>
    </row>
    <row r="28" spans="1:16" x14ac:dyDescent="0.25">
      <c r="A28" t="s">
        <v>69</v>
      </c>
      <c r="B28" t="s">
        <v>30</v>
      </c>
      <c r="C28" s="1">
        <v>3000</v>
      </c>
      <c r="D28">
        <v>1500</v>
      </c>
      <c r="E28" s="1">
        <v>800000</v>
      </c>
      <c r="F28" s="1">
        <v>16000</v>
      </c>
      <c r="G28" s="1">
        <f>Table134567[[#This Row],[Normal Grain Harvest]]*0.6</f>
        <v>4965012</v>
      </c>
      <c r="H28">
        <v>8275020</v>
      </c>
      <c r="I28" s="6">
        <f>Table134567[[#This Row],[Normal Grain Harvest]]*1.3</f>
        <v>10757526</v>
      </c>
      <c r="J28" s="1">
        <f>(Table134567[[#This Row],[Population]]*365)/1000</f>
        <v>292000</v>
      </c>
      <c r="K28" s="1">
        <f>Table134567[[#This Row],[Normal Grain Harvest]]-Table134567[[#This Row],[Required Grain]]</f>
        <v>7983020</v>
      </c>
      <c r="L28" s="3">
        <f>(Table134567[[#This Row],[Suplus Grain]]/2)/2000</f>
        <v>1995.7550000000001</v>
      </c>
      <c r="M28" t="s">
        <v>92</v>
      </c>
      <c r="P28" s="4">
        <f>(Table134567[[#This Row],[Tax Income in Talents]]+Table134567[[#This Row],[Trade Income]]-Table134567[[#This Row],[Other Expenditure]]-Table134567[[#This Row],[Garrisoned Soldier Cost]])</f>
        <v>495.75500000000011</v>
      </c>
    </row>
    <row r="29" spans="1:16" x14ac:dyDescent="0.25">
      <c r="A29" t="s">
        <v>131</v>
      </c>
      <c r="B29" t="s">
        <v>134</v>
      </c>
      <c r="E29">
        <v>7000</v>
      </c>
      <c r="F29">
        <v>500</v>
      </c>
      <c r="G29" s="1">
        <f>Table134567[[#This Row],[Normal Grain Harvest]]*0.6</f>
        <v>8275.02</v>
      </c>
      <c r="H29">
        <v>13791.7</v>
      </c>
      <c r="I29" s="1">
        <f>Table134567[[#This Row],[Normal Grain Harvest]]*1.3</f>
        <v>17929.210000000003</v>
      </c>
      <c r="J29" s="1">
        <f>(Table134567[[#This Row],[Population]]*365)/1000</f>
        <v>2555</v>
      </c>
      <c r="K29" s="1">
        <f>Table134567[[#This Row],[Normal Grain Harvest]]-Table134567[[#This Row],[Required Grain]]</f>
        <v>11236.7</v>
      </c>
      <c r="L29" s="3">
        <f>(Table134567[[#This Row],[Suplus Grain]]/2)/2000</f>
        <v>2.8091750000000002</v>
      </c>
      <c r="N29">
        <v>2</v>
      </c>
      <c r="P29" s="4">
        <f>(Table134567[[#This Row],[Tax Income in Talents]]+Table134567[[#This Row],[Trade Income]]-Table134567[[#This Row],[Other Expenditure]]-Table134567[[#This Row],[Garrisoned Soldier Cost]])</f>
        <v>4.8091749999999998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opLeftCell="E9" workbookViewId="0">
      <selection sqref="A1:P29"/>
    </sheetView>
  </sheetViews>
  <sheetFormatPr defaultRowHeight="15" x14ac:dyDescent="0.25"/>
  <cols>
    <col min="10" max="10" width="9.140625" customWidth="1"/>
    <col min="11" max="11" width="10.140625" bestFit="1" customWidth="1"/>
  </cols>
  <sheetData>
    <row r="1" spans="1:16" x14ac:dyDescent="0.25">
      <c r="A1" t="s">
        <v>33</v>
      </c>
      <c r="B1" t="s">
        <v>62</v>
      </c>
      <c r="C1" t="s">
        <v>66</v>
      </c>
      <c r="D1" t="s">
        <v>65</v>
      </c>
      <c r="E1" t="s">
        <v>34</v>
      </c>
      <c r="F1" t="s">
        <v>55</v>
      </c>
      <c r="G1" t="s">
        <v>35</v>
      </c>
      <c r="H1" t="s">
        <v>36</v>
      </c>
      <c r="I1" t="s">
        <v>37</v>
      </c>
      <c r="J1" t="s">
        <v>38</v>
      </c>
      <c r="K1" t="s">
        <v>58</v>
      </c>
      <c r="L1" t="s">
        <v>59</v>
      </c>
      <c r="M1" t="s">
        <v>40</v>
      </c>
      <c r="N1" t="s">
        <v>60</v>
      </c>
      <c r="O1" t="s">
        <v>64</v>
      </c>
      <c r="P1" t="s">
        <v>61</v>
      </c>
    </row>
    <row r="2" spans="1:16" x14ac:dyDescent="0.25">
      <c r="A2" t="s">
        <v>39</v>
      </c>
      <c r="B2" t="s">
        <v>15</v>
      </c>
      <c r="C2" s="1">
        <v>1000</v>
      </c>
      <c r="D2">
        <v>500</v>
      </c>
      <c r="E2" s="1">
        <v>200000</v>
      </c>
      <c r="F2" s="1">
        <v>12000</v>
      </c>
      <c r="G2" s="1">
        <f>Table1345678[[#This Row],[Normal Grain Harvest]]*0.6</f>
        <v>2068755</v>
      </c>
      <c r="H2">
        <v>3447925</v>
      </c>
      <c r="I2" s="1">
        <f>Table1345678[[#This Row],[Normal Grain Harvest]]*1.3</f>
        <v>4482302.5</v>
      </c>
      <c r="J2" s="1">
        <f>(Table1345678[[#This Row],[Population]]*365)/1000</f>
        <v>73000</v>
      </c>
      <c r="K2" s="1">
        <f>Table1345678[[#This Row],[Normal Grain Harvest]]-Table1345678[[#This Row],[Required Grain]]</f>
        <v>3374925</v>
      </c>
      <c r="L2" s="3">
        <f>(Table1345678[[#This Row],[Suplus Grain]]/2)/2000</f>
        <v>843.73125000000005</v>
      </c>
      <c r="M2" t="s">
        <v>41</v>
      </c>
      <c r="P2" s="4">
        <f>(Table1345678[[#This Row],[Tax Income in Talents]]+Table1345678[[#This Row],[Trade Income]]-Table1345678[[#This Row],[Other Expenditure]]-Table1345678[[#This Row],[Garrisoned Soldier Cost]])</f>
        <v>343.73125000000005</v>
      </c>
    </row>
    <row r="3" spans="1:16" x14ac:dyDescent="0.25">
      <c r="A3" t="s">
        <v>42</v>
      </c>
      <c r="B3" t="s">
        <v>15</v>
      </c>
      <c r="C3" s="1">
        <v>1000</v>
      </c>
      <c r="D3">
        <v>500</v>
      </c>
      <c r="E3" s="1">
        <v>200000</v>
      </c>
      <c r="F3">
        <v>7000</v>
      </c>
      <c r="G3" s="1">
        <f>Table1345678[[#This Row],[Normal Grain Harvest]]*0.6</f>
        <v>2068755</v>
      </c>
      <c r="H3">
        <v>3447925</v>
      </c>
      <c r="I3" s="1">
        <f>Table1345678[[#This Row],[Normal Grain Harvest]]*1.3</f>
        <v>4482302.5</v>
      </c>
      <c r="J3" s="1">
        <f>(Table1345678[[#This Row],[Population]]*365)/1000</f>
        <v>73000</v>
      </c>
      <c r="K3" s="1">
        <f>Table1345678[[#This Row],[Normal Grain Harvest]]-Table1345678[[#This Row],[Required Grain]]</f>
        <v>3374925</v>
      </c>
      <c r="L3" s="3">
        <f>(Table1345678[[#This Row],[Suplus Grain]]/2)/2000</f>
        <v>843.73125000000005</v>
      </c>
      <c r="M3" t="s">
        <v>43</v>
      </c>
      <c r="P3" s="4">
        <f>(Table1345678[[#This Row],[Tax Income in Talents]]+Table1345678[[#This Row],[Trade Income]]-Table1345678[[#This Row],[Other Expenditure]]-Table1345678[[#This Row],[Garrisoned Soldier Cost]])</f>
        <v>343.73125000000005</v>
      </c>
    </row>
    <row r="4" spans="1:16" x14ac:dyDescent="0.25">
      <c r="A4" t="s">
        <v>53</v>
      </c>
      <c r="C4" s="1">
        <v>3000</v>
      </c>
      <c r="D4">
        <v>1500</v>
      </c>
      <c r="E4" s="1">
        <v>500000</v>
      </c>
      <c r="F4" s="1">
        <v>15000</v>
      </c>
      <c r="G4" s="1">
        <f>Table1345678[[#This Row],[Normal Grain Harvest]]*0.6</f>
        <v>4296645</v>
      </c>
      <c r="H4">
        <v>7161075</v>
      </c>
      <c r="I4" s="1">
        <f>Table1345678[[#This Row],[Normal Grain Harvest]]*1.3</f>
        <v>9309397.5</v>
      </c>
      <c r="J4" s="1">
        <f>(Table1345678[[#This Row],[Population]]*365)/1000</f>
        <v>182500</v>
      </c>
      <c r="K4" s="1">
        <f>Table1345678[[#This Row],[Normal Grain Harvest]]-Table1345678[[#This Row],[Required Grain]]</f>
        <v>6978575</v>
      </c>
      <c r="L4" s="3">
        <f>(Table1345678[[#This Row],[Suplus Grain]]/2)/2000</f>
        <v>1744.64375</v>
      </c>
      <c r="M4" t="s">
        <v>93</v>
      </c>
      <c r="P4" s="4">
        <f>(Table1345678[[#This Row],[Tax Income in Talents]]+Table1345678[[#This Row],[Trade Income]]-Table1345678[[#This Row],[Other Expenditure]]-Table1345678[[#This Row],[Garrisoned Soldier Cost]])</f>
        <v>244.64374999999995</v>
      </c>
    </row>
    <row r="5" spans="1:16" x14ac:dyDescent="0.25">
      <c r="A5" t="s">
        <v>94</v>
      </c>
      <c r="C5" s="1">
        <v>2700</v>
      </c>
      <c r="D5">
        <v>1350</v>
      </c>
      <c r="E5" s="1">
        <v>450000</v>
      </c>
      <c r="F5" s="1">
        <v>15000</v>
      </c>
      <c r="G5" s="6">
        <f>Table1345678[[#This Row],[Normal Grain Harvest]]*0.6</f>
        <v>5585638.5</v>
      </c>
      <c r="H5">
        <v>9309397.5</v>
      </c>
      <c r="I5" s="1">
        <f>Table1345678[[#This Row],[Normal Grain Harvest]]*1.3</f>
        <v>12102216.75</v>
      </c>
      <c r="J5" s="1">
        <f>(Table1345678[[#This Row],[Population]]*365)/1000</f>
        <v>164250</v>
      </c>
      <c r="K5" s="1">
        <f>Table1345678[[#This Row],[Normal Grain Harvest]]-Table1345678[[#This Row],[Required Grain]]</f>
        <v>9145147.5</v>
      </c>
      <c r="L5" s="3">
        <f>(Table1345678[[#This Row],[Suplus Grain]]/2)/2000</f>
        <v>2286.2868749999998</v>
      </c>
      <c r="M5" t="s">
        <v>93</v>
      </c>
      <c r="N5">
        <v>200</v>
      </c>
      <c r="P5" s="4">
        <f>(Table1345678[[#This Row],[Tax Income in Talents]]+Table1345678[[#This Row],[Trade Income]]-Table1345678[[#This Row],[Other Expenditure]]-Table1345678[[#This Row],[Garrisoned Soldier Cost]])</f>
        <v>1136.2868749999998</v>
      </c>
    </row>
    <row r="6" spans="1:16" x14ac:dyDescent="0.25">
      <c r="A6" t="s">
        <v>119</v>
      </c>
      <c r="C6" s="1">
        <v>3000</v>
      </c>
      <c r="D6">
        <v>1500</v>
      </c>
      <c r="E6" s="1">
        <v>500000</v>
      </c>
      <c r="F6" s="1">
        <v>13000</v>
      </c>
      <c r="G6" s="1">
        <f>Table1345678[[#This Row],[Normal Grain Harvest]]*0.6</f>
        <v>4296645</v>
      </c>
      <c r="H6">
        <v>7161075</v>
      </c>
      <c r="I6" s="1">
        <f>Table1345678[[#This Row],[Normal Grain Harvest]]*1.3</f>
        <v>9309397.5</v>
      </c>
      <c r="J6" s="1">
        <f>(Table1345678[[#This Row],[Population]]*365)/1000</f>
        <v>182500</v>
      </c>
      <c r="K6" s="1">
        <f>Table1345678[[#This Row],[Normal Grain Harvest]]-Table1345678[[#This Row],[Required Grain]]</f>
        <v>6978575</v>
      </c>
      <c r="L6" s="3">
        <f>(Table1345678[[#This Row],[Suplus Grain]]/2)/2000</f>
        <v>1744.64375</v>
      </c>
      <c r="M6" t="s">
        <v>93</v>
      </c>
      <c r="P6" s="4">
        <f>(Table1345678[[#This Row],[Tax Income in Talents]]+Table1345678[[#This Row],[Trade Income]]-Table1345678[[#This Row],[Other Expenditure]]-Table1345678[[#This Row],[Garrisoned Soldier Cost]])</f>
        <v>244.64374999999995</v>
      </c>
    </row>
    <row r="7" spans="1:16" x14ac:dyDescent="0.25">
      <c r="A7" t="s">
        <v>52</v>
      </c>
      <c r="B7" t="s">
        <v>141</v>
      </c>
      <c r="C7" s="1">
        <v>3000</v>
      </c>
      <c r="D7">
        <v>1500</v>
      </c>
      <c r="E7" s="1">
        <v>500000</v>
      </c>
      <c r="F7" s="1">
        <v>13000</v>
      </c>
      <c r="G7" s="1">
        <f>Table1345678[[#This Row],[Normal Grain Harvest]]*0.6</f>
        <v>4296645</v>
      </c>
      <c r="H7">
        <v>7161075</v>
      </c>
      <c r="I7" s="1">
        <f>Table1345678[[#This Row],[Normal Grain Harvest]]*1.3</f>
        <v>9309397.5</v>
      </c>
      <c r="J7" s="1">
        <f>(Table1345678[[#This Row],[Population]]*365)/1000</f>
        <v>182500</v>
      </c>
      <c r="K7" s="1">
        <f>Table1345678[[#This Row],[Normal Grain Harvest]]-Table1345678[[#This Row],[Required Grain]]</f>
        <v>6978575</v>
      </c>
      <c r="L7" s="3">
        <f>(Table1345678[[#This Row],[Suplus Grain]]/2)/2000</f>
        <v>1744.64375</v>
      </c>
      <c r="M7" t="s">
        <v>93</v>
      </c>
      <c r="P7" s="4">
        <f>(Table1345678[[#This Row],[Tax Income in Talents]]+Table1345678[[#This Row],[Trade Income]]-Table1345678[[#This Row],[Other Expenditure]]-Table1345678[[#This Row],[Garrisoned Soldier Cost]])</f>
        <v>244.64374999999995</v>
      </c>
    </row>
    <row r="8" spans="1:16" x14ac:dyDescent="0.25">
      <c r="A8" t="s">
        <v>44</v>
      </c>
      <c r="B8" t="s">
        <v>141</v>
      </c>
      <c r="C8" s="1">
        <v>3000</v>
      </c>
      <c r="D8">
        <v>1500</v>
      </c>
      <c r="E8" s="1">
        <v>500000</v>
      </c>
      <c r="F8" s="1">
        <v>10000</v>
      </c>
      <c r="G8" s="6">
        <f>Table1345678[[#This Row],[Normal Grain Harvest]]*0.6</f>
        <v>4296645</v>
      </c>
      <c r="H8">
        <v>7161075</v>
      </c>
      <c r="I8" s="1">
        <f>Table1345678[[#This Row],[Normal Grain Harvest]]*1.3</f>
        <v>9309397.5</v>
      </c>
      <c r="J8" s="1">
        <f>(Table1345678[[#This Row],[Population]]*365)/1000</f>
        <v>182500</v>
      </c>
      <c r="K8" s="1">
        <f>Table1345678[[#This Row],[Normal Grain Harvest]]-Table1345678[[#This Row],[Required Grain]]</f>
        <v>6978575</v>
      </c>
      <c r="L8" s="3">
        <f>(Table1345678[[#This Row],[Suplus Grain]]/2)/2000</f>
        <v>1744.64375</v>
      </c>
      <c r="M8" t="s">
        <v>90</v>
      </c>
      <c r="P8" s="4">
        <f>(Table1345678[[#This Row],[Tax Income in Talents]]+Table1345678[[#This Row],[Trade Income]]-Table1345678[[#This Row],[Other Expenditure]]-Table1345678[[#This Row],[Garrisoned Soldier Cost]])</f>
        <v>244.64374999999995</v>
      </c>
    </row>
    <row r="9" spans="1:16" x14ac:dyDescent="0.25">
      <c r="A9" t="s">
        <v>45</v>
      </c>
      <c r="B9" t="s">
        <v>141</v>
      </c>
      <c r="C9" s="1">
        <v>3000</v>
      </c>
      <c r="D9">
        <v>1500</v>
      </c>
      <c r="E9" s="1">
        <v>500000</v>
      </c>
      <c r="F9" s="1">
        <v>20000</v>
      </c>
      <c r="G9" s="1">
        <f>Table1345678[[#This Row],[Normal Grain Harvest]]*0.6</f>
        <v>4296645</v>
      </c>
      <c r="H9">
        <v>7161075</v>
      </c>
      <c r="I9" s="1">
        <f>Table1345678[[#This Row],[Normal Grain Harvest]]*1.3</f>
        <v>9309397.5</v>
      </c>
      <c r="J9" s="1">
        <f>(Table1345678[[#This Row],[Population]]*365)/1000</f>
        <v>182500</v>
      </c>
      <c r="K9" s="1">
        <f>Table1345678[[#This Row],[Normal Grain Harvest]]-Table1345678[[#This Row],[Required Grain]]</f>
        <v>6978575</v>
      </c>
      <c r="L9" s="3">
        <f>(Table1345678[[#This Row],[Suplus Grain]]/2)/2000</f>
        <v>1744.64375</v>
      </c>
      <c r="M9" t="s">
        <v>89</v>
      </c>
      <c r="P9" s="4">
        <f>(Table1345678[[#This Row],[Tax Income in Talents]]+Table1345678[[#This Row],[Trade Income]]-Table1345678[[#This Row],[Other Expenditure]]-Table1345678[[#This Row],[Garrisoned Soldier Cost]])</f>
        <v>244.64374999999995</v>
      </c>
    </row>
    <row r="10" spans="1:16" x14ac:dyDescent="0.25">
      <c r="A10" t="s">
        <v>46</v>
      </c>
      <c r="B10" t="s">
        <v>141</v>
      </c>
      <c r="C10" s="1">
        <v>2000</v>
      </c>
      <c r="D10">
        <v>1000</v>
      </c>
      <c r="E10" s="1">
        <v>500000</v>
      </c>
      <c r="F10" s="1">
        <v>20000</v>
      </c>
      <c r="G10" s="1">
        <f>Table1345678[[#This Row],[Normal Grain Harvest]]*0.6</f>
        <v>4296645</v>
      </c>
      <c r="H10">
        <v>7161075</v>
      </c>
      <c r="I10" s="1">
        <f>Table1345678[[#This Row],[Normal Grain Harvest]]*1.3</f>
        <v>9309397.5</v>
      </c>
      <c r="J10" s="1">
        <f>(Table1345678[[#This Row],[Population]]*365)/1000</f>
        <v>182500</v>
      </c>
      <c r="K10" s="1">
        <f>Table1345678[[#This Row],[Normal Grain Harvest]]-Table1345678[[#This Row],[Required Grain]]</f>
        <v>6978575</v>
      </c>
      <c r="L10" s="3">
        <f>(Table1345678[[#This Row],[Suplus Grain]]/2)/2000</f>
        <v>1744.64375</v>
      </c>
      <c r="M10" t="s">
        <v>88</v>
      </c>
      <c r="P10" s="4">
        <f>(Table1345678[[#This Row],[Tax Income in Talents]]+Table1345678[[#This Row],[Trade Income]]-Table1345678[[#This Row],[Other Expenditure]]-Table1345678[[#This Row],[Garrisoned Soldier Cost]])</f>
        <v>744.64374999999995</v>
      </c>
    </row>
    <row r="11" spans="1:16" x14ac:dyDescent="0.25">
      <c r="A11" t="s">
        <v>67</v>
      </c>
      <c r="C11" s="1">
        <v>4000</v>
      </c>
      <c r="D11">
        <v>2000</v>
      </c>
      <c r="E11" s="1">
        <v>400000</v>
      </c>
      <c r="F11" s="1">
        <v>20000</v>
      </c>
      <c r="G11" s="1">
        <f>Table1345678[[#This Row],[Normal Grain Harvest]]*0.6</f>
        <v>4296645</v>
      </c>
      <c r="H11">
        <v>7161075</v>
      </c>
      <c r="I11" s="1">
        <f>Table1345678[[#This Row],[Normal Grain Harvest]]*1.3</f>
        <v>9309397.5</v>
      </c>
      <c r="J11" s="1">
        <f>(Table1345678[[#This Row],[Population]]*365)/1000</f>
        <v>146000</v>
      </c>
      <c r="K11" s="1">
        <f>Table1345678[[#This Row],[Normal Grain Harvest]]-Table1345678[[#This Row],[Required Grain]]</f>
        <v>7015075</v>
      </c>
      <c r="L11" s="3">
        <f>(Table1345678[[#This Row],[Suplus Grain]]/2)/2000</f>
        <v>1753.76875</v>
      </c>
      <c r="M11" t="s">
        <v>91</v>
      </c>
      <c r="P11" s="4">
        <f>(Table1345678[[#This Row],[Tax Income in Talents]]+Table1345678[[#This Row],[Trade Income]]-Table1345678[[#This Row],[Other Expenditure]]-Table1345678[[#This Row],[Garrisoned Soldier Cost]])</f>
        <v>-246.23125000000005</v>
      </c>
    </row>
    <row r="12" spans="1:16" x14ac:dyDescent="0.25">
      <c r="A12" t="s">
        <v>25</v>
      </c>
      <c r="B12" t="s">
        <v>142</v>
      </c>
      <c r="C12" s="1">
        <v>1500</v>
      </c>
      <c r="D12">
        <v>500</v>
      </c>
      <c r="E12" s="1">
        <v>750000</v>
      </c>
      <c r="F12" s="1">
        <v>15000</v>
      </c>
      <c r="G12" s="1">
        <f>Table1345678[[#This Row],[Normal Grain Harvest]]*0.6</f>
        <v>4296645</v>
      </c>
      <c r="H12">
        <v>7161075</v>
      </c>
      <c r="I12" s="1">
        <f>Table1345678[[#This Row],[Normal Grain Harvest]]*1.3</f>
        <v>9309397.5</v>
      </c>
      <c r="J12" s="1">
        <f>(Table1345678[[#This Row],[Population]]*365)/1000</f>
        <v>273750</v>
      </c>
      <c r="K12" s="1">
        <f>Table1345678[[#This Row],[Normal Grain Harvest]]-Table1345678[[#This Row],[Required Grain]]</f>
        <v>6887325</v>
      </c>
      <c r="L12" s="3">
        <f>(Table1345678[[#This Row],[Suplus Grain]]/2)/2000</f>
        <v>1721.83125</v>
      </c>
      <c r="M12" t="s">
        <v>87</v>
      </c>
      <c r="P12" s="4">
        <f>(Table1345678[[#This Row],[Tax Income in Talents]]+Table1345678[[#This Row],[Trade Income]]-Table1345678[[#This Row],[Other Expenditure]]-Table1345678[[#This Row],[Garrisoned Soldier Cost]])</f>
        <v>1221.83125</v>
      </c>
    </row>
    <row r="13" spans="1:16" x14ac:dyDescent="0.25">
      <c r="A13" t="s">
        <v>47</v>
      </c>
      <c r="B13" t="s">
        <v>103</v>
      </c>
      <c r="C13" s="1">
        <v>1000</v>
      </c>
      <c r="D13">
        <v>1000</v>
      </c>
      <c r="E13" s="1">
        <v>500000</v>
      </c>
      <c r="F13" s="1">
        <v>10000</v>
      </c>
      <c r="G13" s="1">
        <f>Table1345678[[#This Row],[Normal Grain Harvest]]*0.6</f>
        <v>3103132.5</v>
      </c>
      <c r="H13">
        <v>5171887.5</v>
      </c>
      <c r="I13" s="1">
        <f>Table1345678[[#This Row],[Normal Grain Harvest]]*1.3</f>
        <v>6723453.75</v>
      </c>
      <c r="J13" s="1">
        <f>(Table1345678[[#This Row],[Population]]*365)/1000</f>
        <v>182500</v>
      </c>
      <c r="K13" s="1">
        <f>Table1345678[[#This Row],[Normal Grain Harvest]]-Table1345678[[#This Row],[Required Grain]]</f>
        <v>4989387.5</v>
      </c>
      <c r="L13" s="3">
        <f>(Table1345678[[#This Row],[Suplus Grain]]/2)/2000</f>
        <v>1247.346875</v>
      </c>
      <c r="M13" t="s">
        <v>86</v>
      </c>
      <c r="P13" s="4">
        <f>(Table1345678[[#This Row],[Tax Income in Talents]]+Table1345678[[#This Row],[Trade Income]]-Table1345678[[#This Row],[Other Expenditure]]-Table1345678[[#This Row],[Garrisoned Soldier Cost]])</f>
        <v>247.34687499999995</v>
      </c>
    </row>
    <row r="14" spans="1:16" x14ac:dyDescent="0.25">
      <c r="A14" t="s">
        <v>120</v>
      </c>
      <c r="B14" t="s">
        <v>96</v>
      </c>
      <c r="C14" s="1">
        <v>3000</v>
      </c>
      <c r="D14">
        <v>1500</v>
      </c>
      <c r="E14" s="1">
        <v>500000</v>
      </c>
      <c r="F14" s="1">
        <v>15000</v>
      </c>
      <c r="G14" s="1">
        <f>Table1345678[[#This Row],[Normal Grain Harvest]]*0.6</f>
        <v>2387025</v>
      </c>
      <c r="H14">
        <v>3978375</v>
      </c>
      <c r="I14" s="1">
        <f>Table1345678[[#This Row],[Normal Grain Harvest]]*1.3</f>
        <v>5171887.5</v>
      </c>
      <c r="J14" s="1">
        <f>(Table1345678[[#This Row],[Population]]*365)/1000</f>
        <v>182500</v>
      </c>
      <c r="K14" s="1">
        <f>Table1345678[[#This Row],[High Grain Harvest]]-Table1345678[[#This Row],[Required Grain]]</f>
        <v>4989387.5</v>
      </c>
      <c r="L14" s="3">
        <f>(Table1345678[[#This Row],[Suplus Grain]]/2)/2000</f>
        <v>1247.346875</v>
      </c>
      <c r="M14" t="s">
        <v>86</v>
      </c>
      <c r="P14" s="4">
        <f>(Table1345678[[#This Row],[Tax Income in Talents]]+Table1345678[[#This Row],[Trade Income]]-Table1345678[[#This Row],[Other Expenditure]]-Table1345678[[#This Row],[Garrisoned Soldier Cost]])</f>
        <v>-252.65312500000005</v>
      </c>
    </row>
    <row r="15" spans="1:16" x14ac:dyDescent="0.25">
      <c r="A15" t="s">
        <v>105</v>
      </c>
      <c r="B15" t="s">
        <v>96</v>
      </c>
      <c r="C15" s="1">
        <v>500</v>
      </c>
      <c r="D15">
        <v>250</v>
      </c>
      <c r="E15" s="1">
        <v>1000000</v>
      </c>
      <c r="F15" s="1">
        <v>20000</v>
      </c>
      <c r="G15" s="6">
        <f>Table1345678[[#This Row],[Normal Grain Harvest]]*0.6</f>
        <v>4774050</v>
      </c>
      <c r="H15">
        <v>7956750</v>
      </c>
      <c r="I15" s="1">
        <f>Table1345678[[#This Row],[Normal Grain Harvest]]*1.3</f>
        <v>10343775</v>
      </c>
      <c r="J15" s="1">
        <f>(Table1345678[[#This Row],[Population]]*365)/1000</f>
        <v>365000</v>
      </c>
      <c r="K15" s="1">
        <f>Table1345678[[#This Row],[High Grain Harvest]]-Table1345678[[#This Row],[Required Grain]]</f>
        <v>9978775</v>
      </c>
      <c r="L15" s="3">
        <f>(Table1345678[[#This Row],[Suplus Grain]]/2)/2000</f>
        <v>2494.6937499999999</v>
      </c>
      <c r="M15" t="s">
        <v>86</v>
      </c>
      <c r="P15" s="4">
        <f>(Table1345678[[#This Row],[Tax Income in Talents]]+Table1345678[[#This Row],[Trade Income]]-Table1345678[[#This Row],[Other Expenditure]]-Table1345678[[#This Row],[Garrisoned Soldier Cost]])</f>
        <v>2244.6937499999999</v>
      </c>
    </row>
    <row r="16" spans="1:16" x14ac:dyDescent="0.25">
      <c r="A16" t="s">
        <v>125</v>
      </c>
      <c r="B16" t="s">
        <v>96</v>
      </c>
      <c r="C16" s="1">
        <v>500</v>
      </c>
      <c r="D16">
        <v>250</v>
      </c>
      <c r="E16" s="1">
        <v>500000</v>
      </c>
      <c r="F16" s="1">
        <v>10000</v>
      </c>
      <c r="G16" s="1">
        <f>Table1345678[[#This Row],[Normal Grain Harvest]]*0.6</f>
        <v>2387025</v>
      </c>
      <c r="H16">
        <v>3978375</v>
      </c>
      <c r="I16" s="1">
        <f>Table1345678[[#This Row],[Normal Grain Harvest]]*1.3</f>
        <v>5171887.5</v>
      </c>
      <c r="J16" s="1">
        <f>(Table1345678[[#This Row],[Population]]*365)/1000</f>
        <v>182500</v>
      </c>
      <c r="K16" s="1">
        <f>Table1345678[[#This Row],[High Grain Harvest]]-Table1345678[[#This Row],[Required Grain]]</f>
        <v>4989387.5</v>
      </c>
      <c r="L16" s="3">
        <f>(Table1345678[[#This Row],[Suplus Grain]]/2)/2000</f>
        <v>1247.346875</v>
      </c>
      <c r="M16" t="s">
        <v>126</v>
      </c>
      <c r="P16" s="4">
        <f>(Table1345678[[#This Row],[Tax Income in Talents]]+Table1345678[[#This Row],[Trade Income]]-Table1345678[[#This Row],[Other Expenditure]]-Table1345678[[#This Row],[Garrisoned Soldier Cost]])</f>
        <v>997.34687499999995</v>
      </c>
    </row>
    <row r="17" spans="1:16" x14ac:dyDescent="0.25">
      <c r="A17" t="s">
        <v>48</v>
      </c>
      <c r="B17" t="s">
        <v>96</v>
      </c>
      <c r="C17" s="1">
        <v>4500</v>
      </c>
      <c r="D17">
        <v>4000</v>
      </c>
      <c r="E17" s="1">
        <v>3500000</v>
      </c>
      <c r="F17" s="1">
        <v>80000</v>
      </c>
      <c r="G17" s="1">
        <f>Table1345678[[#This Row],[Normal Grain Harvest]]*0.6</f>
        <v>19562750.401649997</v>
      </c>
      <c r="H17">
        <v>32604584.002749998</v>
      </c>
      <c r="I17" s="6">
        <f>Table1345678[[#This Row],[Normal Grain Harvest]]*1.3</f>
        <v>42385959.203575</v>
      </c>
      <c r="J17" s="1">
        <f>(Table1345678[[#This Row],[Population]]*365)/1000</f>
        <v>1277500</v>
      </c>
      <c r="K17" s="1">
        <f>Table1345678[[#This Row],[High Grain Harvest]]-Table1345678[[#This Row],[Required Grain]]</f>
        <v>41108459.203575</v>
      </c>
      <c r="L17" s="3">
        <f>(Table1345678[[#This Row],[Suplus Grain]]/2)/2000</f>
        <v>10277.114800893751</v>
      </c>
      <c r="P17" s="4">
        <f>(Table1345678[[#This Row],[Tax Income in Talents]]+Table1345678[[#This Row],[Trade Income]]-Table1345678[[#This Row],[Other Expenditure]]-Table1345678[[#This Row],[Garrisoned Soldier Cost]])</f>
        <v>6277.1148008937507</v>
      </c>
    </row>
    <row r="18" spans="1:16" x14ac:dyDescent="0.25">
      <c r="A18" t="s">
        <v>49</v>
      </c>
      <c r="B18" t="s">
        <v>101</v>
      </c>
      <c r="C18" s="1">
        <v>1000</v>
      </c>
      <c r="D18">
        <v>500</v>
      </c>
      <c r="E18" s="1">
        <v>2000000</v>
      </c>
      <c r="F18" s="1">
        <v>45000</v>
      </c>
      <c r="G18" s="1">
        <f>Table1345678[[#This Row],[Normal Grain Harvest]]*0.6</f>
        <v>10757526</v>
      </c>
      <c r="H18">
        <v>17929210</v>
      </c>
      <c r="I18" s="6">
        <f>Table1345678[[#This Row],[Normal Grain Harvest]]*1.3</f>
        <v>23307973</v>
      </c>
      <c r="J18" s="1">
        <f>(Table1345678[[#This Row],[Population]]*365)/1000</f>
        <v>730000</v>
      </c>
      <c r="K18" s="1">
        <f>Table1345678[[#This Row],[Normal Grain Harvest]]-Table1345678[[#This Row],[Required Grain]]</f>
        <v>17199210</v>
      </c>
      <c r="L18" s="3">
        <f>(Table1345678[[#This Row],[Suplus Grain]]/2)/2000</f>
        <v>4299.8024999999998</v>
      </c>
      <c r="M18" t="s">
        <v>85</v>
      </c>
      <c r="P18" s="4">
        <f>(Table1345678[[#This Row],[Tax Income in Talents]]+Table1345678[[#This Row],[Trade Income]]-Table1345678[[#This Row],[Other Expenditure]]-Table1345678[[#This Row],[Garrisoned Soldier Cost]])</f>
        <v>3799.8024999999998</v>
      </c>
    </row>
    <row r="19" spans="1:16" x14ac:dyDescent="0.25">
      <c r="A19" t="s">
        <v>50</v>
      </c>
      <c r="B19" t="s">
        <v>103</v>
      </c>
      <c r="C19" s="1">
        <v>2000</v>
      </c>
      <c r="D19">
        <v>1000</v>
      </c>
      <c r="E19" s="1">
        <v>1300000</v>
      </c>
      <c r="F19" s="1">
        <v>40000</v>
      </c>
      <c r="G19" s="1">
        <f>Table1345678[[#This Row],[Normal Grain Harvest]]*0.6</f>
        <v>9930024</v>
      </c>
      <c r="H19">
        <v>16550040</v>
      </c>
      <c r="I19" s="1">
        <f>Table1345678[[#This Row],[Normal Grain Harvest]]*1.3</f>
        <v>21515052</v>
      </c>
      <c r="J19" s="1">
        <f>(Table1345678[[#This Row],[Population]]*365)/1000</f>
        <v>474500</v>
      </c>
      <c r="K19" s="1">
        <f>Table1345678[[#This Row],[Normal Grain Harvest]]-Table1345678[[#This Row],[Required Grain]]</f>
        <v>16075540</v>
      </c>
      <c r="L19" s="3">
        <f>(Table1345678[[#This Row],[Suplus Grain]]/2)/2000</f>
        <v>4018.8850000000002</v>
      </c>
      <c r="M19" t="s">
        <v>85</v>
      </c>
      <c r="N19">
        <v>10</v>
      </c>
      <c r="P19" s="4">
        <f>(Table1345678[[#This Row],[Tax Income in Talents]]+Table1345678[[#This Row],[Trade Income]]-Table1345678[[#This Row],[Other Expenditure]]-Table1345678[[#This Row],[Garrisoned Soldier Cost]])</f>
        <v>3028.8850000000002</v>
      </c>
    </row>
    <row r="20" spans="1:16" x14ac:dyDescent="0.25">
      <c r="A20" t="s">
        <v>51</v>
      </c>
      <c r="B20" t="s">
        <v>97</v>
      </c>
      <c r="C20" s="1">
        <v>750</v>
      </c>
      <c r="D20">
        <v>750</v>
      </c>
      <c r="E20" s="1">
        <v>600000</v>
      </c>
      <c r="F20" s="1">
        <v>22500</v>
      </c>
      <c r="G20" s="1">
        <f>Table1345678[[#This Row],[Normal Grain Harvest]]*0.6</f>
        <v>6206265</v>
      </c>
      <c r="H20">
        <v>10343775</v>
      </c>
      <c r="I20" s="1">
        <f>Table1345678[[#This Row],[Normal Grain Harvest]]*1.3</f>
        <v>13446907.5</v>
      </c>
      <c r="J20" s="1">
        <f>(Table1345678[[#This Row],[Population]]*365)/1000</f>
        <v>219000</v>
      </c>
      <c r="K20" s="1">
        <f>Table1345678[[#This Row],[Normal Grain Harvest]]-Table1345678[[#This Row],[Required Grain]]</f>
        <v>10124775</v>
      </c>
      <c r="L20" s="3">
        <f>(Table1345678[[#This Row],[Suplus Grain]]/2)/2000</f>
        <v>2531.1937499999999</v>
      </c>
      <c r="M20" t="s">
        <v>56</v>
      </c>
      <c r="P20" s="4">
        <f>(Table1345678[[#This Row],[Tax Income in Talents]]+Table1345678[[#This Row],[Trade Income]]-Table1345678[[#This Row],[Other Expenditure]]-Table1345678[[#This Row],[Garrisoned Soldier Cost]])</f>
        <v>1781.1937499999999</v>
      </c>
    </row>
    <row r="21" spans="1:16" x14ac:dyDescent="0.25">
      <c r="A21" t="s">
        <v>132</v>
      </c>
      <c r="B21" t="s">
        <v>103</v>
      </c>
      <c r="C21" s="1">
        <v>1000</v>
      </c>
      <c r="D21">
        <v>500</v>
      </c>
      <c r="E21" s="1">
        <v>600000</v>
      </c>
      <c r="F21" s="1">
        <v>22500</v>
      </c>
      <c r="G21" s="1">
        <f>Table1345678[[#This Row],[Normal Grain Harvest]]*0.6</f>
        <v>4774050</v>
      </c>
      <c r="H21">
        <v>7956750</v>
      </c>
      <c r="I21" s="1">
        <f>Table1345678[[#This Row],[Normal Grain Harvest]]*1.3</f>
        <v>10343775</v>
      </c>
      <c r="J21" s="1">
        <f>(Table1345678[[#This Row],[Population]]*365)/1000</f>
        <v>219000</v>
      </c>
      <c r="K21" s="1">
        <f>Table1345678[[#This Row],[Normal Grain Harvest]]-Table1345678[[#This Row],[Required Grain]]</f>
        <v>7737750</v>
      </c>
      <c r="L21" s="3">
        <f>(Table1345678[[#This Row],[Suplus Grain]]/2)/2000</f>
        <v>1934.4375</v>
      </c>
      <c r="P21" s="4">
        <f>(Table1345678[[#This Row],[Tax Income in Talents]]+Table1345678[[#This Row],[Trade Income]]-Table1345678[[#This Row],[Other Expenditure]]-Table1345678[[#This Row],[Garrisoned Soldier Cost]])</f>
        <v>1434.4375</v>
      </c>
    </row>
    <row r="22" spans="1:16" x14ac:dyDescent="0.25">
      <c r="A22" t="s">
        <v>114</v>
      </c>
      <c r="C22" s="1"/>
      <c r="D22">
        <v>0</v>
      </c>
      <c r="E22">
        <v>1350000</v>
      </c>
      <c r="F22">
        <v>27000</v>
      </c>
      <c r="G22" s="1">
        <f>Table1345678[[#This Row],[Normal Grain Harvest]]*0.6</f>
        <v>6454515.5999999996</v>
      </c>
      <c r="H22">
        <v>10757526</v>
      </c>
      <c r="I22" s="1">
        <f>Table1345678[[#This Row],[Normal Grain Harvest]]*1.3</f>
        <v>13984783.800000001</v>
      </c>
      <c r="J22" s="1">
        <f>(Table1345678[[#This Row],[Population]]*365)/1000</f>
        <v>492750</v>
      </c>
      <c r="K22" s="1">
        <f>Table1345678[[#This Row],[Normal Grain Harvest]]-Table1345678[[#This Row],[Required Grain]]</f>
        <v>10264776</v>
      </c>
      <c r="L22" s="3">
        <f>(Table1345678[[#This Row],[Suplus Grain]]/2)/2000</f>
        <v>2566.194</v>
      </c>
      <c r="M22" t="s">
        <v>57</v>
      </c>
      <c r="P22" s="4">
        <f>(Table1345678[[#This Row],[Tax Income in Talents]]+Table1345678[[#This Row],[Trade Income]]-Table1345678[[#This Row],[Other Expenditure]]-Table1345678[[#This Row],[Garrisoned Soldier Cost]])</f>
        <v>2566.194</v>
      </c>
    </row>
    <row r="23" spans="1:16" x14ac:dyDescent="0.25">
      <c r="A23" t="s">
        <v>127</v>
      </c>
      <c r="B23" t="s">
        <v>30</v>
      </c>
      <c r="C23" s="1">
        <v>1000</v>
      </c>
      <c r="D23">
        <v>500</v>
      </c>
      <c r="E23">
        <f>2250000*0.4</f>
        <v>900000</v>
      </c>
      <c r="F23" s="1">
        <v>18000</v>
      </c>
      <c r="G23" s="1">
        <f>Table1345678[[#This Row],[Normal Grain Harvest]]*0.6</f>
        <v>4303010.3999999994</v>
      </c>
      <c r="H23">
        <v>7171684</v>
      </c>
      <c r="I23" s="1">
        <f>Table1345678[[#This Row],[Normal Grain Harvest]]*1.3</f>
        <v>9323189.2000000011</v>
      </c>
      <c r="J23" s="1">
        <f>(Table1345678[[#This Row],[Population]]*365)/1000</f>
        <v>328500</v>
      </c>
      <c r="K23" s="1">
        <f>Table1345678[[#This Row],[Normal Grain Harvest]]-Table1345678[[#This Row],[Required Grain]]</f>
        <v>6843184</v>
      </c>
      <c r="L23" s="3">
        <f>(Table1345678[[#This Row],[Suplus Grain]]/2)/2000</f>
        <v>1710.796</v>
      </c>
      <c r="P23" s="4">
        <f>(Table1345678[[#This Row],[Tax Income in Talents]]+Table1345678[[#This Row],[Trade Income]]-Table1345678[[#This Row],[Other Expenditure]]-Table1345678[[#This Row],[Garrisoned Soldier Cost]])</f>
        <v>1210.796</v>
      </c>
    </row>
    <row r="24" spans="1:16" x14ac:dyDescent="0.25">
      <c r="A24" t="s">
        <v>129</v>
      </c>
      <c r="B24" t="s">
        <v>30</v>
      </c>
      <c r="C24" s="1">
        <v>1000</v>
      </c>
      <c r="D24">
        <v>500</v>
      </c>
      <c r="E24">
        <v>375000</v>
      </c>
      <c r="F24" s="1">
        <v>3500</v>
      </c>
      <c r="G24" s="1">
        <f>Table1345678[[#This Row],[Normal Grain Harvest]]*0.6</f>
        <v>2689381.5</v>
      </c>
      <c r="H24">
        <v>4482302.5</v>
      </c>
      <c r="I24" s="1">
        <f>Table1345678[[#This Row],[Normal Grain Harvest]]*1.3</f>
        <v>5826993.25</v>
      </c>
      <c r="J24" s="1">
        <f>(Table1345678[[#This Row],[Population]]*365)/1000</f>
        <v>136875</v>
      </c>
      <c r="K24" s="1">
        <f>Table1345678[[#This Row],[Normal Grain Harvest]]-Table1345678[[#This Row],[Required Grain]]</f>
        <v>4345427.5</v>
      </c>
      <c r="L24" s="3">
        <f>(Table1345678[[#This Row],[Suplus Grain]]/2)/2000</f>
        <v>1086.3568749999999</v>
      </c>
      <c r="P24" s="4">
        <f>(Table1345678[[#This Row],[Tax Income in Talents]]+Table1345678[[#This Row],[Trade Income]]-Table1345678[[#This Row],[Other Expenditure]]-Table1345678[[#This Row],[Garrisoned Soldier Cost]])</f>
        <v>586.35687499999995</v>
      </c>
    </row>
    <row r="25" spans="1:16" x14ac:dyDescent="0.25">
      <c r="A25" t="s">
        <v>128</v>
      </c>
      <c r="B25" t="s">
        <v>97</v>
      </c>
      <c r="C25" s="1">
        <v>1000</v>
      </c>
      <c r="D25">
        <v>500</v>
      </c>
      <c r="E25">
        <v>375000</v>
      </c>
      <c r="F25">
        <v>3500</v>
      </c>
      <c r="G25" s="1">
        <f>Table1345678[[#This Row],[Normal Grain Harvest]]*0.6</f>
        <v>2689381.5</v>
      </c>
      <c r="H25" s="8">
        <v>4482302.5</v>
      </c>
      <c r="I25" s="1">
        <f>Table1345678[[#This Row],[Normal Grain Harvest]]*1.3</f>
        <v>5826993.25</v>
      </c>
      <c r="J25" s="1">
        <f>(Table1345678[[#This Row],[Population]]*365)/1000</f>
        <v>136875</v>
      </c>
      <c r="K25" s="1">
        <f>Table1345678[[#This Row],[Normal Grain Harvest]]-Table1345678[[#This Row],[Required Grain]]</f>
        <v>4345427.5</v>
      </c>
      <c r="L25" s="3">
        <f>(Table1345678[[#This Row],[Suplus Grain]]/2)/2000</f>
        <v>1086.3568749999999</v>
      </c>
      <c r="M25" t="s">
        <v>88</v>
      </c>
      <c r="P25" s="4">
        <f>(Table1345678[[#This Row],[Tax Income in Talents]]+Table1345678[[#This Row],[Trade Income]]-Table1345678[[#This Row],[Other Expenditure]]-Table1345678[[#This Row],[Garrisoned Soldier Cost]])</f>
        <v>586.35687499999995</v>
      </c>
    </row>
    <row r="26" spans="1:16" x14ac:dyDescent="0.25">
      <c r="A26" t="s">
        <v>123</v>
      </c>
      <c r="B26" t="s">
        <v>30</v>
      </c>
      <c r="C26" s="1">
        <v>1000</v>
      </c>
      <c r="D26">
        <v>500</v>
      </c>
      <c r="E26" s="1">
        <v>200000</v>
      </c>
      <c r="F26">
        <v>7000</v>
      </c>
      <c r="G26" s="1">
        <f>Table1345678[[#This Row],[Normal Grain Harvest]]*0.6</f>
        <v>2068755</v>
      </c>
      <c r="H26">
        <v>3447925</v>
      </c>
      <c r="I26" s="1">
        <f>Table1345678[[#This Row],[Normal Grain Harvest]]*1.3</f>
        <v>4482302.5</v>
      </c>
      <c r="J26" s="1">
        <f>(Table1345678[[#This Row],[Population]]*365)/1000</f>
        <v>73000</v>
      </c>
      <c r="K26" s="1">
        <f>Table1345678[[#This Row],[Normal Grain Harvest]]-Table1345678[[#This Row],[Required Grain]]</f>
        <v>3374925</v>
      </c>
      <c r="L26" s="3">
        <f>(Table1345678[[#This Row],[Suplus Grain]]/2)/2000</f>
        <v>843.73125000000005</v>
      </c>
      <c r="P26" s="4">
        <f>(Table1345678[[#This Row],[Tax Income in Talents]]+Table1345678[[#This Row],[Trade Income]]-Table1345678[[#This Row],[Other Expenditure]]-Table1345678[[#This Row],[Garrisoned Soldier Cost]])</f>
        <v>343.73125000000005</v>
      </c>
    </row>
    <row r="27" spans="1:16" x14ac:dyDescent="0.25">
      <c r="A27" t="s">
        <v>130</v>
      </c>
      <c r="B27" t="s">
        <v>97</v>
      </c>
      <c r="C27" s="1">
        <v>500</v>
      </c>
      <c r="D27">
        <v>250</v>
      </c>
      <c r="E27" s="1">
        <v>200000</v>
      </c>
      <c r="F27">
        <v>4000</v>
      </c>
      <c r="G27" s="1">
        <f>Table1345678[[#This Row],[Normal Grain Harvest]]*0.6</f>
        <v>1241253</v>
      </c>
      <c r="H27">
        <v>2068755</v>
      </c>
      <c r="I27" s="1">
        <f>Table1345678[[#This Row],[Normal Grain Harvest]]*1.3</f>
        <v>2689381.5</v>
      </c>
      <c r="J27" s="1">
        <f>(Table1345678[[#This Row],[Population]]*365)/1000</f>
        <v>73000</v>
      </c>
      <c r="K27" s="1">
        <f>Table1345678[[#This Row],[Normal Grain Harvest]]-Table1345678[[#This Row],[Required Grain]]</f>
        <v>1995755</v>
      </c>
      <c r="L27" s="3">
        <f>(Table1345678[[#This Row],[Suplus Grain]]/2)/2000</f>
        <v>498.93875000000003</v>
      </c>
      <c r="P27" s="4">
        <f>(Table1345678[[#This Row],[Tax Income in Talents]]+Table1345678[[#This Row],[Trade Income]]-Table1345678[[#This Row],[Other Expenditure]]-Table1345678[[#This Row],[Garrisoned Soldier Cost]])</f>
        <v>248.93875000000003</v>
      </c>
    </row>
    <row r="28" spans="1:16" x14ac:dyDescent="0.25">
      <c r="A28" t="s">
        <v>69</v>
      </c>
      <c r="B28" t="s">
        <v>30</v>
      </c>
      <c r="C28" s="1">
        <v>4000</v>
      </c>
      <c r="D28">
        <v>2000</v>
      </c>
      <c r="E28" s="1">
        <v>800000</v>
      </c>
      <c r="F28" s="1">
        <v>16000</v>
      </c>
      <c r="G28" s="1">
        <f>Table1345678[[#This Row],[Normal Grain Harvest]]*0.6</f>
        <v>4965012</v>
      </c>
      <c r="H28">
        <v>8275020</v>
      </c>
      <c r="I28" s="6">
        <f>Table1345678[[#This Row],[Normal Grain Harvest]]*1.3</f>
        <v>10757526</v>
      </c>
      <c r="J28" s="1">
        <f>(Table1345678[[#This Row],[Population]]*365)/1000</f>
        <v>292000</v>
      </c>
      <c r="K28" s="1">
        <f>Table1345678[[#This Row],[Normal Grain Harvest]]-Table1345678[[#This Row],[Required Grain]]</f>
        <v>7983020</v>
      </c>
      <c r="L28" s="3">
        <f>(Table1345678[[#This Row],[Suplus Grain]]/2)/2000</f>
        <v>1995.7550000000001</v>
      </c>
      <c r="M28" t="s">
        <v>92</v>
      </c>
      <c r="P28" s="4">
        <f>(Table1345678[[#This Row],[Tax Income in Talents]]+Table1345678[[#This Row],[Trade Income]]-Table1345678[[#This Row],[Other Expenditure]]-Table1345678[[#This Row],[Garrisoned Soldier Cost]])</f>
        <v>-4.2449999999998909</v>
      </c>
    </row>
    <row r="29" spans="1:16" x14ac:dyDescent="0.25">
      <c r="A29" t="s">
        <v>131</v>
      </c>
      <c r="E29">
        <v>7000</v>
      </c>
      <c r="F29">
        <v>500</v>
      </c>
      <c r="G29" s="1">
        <f>Table1345678[[#This Row],[Normal Grain Harvest]]*0.6</f>
        <v>8275.02</v>
      </c>
      <c r="H29">
        <v>13791.7</v>
      </c>
      <c r="I29" s="1">
        <f>Table1345678[[#This Row],[Normal Grain Harvest]]*1.3</f>
        <v>17929.210000000003</v>
      </c>
      <c r="J29" s="1">
        <f>(Table1345678[[#This Row],[Population]]*365)/1000</f>
        <v>2555</v>
      </c>
      <c r="K29" s="1">
        <f>Table1345678[[#This Row],[Normal Grain Harvest]]-Table1345678[[#This Row],[Required Grain]]</f>
        <v>11236.7</v>
      </c>
      <c r="L29" s="3">
        <f>(Table1345678[[#This Row],[Suplus Grain]]/2)/2000</f>
        <v>2.8091750000000002</v>
      </c>
      <c r="N29">
        <v>2</v>
      </c>
      <c r="P29" s="4">
        <f>(Table1345678[[#This Row],[Tax Income in Talents]]+Table1345678[[#This Row],[Trade Income]]-Table1345678[[#This Row],[Other Expenditure]]-Table1345678[[#This Row],[Garrisoned Soldier Cost]])</f>
        <v>4.8091749999999998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opLeftCell="A10" workbookViewId="0">
      <selection activeCell="B29" sqref="B29"/>
    </sheetView>
  </sheetViews>
  <sheetFormatPr defaultRowHeight="15" x14ac:dyDescent="0.25"/>
  <cols>
    <col min="5" max="5" width="14.28515625" customWidth="1"/>
    <col min="7" max="7" width="12.85546875" customWidth="1"/>
    <col min="8" max="8" width="11.28515625" customWidth="1"/>
    <col min="9" max="9" width="14.42578125" customWidth="1"/>
    <col min="11" max="11" width="10.140625" bestFit="1" customWidth="1"/>
  </cols>
  <sheetData>
    <row r="1" spans="1:16" x14ac:dyDescent="0.25">
      <c r="A1" t="s">
        <v>33</v>
      </c>
      <c r="B1" t="s">
        <v>62</v>
      </c>
      <c r="C1" t="s">
        <v>66</v>
      </c>
      <c r="D1" t="s">
        <v>65</v>
      </c>
      <c r="E1" t="s">
        <v>34</v>
      </c>
      <c r="F1" t="s">
        <v>55</v>
      </c>
      <c r="G1" t="s">
        <v>35</v>
      </c>
      <c r="H1" t="s">
        <v>36</v>
      </c>
      <c r="I1" t="s">
        <v>37</v>
      </c>
      <c r="J1" t="s">
        <v>38</v>
      </c>
      <c r="K1" t="s">
        <v>58</v>
      </c>
      <c r="L1" t="s">
        <v>59</v>
      </c>
      <c r="M1" t="s">
        <v>40</v>
      </c>
      <c r="N1" t="s">
        <v>60</v>
      </c>
      <c r="O1" t="s">
        <v>64</v>
      </c>
      <c r="P1" t="s">
        <v>61</v>
      </c>
    </row>
    <row r="2" spans="1:16" x14ac:dyDescent="0.25">
      <c r="A2" t="s">
        <v>39</v>
      </c>
      <c r="B2" t="s">
        <v>15</v>
      </c>
      <c r="C2" s="1">
        <v>800</v>
      </c>
      <c r="D2" s="9">
        <f>Table13456789[[#This Row],[Garrison Size]]*0.5</f>
        <v>400</v>
      </c>
      <c r="E2" s="1">
        <v>160000</v>
      </c>
      <c r="F2" s="1">
        <v>12000</v>
      </c>
      <c r="G2" s="1">
        <f>Table13456789[[#This Row],[Normal Grain Harvest]]*0.6</f>
        <v>1655004</v>
      </c>
      <c r="H2">
        <v>2758340</v>
      </c>
      <c r="I2" s="1">
        <f>Table13456789[[#This Row],[Normal Grain Harvest]]*1.3</f>
        <v>3585842</v>
      </c>
      <c r="J2" s="1">
        <f>(Table13456789[[#This Row],[Population]]*365)/1000</f>
        <v>58400</v>
      </c>
      <c r="K2" s="1">
        <f>Table13456789[[#This Row],[Low Grain Harvest]]-Table13456789[[#This Row],[Required Grain]]</f>
        <v>1596604</v>
      </c>
      <c r="L2" s="3">
        <f>(Table13456789[[#This Row],[Suplus Grain]]/2)/2000</f>
        <v>399.15100000000001</v>
      </c>
      <c r="M2" t="s">
        <v>41</v>
      </c>
      <c r="P2" s="4">
        <f>(Table13456789[[#This Row],[Tax Income in Talents]]+Table13456789[[#This Row],[Trade Income]]-Table13456789[[#This Row],[Other Expenditure]]-Table13456789[[#This Row],[Garrisoned Soldier Cost]])</f>
        <v>-0.84899999999998954</v>
      </c>
    </row>
    <row r="3" spans="1:16" x14ac:dyDescent="0.25">
      <c r="A3" t="s">
        <v>42</v>
      </c>
      <c r="B3" t="s">
        <v>15</v>
      </c>
      <c r="C3" s="1">
        <v>800</v>
      </c>
      <c r="D3" s="9">
        <f>Table13456789[[#This Row],[Garrison Size]]*0.5</f>
        <v>400</v>
      </c>
      <c r="E3" s="1">
        <v>160000</v>
      </c>
      <c r="F3">
        <v>7000</v>
      </c>
      <c r="G3" s="1">
        <f>Table13456789[[#This Row],[Normal Grain Harvest]]*0.6</f>
        <v>1655004</v>
      </c>
      <c r="H3">
        <v>2758340</v>
      </c>
      <c r="I3" s="1">
        <f>Table13456789[[#This Row],[Normal Grain Harvest]]*1.3</f>
        <v>3585842</v>
      </c>
      <c r="J3" s="1">
        <f>(Table13456789[[#This Row],[Population]]*365)/1000</f>
        <v>58400</v>
      </c>
      <c r="K3" s="1">
        <f>Table13456789[[#This Row],[Low Grain Harvest]]-Table13456789[[#This Row],[Required Grain]]</f>
        <v>1596604</v>
      </c>
      <c r="L3" s="3">
        <f>(Table13456789[[#This Row],[Suplus Grain]]/2)/2000</f>
        <v>399.15100000000001</v>
      </c>
      <c r="M3" t="s">
        <v>43</v>
      </c>
      <c r="P3" s="4">
        <f>(Table13456789[[#This Row],[Tax Income in Talents]]+Table13456789[[#This Row],[Trade Income]]-Table13456789[[#This Row],[Other Expenditure]]-Table13456789[[#This Row],[Garrisoned Soldier Cost]])</f>
        <v>-0.84899999999998954</v>
      </c>
    </row>
    <row r="4" spans="1:16" x14ac:dyDescent="0.25">
      <c r="A4" t="s">
        <v>53</v>
      </c>
      <c r="C4" s="1">
        <f>800*3</f>
        <v>2400</v>
      </c>
      <c r="D4" s="9">
        <f>Table13456789[[#This Row],[Garrison Size]]*0.5</f>
        <v>1200</v>
      </c>
      <c r="E4" s="1">
        <v>400000</v>
      </c>
      <c r="F4" s="1">
        <v>15000</v>
      </c>
      <c r="G4" s="1">
        <f>Table13456789[[#This Row],[Normal Grain Harvest]]*0.6</f>
        <v>3437316</v>
      </c>
      <c r="H4">
        <v>5728860</v>
      </c>
      <c r="I4" s="1">
        <f>Table13456789[[#This Row],[Normal Grain Harvest]]*1.3</f>
        <v>7447518</v>
      </c>
      <c r="J4" s="1">
        <f>(Table13456789[[#This Row],[Population]]*365)/1000</f>
        <v>146000</v>
      </c>
      <c r="K4" s="1">
        <f>Table13456789[[#This Row],[Low Grain Harvest]]-Table13456789[[#This Row],[Required Grain]]</f>
        <v>3291316</v>
      </c>
      <c r="L4" s="3">
        <f>(Table13456789[[#This Row],[Suplus Grain]]/2)/2000</f>
        <v>822.82899999999995</v>
      </c>
      <c r="M4" t="s">
        <v>93</v>
      </c>
      <c r="P4" s="4">
        <f>(Table13456789[[#This Row],[Tax Income in Talents]]+Table13456789[[#This Row],[Trade Income]]-Table13456789[[#This Row],[Other Expenditure]]-Table13456789[[#This Row],[Garrisoned Soldier Cost]])</f>
        <v>-377.17100000000005</v>
      </c>
    </row>
    <row r="5" spans="1:16" x14ac:dyDescent="0.25">
      <c r="A5" t="s">
        <v>94</v>
      </c>
      <c r="C5" s="1">
        <v>2400</v>
      </c>
      <c r="D5" s="9">
        <f>Table13456789[[#This Row],[Garrison Size]]*0.5</f>
        <v>1200</v>
      </c>
      <c r="E5" s="1">
        <v>360000</v>
      </c>
      <c r="F5" s="1">
        <v>15000</v>
      </c>
      <c r="G5" s="6">
        <f>Table13456789[[#This Row],[Normal Grain Harvest]]*0.6</f>
        <v>4468510.8</v>
      </c>
      <c r="H5">
        <v>7447518</v>
      </c>
      <c r="I5" s="1">
        <f>Table13456789[[#This Row],[Normal Grain Harvest]]*1.3</f>
        <v>9681773.4000000004</v>
      </c>
      <c r="J5" s="1">
        <f>(Table13456789[[#This Row],[Population]]*365)/1000</f>
        <v>131400</v>
      </c>
      <c r="K5" s="1">
        <f>Table13456789[[#This Row],[Low Grain Harvest]]-Table13456789[[#This Row],[Required Grain]]</f>
        <v>4337110.8</v>
      </c>
      <c r="L5" s="3">
        <f>(Table13456789[[#This Row],[Suplus Grain]]/2)/2000</f>
        <v>1084.2776999999999</v>
      </c>
      <c r="M5" t="s">
        <v>93</v>
      </c>
      <c r="N5">
        <v>200</v>
      </c>
      <c r="P5" s="4">
        <f>(Table13456789[[#This Row],[Tax Income in Talents]]+Table13456789[[#This Row],[Trade Income]]-Table13456789[[#This Row],[Other Expenditure]]-Table13456789[[#This Row],[Garrisoned Soldier Cost]])</f>
        <v>84.277699999999868</v>
      </c>
    </row>
    <row r="6" spans="1:16" x14ac:dyDescent="0.25">
      <c r="A6" t="s">
        <v>119</v>
      </c>
      <c r="C6" s="1">
        <v>2400</v>
      </c>
      <c r="D6" s="9">
        <f>Table13456789[[#This Row],[Garrison Size]]*0.5</f>
        <v>1200</v>
      </c>
      <c r="E6" s="1">
        <v>400000</v>
      </c>
      <c r="F6" s="1">
        <v>13000</v>
      </c>
      <c r="G6" s="1">
        <f>Table13456789[[#This Row],[Normal Grain Harvest]]*0.6</f>
        <v>3437316</v>
      </c>
      <c r="H6">
        <v>5728860</v>
      </c>
      <c r="I6" s="1">
        <f>Table13456789[[#This Row],[Normal Grain Harvest]]*1.3</f>
        <v>7447518</v>
      </c>
      <c r="J6" s="1">
        <f>(Table13456789[[#This Row],[Population]]*365)/1000</f>
        <v>146000</v>
      </c>
      <c r="K6" s="1">
        <f>Table13456789[[#This Row],[Low Grain Harvest]]-Table13456789[[#This Row],[Required Grain]]</f>
        <v>3291316</v>
      </c>
      <c r="L6" s="3">
        <f>(Table13456789[[#This Row],[Suplus Grain]]/2)/2000</f>
        <v>822.82899999999995</v>
      </c>
      <c r="M6" t="s">
        <v>93</v>
      </c>
      <c r="P6" s="4">
        <f>(Table13456789[[#This Row],[Tax Income in Talents]]+Table13456789[[#This Row],[Trade Income]]-Table13456789[[#This Row],[Other Expenditure]]-Table13456789[[#This Row],[Garrisoned Soldier Cost]])</f>
        <v>-377.17100000000005</v>
      </c>
    </row>
    <row r="7" spans="1:16" x14ac:dyDescent="0.25">
      <c r="A7" t="s">
        <v>52</v>
      </c>
      <c r="B7" t="s">
        <v>141</v>
      </c>
      <c r="C7" s="1">
        <v>2400</v>
      </c>
      <c r="D7" s="9">
        <f>Table13456789[[#This Row],[Garrison Size]]*0.5</f>
        <v>1200</v>
      </c>
      <c r="E7" s="1">
        <v>400000</v>
      </c>
      <c r="F7" s="1">
        <v>13000</v>
      </c>
      <c r="G7" s="1">
        <f>Table13456789[[#This Row],[Normal Grain Harvest]]*0.6</f>
        <v>3437316</v>
      </c>
      <c r="H7">
        <v>5728860</v>
      </c>
      <c r="I7" s="1">
        <f>Table13456789[[#This Row],[Normal Grain Harvest]]*1.3</f>
        <v>7447518</v>
      </c>
      <c r="J7" s="1">
        <f>(Table13456789[[#This Row],[Population]]*365)/1000</f>
        <v>146000</v>
      </c>
      <c r="K7" s="1">
        <f>Table13456789[[#This Row],[Low Grain Harvest]]-Table13456789[[#This Row],[Required Grain]]</f>
        <v>3291316</v>
      </c>
      <c r="L7" s="3">
        <f>(Table13456789[[#This Row],[Suplus Grain]]/2)/2000</f>
        <v>822.82899999999995</v>
      </c>
      <c r="M7" t="s">
        <v>93</v>
      </c>
      <c r="P7" s="4">
        <f>(Table13456789[[#This Row],[Tax Income in Talents]]+Table13456789[[#This Row],[Trade Income]]-Table13456789[[#This Row],[Other Expenditure]]-Table13456789[[#This Row],[Garrisoned Soldier Cost]])</f>
        <v>-377.17100000000005</v>
      </c>
    </row>
    <row r="8" spans="1:16" x14ac:dyDescent="0.25">
      <c r="A8" t="s">
        <v>44</v>
      </c>
      <c r="B8" t="s">
        <v>141</v>
      </c>
      <c r="C8" s="1">
        <v>2400</v>
      </c>
      <c r="D8" s="9">
        <f>Table13456789[[#This Row],[Garrison Size]]*0.5</f>
        <v>1200</v>
      </c>
      <c r="E8" s="1">
        <v>400000</v>
      </c>
      <c r="F8" s="1">
        <v>10000</v>
      </c>
      <c r="G8" s="6">
        <f>Table13456789[[#This Row],[Normal Grain Harvest]]*0.6</f>
        <v>3437316</v>
      </c>
      <c r="H8">
        <v>5728860</v>
      </c>
      <c r="I8" s="1">
        <f>Table13456789[[#This Row],[Normal Grain Harvest]]*1.3</f>
        <v>7447518</v>
      </c>
      <c r="J8" s="1">
        <f>(Table13456789[[#This Row],[Population]]*365)/1000</f>
        <v>146000</v>
      </c>
      <c r="K8" s="1">
        <f>Table13456789[[#This Row],[Low Grain Harvest]]-Table13456789[[#This Row],[Required Grain]]</f>
        <v>3291316</v>
      </c>
      <c r="L8" s="3">
        <f>(Table13456789[[#This Row],[Suplus Grain]]/2)/2000</f>
        <v>822.82899999999995</v>
      </c>
      <c r="M8" t="s">
        <v>90</v>
      </c>
      <c r="P8" s="4">
        <f>(Table13456789[[#This Row],[Tax Income in Talents]]+Table13456789[[#This Row],[Trade Income]]-Table13456789[[#This Row],[Other Expenditure]]-Table13456789[[#This Row],[Garrisoned Soldier Cost]])</f>
        <v>-377.17100000000005</v>
      </c>
    </row>
    <row r="9" spans="1:16" x14ac:dyDescent="0.25">
      <c r="A9" t="s">
        <v>45</v>
      </c>
      <c r="B9" t="s">
        <v>141</v>
      </c>
      <c r="C9" s="1">
        <v>2400</v>
      </c>
      <c r="D9" s="9">
        <f>Table13456789[[#This Row],[Garrison Size]]*0.5</f>
        <v>1200</v>
      </c>
      <c r="E9" s="1">
        <v>400000</v>
      </c>
      <c r="F9" s="1">
        <v>20000</v>
      </c>
      <c r="G9" s="1">
        <f>Table13456789[[#This Row],[Normal Grain Harvest]]*0.6</f>
        <v>3437316</v>
      </c>
      <c r="H9">
        <v>5728860</v>
      </c>
      <c r="I9" s="1">
        <f>Table13456789[[#This Row],[Normal Grain Harvest]]*1.3</f>
        <v>7447518</v>
      </c>
      <c r="J9" s="1">
        <f>(Table13456789[[#This Row],[Population]]*365)/1000</f>
        <v>146000</v>
      </c>
      <c r="K9" s="1">
        <f>Table13456789[[#This Row],[Low Grain Harvest]]-Table13456789[[#This Row],[Required Grain]]</f>
        <v>3291316</v>
      </c>
      <c r="L9" s="3">
        <f>(Table13456789[[#This Row],[Suplus Grain]]/2)/2000</f>
        <v>822.82899999999995</v>
      </c>
      <c r="M9" t="s">
        <v>89</v>
      </c>
      <c r="P9" s="4">
        <f>(Table13456789[[#This Row],[Tax Income in Talents]]+Table13456789[[#This Row],[Trade Income]]-Table13456789[[#This Row],[Other Expenditure]]-Table13456789[[#This Row],[Garrisoned Soldier Cost]])</f>
        <v>-377.17100000000005</v>
      </c>
    </row>
    <row r="10" spans="1:16" x14ac:dyDescent="0.25">
      <c r="A10" t="s">
        <v>46</v>
      </c>
      <c r="B10" t="s">
        <v>141</v>
      </c>
      <c r="C10" s="1">
        <v>1600</v>
      </c>
      <c r="D10" s="9">
        <f>Table13456789[[#This Row],[Garrison Size]]*0.5</f>
        <v>800</v>
      </c>
      <c r="E10" s="1">
        <v>400000</v>
      </c>
      <c r="F10" s="1">
        <v>20000</v>
      </c>
      <c r="G10" s="1">
        <f>Table13456789[[#This Row],[Normal Grain Harvest]]*0.6</f>
        <v>3437316</v>
      </c>
      <c r="H10">
        <v>5728860</v>
      </c>
      <c r="I10" s="1">
        <f>Table13456789[[#This Row],[Normal Grain Harvest]]*1.3</f>
        <v>7447518</v>
      </c>
      <c r="J10" s="1">
        <f>(Table13456789[[#This Row],[Population]]*365)/1000</f>
        <v>146000</v>
      </c>
      <c r="K10" s="1">
        <f>Table13456789[[#This Row],[Low Grain Harvest]]-Table13456789[[#This Row],[Required Grain]]</f>
        <v>3291316</v>
      </c>
      <c r="L10" s="3">
        <f>(Table13456789[[#This Row],[Suplus Grain]]/2)/2000</f>
        <v>822.82899999999995</v>
      </c>
      <c r="M10" t="s">
        <v>88</v>
      </c>
      <c r="P10" s="4">
        <f>(Table13456789[[#This Row],[Tax Income in Talents]]+Table13456789[[#This Row],[Trade Income]]-Table13456789[[#This Row],[Other Expenditure]]-Table13456789[[#This Row],[Garrisoned Soldier Cost]])</f>
        <v>22.828999999999951</v>
      </c>
    </row>
    <row r="11" spans="1:16" x14ac:dyDescent="0.25">
      <c r="A11" t="s">
        <v>67</v>
      </c>
      <c r="C11" s="1">
        <v>3200</v>
      </c>
      <c r="D11" s="9">
        <f>Table13456789[[#This Row],[Garrison Size]]*0.5</f>
        <v>1600</v>
      </c>
      <c r="E11" s="1">
        <v>320000</v>
      </c>
      <c r="F11" s="1">
        <v>20000</v>
      </c>
      <c r="G11" s="1">
        <f>Table13456789[[#This Row],[Normal Grain Harvest]]*0.6</f>
        <v>3437316</v>
      </c>
      <c r="H11">
        <v>5728860</v>
      </c>
      <c r="I11" s="1">
        <f>Table13456789[[#This Row],[Normal Grain Harvest]]*1.3</f>
        <v>7447518</v>
      </c>
      <c r="J11" s="1">
        <f>(Table13456789[[#This Row],[Population]]*365)/1000</f>
        <v>116800</v>
      </c>
      <c r="K11" s="1">
        <f>Table13456789[[#This Row],[Low Grain Harvest]]-Table13456789[[#This Row],[Required Grain]]</f>
        <v>3320516</v>
      </c>
      <c r="L11" s="3">
        <f>(Table13456789[[#This Row],[Suplus Grain]]/2)/2000</f>
        <v>830.12900000000002</v>
      </c>
      <c r="M11" t="s">
        <v>91</v>
      </c>
      <c r="P11" s="4">
        <f>(Table13456789[[#This Row],[Tax Income in Talents]]+Table13456789[[#This Row],[Trade Income]]-Table13456789[[#This Row],[Other Expenditure]]-Table13456789[[#This Row],[Garrisoned Soldier Cost]])</f>
        <v>-769.87099999999998</v>
      </c>
    </row>
    <row r="12" spans="1:16" x14ac:dyDescent="0.25">
      <c r="A12" t="s">
        <v>25</v>
      </c>
      <c r="B12" t="s">
        <v>142</v>
      </c>
      <c r="C12" s="1">
        <v>1200</v>
      </c>
      <c r="D12" s="9">
        <f>Table13456789[[#This Row],[Garrison Size]]*0.5</f>
        <v>600</v>
      </c>
      <c r="E12" s="1">
        <v>600000</v>
      </c>
      <c r="F12" s="1">
        <v>15000</v>
      </c>
      <c r="G12" s="1">
        <f>Table13456789[[#This Row],[Normal Grain Harvest]]*0.6</f>
        <v>3437316</v>
      </c>
      <c r="H12">
        <v>5728860</v>
      </c>
      <c r="I12" s="1">
        <f>Table13456789[[#This Row],[Normal Grain Harvest]]*1.3</f>
        <v>7447518</v>
      </c>
      <c r="J12" s="1">
        <f>(Table13456789[[#This Row],[Population]]*365)/1000</f>
        <v>219000</v>
      </c>
      <c r="K12" s="1">
        <f>Table13456789[[#This Row],[Low Grain Harvest]]-Table13456789[[#This Row],[Required Grain]]</f>
        <v>3218316</v>
      </c>
      <c r="L12" s="3">
        <f>(Table13456789[[#This Row],[Suplus Grain]]/2)/2000</f>
        <v>804.57899999999995</v>
      </c>
      <c r="M12" t="s">
        <v>87</v>
      </c>
      <c r="P12" s="4">
        <f>(Table13456789[[#This Row],[Tax Income in Talents]]+Table13456789[[#This Row],[Trade Income]]-Table13456789[[#This Row],[Other Expenditure]]-Table13456789[[#This Row],[Garrisoned Soldier Cost]])</f>
        <v>204.57899999999995</v>
      </c>
    </row>
    <row r="13" spans="1:16" x14ac:dyDescent="0.25">
      <c r="A13" t="s">
        <v>47</v>
      </c>
      <c r="B13" t="s">
        <v>103</v>
      </c>
      <c r="C13" s="1">
        <v>800</v>
      </c>
      <c r="D13" s="9">
        <f>Table13456789[[#This Row],[Garrison Size]]*0.5</f>
        <v>400</v>
      </c>
      <c r="E13" s="1">
        <v>400000</v>
      </c>
      <c r="F13" s="1">
        <v>10000</v>
      </c>
      <c r="G13" s="1">
        <f>Table13456789[[#This Row],[Normal Grain Harvest]]*0.6</f>
        <v>2482506</v>
      </c>
      <c r="H13">
        <v>4137510</v>
      </c>
      <c r="I13" s="1">
        <f>Table13456789[[#This Row],[Normal Grain Harvest]]*1.3</f>
        <v>5378763</v>
      </c>
      <c r="J13" s="1">
        <f>(Table13456789[[#This Row],[Population]]*365)/1000</f>
        <v>146000</v>
      </c>
      <c r="K13" s="1">
        <f>Table13456789[[#This Row],[Low Grain Harvest]]-Table13456789[[#This Row],[Required Grain]]</f>
        <v>2336506</v>
      </c>
      <c r="L13" s="3">
        <f>(Table13456789[[#This Row],[Suplus Grain]]/2)/2000</f>
        <v>584.12649999999996</v>
      </c>
      <c r="M13" t="s">
        <v>86</v>
      </c>
      <c r="P13" s="4">
        <f>(Table13456789[[#This Row],[Tax Income in Talents]]+Table13456789[[#This Row],[Trade Income]]-Table13456789[[#This Row],[Other Expenditure]]-Table13456789[[#This Row],[Garrisoned Soldier Cost]])</f>
        <v>184.12649999999996</v>
      </c>
    </row>
    <row r="14" spans="1:16" x14ac:dyDescent="0.25">
      <c r="A14" t="s">
        <v>120</v>
      </c>
      <c r="B14" t="s">
        <v>96</v>
      </c>
      <c r="C14" s="1">
        <v>2400</v>
      </c>
      <c r="D14" s="9">
        <f>Table13456789[[#This Row],[Garrison Size]]*0.5</f>
        <v>1200</v>
      </c>
      <c r="E14" s="1">
        <v>400000</v>
      </c>
      <c r="F14" s="1">
        <v>15000</v>
      </c>
      <c r="G14" s="1">
        <f>Table13456789[[#This Row],[Normal Grain Harvest]]*0.6</f>
        <v>1909620</v>
      </c>
      <c r="H14">
        <v>3182700</v>
      </c>
      <c r="I14" s="1">
        <f>Table13456789[[#This Row],[Normal Grain Harvest]]*1.3</f>
        <v>4137510</v>
      </c>
      <c r="J14" s="1">
        <f>(Table13456789[[#This Row],[Population]]*365)/1000</f>
        <v>146000</v>
      </c>
      <c r="K14" s="1">
        <f>Table13456789[[#This Row],[Low Grain Harvest]]-Table13456789[[#This Row],[Required Grain]]</f>
        <v>1763620</v>
      </c>
      <c r="L14" s="3">
        <f>(Table13456789[[#This Row],[Suplus Grain]]/2)/2000</f>
        <v>440.90499999999997</v>
      </c>
      <c r="M14" t="s">
        <v>86</v>
      </c>
      <c r="P14" s="4">
        <f>(Table13456789[[#This Row],[Tax Income in Talents]]+Table13456789[[#This Row],[Trade Income]]-Table13456789[[#This Row],[Other Expenditure]]-Table13456789[[#This Row],[Garrisoned Soldier Cost]])</f>
        <v>-759.09500000000003</v>
      </c>
    </row>
    <row r="15" spans="1:16" x14ac:dyDescent="0.25">
      <c r="A15" t="s">
        <v>105</v>
      </c>
      <c r="B15" t="s">
        <v>96</v>
      </c>
      <c r="C15" s="1">
        <v>400</v>
      </c>
      <c r="D15" s="9">
        <f>Table13456789[[#This Row],[Garrison Size]]*0.5</f>
        <v>200</v>
      </c>
      <c r="E15" s="1">
        <v>800000</v>
      </c>
      <c r="F15" s="1">
        <v>20000</v>
      </c>
      <c r="G15" s="6">
        <f>Table13456789[[#This Row],[Normal Grain Harvest]]*0.6</f>
        <v>3819240</v>
      </c>
      <c r="H15">
        <v>6365400</v>
      </c>
      <c r="I15" s="1">
        <f>Table13456789[[#This Row],[Normal Grain Harvest]]*1.3</f>
        <v>8275020</v>
      </c>
      <c r="J15" s="1">
        <f>(Table13456789[[#This Row],[Population]]*365)/1000</f>
        <v>292000</v>
      </c>
      <c r="K15" s="1">
        <f>Table13456789[[#This Row],[Low Grain Harvest]]-Table13456789[[#This Row],[Required Grain]]</f>
        <v>3527240</v>
      </c>
      <c r="L15" s="3">
        <f>(Table13456789[[#This Row],[Suplus Grain]]/2)/2000</f>
        <v>881.81</v>
      </c>
      <c r="M15" t="s">
        <v>86</v>
      </c>
      <c r="P15" s="4">
        <f>(Table13456789[[#This Row],[Tax Income in Talents]]+Table13456789[[#This Row],[Trade Income]]-Table13456789[[#This Row],[Other Expenditure]]-Table13456789[[#This Row],[Garrisoned Soldier Cost]])</f>
        <v>681.81</v>
      </c>
    </row>
    <row r="16" spans="1:16" x14ac:dyDescent="0.25">
      <c r="A16" t="s">
        <v>125</v>
      </c>
      <c r="B16" t="s">
        <v>96</v>
      </c>
      <c r="C16" s="1">
        <v>400</v>
      </c>
      <c r="D16" s="9">
        <f>Table13456789[[#This Row],[Garrison Size]]*0.5</f>
        <v>200</v>
      </c>
      <c r="E16" s="1">
        <v>400000</v>
      </c>
      <c r="F16" s="1">
        <v>10000</v>
      </c>
      <c r="G16" s="1">
        <f>Table13456789[[#This Row],[Normal Grain Harvest]]*0.6</f>
        <v>1909620</v>
      </c>
      <c r="H16">
        <v>3182700</v>
      </c>
      <c r="I16" s="1">
        <f>Table13456789[[#This Row],[Normal Grain Harvest]]*1.3</f>
        <v>4137510</v>
      </c>
      <c r="J16" s="1">
        <f>(Table13456789[[#This Row],[Population]]*365)/1000</f>
        <v>146000</v>
      </c>
      <c r="K16" s="1">
        <f>Table13456789[[#This Row],[Low Grain Harvest]]-Table13456789[[#This Row],[Required Grain]]</f>
        <v>1763620</v>
      </c>
      <c r="L16" s="3">
        <f>(Table13456789[[#This Row],[Suplus Grain]]/2)/2000</f>
        <v>440.90499999999997</v>
      </c>
      <c r="M16" t="s">
        <v>126</v>
      </c>
      <c r="P16" s="4">
        <f>(Table13456789[[#This Row],[Tax Income in Talents]]+Table13456789[[#This Row],[Trade Income]]-Table13456789[[#This Row],[Other Expenditure]]-Table13456789[[#This Row],[Garrisoned Soldier Cost]])</f>
        <v>240.90499999999997</v>
      </c>
    </row>
    <row r="17" spans="1:16" x14ac:dyDescent="0.25">
      <c r="A17" t="s">
        <v>48</v>
      </c>
      <c r="B17" t="s">
        <v>96</v>
      </c>
      <c r="C17" s="1">
        <f>4500*0.98</f>
        <v>4410</v>
      </c>
      <c r="D17" s="9">
        <f>Table13456789[[#This Row],[Garrison Size]]*0.5</f>
        <v>2205</v>
      </c>
      <c r="E17" s="1">
        <v>2800000</v>
      </c>
      <c r="F17" s="1">
        <v>80000</v>
      </c>
      <c r="G17" s="1">
        <f>Table13456789[[#This Row],[Normal Grain Harvest]]*0.6</f>
        <v>15650200.321319999</v>
      </c>
      <c r="H17">
        <v>26083667.202199999</v>
      </c>
      <c r="I17" s="6">
        <f>Table13456789[[#This Row],[Normal Grain Harvest]]*1.3</f>
        <v>33908767.362860002</v>
      </c>
      <c r="J17" s="1">
        <f>(Table13456789[[#This Row],[Population]]*365)/1000</f>
        <v>1022000</v>
      </c>
      <c r="K17" s="1">
        <f>Table13456789[[#This Row],[Low Grain Harvest]]-Table13456789[[#This Row],[Required Grain]]</f>
        <v>14628200.321319999</v>
      </c>
      <c r="L17" s="3">
        <f>(Table13456789[[#This Row],[Suplus Grain]]/2)/2000</f>
        <v>3657.0500803299997</v>
      </c>
      <c r="P17" s="4">
        <f>(Table13456789[[#This Row],[Tax Income in Talents]]+Table13456789[[#This Row],[Trade Income]]-Table13456789[[#This Row],[Other Expenditure]]-Table13456789[[#This Row],[Garrisoned Soldier Cost]])</f>
        <v>1452.0500803299997</v>
      </c>
    </row>
    <row r="18" spans="1:16" x14ac:dyDescent="0.25">
      <c r="A18" t="s">
        <v>49</v>
      </c>
      <c r="B18" t="s">
        <v>101</v>
      </c>
      <c r="C18" s="1">
        <v>800</v>
      </c>
      <c r="D18" s="9">
        <f>Table13456789[[#This Row],[Garrison Size]]*0.5</f>
        <v>400</v>
      </c>
      <c r="E18" s="1">
        <v>1600000</v>
      </c>
      <c r="F18" s="1">
        <v>45000</v>
      </c>
      <c r="G18" s="1">
        <f>Table13456789[[#This Row],[Normal Grain Harvest]]*0.6</f>
        <v>8606020.7999999989</v>
      </c>
      <c r="H18">
        <v>14343368</v>
      </c>
      <c r="I18" s="6">
        <f>Table13456789[[#This Row],[Normal Grain Harvest]]*1.3</f>
        <v>18646378.400000002</v>
      </c>
      <c r="J18" s="1">
        <f>(Table13456789[[#This Row],[Population]]*365)/1000</f>
        <v>584000</v>
      </c>
      <c r="K18" s="1">
        <f>Table13456789[[#This Row],[Low Grain Harvest]]-Table13456789[[#This Row],[Required Grain]]</f>
        <v>8022020.7999999989</v>
      </c>
      <c r="L18" s="3">
        <f>(Table13456789[[#This Row],[Suplus Grain]]/2)/2000</f>
        <v>2005.5051999999998</v>
      </c>
      <c r="M18" t="s">
        <v>85</v>
      </c>
      <c r="P18" s="4">
        <f>(Table13456789[[#This Row],[Tax Income in Talents]]+Table13456789[[#This Row],[Trade Income]]-Table13456789[[#This Row],[Other Expenditure]]-Table13456789[[#This Row],[Garrisoned Soldier Cost]])</f>
        <v>1605.5051999999998</v>
      </c>
    </row>
    <row r="19" spans="1:16" x14ac:dyDescent="0.25">
      <c r="A19" t="s">
        <v>50</v>
      </c>
      <c r="B19" t="s">
        <v>103</v>
      </c>
      <c r="C19" s="1">
        <f>2000*0.98</f>
        <v>1960</v>
      </c>
      <c r="D19" s="9">
        <f>Table13456789[[#This Row],[Garrison Size]]*0.5</f>
        <v>980</v>
      </c>
      <c r="E19" s="1">
        <v>1040000</v>
      </c>
      <c r="F19" s="1">
        <v>40000</v>
      </c>
      <c r="G19" s="1">
        <f>Table13456789[[#This Row],[Normal Grain Harvest]]*0.6</f>
        <v>7944019.1999999993</v>
      </c>
      <c r="H19">
        <v>13240032</v>
      </c>
      <c r="I19" s="1">
        <f>Table13456789[[#This Row],[Normal Grain Harvest]]*1.3</f>
        <v>17212041.600000001</v>
      </c>
      <c r="J19" s="1">
        <f>(Table13456789[[#This Row],[Population]]*365)/1000</f>
        <v>379600</v>
      </c>
      <c r="K19" s="1">
        <f>Table13456789[[#This Row],[Low Grain Harvest]]-Table13456789[[#This Row],[Required Grain]]</f>
        <v>7564419.1999999993</v>
      </c>
      <c r="L19" s="3">
        <f>(Table13456789[[#This Row],[Suplus Grain]]/2)/2000</f>
        <v>1891.1047999999998</v>
      </c>
      <c r="M19" t="s">
        <v>85</v>
      </c>
      <c r="N19">
        <v>10</v>
      </c>
      <c r="P19" s="4">
        <f>(Table13456789[[#This Row],[Tax Income in Talents]]+Table13456789[[#This Row],[Trade Income]]-Table13456789[[#This Row],[Other Expenditure]]-Table13456789[[#This Row],[Garrisoned Soldier Cost]])</f>
        <v>921.10479999999984</v>
      </c>
    </row>
    <row r="20" spans="1:16" x14ac:dyDescent="0.25">
      <c r="A20" t="s">
        <v>51</v>
      </c>
      <c r="B20" t="s">
        <v>97</v>
      </c>
      <c r="C20" s="1">
        <f>750*0.8</f>
        <v>600</v>
      </c>
      <c r="D20" s="9">
        <f>Table13456789[[#This Row],[Garrison Size]]*0.5</f>
        <v>300</v>
      </c>
      <c r="E20" s="1">
        <v>480000</v>
      </c>
      <c r="F20" s="1">
        <v>22500</v>
      </c>
      <c r="G20" s="1">
        <f>Table13456789[[#This Row],[Normal Grain Harvest]]*0.6</f>
        <v>4965012</v>
      </c>
      <c r="H20">
        <v>8275020</v>
      </c>
      <c r="I20" s="1">
        <f>Table13456789[[#This Row],[Normal Grain Harvest]]*1.3</f>
        <v>10757526</v>
      </c>
      <c r="J20" s="1">
        <f>(Table13456789[[#This Row],[Population]]*365)/1000</f>
        <v>175200</v>
      </c>
      <c r="K20" s="1">
        <f>Table13456789[[#This Row],[Low Grain Harvest]]-Table13456789[[#This Row],[Required Grain]]</f>
        <v>4789812</v>
      </c>
      <c r="L20" s="3">
        <f>(Table13456789[[#This Row],[Suplus Grain]]/2)/2000</f>
        <v>1197.453</v>
      </c>
      <c r="M20" t="s">
        <v>56</v>
      </c>
      <c r="P20" s="4">
        <f>(Table13456789[[#This Row],[Tax Income in Talents]]+Table13456789[[#This Row],[Trade Income]]-Table13456789[[#This Row],[Other Expenditure]]-Table13456789[[#This Row],[Garrisoned Soldier Cost]])</f>
        <v>897.45299999999997</v>
      </c>
    </row>
    <row r="21" spans="1:16" s="9" customFormat="1" x14ac:dyDescent="0.25">
      <c r="A21" s="9" t="s">
        <v>132</v>
      </c>
      <c r="B21" s="9" t="s">
        <v>134</v>
      </c>
      <c r="C21" s="5">
        <v>1000</v>
      </c>
      <c r="D21" s="9">
        <f>Table13456789[[#This Row],[Garrison Size]]*0.5</f>
        <v>500</v>
      </c>
      <c r="E21" s="5">
        <f>1.2*480000</f>
        <v>576000</v>
      </c>
      <c r="F21" s="5">
        <f>1.2*22500</f>
        <v>27000</v>
      </c>
      <c r="G21" s="5">
        <f>Table13456789[[#This Row],[Normal Grain Harvest]]*0.6</f>
        <v>4774050</v>
      </c>
      <c r="H21" s="9">
        <v>7956750</v>
      </c>
      <c r="I21" s="5">
        <f>Table13456789[[#This Row],[Normal Grain Harvest]]*1.3</f>
        <v>10343775</v>
      </c>
      <c r="J21" s="5">
        <f>(Table13456789[[#This Row],[Population]]*365)/1000</f>
        <v>210240</v>
      </c>
      <c r="K21" s="1">
        <f>Table13456789[[#This Row],[Normal Grain Harvest]]-Table13456789[[#This Row],[Required Grain]]</f>
        <v>7746510</v>
      </c>
      <c r="L21" s="10">
        <f>(Table13456789[[#This Row],[Suplus Grain]]/2)/2000</f>
        <v>1936.6275000000001</v>
      </c>
      <c r="P21" s="11">
        <f>(Table13456789[[#This Row],[Tax Income in Talents]]+Table13456789[[#This Row],[Trade Income]]-Table13456789[[#This Row],[Other Expenditure]]-Table13456789[[#This Row],[Garrisoned Soldier Cost]])</f>
        <v>1436.6275000000001</v>
      </c>
    </row>
    <row r="22" spans="1:16" s="9" customFormat="1" x14ac:dyDescent="0.25">
      <c r="A22" s="9" t="s">
        <v>114</v>
      </c>
      <c r="B22" s="9" t="s">
        <v>134</v>
      </c>
      <c r="C22" s="5">
        <v>1000</v>
      </c>
      <c r="D22" s="9">
        <f>Table13456789[[#This Row],[Garrison Size]]*0.5</f>
        <v>500</v>
      </c>
      <c r="E22" s="9">
        <f>1.2*1080000</f>
        <v>1296000</v>
      </c>
      <c r="F22" s="9">
        <f>1.2*27000</f>
        <v>32400</v>
      </c>
      <c r="G22" s="5">
        <f>Table13456789[[#This Row],[Normal Grain Harvest]]*0.6</f>
        <v>6454515.5999999996</v>
      </c>
      <c r="H22" s="9">
        <v>10757526</v>
      </c>
      <c r="I22" s="5">
        <f>Table13456789[[#This Row],[Normal Grain Harvest]]*1.3</f>
        <v>13984783.800000001</v>
      </c>
      <c r="J22" s="5">
        <f>(Table13456789[[#This Row],[Population]]*365)/1000</f>
        <v>473040</v>
      </c>
      <c r="K22" s="1">
        <f>Table13456789[[#This Row],[Normal Grain Harvest]]-Table13456789[[#This Row],[Required Grain]]</f>
        <v>10284486</v>
      </c>
      <c r="L22" s="10">
        <f>(Table13456789[[#This Row],[Suplus Grain]]/2)/2000</f>
        <v>2571.1215000000002</v>
      </c>
      <c r="M22" s="9" t="s">
        <v>57</v>
      </c>
      <c r="P22" s="11">
        <f>(Table13456789[[#This Row],[Tax Income in Talents]]+Table13456789[[#This Row],[Trade Income]]-Table13456789[[#This Row],[Other Expenditure]]-Table13456789[[#This Row],[Garrisoned Soldier Cost]])</f>
        <v>2071.1215000000002</v>
      </c>
    </row>
    <row r="23" spans="1:16" x14ac:dyDescent="0.25">
      <c r="A23" t="s">
        <v>127</v>
      </c>
      <c r="B23" t="s">
        <v>30</v>
      </c>
      <c r="C23" s="1">
        <v>800</v>
      </c>
      <c r="D23" s="9">
        <f>Table13456789[[#This Row],[Garrison Size]]*0.5</f>
        <v>400</v>
      </c>
      <c r="E23">
        <v>720000</v>
      </c>
      <c r="F23" s="1">
        <v>18000</v>
      </c>
      <c r="G23" s="1">
        <f>Table13456789[[#This Row],[Normal Grain Harvest]]*0.6</f>
        <v>3442408.32</v>
      </c>
      <c r="H23">
        <v>5737347.2000000002</v>
      </c>
      <c r="I23" s="1">
        <f>Table13456789[[#This Row],[Normal Grain Harvest]]*1.3</f>
        <v>7458551.3600000003</v>
      </c>
      <c r="J23" s="1">
        <f>(Table13456789[[#This Row],[Population]]*365)/1000</f>
        <v>262800</v>
      </c>
      <c r="K23" s="1">
        <f>Table13456789[[#This Row],[Low Grain Harvest]]-Table13456789[[#This Row],[Required Grain]]</f>
        <v>3179608.32</v>
      </c>
      <c r="L23" s="3">
        <f>(Table13456789[[#This Row],[Suplus Grain]]/2)/2000</f>
        <v>794.90207999999996</v>
      </c>
      <c r="P23" s="4">
        <f>(Table13456789[[#This Row],[Tax Income in Talents]]+Table13456789[[#This Row],[Trade Income]]-Table13456789[[#This Row],[Other Expenditure]]-Table13456789[[#This Row],[Garrisoned Soldier Cost]])</f>
        <v>394.90207999999996</v>
      </c>
    </row>
    <row r="24" spans="1:16" x14ac:dyDescent="0.25">
      <c r="A24" t="s">
        <v>129</v>
      </c>
      <c r="B24" t="s">
        <v>30</v>
      </c>
      <c r="C24" s="1">
        <v>800</v>
      </c>
      <c r="D24" s="9">
        <f>Table13456789[[#This Row],[Garrison Size]]*0.5</f>
        <v>400</v>
      </c>
      <c r="E24">
        <v>300000</v>
      </c>
      <c r="F24" s="1">
        <v>3500</v>
      </c>
      <c r="G24" s="1">
        <f>Table13456789[[#This Row],[Normal Grain Harvest]]*0.6</f>
        <v>2151505.1999999997</v>
      </c>
      <c r="H24">
        <v>3585842</v>
      </c>
      <c r="I24" s="1">
        <f>Table13456789[[#This Row],[Normal Grain Harvest]]*1.3</f>
        <v>4661594.6000000006</v>
      </c>
      <c r="J24" s="1">
        <f>(Table13456789[[#This Row],[Population]]*365)/1000</f>
        <v>109500</v>
      </c>
      <c r="K24" s="1">
        <f>Table13456789[[#This Row],[Low Grain Harvest]]-Table13456789[[#This Row],[Required Grain]]</f>
        <v>2042005.1999999997</v>
      </c>
      <c r="L24" s="3">
        <f>(Table13456789[[#This Row],[Suplus Grain]]/2)/2000</f>
        <v>510.50129999999996</v>
      </c>
      <c r="P24" s="4">
        <f>(Table13456789[[#This Row],[Tax Income in Talents]]+Table13456789[[#This Row],[Trade Income]]-Table13456789[[#This Row],[Other Expenditure]]-Table13456789[[#This Row],[Garrisoned Soldier Cost]])</f>
        <v>110.50129999999996</v>
      </c>
    </row>
    <row r="25" spans="1:16" x14ac:dyDescent="0.25">
      <c r="A25" t="s">
        <v>128</v>
      </c>
      <c r="B25" t="s">
        <v>97</v>
      </c>
      <c r="C25" s="1">
        <v>800</v>
      </c>
      <c r="D25" s="9">
        <f>Table13456789[[#This Row],[Garrison Size]]*0.5</f>
        <v>400</v>
      </c>
      <c r="E25">
        <v>300000</v>
      </c>
      <c r="F25">
        <v>3500</v>
      </c>
      <c r="G25" s="1">
        <f>Table13456789[[#This Row],[Normal Grain Harvest]]*0.6</f>
        <v>2151505.1999999997</v>
      </c>
      <c r="H25" s="8">
        <v>3585842</v>
      </c>
      <c r="I25" s="1">
        <f>Table13456789[[#This Row],[Normal Grain Harvest]]*1.3</f>
        <v>4661594.6000000006</v>
      </c>
      <c r="J25" s="1">
        <f>(Table13456789[[#This Row],[Population]]*365)/1000</f>
        <v>109500</v>
      </c>
      <c r="K25" s="1">
        <f>Table13456789[[#This Row],[Low Grain Harvest]]-Table13456789[[#This Row],[Required Grain]]</f>
        <v>2042005.1999999997</v>
      </c>
      <c r="L25" s="3">
        <f>(Table13456789[[#This Row],[Suplus Grain]]/2)/2000</f>
        <v>510.50129999999996</v>
      </c>
      <c r="M25" t="s">
        <v>88</v>
      </c>
      <c r="P25" s="4">
        <f>(Table13456789[[#This Row],[Tax Income in Talents]]+Table13456789[[#This Row],[Trade Income]]-Table13456789[[#This Row],[Other Expenditure]]-Table13456789[[#This Row],[Garrisoned Soldier Cost]])</f>
        <v>110.50129999999996</v>
      </c>
    </row>
    <row r="26" spans="1:16" x14ac:dyDescent="0.25">
      <c r="A26" t="s">
        <v>123</v>
      </c>
      <c r="B26" t="s">
        <v>30</v>
      </c>
      <c r="C26" s="1">
        <v>800</v>
      </c>
      <c r="D26" s="9">
        <f>Table13456789[[#This Row],[Garrison Size]]*0.5</f>
        <v>400</v>
      </c>
      <c r="E26" s="1">
        <v>200000</v>
      </c>
      <c r="F26">
        <v>7000</v>
      </c>
      <c r="G26" s="1">
        <f>Table13456789[[#This Row],[Normal Grain Harvest]]*0.6</f>
        <v>1655004</v>
      </c>
      <c r="H26">
        <v>2758340</v>
      </c>
      <c r="I26" s="1">
        <f>Table13456789[[#This Row],[Normal Grain Harvest]]*1.3</f>
        <v>3585842</v>
      </c>
      <c r="J26" s="1">
        <f>(Table13456789[[#This Row],[Population]]*365)/1000</f>
        <v>73000</v>
      </c>
      <c r="K26" s="1">
        <f>Table13456789[[#This Row],[Low Grain Harvest]]-Table13456789[[#This Row],[Required Grain]]</f>
        <v>1582004</v>
      </c>
      <c r="L26" s="3">
        <f>(Table13456789[[#This Row],[Suplus Grain]]/2)/2000</f>
        <v>395.50099999999998</v>
      </c>
      <c r="P26" s="4">
        <f>(Table13456789[[#This Row],[Tax Income in Talents]]+Table13456789[[#This Row],[Trade Income]]-Table13456789[[#This Row],[Other Expenditure]]-Table13456789[[#This Row],[Garrisoned Soldier Cost]])</f>
        <v>-4.4990000000000236</v>
      </c>
    </row>
    <row r="27" spans="1:16" x14ac:dyDescent="0.25">
      <c r="A27" t="s">
        <v>130</v>
      </c>
      <c r="B27" t="s">
        <v>97</v>
      </c>
      <c r="C27" s="1">
        <v>400</v>
      </c>
      <c r="D27" s="9">
        <f>Table13456789[[#This Row],[Garrison Size]]*0.5</f>
        <v>200</v>
      </c>
      <c r="E27" s="1">
        <v>200000</v>
      </c>
      <c r="F27">
        <v>4000</v>
      </c>
      <c r="G27" s="1">
        <f>Table13456789[[#This Row],[Normal Grain Harvest]]*0.6</f>
        <v>993002.39999999991</v>
      </c>
      <c r="H27">
        <v>1655004</v>
      </c>
      <c r="I27" s="1">
        <f>Table13456789[[#This Row],[Normal Grain Harvest]]*1.3</f>
        <v>2151505.2000000002</v>
      </c>
      <c r="J27" s="1">
        <f>(Table13456789[[#This Row],[Population]]*365)/1000</f>
        <v>73000</v>
      </c>
      <c r="K27" s="1">
        <f>Table13456789[[#This Row],[Low Grain Harvest]]-Table13456789[[#This Row],[Required Grain]]</f>
        <v>920002.39999999991</v>
      </c>
      <c r="L27" s="3">
        <f>(Table13456789[[#This Row],[Suplus Grain]]/2)/2000</f>
        <v>230.00059999999996</v>
      </c>
      <c r="P27" s="4">
        <f>(Table13456789[[#This Row],[Tax Income in Talents]]+Table13456789[[#This Row],[Trade Income]]-Table13456789[[#This Row],[Other Expenditure]]-Table13456789[[#This Row],[Garrisoned Soldier Cost]])</f>
        <v>30.000599999999963</v>
      </c>
    </row>
    <row r="28" spans="1:16" s="9" customFormat="1" x14ac:dyDescent="0.25">
      <c r="A28" s="9" t="s">
        <v>69</v>
      </c>
      <c r="B28" s="9" t="s">
        <v>30</v>
      </c>
      <c r="C28" s="5">
        <v>4800</v>
      </c>
      <c r="D28" s="9">
        <f>Table13456789[[#This Row],[Garrison Size]]*0.5</f>
        <v>2400</v>
      </c>
      <c r="E28" s="5">
        <f>1.2*800000</f>
        <v>960000</v>
      </c>
      <c r="F28" s="5">
        <v>16000</v>
      </c>
      <c r="G28" s="5">
        <f>Table13456789[[#This Row],[Normal Grain Harvest]]*0.6</f>
        <v>4965012</v>
      </c>
      <c r="H28" s="9">
        <v>8275020</v>
      </c>
      <c r="I28" s="5">
        <f>Table13456789[[#This Row],[Normal Grain Harvest]]*1.3</f>
        <v>10757526</v>
      </c>
      <c r="J28" s="5">
        <f>(Table13456789[[#This Row],[Population]]*365)/1000</f>
        <v>350400</v>
      </c>
      <c r="K28" s="1">
        <f>Table13456789[[#This Row],[Normal Grain Harvest]]-Table13456789[[#This Row],[Required Grain]]</f>
        <v>7924620</v>
      </c>
      <c r="L28" s="10">
        <f>(Table13456789[[#This Row],[Suplus Grain]]/2)/2000</f>
        <v>1981.155</v>
      </c>
      <c r="M28" s="9" t="s">
        <v>92</v>
      </c>
      <c r="P28" s="11">
        <f>(Table13456789[[#This Row],[Tax Income in Talents]]+Table13456789[[#This Row],[Trade Income]]-Table13456789[[#This Row],[Other Expenditure]]-Table13456789[[#This Row],[Garrisoned Soldier Cost]])</f>
        <v>-418.84500000000003</v>
      </c>
    </row>
    <row r="29" spans="1:16" s="9" customFormat="1" x14ac:dyDescent="0.25">
      <c r="A29" s="9" t="s">
        <v>131</v>
      </c>
      <c r="B29" s="9" t="s">
        <v>134</v>
      </c>
      <c r="E29" s="9">
        <f>1.2*7000</f>
        <v>8400</v>
      </c>
      <c r="F29" s="9">
        <v>500</v>
      </c>
      <c r="G29" s="5">
        <f>Table13456789[[#This Row],[Normal Grain Harvest]]*0.6</f>
        <v>8275.02</v>
      </c>
      <c r="H29" s="9">
        <v>13791.7</v>
      </c>
      <c r="I29" s="5">
        <f>Table13456789[[#This Row],[Normal Grain Harvest]]*1.3</f>
        <v>17929.210000000003</v>
      </c>
      <c r="J29" s="5">
        <f>(Table13456789[[#This Row],[Population]]*365)/1000</f>
        <v>3066</v>
      </c>
      <c r="K29" s="1">
        <f>Table13456789[[#This Row],[Normal Grain Harvest]]-Table13456789[[#This Row],[Required Grain]]</f>
        <v>10725.7</v>
      </c>
      <c r="L29" s="10">
        <f>(Table13456789[[#This Row],[Suplus Grain]]/2)/2000</f>
        <v>2.6814250000000004</v>
      </c>
      <c r="N29" s="9">
        <v>2</v>
      </c>
      <c r="P29" s="11">
        <f>(Table13456789[[#This Row],[Tax Income in Talents]]+Table13456789[[#This Row],[Trade Income]]-Table13456789[[#This Row],[Other Expenditure]]-Table13456789[[#This Row],[Garrisoned Soldier Cost]])</f>
        <v>4.6814250000000008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workbookViewId="0">
      <selection activeCell="L34" sqref="L34"/>
    </sheetView>
  </sheetViews>
  <sheetFormatPr defaultRowHeight="15" x14ac:dyDescent="0.25"/>
  <cols>
    <col min="4" max="4" width="12.140625" customWidth="1"/>
    <col min="5" max="5" width="9.85546875" customWidth="1"/>
    <col min="6" max="6" width="21.85546875" customWidth="1"/>
    <col min="11" max="11" width="11.85546875" customWidth="1"/>
  </cols>
  <sheetData>
    <row r="1" spans="1:16" x14ac:dyDescent="0.25">
      <c r="A1" t="s">
        <v>33</v>
      </c>
      <c r="B1" t="s">
        <v>62</v>
      </c>
      <c r="C1" t="s">
        <v>66</v>
      </c>
      <c r="D1" t="s">
        <v>65</v>
      </c>
      <c r="E1" t="s">
        <v>34</v>
      </c>
      <c r="F1" t="s">
        <v>55</v>
      </c>
      <c r="G1" t="s">
        <v>35</v>
      </c>
      <c r="H1" t="s">
        <v>36</v>
      </c>
      <c r="I1" t="s">
        <v>37</v>
      </c>
      <c r="J1" t="s">
        <v>38</v>
      </c>
      <c r="K1" t="s">
        <v>58</v>
      </c>
      <c r="L1" t="s">
        <v>59</v>
      </c>
      <c r="M1" t="s">
        <v>40</v>
      </c>
      <c r="N1" t="s">
        <v>60</v>
      </c>
      <c r="O1" t="s">
        <v>64</v>
      </c>
      <c r="P1" t="s">
        <v>61</v>
      </c>
    </row>
    <row r="2" spans="1:16" x14ac:dyDescent="0.25">
      <c r="A2" t="s">
        <v>39</v>
      </c>
      <c r="B2" t="s">
        <v>15</v>
      </c>
      <c r="C2" s="1">
        <v>800</v>
      </c>
      <c r="D2" s="9">
        <f>Table1345678910[[#This Row],[Garrison Size]]*0.5</f>
        <v>400</v>
      </c>
      <c r="E2" s="1">
        <v>160000</v>
      </c>
      <c r="F2" s="1">
        <v>12000</v>
      </c>
      <c r="G2" s="1">
        <f>Table1345678910[[#This Row],[Normal Grain Harvest]]*0.6</f>
        <v>1655004</v>
      </c>
      <c r="H2">
        <v>2758340</v>
      </c>
      <c r="I2" s="1">
        <f>Table1345678910[[#This Row],[Normal Grain Harvest]]*1.3</f>
        <v>3585842</v>
      </c>
      <c r="J2" s="1">
        <f>(Table1345678910[[#This Row],[Population]]*365)/1000</f>
        <v>58400</v>
      </c>
      <c r="K2" s="1">
        <f>Table1345678910[[#This Row],[High Grain Harvest]]-Table1345678910[[#This Row],[Required Grain]]</f>
        <v>3527442</v>
      </c>
      <c r="L2" s="3">
        <f>(Table1345678910[[#This Row],[Suplus Grain]]/2)/2000</f>
        <v>881.8605</v>
      </c>
      <c r="M2" t="s">
        <v>41</v>
      </c>
      <c r="P2" s="4">
        <f>(Table1345678910[[#This Row],[Tax Income in Talents]]+Table1345678910[[#This Row],[Trade Income]]-Table1345678910[[#This Row],[Other Expenditure]]-Table1345678910[[#This Row],[Garrisoned Soldier Cost]])</f>
        <v>481.8605</v>
      </c>
    </row>
    <row r="3" spans="1:16" x14ac:dyDescent="0.25">
      <c r="A3" t="s">
        <v>42</v>
      </c>
      <c r="B3" t="s">
        <v>15</v>
      </c>
      <c r="C3" s="1">
        <v>800</v>
      </c>
      <c r="D3" s="9">
        <f>Table1345678910[[#This Row],[Garrison Size]]*0.5</f>
        <v>400</v>
      </c>
      <c r="E3" s="1">
        <v>160000</v>
      </c>
      <c r="F3">
        <v>7000</v>
      </c>
      <c r="G3" s="1">
        <f>Table1345678910[[#This Row],[Normal Grain Harvest]]*0.6</f>
        <v>1655004</v>
      </c>
      <c r="H3">
        <v>2758340</v>
      </c>
      <c r="I3" s="1">
        <f>Table1345678910[[#This Row],[Normal Grain Harvest]]*1.3</f>
        <v>3585842</v>
      </c>
      <c r="J3" s="1">
        <f>(Table1345678910[[#This Row],[Population]]*365)/1000</f>
        <v>58400</v>
      </c>
      <c r="K3" s="1">
        <f>Table1345678910[[#This Row],[High Grain Harvest]]-Table1345678910[[#This Row],[Required Grain]]</f>
        <v>3527442</v>
      </c>
      <c r="L3" s="3">
        <f>(Table1345678910[[#This Row],[Suplus Grain]]/2)/2000</f>
        <v>881.8605</v>
      </c>
      <c r="M3" t="s">
        <v>43</v>
      </c>
      <c r="P3" s="4">
        <f>(Table1345678910[[#This Row],[Tax Income in Talents]]+Table1345678910[[#This Row],[Trade Income]]-Table1345678910[[#This Row],[Other Expenditure]]-Table1345678910[[#This Row],[Garrisoned Soldier Cost]])</f>
        <v>481.8605</v>
      </c>
    </row>
    <row r="4" spans="1:16" x14ac:dyDescent="0.25">
      <c r="A4" t="s">
        <v>53</v>
      </c>
      <c r="C4" s="1">
        <f>800*3</f>
        <v>2400</v>
      </c>
      <c r="D4" s="9">
        <f>Table1345678910[[#This Row],[Garrison Size]]*0.5</f>
        <v>1200</v>
      </c>
      <c r="E4" s="1">
        <v>400000</v>
      </c>
      <c r="F4" s="1">
        <v>15000</v>
      </c>
      <c r="G4" s="1">
        <f>Table1345678910[[#This Row],[Normal Grain Harvest]]*0.6</f>
        <v>3437316</v>
      </c>
      <c r="H4">
        <v>5728860</v>
      </c>
      <c r="I4" s="1">
        <f>Table1345678910[[#This Row],[Normal Grain Harvest]]*1.3</f>
        <v>7447518</v>
      </c>
      <c r="J4" s="1">
        <f>(Table1345678910[[#This Row],[Population]]*365)/1000</f>
        <v>146000</v>
      </c>
      <c r="K4" s="1">
        <f>Table1345678910[[#This Row],[Low Grain Harvest]]-Table1345678910[[#This Row],[Required Grain]]</f>
        <v>3291316</v>
      </c>
      <c r="L4" s="3">
        <f>(Table1345678910[[#This Row],[Suplus Grain]]/2)/2000</f>
        <v>822.82899999999995</v>
      </c>
      <c r="M4" t="s">
        <v>93</v>
      </c>
      <c r="P4" s="4">
        <f>(Table1345678910[[#This Row],[Tax Income in Talents]]+Table1345678910[[#This Row],[Trade Income]]-Table1345678910[[#This Row],[Other Expenditure]]-Table1345678910[[#This Row],[Garrisoned Soldier Cost]])</f>
        <v>-377.17100000000005</v>
      </c>
    </row>
    <row r="5" spans="1:16" x14ac:dyDescent="0.25">
      <c r="A5" t="s">
        <v>94</v>
      </c>
      <c r="C5" s="1">
        <v>2400</v>
      </c>
      <c r="D5" s="9">
        <f>Table1345678910[[#This Row],[Garrison Size]]*0.5</f>
        <v>1200</v>
      </c>
      <c r="E5" s="1">
        <v>360000</v>
      </c>
      <c r="F5" s="1">
        <v>15000</v>
      </c>
      <c r="G5" s="6">
        <f>Table1345678910[[#This Row],[Normal Grain Harvest]]*0.6</f>
        <v>4468510.8</v>
      </c>
      <c r="H5">
        <v>7447518</v>
      </c>
      <c r="I5" s="1">
        <f>Table1345678910[[#This Row],[Normal Grain Harvest]]*1.3</f>
        <v>9681773.4000000004</v>
      </c>
      <c r="J5" s="1">
        <f>(Table1345678910[[#This Row],[Population]]*365)/1000</f>
        <v>131400</v>
      </c>
      <c r="K5" s="1">
        <f>Table1345678910[[#This Row],[Low Grain Harvest]]-Table1345678910[[#This Row],[Required Grain]]</f>
        <v>4337110.8</v>
      </c>
      <c r="L5" s="3">
        <f>(Table1345678910[[#This Row],[Suplus Grain]]/2)/2000</f>
        <v>1084.2776999999999</v>
      </c>
      <c r="M5" t="s">
        <v>93</v>
      </c>
      <c r="N5">
        <v>200</v>
      </c>
      <c r="P5" s="4">
        <f>(Table1345678910[[#This Row],[Tax Income in Talents]]+Table1345678910[[#This Row],[Trade Income]]-Table1345678910[[#This Row],[Other Expenditure]]-Table1345678910[[#This Row],[Garrisoned Soldier Cost]])</f>
        <v>84.277699999999868</v>
      </c>
    </row>
    <row r="6" spans="1:16" x14ac:dyDescent="0.25">
      <c r="A6" t="s">
        <v>119</v>
      </c>
      <c r="C6" s="1">
        <v>2400</v>
      </c>
      <c r="D6" s="9">
        <f>Table1345678910[[#This Row],[Garrison Size]]*0.5</f>
        <v>1200</v>
      </c>
      <c r="E6" s="1">
        <v>400000</v>
      </c>
      <c r="F6" s="1">
        <v>13000</v>
      </c>
      <c r="G6" s="1">
        <f>Table1345678910[[#This Row],[Normal Grain Harvest]]*0.6</f>
        <v>3437316</v>
      </c>
      <c r="H6">
        <v>5728860</v>
      </c>
      <c r="I6" s="1">
        <f>Table1345678910[[#This Row],[Normal Grain Harvest]]*1.3</f>
        <v>7447518</v>
      </c>
      <c r="J6" s="1">
        <f>(Table1345678910[[#This Row],[Population]]*365)/1000</f>
        <v>146000</v>
      </c>
      <c r="K6" s="1">
        <f>Table1345678910[[#This Row],[Low Grain Harvest]]-Table1345678910[[#This Row],[Required Grain]]</f>
        <v>3291316</v>
      </c>
      <c r="L6" s="3">
        <f>(Table1345678910[[#This Row],[Suplus Grain]]/2)/2000</f>
        <v>822.82899999999995</v>
      </c>
      <c r="M6" t="s">
        <v>93</v>
      </c>
      <c r="P6" s="4">
        <f>(Table1345678910[[#This Row],[Tax Income in Talents]]+Table1345678910[[#This Row],[Trade Income]]-Table1345678910[[#This Row],[Other Expenditure]]-Table1345678910[[#This Row],[Garrisoned Soldier Cost]])</f>
        <v>-377.17100000000005</v>
      </c>
    </row>
    <row r="7" spans="1:16" x14ac:dyDescent="0.25">
      <c r="A7" t="s">
        <v>52</v>
      </c>
      <c r="B7" t="s">
        <v>141</v>
      </c>
      <c r="C7" s="1">
        <v>2400</v>
      </c>
      <c r="D7" s="9">
        <f>Table1345678910[[#This Row],[Garrison Size]]*0.5</f>
        <v>1200</v>
      </c>
      <c r="E7" s="1">
        <v>400000</v>
      </c>
      <c r="F7" s="1">
        <v>13000</v>
      </c>
      <c r="G7" s="1">
        <f>Table1345678910[[#This Row],[Normal Grain Harvest]]*0.6</f>
        <v>3437316</v>
      </c>
      <c r="H7">
        <v>5728860</v>
      </c>
      <c r="I7" s="1">
        <f>Table1345678910[[#This Row],[Normal Grain Harvest]]*1.3</f>
        <v>7447518</v>
      </c>
      <c r="J7" s="1">
        <f>(Table1345678910[[#This Row],[Population]]*365)/1000</f>
        <v>146000</v>
      </c>
      <c r="K7" s="1">
        <f>Table1345678910[[#This Row],[Normal Grain Harvest]]-Table1345678910[[#This Row],[Required Grain]]</f>
        <v>5582860</v>
      </c>
      <c r="L7" s="3">
        <f>(Table1345678910[[#This Row],[Suplus Grain]]/2)/2000</f>
        <v>1395.7149999999999</v>
      </c>
      <c r="M7" t="s">
        <v>93</v>
      </c>
      <c r="P7" s="4">
        <f>(Table1345678910[[#This Row],[Tax Income in Talents]]+Table1345678910[[#This Row],[Trade Income]]-Table1345678910[[#This Row],[Other Expenditure]]-Table1345678910[[#This Row],[Garrisoned Soldier Cost]])</f>
        <v>195.71499999999992</v>
      </c>
    </row>
    <row r="8" spans="1:16" x14ac:dyDescent="0.25">
      <c r="A8" t="s">
        <v>44</v>
      </c>
      <c r="B8" t="s">
        <v>141</v>
      </c>
      <c r="C8" s="1">
        <v>2400</v>
      </c>
      <c r="D8" s="9">
        <f>Table1345678910[[#This Row],[Garrison Size]]*0.5</f>
        <v>1200</v>
      </c>
      <c r="E8" s="1">
        <v>400000</v>
      </c>
      <c r="F8" s="1">
        <v>10000</v>
      </c>
      <c r="G8" s="6">
        <f>Table1345678910[[#This Row],[Normal Grain Harvest]]*0.6</f>
        <v>3437316</v>
      </c>
      <c r="H8">
        <v>5728860</v>
      </c>
      <c r="I8" s="1">
        <f>Table1345678910[[#This Row],[Normal Grain Harvest]]*1.3</f>
        <v>7447518</v>
      </c>
      <c r="J8" s="1">
        <f>(Table1345678910[[#This Row],[Population]]*365)/1000</f>
        <v>146000</v>
      </c>
      <c r="K8" s="1">
        <f>Table1345678910[[#This Row],[Normal Grain Harvest]]-Table1345678910[[#This Row],[Required Grain]]</f>
        <v>5582860</v>
      </c>
      <c r="L8" s="3">
        <f>(Table1345678910[[#This Row],[Suplus Grain]]/2)/2000</f>
        <v>1395.7149999999999</v>
      </c>
      <c r="M8" t="s">
        <v>90</v>
      </c>
      <c r="P8" s="4">
        <f>(Table1345678910[[#This Row],[Tax Income in Talents]]+Table1345678910[[#This Row],[Trade Income]]-Table1345678910[[#This Row],[Other Expenditure]]-Table1345678910[[#This Row],[Garrisoned Soldier Cost]])</f>
        <v>195.71499999999992</v>
      </c>
    </row>
    <row r="9" spans="1:16" x14ac:dyDescent="0.25">
      <c r="A9" t="s">
        <v>45</v>
      </c>
      <c r="B9" t="s">
        <v>141</v>
      </c>
      <c r="C9" s="1">
        <v>2400</v>
      </c>
      <c r="D9" s="9">
        <f>Table1345678910[[#This Row],[Garrison Size]]*0.5</f>
        <v>1200</v>
      </c>
      <c r="E9" s="1">
        <v>400000</v>
      </c>
      <c r="F9" s="1">
        <v>20000</v>
      </c>
      <c r="G9" s="1">
        <f>Table1345678910[[#This Row],[Normal Grain Harvest]]*0.6</f>
        <v>3437316</v>
      </c>
      <c r="H9">
        <v>5728860</v>
      </c>
      <c r="I9" s="1">
        <f>Table1345678910[[#This Row],[Normal Grain Harvest]]*1.3</f>
        <v>7447518</v>
      </c>
      <c r="J9" s="1">
        <f>(Table1345678910[[#This Row],[Population]]*365)/1000</f>
        <v>146000</v>
      </c>
      <c r="K9" s="1">
        <f>Table1345678910[[#This Row],[Normal Grain Harvest]]-Table1345678910[[#This Row],[Required Grain]]</f>
        <v>5582860</v>
      </c>
      <c r="L9" s="3">
        <f>(Table1345678910[[#This Row],[Suplus Grain]]/2)/2000</f>
        <v>1395.7149999999999</v>
      </c>
      <c r="M9" t="s">
        <v>89</v>
      </c>
      <c r="P9" s="4">
        <f>(Table1345678910[[#This Row],[Tax Income in Talents]]+Table1345678910[[#This Row],[Trade Income]]-Table1345678910[[#This Row],[Other Expenditure]]-Table1345678910[[#This Row],[Garrisoned Soldier Cost]])</f>
        <v>195.71499999999992</v>
      </c>
    </row>
    <row r="10" spans="1:16" x14ac:dyDescent="0.25">
      <c r="A10" t="s">
        <v>46</v>
      </c>
      <c r="B10" t="s">
        <v>141</v>
      </c>
      <c r="C10" s="1">
        <v>1600</v>
      </c>
      <c r="D10" s="9">
        <f>Table1345678910[[#This Row],[Garrison Size]]*0.5</f>
        <v>800</v>
      </c>
      <c r="E10" s="1">
        <v>400000</v>
      </c>
      <c r="F10" s="1">
        <v>20000</v>
      </c>
      <c r="G10" s="1">
        <f>Table1345678910[[#This Row],[Normal Grain Harvest]]*0.6</f>
        <v>3437316</v>
      </c>
      <c r="H10">
        <v>5728860</v>
      </c>
      <c r="I10" s="1">
        <f>Table1345678910[[#This Row],[Normal Grain Harvest]]*1.3</f>
        <v>7447518</v>
      </c>
      <c r="J10" s="1">
        <f>(Table1345678910[[#This Row],[Population]]*365)/1000</f>
        <v>146000</v>
      </c>
      <c r="K10" s="1">
        <f>Table1345678910[[#This Row],[Normal Grain Harvest]]-Table1345678910[[#This Row],[Required Grain]]</f>
        <v>5582860</v>
      </c>
      <c r="L10" s="3">
        <f>(Table1345678910[[#This Row],[Suplus Grain]]/2)/2000</f>
        <v>1395.7149999999999</v>
      </c>
      <c r="M10" t="s">
        <v>88</v>
      </c>
      <c r="P10" s="4">
        <f>(Table1345678910[[#This Row],[Tax Income in Talents]]+Table1345678910[[#This Row],[Trade Income]]-Table1345678910[[#This Row],[Other Expenditure]]-Table1345678910[[#This Row],[Garrisoned Soldier Cost]])</f>
        <v>595.71499999999992</v>
      </c>
    </row>
    <row r="11" spans="1:16" x14ac:dyDescent="0.25">
      <c r="A11" t="s">
        <v>67</v>
      </c>
      <c r="C11" s="1">
        <v>3200</v>
      </c>
      <c r="D11" s="9">
        <f>Table1345678910[[#This Row],[Garrison Size]]*0.5</f>
        <v>1600</v>
      </c>
      <c r="E11" s="1">
        <v>320000</v>
      </c>
      <c r="F11" s="1">
        <v>20000</v>
      </c>
      <c r="G11" s="1">
        <f>Table1345678910[[#This Row],[Normal Grain Harvest]]*0.6</f>
        <v>3437316</v>
      </c>
      <c r="H11">
        <v>5728860</v>
      </c>
      <c r="I11" s="1">
        <f>Table1345678910[[#This Row],[Normal Grain Harvest]]*1.3</f>
        <v>7447518</v>
      </c>
      <c r="J11" s="1">
        <f>(Table1345678910[[#This Row],[Population]]*365)/1000</f>
        <v>116800</v>
      </c>
      <c r="K11" s="1">
        <f>Table1345678910[[#This Row],[Low Grain Harvest]]-Table1345678910[[#This Row],[Required Grain]]</f>
        <v>3320516</v>
      </c>
      <c r="L11" s="3">
        <f>(Table1345678910[[#This Row],[Suplus Grain]]/2)/2000</f>
        <v>830.12900000000002</v>
      </c>
      <c r="M11" t="s">
        <v>91</v>
      </c>
      <c r="P11" s="4">
        <f>(Table1345678910[[#This Row],[Tax Income in Talents]]+Table1345678910[[#This Row],[Trade Income]]-Table1345678910[[#This Row],[Other Expenditure]]-Table1345678910[[#This Row],[Garrisoned Soldier Cost]])</f>
        <v>-769.87099999999998</v>
      </c>
    </row>
    <row r="12" spans="1:16" x14ac:dyDescent="0.25">
      <c r="A12" t="s">
        <v>25</v>
      </c>
      <c r="C12" s="1">
        <v>1200</v>
      </c>
      <c r="D12" s="9">
        <f>Table1345678910[[#This Row],[Garrison Size]]*0.5</f>
        <v>600</v>
      </c>
      <c r="E12" s="1">
        <v>600000</v>
      </c>
      <c r="F12" s="1">
        <v>15000</v>
      </c>
      <c r="G12" s="1">
        <f>Table1345678910[[#This Row],[Normal Grain Harvest]]*0.6</f>
        <v>3437316</v>
      </c>
      <c r="H12">
        <v>5728860</v>
      </c>
      <c r="I12" s="1">
        <f>Table1345678910[[#This Row],[Normal Grain Harvest]]*1.3</f>
        <v>7447518</v>
      </c>
      <c r="J12" s="1">
        <f>(Table1345678910[[#This Row],[Population]]*365)/1000</f>
        <v>219000</v>
      </c>
      <c r="K12" s="1">
        <f>Table1345678910[[#This Row],[Low Grain Harvest]]-Table1345678910[[#This Row],[Required Grain]]</f>
        <v>3218316</v>
      </c>
      <c r="L12" s="3">
        <f>(Table1345678910[[#This Row],[Suplus Grain]]/2)/2000</f>
        <v>804.57899999999995</v>
      </c>
      <c r="M12" t="s">
        <v>87</v>
      </c>
      <c r="P12" s="4">
        <f>(Table1345678910[[#This Row],[Tax Income in Talents]]+Table1345678910[[#This Row],[Trade Income]]-Table1345678910[[#This Row],[Other Expenditure]]-Table1345678910[[#This Row],[Garrisoned Soldier Cost]])</f>
        <v>204.57899999999995</v>
      </c>
    </row>
    <row r="13" spans="1:16" x14ac:dyDescent="0.25">
      <c r="A13" t="s">
        <v>47</v>
      </c>
      <c r="B13" t="s">
        <v>96</v>
      </c>
      <c r="C13" s="1">
        <v>800</v>
      </c>
      <c r="D13" s="9">
        <f>Table1345678910[[#This Row],[Garrison Size]]*0.5</f>
        <v>400</v>
      </c>
      <c r="E13" s="1">
        <v>400000</v>
      </c>
      <c r="F13" s="1">
        <v>10000</v>
      </c>
      <c r="G13" s="1">
        <f>Table1345678910[[#This Row],[Normal Grain Harvest]]*0.6</f>
        <v>2482506</v>
      </c>
      <c r="H13">
        <v>4137510</v>
      </c>
      <c r="I13" s="1">
        <f>Table1345678910[[#This Row],[Normal Grain Harvest]]*1.3</f>
        <v>5378763</v>
      </c>
      <c r="J13" s="1">
        <f>(Table1345678910[[#This Row],[Population]]*365)/1000</f>
        <v>146000</v>
      </c>
      <c r="K13" s="1">
        <f>Table1345678910[[#This Row],[High Grain Harvest]]-Table1345678910[[#This Row],[Required Grain]]</f>
        <v>5232763</v>
      </c>
      <c r="L13" s="3">
        <f>(Table1345678910[[#This Row],[Suplus Grain]]/2)/2000</f>
        <v>1308.19075</v>
      </c>
      <c r="M13" t="s">
        <v>86</v>
      </c>
      <c r="P13" s="4">
        <f>(Table1345678910[[#This Row],[Tax Income in Talents]]+Table1345678910[[#This Row],[Trade Income]]-Table1345678910[[#This Row],[Other Expenditure]]-Table1345678910[[#This Row],[Garrisoned Soldier Cost]])</f>
        <v>908.19074999999998</v>
      </c>
    </row>
    <row r="14" spans="1:16" x14ac:dyDescent="0.25">
      <c r="A14" t="s">
        <v>120</v>
      </c>
      <c r="B14" t="s">
        <v>96</v>
      </c>
      <c r="C14" s="1">
        <v>2400</v>
      </c>
      <c r="D14" s="9">
        <f>Table1345678910[[#This Row],[Garrison Size]]*0.5</f>
        <v>1200</v>
      </c>
      <c r="E14" s="1">
        <v>400000</v>
      </c>
      <c r="F14" s="1">
        <v>15000</v>
      </c>
      <c r="G14" s="1">
        <f>Table1345678910[[#This Row],[Normal Grain Harvest]]*0.6</f>
        <v>1909620</v>
      </c>
      <c r="H14">
        <v>3182700</v>
      </c>
      <c r="I14" s="1">
        <f>Table1345678910[[#This Row],[Normal Grain Harvest]]*1.3</f>
        <v>4137510</v>
      </c>
      <c r="J14" s="1">
        <f>(Table1345678910[[#This Row],[Population]]*365)/1000</f>
        <v>146000</v>
      </c>
      <c r="K14" s="1">
        <f>Table1345678910[[#This Row],[High Grain Harvest]]-Table1345678910[[#This Row],[Required Grain]]</f>
        <v>3991510</v>
      </c>
      <c r="L14" s="3">
        <f>(Table1345678910[[#This Row],[Suplus Grain]]/2)/2000</f>
        <v>997.87750000000005</v>
      </c>
      <c r="M14" t="s">
        <v>86</v>
      </c>
      <c r="P14" s="4">
        <f>(Table1345678910[[#This Row],[Tax Income in Talents]]+Table1345678910[[#This Row],[Trade Income]]-Table1345678910[[#This Row],[Other Expenditure]]-Table1345678910[[#This Row],[Garrisoned Soldier Cost]])</f>
        <v>-202.12249999999995</v>
      </c>
    </row>
    <row r="15" spans="1:16" x14ac:dyDescent="0.25">
      <c r="A15" t="s">
        <v>105</v>
      </c>
      <c r="B15" t="s">
        <v>96</v>
      </c>
      <c r="C15" s="1">
        <v>400</v>
      </c>
      <c r="D15" s="9">
        <f>Table1345678910[[#This Row],[Garrison Size]]*0.5</f>
        <v>200</v>
      </c>
      <c r="E15" s="1">
        <v>800000</v>
      </c>
      <c r="F15" s="1">
        <v>20000</v>
      </c>
      <c r="G15" s="6">
        <f>Table1345678910[[#This Row],[Normal Grain Harvest]]*0.6</f>
        <v>3819240</v>
      </c>
      <c r="H15">
        <v>6365400</v>
      </c>
      <c r="I15" s="1">
        <f>Table1345678910[[#This Row],[Normal Grain Harvest]]*1.3</f>
        <v>8275020</v>
      </c>
      <c r="J15" s="1">
        <f>(Table1345678910[[#This Row],[Population]]*365)/1000</f>
        <v>292000</v>
      </c>
      <c r="K15" s="1">
        <f>Table1345678910[[#This Row],[High Grain Harvest]]-Table1345678910[[#This Row],[Required Grain]]</f>
        <v>7983020</v>
      </c>
      <c r="L15" s="3">
        <f>(Table1345678910[[#This Row],[Suplus Grain]]/2)/2000</f>
        <v>1995.7550000000001</v>
      </c>
      <c r="M15" t="s">
        <v>86</v>
      </c>
      <c r="P15" s="4">
        <f>(Table1345678910[[#This Row],[Tax Income in Talents]]+Table1345678910[[#This Row],[Trade Income]]-Table1345678910[[#This Row],[Other Expenditure]]-Table1345678910[[#This Row],[Garrisoned Soldier Cost]])</f>
        <v>1795.7550000000001</v>
      </c>
    </row>
    <row r="16" spans="1:16" x14ac:dyDescent="0.25">
      <c r="A16" t="s">
        <v>125</v>
      </c>
      <c r="B16" t="s">
        <v>96</v>
      </c>
      <c r="C16" s="1">
        <v>400</v>
      </c>
      <c r="D16" s="9">
        <f>Table1345678910[[#This Row],[Garrison Size]]*0.5</f>
        <v>200</v>
      </c>
      <c r="E16" s="1">
        <v>400000</v>
      </c>
      <c r="F16" s="1">
        <v>10000</v>
      </c>
      <c r="G16" s="1">
        <f>Table1345678910[[#This Row],[Normal Grain Harvest]]*0.6</f>
        <v>1909620</v>
      </c>
      <c r="H16">
        <v>3182700</v>
      </c>
      <c r="I16" s="1">
        <f>Table1345678910[[#This Row],[Normal Grain Harvest]]*1.3</f>
        <v>4137510</v>
      </c>
      <c r="J16" s="1">
        <f>(Table1345678910[[#This Row],[Population]]*365)/1000</f>
        <v>146000</v>
      </c>
      <c r="K16" s="1">
        <f>Table1345678910[[#This Row],[High Grain Harvest]]-Table1345678910[[#This Row],[Required Grain]]</f>
        <v>3991510</v>
      </c>
      <c r="L16" s="3">
        <f>(Table1345678910[[#This Row],[Suplus Grain]]/2)/2000</f>
        <v>997.87750000000005</v>
      </c>
      <c r="M16" t="s">
        <v>126</v>
      </c>
      <c r="P16" s="4">
        <f>(Table1345678910[[#This Row],[Tax Income in Talents]]+Table1345678910[[#This Row],[Trade Income]]-Table1345678910[[#This Row],[Other Expenditure]]-Table1345678910[[#This Row],[Garrisoned Soldier Cost]])</f>
        <v>797.87750000000005</v>
      </c>
    </row>
    <row r="17" spans="1:16" x14ac:dyDescent="0.25">
      <c r="A17" t="s">
        <v>48</v>
      </c>
      <c r="B17" t="s">
        <v>96</v>
      </c>
      <c r="C17" s="1">
        <f>4500*0.98</f>
        <v>4410</v>
      </c>
      <c r="D17" s="9">
        <f>Table1345678910[[#This Row],[Garrison Size]]*0.5</f>
        <v>2205</v>
      </c>
      <c r="E17" s="1">
        <v>2800000</v>
      </c>
      <c r="F17" s="1">
        <v>80000</v>
      </c>
      <c r="G17" s="1">
        <f>Table1345678910[[#This Row],[Normal Grain Harvest]]*0.6</f>
        <v>15650200.321319999</v>
      </c>
      <c r="H17">
        <v>26083667.202199999</v>
      </c>
      <c r="I17" s="6">
        <f>Table1345678910[[#This Row],[Normal Grain Harvest]]*1.3</f>
        <v>33908767.362860002</v>
      </c>
      <c r="J17" s="1">
        <f>(Table1345678910[[#This Row],[Population]]*365)/1000</f>
        <v>1022000</v>
      </c>
      <c r="K17" s="1">
        <f>Table1345678910[[#This Row],[High Grain Harvest]]-Table1345678910[[#This Row],[Required Grain]]</f>
        <v>32886767.362860002</v>
      </c>
      <c r="L17" s="3">
        <f>(Table1345678910[[#This Row],[Suplus Grain]]/2)/2000</f>
        <v>8221.6918407150006</v>
      </c>
      <c r="P17" s="4">
        <f>(Table1345678910[[#This Row],[Tax Income in Talents]]+Table1345678910[[#This Row],[Trade Income]]-Table1345678910[[#This Row],[Other Expenditure]]-Table1345678910[[#This Row],[Garrisoned Soldier Cost]])</f>
        <v>6016.6918407150006</v>
      </c>
    </row>
    <row r="18" spans="1:16" x14ac:dyDescent="0.25">
      <c r="A18" t="s">
        <v>49</v>
      </c>
      <c r="B18" t="s">
        <v>97</v>
      </c>
      <c r="C18" s="1">
        <v>800</v>
      </c>
      <c r="D18" s="9">
        <f>Table1345678910[[#This Row],[Garrison Size]]*0.5</f>
        <v>400</v>
      </c>
      <c r="E18" s="1">
        <v>1600000</v>
      </c>
      <c r="F18" s="1">
        <v>45000</v>
      </c>
      <c r="G18" s="1">
        <f>Table1345678910[[#This Row],[Normal Grain Harvest]]*0.6</f>
        <v>8606020.7999999989</v>
      </c>
      <c r="H18">
        <v>14343368</v>
      </c>
      <c r="I18" s="6">
        <f>Table1345678910[[#This Row],[Normal Grain Harvest]]*1.3</f>
        <v>18646378.400000002</v>
      </c>
      <c r="J18" s="1">
        <f>(Table1345678910[[#This Row],[Population]]*365)/1000</f>
        <v>584000</v>
      </c>
      <c r="K18" s="1">
        <f>Table1345678910[[#This Row],[Normal Grain Harvest]]-Table1345678910[[#This Row],[Required Grain]]</f>
        <v>13759368</v>
      </c>
      <c r="L18" s="3">
        <f>(Table1345678910[[#This Row],[Suplus Grain]]/2)/2000</f>
        <v>3439.8420000000001</v>
      </c>
      <c r="M18" t="s">
        <v>85</v>
      </c>
      <c r="P18" s="4">
        <f>(Table1345678910[[#This Row],[Tax Income in Talents]]+Table1345678910[[#This Row],[Trade Income]]-Table1345678910[[#This Row],[Other Expenditure]]-Table1345678910[[#This Row],[Garrisoned Soldier Cost]])</f>
        <v>3039.8420000000001</v>
      </c>
    </row>
    <row r="19" spans="1:16" x14ac:dyDescent="0.25">
      <c r="A19" t="s">
        <v>50</v>
      </c>
      <c r="B19" t="s">
        <v>97</v>
      </c>
      <c r="C19" s="1">
        <f>2000*0.98</f>
        <v>1960</v>
      </c>
      <c r="D19" s="9">
        <f>Table1345678910[[#This Row],[Garrison Size]]*0.5</f>
        <v>980</v>
      </c>
      <c r="E19" s="1">
        <v>1040000</v>
      </c>
      <c r="F19" s="1">
        <v>40000</v>
      </c>
      <c r="G19" s="1">
        <f>Table1345678910[[#This Row],[Normal Grain Harvest]]*0.6</f>
        <v>7944019.1999999993</v>
      </c>
      <c r="H19">
        <v>13240032</v>
      </c>
      <c r="I19" s="1">
        <f>Table1345678910[[#This Row],[Normal Grain Harvest]]*1.3</f>
        <v>17212041.600000001</v>
      </c>
      <c r="J19" s="1">
        <f>(Table1345678910[[#This Row],[Population]]*365)/1000</f>
        <v>379600</v>
      </c>
      <c r="K19" s="1">
        <f>Table1345678910[[#This Row],[Normal Grain Harvest]]-Table1345678910[[#This Row],[Required Grain]]</f>
        <v>12860432</v>
      </c>
      <c r="L19" s="3">
        <f>(Table1345678910[[#This Row],[Suplus Grain]]/2)/2000</f>
        <v>3215.1080000000002</v>
      </c>
      <c r="M19" t="s">
        <v>85</v>
      </c>
      <c r="N19">
        <v>10</v>
      </c>
      <c r="P19" s="4">
        <f>(Table1345678910[[#This Row],[Tax Income in Talents]]+Table1345678910[[#This Row],[Trade Income]]-Table1345678910[[#This Row],[Other Expenditure]]-Table1345678910[[#This Row],[Garrisoned Soldier Cost]])</f>
        <v>2245.1080000000002</v>
      </c>
    </row>
    <row r="20" spans="1:16" x14ac:dyDescent="0.25">
      <c r="A20" t="s">
        <v>51</v>
      </c>
      <c r="B20" t="s">
        <v>97</v>
      </c>
      <c r="C20" s="1">
        <f>750*0.8</f>
        <v>600</v>
      </c>
      <c r="D20" s="9">
        <f>Table1345678910[[#This Row],[Garrison Size]]*0.5</f>
        <v>300</v>
      </c>
      <c r="E20" s="1">
        <v>480000</v>
      </c>
      <c r="F20" s="1">
        <v>22500</v>
      </c>
      <c r="G20" s="1">
        <f>Table1345678910[[#This Row],[Normal Grain Harvest]]*0.6</f>
        <v>4965012</v>
      </c>
      <c r="H20">
        <v>8275020</v>
      </c>
      <c r="I20" s="1">
        <f>Table1345678910[[#This Row],[Normal Grain Harvest]]*1.3</f>
        <v>10757526</v>
      </c>
      <c r="J20" s="1">
        <f>(Table1345678910[[#This Row],[Population]]*365)/1000</f>
        <v>175200</v>
      </c>
      <c r="K20" s="1">
        <f>Table1345678910[[#This Row],[Normal Grain Harvest]]-Table1345678910[[#This Row],[Required Grain]]</f>
        <v>8099820</v>
      </c>
      <c r="L20" s="3">
        <f>(Table1345678910[[#This Row],[Suplus Grain]]/2)/2000</f>
        <v>2024.9549999999999</v>
      </c>
      <c r="M20" t="s">
        <v>56</v>
      </c>
      <c r="P20" s="4">
        <f>(Table1345678910[[#This Row],[Tax Income in Talents]]+Table1345678910[[#This Row],[Trade Income]]-Table1345678910[[#This Row],[Other Expenditure]]-Table1345678910[[#This Row],[Garrisoned Soldier Cost]])</f>
        <v>1724.9549999999999</v>
      </c>
    </row>
    <row r="21" spans="1:16" x14ac:dyDescent="0.25">
      <c r="A21" s="9" t="s">
        <v>132</v>
      </c>
      <c r="B21" t="s">
        <v>97</v>
      </c>
      <c r="C21" s="5">
        <v>1000</v>
      </c>
      <c r="D21" s="9">
        <f>Table1345678910[[#This Row],[Garrison Size]]*0.5</f>
        <v>500</v>
      </c>
      <c r="E21" s="5">
        <f>1.2*480000</f>
        <v>576000</v>
      </c>
      <c r="F21" s="5">
        <f>1.2*22500</f>
        <v>27000</v>
      </c>
      <c r="G21" s="5">
        <f>Table1345678910[[#This Row],[Normal Grain Harvest]]*0.6</f>
        <v>4774050</v>
      </c>
      <c r="H21" s="9">
        <v>7956750</v>
      </c>
      <c r="I21" s="5">
        <f>Table1345678910[[#This Row],[Normal Grain Harvest]]*1.3</f>
        <v>10343775</v>
      </c>
      <c r="J21" s="5">
        <f>(Table1345678910[[#This Row],[Population]]*365)/1000</f>
        <v>210240</v>
      </c>
      <c r="K21" s="1">
        <f>Table1345678910[[#This Row],[Normal Grain Harvest]]-Table1345678910[[#This Row],[Required Grain]]</f>
        <v>7746510</v>
      </c>
      <c r="L21" s="10">
        <f>(Table1345678910[[#This Row],[Suplus Grain]]/2)/2000</f>
        <v>1936.6275000000001</v>
      </c>
      <c r="M21" s="9"/>
      <c r="N21" s="9"/>
      <c r="O21" s="9"/>
      <c r="P21" s="11">
        <f>(Table1345678910[[#This Row],[Tax Income in Talents]]+Table1345678910[[#This Row],[Trade Income]]-Table1345678910[[#This Row],[Other Expenditure]]-Table1345678910[[#This Row],[Garrisoned Soldier Cost]])</f>
        <v>1436.6275000000001</v>
      </c>
    </row>
    <row r="22" spans="1:16" x14ac:dyDescent="0.25">
      <c r="A22" s="9" t="s">
        <v>114</v>
      </c>
      <c r="B22" t="s">
        <v>97</v>
      </c>
      <c r="C22" s="5">
        <v>1000</v>
      </c>
      <c r="D22" s="9">
        <f>Table1345678910[[#This Row],[Garrison Size]]*0.5</f>
        <v>500</v>
      </c>
      <c r="E22" s="9">
        <f>1.2*1080000</f>
        <v>1296000</v>
      </c>
      <c r="F22" s="9">
        <f>1.2*27000</f>
        <v>32400</v>
      </c>
      <c r="G22" s="5">
        <f>Table1345678910[[#This Row],[Normal Grain Harvest]]*0.6</f>
        <v>6454515.5999999996</v>
      </c>
      <c r="H22" s="9">
        <v>10757526</v>
      </c>
      <c r="I22" s="5">
        <f>Table1345678910[[#This Row],[Normal Grain Harvest]]*1.3</f>
        <v>13984783.800000001</v>
      </c>
      <c r="J22" s="5">
        <f>(Table1345678910[[#This Row],[Population]]*365)/1000</f>
        <v>473040</v>
      </c>
      <c r="K22" s="1">
        <f>Table1345678910[[#This Row],[Normal Grain Harvest]]-Table1345678910[[#This Row],[Required Grain]]</f>
        <v>10284486</v>
      </c>
      <c r="L22" s="10">
        <f>(Table1345678910[[#This Row],[Suplus Grain]]/2)/2000</f>
        <v>2571.1215000000002</v>
      </c>
      <c r="M22" s="9" t="s">
        <v>57</v>
      </c>
      <c r="N22" s="9"/>
      <c r="O22" s="9"/>
      <c r="P22" s="11">
        <f>(Table1345678910[[#This Row],[Tax Income in Talents]]+Table1345678910[[#This Row],[Trade Income]]-Table1345678910[[#This Row],[Other Expenditure]]-Table1345678910[[#This Row],[Garrisoned Soldier Cost]])</f>
        <v>2071.1215000000002</v>
      </c>
    </row>
    <row r="23" spans="1:16" x14ac:dyDescent="0.25">
      <c r="A23" t="s">
        <v>127</v>
      </c>
      <c r="B23" t="s">
        <v>140</v>
      </c>
      <c r="C23" s="1">
        <v>800</v>
      </c>
      <c r="D23" s="9">
        <f>Table1345678910[[#This Row],[Garrison Size]]*0.5</f>
        <v>400</v>
      </c>
      <c r="E23">
        <v>720000</v>
      </c>
      <c r="F23" s="1">
        <v>18000</v>
      </c>
      <c r="G23" s="1">
        <f>Table1345678910[[#This Row],[Normal Grain Harvest]]*0.6</f>
        <v>3442408.32</v>
      </c>
      <c r="H23">
        <v>5737347.2000000002</v>
      </c>
      <c r="I23" s="1">
        <f>Table1345678910[[#This Row],[Normal Grain Harvest]]*1.3</f>
        <v>7458551.3600000003</v>
      </c>
      <c r="J23" s="1">
        <f>(Table1345678910[[#This Row],[Population]]*365)/1000</f>
        <v>262800</v>
      </c>
      <c r="K23" s="1">
        <f>Table1345678910[[#This Row],[Normal Grain Harvest]]-Table1345678910[[#This Row],[Required Grain]]</f>
        <v>5474547.2000000002</v>
      </c>
      <c r="L23" s="3">
        <f>(Table1345678910[[#This Row],[Suplus Grain]]/2)/2000</f>
        <v>1368.6368</v>
      </c>
      <c r="P23" s="4">
        <f>(Table1345678910[[#This Row],[Tax Income in Talents]]+Table1345678910[[#This Row],[Trade Income]]-Table1345678910[[#This Row],[Other Expenditure]]-Table1345678910[[#This Row],[Garrisoned Soldier Cost]])</f>
        <v>968.63679999999999</v>
      </c>
    </row>
    <row r="24" spans="1:16" x14ac:dyDescent="0.25">
      <c r="A24" t="s">
        <v>129</v>
      </c>
      <c r="B24" t="s">
        <v>140</v>
      </c>
      <c r="C24" s="1">
        <v>800</v>
      </c>
      <c r="D24" s="9">
        <f>Table1345678910[[#This Row],[Garrison Size]]*0.5</f>
        <v>400</v>
      </c>
      <c r="E24">
        <v>300000</v>
      </c>
      <c r="F24" s="1">
        <v>3500</v>
      </c>
      <c r="G24" s="1">
        <f>Table1345678910[[#This Row],[Normal Grain Harvest]]*0.6</f>
        <v>2151505.1999999997</v>
      </c>
      <c r="H24">
        <v>3585842</v>
      </c>
      <c r="I24" s="1">
        <f>Table1345678910[[#This Row],[Normal Grain Harvest]]*1.3</f>
        <v>4661594.6000000006</v>
      </c>
      <c r="J24" s="1">
        <f>(Table1345678910[[#This Row],[Population]]*365)/1000</f>
        <v>109500</v>
      </c>
      <c r="K24" s="1">
        <f>Table1345678910[[#This Row],[Normal Grain Harvest]]-Table1345678910[[#This Row],[Required Grain]]</f>
        <v>3476342</v>
      </c>
      <c r="L24" s="3">
        <f>(Table1345678910[[#This Row],[Suplus Grain]]/2)/2000</f>
        <v>869.08550000000002</v>
      </c>
      <c r="P24" s="4">
        <f>(Table1345678910[[#This Row],[Tax Income in Talents]]+Table1345678910[[#This Row],[Trade Income]]-Table1345678910[[#This Row],[Other Expenditure]]-Table1345678910[[#This Row],[Garrisoned Soldier Cost]])</f>
        <v>469.08550000000002</v>
      </c>
    </row>
    <row r="25" spans="1:16" x14ac:dyDescent="0.25">
      <c r="A25" t="s">
        <v>128</v>
      </c>
      <c r="B25" t="s">
        <v>140</v>
      </c>
      <c r="C25" s="1">
        <v>800</v>
      </c>
      <c r="D25" s="9">
        <f>Table1345678910[[#This Row],[Garrison Size]]*0.5</f>
        <v>400</v>
      </c>
      <c r="E25">
        <v>300000</v>
      </c>
      <c r="F25">
        <v>3500</v>
      </c>
      <c r="G25" s="1">
        <f>Table1345678910[[#This Row],[Normal Grain Harvest]]*0.6</f>
        <v>2151505.1999999997</v>
      </c>
      <c r="H25" s="8">
        <v>3585842</v>
      </c>
      <c r="I25" s="1">
        <f>Table1345678910[[#This Row],[Normal Grain Harvest]]*1.3</f>
        <v>4661594.6000000006</v>
      </c>
      <c r="J25" s="1">
        <f>(Table1345678910[[#This Row],[Population]]*365)/1000</f>
        <v>109500</v>
      </c>
      <c r="K25" s="1">
        <f>Table1345678910[[#This Row],[Normal Grain Harvest]]-Table1345678910[[#This Row],[Required Grain]]</f>
        <v>3476342</v>
      </c>
      <c r="L25" s="3">
        <f>(Table1345678910[[#This Row],[Suplus Grain]]/2)/2000</f>
        <v>869.08550000000002</v>
      </c>
      <c r="M25" t="s">
        <v>88</v>
      </c>
      <c r="P25" s="4">
        <f>(Table1345678910[[#This Row],[Tax Income in Talents]]+Table1345678910[[#This Row],[Trade Income]]-Table1345678910[[#This Row],[Other Expenditure]]-Table1345678910[[#This Row],[Garrisoned Soldier Cost]])</f>
        <v>469.08550000000002</v>
      </c>
    </row>
    <row r="26" spans="1:16" x14ac:dyDescent="0.25">
      <c r="A26" t="s">
        <v>123</v>
      </c>
      <c r="B26" t="s">
        <v>140</v>
      </c>
      <c r="C26" s="1">
        <v>800</v>
      </c>
      <c r="D26" s="9">
        <f>Table1345678910[[#This Row],[Garrison Size]]*0.5</f>
        <v>400</v>
      </c>
      <c r="E26" s="1">
        <v>200000</v>
      </c>
      <c r="F26">
        <v>7000</v>
      </c>
      <c r="G26" s="1">
        <f>Table1345678910[[#This Row],[Normal Grain Harvest]]*0.6</f>
        <v>1655004</v>
      </c>
      <c r="H26">
        <v>2758340</v>
      </c>
      <c r="I26" s="1">
        <f>Table1345678910[[#This Row],[Normal Grain Harvest]]*1.3</f>
        <v>3585842</v>
      </c>
      <c r="J26" s="1">
        <f>(Table1345678910[[#This Row],[Population]]*365)/1000</f>
        <v>73000</v>
      </c>
      <c r="K26" s="1">
        <f>Table1345678910[[#This Row],[Normal Grain Harvest]]-Table1345678910[[#This Row],[Required Grain]]</f>
        <v>2685340</v>
      </c>
      <c r="L26" s="3">
        <f>(Table1345678910[[#This Row],[Suplus Grain]]/2)/2000</f>
        <v>671.33500000000004</v>
      </c>
      <c r="P26" s="4">
        <f>(Table1345678910[[#This Row],[Tax Income in Talents]]+Table1345678910[[#This Row],[Trade Income]]-Table1345678910[[#This Row],[Other Expenditure]]-Table1345678910[[#This Row],[Garrisoned Soldier Cost]])</f>
        <v>271.33500000000004</v>
      </c>
    </row>
    <row r="27" spans="1:16" x14ac:dyDescent="0.25">
      <c r="A27" t="s">
        <v>130</v>
      </c>
      <c r="B27" t="s">
        <v>140</v>
      </c>
      <c r="C27" s="1">
        <v>400</v>
      </c>
      <c r="D27" s="9">
        <f>Table1345678910[[#This Row],[Garrison Size]]*0.5</f>
        <v>200</v>
      </c>
      <c r="E27" s="1">
        <v>200000</v>
      </c>
      <c r="F27">
        <v>4000</v>
      </c>
      <c r="G27" s="1">
        <f>Table1345678910[[#This Row],[Normal Grain Harvest]]*0.6</f>
        <v>993002.39999999991</v>
      </c>
      <c r="H27">
        <v>1655004</v>
      </c>
      <c r="I27" s="1">
        <f>Table1345678910[[#This Row],[Normal Grain Harvest]]*1.3</f>
        <v>2151505.2000000002</v>
      </c>
      <c r="J27" s="1">
        <f>(Table1345678910[[#This Row],[Population]]*365)/1000</f>
        <v>73000</v>
      </c>
      <c r="K27" s="1">
        <f>Table1345678910[[#This Row],[Normal Grain Harvest]]-Table1345678910[[#This Row],[Required Grain]]</f>
        <v>1582004</v>
      </c>
      <c r="L27" s="3">
        <f>(Table1345678910[[#This Row],[Suplus Grain]]/2)/2000</f>
        <v>395.50099999999998</v>
      </c>
      <c r="P27" s="4">
        <f>(Table1345678910[[#This Row],[Tax Income in Talents]]+Table1345678910[[#This Row],[Trade Income]]-Table1345678910[[#This Row],[Other Expenditure]]-Table1345678910[[#This Row],[Garrisoned Soldier Cost]])</f>
        <v>195.50099999999998</v>
      </c>
    </row>
    <row r="28" spans="1:16" x14ac:dyDescent="0.25">
      <c r="A28" s="9" t="s">
        <v>69</v>
      </c>
      <c r="B28" t="s">
        <v>140</v>
      </c>
      <c r="C28" s="5">
        <v>4800</v>
      </c>
      <c r="D28" s="9">
        <f>Table1345678910[[#This Row],[Garrison Size]]*0.5</f>
        <v>2400</v>
      </c>
      <c r="E28" s="5">
        <f>1.2*800000</f>
        <v>960000</v>
      </c>
      <c r="F28" s="5">
        <v>16000</v>
      </c>
      <c r="G28" s="5">
        <f>Table1345678910[[#This Row],[Normal Grain Harvest]]*0.6</f>
        <v>4965012</v>
      </c>
      <c r="H28" s="9">
        <v>8275020</v>
      </c>
      <c r="I28" s="5">
        <f>Table1345678910[[#This Row],[Normal Grain Harvest]]*1.3</f>
        <v>10757526</v>
      </c>
      <c r="J28" s="5">
        <f>(Table1345678910[[#This Row],[Population]]*365)/1000</f>
        <v>350400</v>
      </c>
      <c r="K28" s="1">
        <f>Table1345678910[[#This Row],[Normal Grain Harvest]]-Table1345678910[[#This Row],[Required Grain]]</f>
        <v>7924620</v>
      </c>
      <c r="L28" s="10">
        <f>(Table1345678910[[#This Row],[Suplus Grain]]/2)/2000</f>
        <v>1981.155</v>
      </c>
      <c r="M28" s="9" t="s">
        <v>92</v>
      </c>
      <c r="N28" s="9"/>
      <c r="O28" s="9"/>
      <c r="P28" s="11">
        <f>(Table1345678910[[#This Row],[Tax Income in Talents]]+Table1345678910[[#This Row],[Trade Income]]-Table1345678910[[#This Row],[Other Expenditure]]-Table1345678910[[#This Row],[Garrisoned Soldier Cost]])</f>
        <v>-418.84500000000003</v>
      </c>
    </row>
    <row r="29" spans="1:16" x14ac:dyDescent="0.25">
      <c r="A29" s="9" t="s">
        <v>131</v>
      </c>
      <c r="B29" t="s">
        <v>140</v>
      </c>
      <c r="C29" s="9"/>
      <c r="D29" s="9"/>
      <c r="E29" s="9">
        <f>1.2*7000</f>
        <v>8400</v>
      </c>
      <c r="F29" s="9">
        <v>500</v>
      </c>
      <c r="G29" s="5">
        <f>Table1345678910[[#This Row],[Normal Grain Harvest]]*0.6</f>
        <v>8275.02</v>
      </c>
      <c r="H29" s="9">
        <v>13791.7</v>
      </c>
      <c r="I29" s="5">
        <f>Table1345678910[[#This Row],[Normal Grain Harvest]]*1.3</f>
        <v>17929.210000000003</v>
      </c>
      <c r="J29" s="5">
        <f>(Table1345678910[[#This Row],[Population]]*365)/1000</f>
        <v>3066</v>
      </c>
      <c r="K29" s="1">
        <f>Table1345678910[[#This Row],[Normal Grain Harvest]]-Table1345678910[[#This Row],[Required Grain]]</f>
        <v>10725.7</v>
      </c>
      <c r="L29" s="10">
        <f>(Table1345678910[[#This Row],[Suplus Grain]]/2)/2000</f>
        <v>2.6814250000000004</v>
      </c>
      <c r="M29" s="9"/>
      <c r="N29" s="9">
        <v>2</v>
      </c>
      <c r="O29" s="9"/>
      <c r="P29" s="11">
        <f>(Table1345678910[[#This Row],[Tax Income in Talents]]+Table1345678910[[#This Row],[Trade Income]]-Table1345678910[[#This Row],[Other Expenditure]]-Table1345678910[[#This Row],[Garrisoned Soldier Cost]])</f>
        <v>4.6814250000000008</v>
      </c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C9" sqref="C9"/>
    </sheetView>
  </sheetViews>
  <sheetFormatPr defaultRowHeight="15" x14ac:dyDescent="0.25"/>
  <cols>
    <col min="1" max="1" width="13.5703125" customWidth="1"/>
  </cols>
  <sheetData>
    <row r="1" spans="1:4" x14ac:dyDescent="0.25">
      <c r="A1" t="s">
        <v>112</v>
      </c>
    </row>
    <row r="2" spans="1:4" x14ac:dyDescent="0.25">
      <c r="A2" t="s">
        <v>113</v>
      </c>
      <c r="B2" t="s">
        <v>114</v>
      </c>
      <c r="C2">
        <v>200</v>
      </c>
    </row>
    <row r="3" spans="1:4" x14ac:dyDescent="0.25">
      <c r="A3" t="s">
        <v>113</v>
      </c>
      <c r="B3" t="s">
        <v>49</v>
      </c>
      <c r="C3">
        <v>200</v>
      </c>
    </row>
    <row r="4" spans="1:4" x14ac:dyDescent="0.25">
      <c r="A4" t="s">
        <v>113</v>
      </c>
      <c r="B4" t="s">
        <v>51</v>
      </c>
      <c r="C4">
        <v>200</v>
      </c>
    </row>
    <row r="5" spans="1:4" x14ac:dyDescent="0.25">
      <c r="A5" t="s">
        <v>113</v>
      </c>
      <c r="B5" t="s">
        <v>124</v>
      </c>
      <c r="C5">
        <v>450</v>
      </c>
    </row>
    <row r="6" spans="1:4" x14ac:dyDescent="0.25">
      <c r="A6" t="s">
        <v>115</v>
      </c>
      <c r="C6">
        <v>200</v>
      </c>
    </row>
    <row r="7" spans="1:4" x14ac:dyDescent="0.25">
      <c r="A7" t="s">
        <v>16</v>
      </c>
      <c r="B7" t="s">
        <v>48</v>
      </c>
      <c r="C7">
        <v>500</v>
      </c>
    </row>
    <row r="8" spans="1:4" x14ac:dyDescent="0.25">
      <c r="A8" t="s">
        <v>113</v>
      </c>
      <c r="B8" t="s">
        <v>117</v>
      </c>
      <c r="C8" t="s">
        <v>78</v>
      </c>
    </row>
    <row r="9" spans="1:4" x14ac:dyDescent="0.25">
      <c r="A9" t="s">
        <v>118</v>
      </c>
      <c r="C9" t="s">
        <v>82</v>
      </c>
    </row>
    <row r="10" spans="1:4" x14ac:dyDescent="0.25">
      <c r="A10" t="s">
        <v>39</v>
      </c>
      <c r="B10" t="s">
        <v>119</v>
      </c>
      <c r="C10" t="s">
        <v>116</v>
      </c>
    </row>
    <row r="11" spans="1:4" x14ac:dyDescent="0.25">
      <c r="A11" t="s">
        <v>121</v>
      </c>
      <c r="C11" t="s">
        <v>79</v>
      </c>
    </row>
    <row r="12" spans="1:4" x14ac:dyDescent="0.25">
      <c r="A12" t="s">
        <v>114</v>
      </c>
      <c r="B12" t="s">
        <v>16</v>
      </c>
      <c r="C12">
        <v>150</v>
      </c>
    </row>
    <row r="13" spans="1:4" x14ac:dyDescent="0.25">
      <c r="A13" t="s">
        <v>136</v>
      </c>
      <c r="B13" t="s">
        <v>97</v>
      </c>
      <c r="C13">
        <v>220</v>
      </c>
    </row>
    <row r="14" spans="1:4" x14ac:dyDescent="0.25">
      <c r="A14" t="s">
        <v>39</v>
      </c>
      <c r="B14" t="s">
        <v>138</v>
      </c>
      <c r="C14">
        <v>300</v>
      </c>
      <c r="D14" t="s">
        <v>139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Army Costs</vt:lpstr>
      <vt:lpstr>Money Value</vt:lpstr>
      <vt:lpstr>Distribution of Money</vt:lpstr>
      <vt:lpstr>Distribution of Troops</vt:lpstr>
      <vt:lpstr>Year 323</vt:lpstr>
      <vt:lpstr>Year 322</vt:lpstr>
      <vt:lpstr>Year 321</vt:lpstr>
      <vt:lpstr>Year 320</vt:lpstr>
      <vt:lpstr>Year 319</vt:lpstr>
      <vt:lpstr>Year 318</vt:lpstr>
      <vt:lpstr>Year 317</vt:lpstr>
      <vt:lpstr>Year 316</vt:lpstr>
      <vt:lpstr>Year 315</vt:lpstr>
      <vt:lpstr>Trade deals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Kyle Erickson</dc:creator>
  <cp:lastModifiedBy>Kyle Erickson</cp:lastModifiedBy>
  <dcterms:created xsi:type="dcterms:W3CDTF">2018-10-26T07:41:42Z</dcterms:created>
  <dcterms:modified xsi:type="dcterms:W3CDTF">2018-11-09T12:55:42Z</dcterms:modified>
</cp:coreProperties>
</file>