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yoy\OneDrive\Desktop\"/>
    </mc:Choice>
  </mc:AlternateContent>
  <xr:revisionPtr revIDLastSave="0" documentId="8_{24F6687D-3FAA-4CF7-8A23-987A57FBFFD4}" xr6:coauthVersionLast="47" xr6:coauthVersionMax="47" xr10:uidLastSave="{00000000-0000-0000-0000-000000000000}"/>
  <bookViews>
    <workbookView xWindow="820" yWindow="-110" windowWidth="18490" windowHeight="11020" activeTab="5" xr2:uid="{BED0B428-25FF-43B3-A6FA-1F743EBD6F12}"/>
  </bookViews>
  <sheets>
    <sheet name="Specification" sheetId="1" r:id="rId1"/>
    <sheet name="RPM" sheetId="2" r:id="rId2"/>
    <sheet name="Track Design" sheetId="4" r:id="rId3"/>
    <sheet name="Track" sheetId="3" r:id="rId4"/>
    <sheet name="BSFC" sheetId="6" r:id="rId5"/>
    <sheet name="Hybrid Info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D2" i="2"/>
  <c r="F2" i="2"/>
  <c r="D3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3" i="2"/>
  <c r="J33" i="2" s="1"/>
  <c r="D34" i="2"/>
  <c r="J34" i="2" s="1"/>
  <c r="D35" i="2"/>
  <c r="G35" i="2" s="1"/>
  <c r="D36" i="2"/>
  <c r="J36" i="2" s="1"/>
  <c r="D37" i="2"/>
  <c r="M37" i="2" s="1"/>
  <c r="D38" i="2"/>
  <c r="G38" i="2" s="1"/>
  <c r="D39" i="2"/>
  <c r="G39" i="2" s="1"/>
  <c r="D40" i="2"/>
  <c r="G40" i="2" s="1"/>
  <c r="D41" i="2"/>
  <c r="M41" i="2" s="1"/>
  <c r="D42" i="2"/>
  <c r="G42" i="2" s="1"/>
  <c r="D43" i="2"/>
  <c r="G43" i="2" s="1"/>
  <c r="D44" i="2"/>
  <c r="M44" i="2" s="1"/>
  <c r="D45" i="2"/>
  <c r="M45" i="2" s="1"/>
  <c r="D46" i="2"/>
  <c r="G46" i="2" s="1"/>
  <c r="D47" i="2"/>
  <c r="G47" i="2" s="1"/>
  <c r="D48" i="2"/>
  <c r="J48" i="2" s="1"/>
  <c r="D49" i="2"/>
  <c r="J49" i="2" s="1"/>
  <c r="D50" i="2"/>
  <c r="J50" i="2" s="1"/>
  <c r="D51" i="2"/>
  <c r="G51" i="2" s="1"/>
  <c r="D52" i="2"/>
  <c r="G52" i="2" s="1"/>
  <c r="D53" i="2"/>
  <c r="D54" i="2"/>
  <c r="J54" i="2" s="1"/>
  <c r="D55" i="2"/>
  <c r="J55" i="2" s="1"/>
  <c r="D56" i="2"/>
  <c r="M56" i="2" s="1"/>
  <c r="D57" i="2"/>
  <c r="M57" i="2" s="1"/>
  <c r="D58" i="2"/>
  <c r="M58" i="2" s="1"/>
  <c r="D59" i="2"/>
  <c r="M59" i="2" s="1"/>
  <c r="D60" i="2"/>
  <c r="J60" i="2" s="1"/>
  <c r="D61" i="2"/>
  <c r="G61" i="2" s="1"/>
  <c r="D62" i="2"/>
  <c r="G62" i="2" s="1"/>
  <c r="A33" i="2"/>
  <c r="F33" i="2" s="1"/>
  <c r="E33" i="2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G33" i="2"/>
  <c r="H33" i="2"/>
  <c r="I33" i="2"/>
  <c r="K33" i="2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L33" i="2"/>
  <c r="N33" i="2"/>
  <c r="A34" i="2"/>
  <c r="I34" i="2" s="1"/>
  <c r="G34" i="2"/>
  <c r="H34" i="2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L34" i="2"/>
  <c r="N34" i="2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G37" i="2"/>
  <c r="J37" i="2"/>
  <c r="J38" i="2"/>
  <c r="J40" i="2"/>
  <c r="M40" i="2"/>
  <c r="G41" i="2"/>
  <c r="J42" i="2"/>
  <c r="J45" i="2"/>
  <c r="N48" i="2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N61" i="2" s="1"/>
  <c r="N62" i="2" s="1"/>
  <c r="G49" i="2"/>
  <c r="K49" i="2"/>
  <c r="K50" i="2" s="1"/>
  <c r="K51" i="2" s="1"/>
  <c r="K52" i="2" s="1"/>
  <c r="H50" i="2"/>
  <c r="H51" i="2" s="1"/>
  <c r="H52" i="2" s="1"/>
  <c r="H53" i="2" s="1"/>
  <c r="E51" i="2"/>
  <c r="E52" i="2" s="1"/>
  <c r="E53" i="2" s="1"/>
  <c r="E54" i="2" s="1"/>
  <c r="G53" i="2"/>
  <c r="J53" i="2"/>
  <c r="K53" i="2"/>
  <c r="K54" i="2" s="1"/>
  <c r="K55" i="2" s="1"/>
  <c r="K56" i="2" s="1"/>
  <c r="M53" i="2"/>
  <c r="H54" i="2"/>
  <c r="H55" i="2" s="1"/>
  <c r="H56" i="2" s="1"/>
  <c r="H57" i="2" s="1"/>
  <c r="E55" i="2"/>
  <c r="E56" i="2" s="1"/>
  <c r="E57" i="2" s="1"/>
  <c r="E58" i="2" s="1"/>
  <c r="J56" i="2"/>
  <c r="K57" i="2"/>
  <c r="K58" i="2" s="1"/>
  <c r="K59" i="2" s="1"/>
  <c r="K60" i="2" s="1"/>
  <c r="H58" i="2"/>
  <c r="H59" i="2" s="1"/>
  <c r="H60" i="2" s="1"/>
  <c r="H61" i="2" s="1"/>
  <c r="J58" i="2"/>
  <c r="E59" i="2"/>
  <c r="E60" i="2" s="1"/>
  <c r="E61" i="2" s="1"/>
  <c r="E62" i="2" s="1"/>
  <c r="J61" i="2"/>
  <c r="K61" i="2"/>
  <c r="K62" i="2" s="1"/>
  <c r="H62" i="2"/>
  <c r="J62" i="2"/>
  <c r="M62" i="2"/>
  <c r="H4" i="1"/>
  <c r="H5" i="1"/>
  <c r="J2" i="7"/>
  <c r="H9" i="7"/>
  <c r="G9" i="7"/>
  <c r="B20" i="4"/>
  <c r="G8" i="7"/>
  <c r="F8" i="7"/>
  <c r="A5" i="3"/>
  <c r="A3" i="3"/>
  <c r="A4" i="3" s="1"/>
  <c r="H34" i="1"/>
  <c r="H33" i="1"/>
  <c r="H32" i="1"/>
  <c r="H29" i="1"/>
  <c r="H30" i="1"/>
  <c r="H31" i="1"/>
  <c r="M61" i="2" l="1"/>
  <c r="M60" i="2"/>
  <c r="G60" i="2"/>
  <c r="J59" i="2"/>
  <c r="J57" i="2"/>
  <c r="G57" i="2"/>
  <c r="G56" i="2"/>
  <c r="G55" i="2"/>
  <c r="G54" i="2"/>
  <c r="M52" i="2"/>
  <c r="J52" i="2"/>
  <c r="G50" i="2"/>
  <c r="M50" i="2"/>
  <c r="M49" i="2"/>
  <c r="M48" i="2"/>
  <c r="G48" i="2"/>
  <c r="J46" i="2"/>
  <c r="M46" i="2"/>
  <c r="G45" i="2"/>
  <c r="J44" i="2"/>
  <c r="G44" i="2"/>
  <c r="M42" i="2"/>
  <c r="J41" i="2"/>
  <c r="M38" i="2"/>
  <c r="G36" i="2"/>
  <c r="M36" i="2"/>
  <c r="M34" i="2"/>
  <c r="M33" i="2"/>
  <c r="G59" i="2"/>
  <c r="M51" i="2"/>
  <c r="M47" i="2"/>
  <c r="M43" i="2"/>
  <c r="M39" i="2"/>
  <c r="M35" i="2"/>
  <c r="G58" i="2"/>
  <c r="M55" i="2"/>
  <c r="M54" i="2"/>
  <c r="J51" i="2"/>
  <c r="J47" i="2"/>
  <c r="J43" i="2"/>
  <c r="J39" i="2"/>
  <c r="J35" i="2"/>
  <c r="A35" i="2"/>
  <c r="F34" i="2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1292" i="3" s="1"/>
  <c r="A1293" i="3" s="1"/>
  <c r="A1294" i="3" s="1"/>
  <c r="A1295" i="3" s="1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1369" i="3" s="1"/>
  <c r="A1370" i="3" s="1"/>
  <c r="A1371" i="3" s="1"/>
  <c r="A1372" i="3" s="1"/>
  <c r="A1373" i="3" s="1"/>
  <c r="A1374" i="3" s="1"/>
  <c r="A1375" i="3" s="1"/>
  <c r="A1376" i="3" s="1"/>
  <c r="A1377" i="3" s="1"/>
  <c r="A1378" i="3" s="1"/>
  <c r="A1379" i="3" s="1"/>
  <c r="A1380" i="3" s="1"/>
  <c r="A1381" i="3" s="1"/>
  <c r="A1382" i="3" s="1"/>
  <c r="A1383" i="3" s="1"/>
  <c r="A1384" i="3" s="1"/>
  <c r="A1385" i="3" s="1"/>
  <c r="A1386" i="3" s="1"/>
  <c r="A1387" i="3" s="1"/>
  <c r="A1388" i="3" s="1"/>
  <c r="A1389" i="3" s="1"/>
  <c r="A1390" i="3" s="1"/>
  <c r="A1391" i="3" s="1"/>
  <c r="A1392" i="3" s="1"/>
  <c r="A1393" i="3" s="1"/>
  <c r="A1394" i="3" s="1"/>
  <c r="A1395" i="3" s="1"/>
  <c r="A1396" i="3" s="1"/>
  <c r="A1397" i="3" s="1"/>
  <c r="A1398" i="3" s="1"/>
  <c r="A1399" i="3" s="1"/>
  <c r="A1400" i="3" s="1"/>
  <c r="A1401" i="3" s="1"/>
  <c r="A1402" i="3" s="1"/>
  <c r="A1403" i="3" s="1"/>
  <c r="A1404" i="3" s="1"/>
  <c r="A1405" i="3" s="1"/>
  <c r="A1406" i="3" s="1"/>
  <c r="A1407" i="3" s="1"/>
  <c r="A1408" i="3" s="1"/>
  <c r="A1409" i="3" s="1"/>
  <c r="A1410" i="3" s="1"/>
  <c r="A1411" i="3" s="1"/>
  <c r="A1412" i="3" s="1"/>
  <c r="A1413" i="3" s="1"/>
  <c r="A1414" i="3" s="1"/>
  <c r="A1415" i="3" s="1"/>
  <c r="A1416" i="3" s="1"/>
  <c r="A1417" i="3" s="1"/>
  <c r="A1418" i="3" s="1"/>
  <c r="A1419" i="3" s="1"/>
  <c r="A1420" i="3" s="1"/>
  <c r="A1421" i="3" s="1"/>
  <c r="A1422" i="3" s="1"/>
  <c r="A1423" i="3" s="1"/>
  <c r="A1424" i="3" s="1"/>
  <c r="A1425" i="3" s="1"/>
  <c r="A1426" i="3" s="1"/>
  <c r="A1427" i="3" s="1"/>
  <c r="A1428" i="3" s="1"/>
  <c r="A1429" i="3" s="1"/>
  <c r="A1430" i="3" s="1"/>
  <c r="A1431" i="3" s="1"/>
  <c r="A1432" i="3" s="1"/>
  <c r="A1433" i="3" s="1"/>
  <c r="A1434" i="3" s="1"/>
  <c r="A1435" i="3" s="1"/>
  <c r="A1436" i="3" s="1"/>
  <c r="A1437" i="3" s="1"/>
  <c r="A1438" i="3" s="1"/>
  <c r="A1439" i="3" s="1"/>
  <c r="A1440" i="3" s="1"/>
  <c r="A1441" i="3" s="1"/>
  <c r="A1442" i="3" s="1"/>
  <c r="A1443" i="3" s="1"/>
  <c r="A1444" i="3" s="1"/>
  <c r="A1445" i="3" s="1"/>
  <c r="A1446" i="3" s="1"/>
  <c r="A1447" i="3" s="1"/>
  <c r="A1448" i="3" s="1"/>
  <c r="A1449" i="3" s="1"/>
  <c r="A1450" i="3" s="1"/>
  <c r="A1451" i="3" s="1"/>
  <c r="A1452" i="3" s="1"/>
  <c r="A1453" i="3" s="1"/>
  <c r="A1454" i="3" s="1"/>
  <c r="A1455" i="3" s="1"/>
  <c r="A1456" i="3" s="1"/>
  <c r="A1457" i="3" s="1"/>
  <c r="A1458" i="3" s="1"/>
  <c r="A1459" i="3" s="1"/>
  <c r="A1460" i="3" s="1"/>
  <c r="A1461" i="3" s="1"/>
  <c r="A1462" i="3" s="1"/>
  <c r="A1463" i="3" s="1"/>
  <c r="A1464" i="3" s="1"/>
  <c r="A1465" i="3" s="1"/>
  <c r="A1466" i="3" s="1"/>
  <c r="A1467" i="3" s="1"/>
  <c r="A1468" i="3" s="1"/>
  <c r="A1469" i="3" s="1"/>
  <c r="A1470" i="3" s="1"/>
  <c r="A1471" i="3" s="1"/>
  <c r="A1472" i="3" s="1"/>
  <c r="A1473" i="3" s="1"/>
  <c r="A1474" i="3" s="1"/>
  <c r="A1475" i="3" s="1"/>
  <c r="A1476" i="3" s="1"/>
  <c r="A1477" i="3" s="1"/>
  <c r="A1478" i="3" s="1"/>
  <c r="A1479" i="3" s="1"/>
  <c r="A1480" i="3" s="1"/>
  <c r="A1481" i="3" s="1"/>
  <c r="A1482" i="3" s="1"/>
  <c r="A1483" i="3" s="1"/>
  <c r="A1484" i="3" s="1"/>
  <c r="A1485" i="3" s="1"/>
  <c r="A1486" i="3" s="1"/>
  <c r="A1487" i="3" s="1"/>
  <c r="A1488" i="3" s="1"/>
  <c r="A1489" i="3" s="1"/>
  <c r="A1490" i="3" s="1"/>
  <c r="A1491" i="3" s="1"/>
  <c r="A1492" i="3" s="1"/>
  <c r="A1493" i="3" s="1"/>
  <c r="A1494" i="3" s="1"/>
  <c r="A1495" i="3" s="1"/>
  <c r="A1496" i="3" s="1"/>
  <c r="A1497" i="3" s="1"/>
  <c r="A1498" i="3" s="1"/>
  <c r="A1499" i="3" s="1"/>
  <c r="A1500" i="3" s="1"/>
  <c r="A1501" i="3" s="1"/>
  <c r="A1502" i="3" s="1"/>
  <c r="A1503" i="3" s="1"/>
  <c r="A1504" i="3" s="1"/>
  <c r="A1505" i="3" s="1"/>
  <c r="A1506" i="3" s="1"/>
  <c r="A1507" i="3" s="1"/>
  <c r="A1508" i="3" s="1"/>
  <c r="A1509" i="3" s="1"/>
  <c r="A1510" i="3" s="1"/>
  <c r="A1511" i="3" s="1"/>
  <c r="A1512" i="3" s="1"/>
  <c r="A1513" i="3" s="1"/>
  <c r="A1514" i="3" s="1"/>
  <c r="A1515" i="3" s="1"/>
  <c r="A1516" i="3" s="1"/>
  <c r="A1517" i="3" s="1"/>
  <c r="A1518" i="3" s="1"/>
  <c r="A1519" i="3" s="1"/>
  <c r="A1520" i="3" s="1"/>
  <c r="A1521" i="3" s="1"/>
  <c r="A1522" i="3" s="1"/>
  <c r="A1523" i="3" s="1"/>
  <c r="A1524" i="3" s="1"/>
  <c r="A1525" i="3" s="1"/>
  <c r="A1526" i="3" s="1"/>
  <c r="A1527" i="3" s="1"/>
  <c r="A1528" i="3" s="1"/>
  <c r="A1529" i="3" s="1"/>
  <c r="A1530" i="3" s="1"/>
  <c r="A1531" i="3" s="1"/>
  <c r="A1532" i="3" s="1"/>
  <c r="A1533" i="3" s="1"/>
  <c r="A1534" i="3" s="1"/>
  <c r="A1535" i="3" s="1"/>
  <c r="A1536" i="3" s="1"/>
  <c r="A1537" i="3" s="1"/>
  <c r="A1538" i="3" s="1"/>
  <c r="A1539" i="3" s="1"/>
  <c r="A1540" i="3" s="1"/>
  <c r="A1541" i="3" s="1"/>
  <c r="A1542" i="3" s="1"/>
  <c r="A1543" i="3" s="1"/>
  <c r="A1544" i="3" s="1"/>
  <c r="A1545" i="3" s="1"/>
  <c r="A1546" i="3" s="1"/>
  <c r="A1547" i="3" s="1"/>
  <c r="A1548" i="3" s="1"/>
  <c r="A1549" i="3" s="1"/>
  <c r="A1550" i="3" s="1"/>
  <c r="A1551" i="3" s="1"/>
  <c r="A1552" i="3" s="1"/>
  <c r="A1553" i="3" s="1"/>
  <c r="A1554" i="3" s="1"/>
  <c r="A1555" i="3" s="1"/>
  <c r="A1556" i="3" s="1"/>
  <c r="A1557" i="3" s="1"/>
  <c r="A1558" i="3" s="1"/>
  <c r="A1559" i="3" s="1"/>
  <c r="A1560" i="3" s="1"/>
  <c r="A1561" i="3" s="1"/>
  <c r="A1562" i="3" s="1"/>
  <c r="A1563" i="3" s="1"/>
  <c r="A1564" i="3" s="1"/>
  <c r="A1565" i="3" s="1"/>
  <c r="A1566" i="3" s="1"/>
  <c r="A1567" i="3" s="1"/>
  <c r="A1568" i="3" s="1"/>
  <c r="A1569" i="3" s="1"/>
  <c r="A1570" i="3" s="1"/>
  <c r="A1571" i="3" s="1"/>
  <c r="A1572" i="3" s="1"/>
  <c r="A1573" i="3" s="1"/>
  <c r="A1574" i="3" s="1"/>
  <c r="A1575" i="3" s="1"/>
  <c r="A1576" i="3" s="1"/>
  <c r="A1577" i="3" s="1"/>
  <c r="A1578" i="3" s="1"/>
  <c r="A1579" i="3" s="1"/>
  <c r="A1580" i="3" s="1"/>
  <c r="A1581" i="3" s="1"/>
  <c r="A1582" i="3" s="1"/>
  <c r="A1583" i="3" s="1"/>
  <c r="A1584" i="3" s="1"/>
  <c r="A1585" i="3" s="1"/>
  <c r="A1586" i="3" s="1"/>
  <c r="A1587" i="3" s="1"/>
  <c r="A1588" i="3" s="1"/>
  <c r="A1589" i="3" s="1"/>
  <c r="A1590" i="3" s="1"/>
  <c r="A1591" i="3" s="1"/>
  <c r="A1592" i="3" s="1"/>
  <c r="A1593" i="3" s="1"/>
  <c r="A1594" i="3" s="1"/>
  <c r="A1595" i="3" s="1"/>
  <c r="A1596" i="3" s="1"/>
  <c r="A1597" i="3" s="1"/>
  <c r="A1598" i="3" s="1"/>
  <c r="A1599" i="3" s="1"/>
  <c r="A1600" i="3" s="1"/>
  <c r="A1601" i="3" s="1"/>
  <c r="A1602" i="3" s="1"/>
  <c r="A1603" i="3" s="1"/>
  <c r="A1604" i="3" s="1"/>
  <c r="A1605" i="3" s="1"/>
  <c r="A1606" i="3" s="1"/>
  <c r="A1607" i="3" s="1"/>
  <c r="A1608" i="3" s="1"/>
  <c r="A1609" i="3" s="1"/>
  <c r="A1610" i="3" s="1"/>
  <c r="A1611" i="3" s="1"/>
  <c r="A1612" i="3" s="1"/>
  <c r="A1613" i="3" s="1"/>
  <c r="A1614" i="3" s="1"/>
  <c r="A1615" i="3" s="1"/>
  <c r="A1616" i="3" s="1"/>
  <c r="A1617" i="3" s="1"/>
  <c r="A1618" i="3" s="1"/>
  <c r="A1619" i="3" s="1"/>
  <c r="A1620" i="3" s="1"/>
  <c r="A1621" i="3" s="1"/>
  <c r="A1622" i="3" s="1"/>
  <c r="A1623" i="3" s="1"/>
  <c r="A1624" i="3" s="1"/>
  <c r="A1625" i="3" s="1"/>
  <c r="A1626" i="3" s="1"/>
  <c r="A1627" i="3" s="1"/>
  <c r="A1628" i="3" s="1"/>
  <c r="A1629" i="3" s="1"/>
  <c r="A1630" i="3" s="1"/>
  <c r="A1631" i="3" s="1"/>
  <c r="A1632" i="3" s="1"/>
  <c r="A1633" i="3" s="1"/>
  <c r="A1634" i="3" s="1"/>
  <c r="A1635" i="3" s="1"/>
  <c r="A1636" i="3" s="1"/>
  <c r="A1637" i="3" s="1"/>
  <c r="A1638" i="3" s="1"/>
  <c r="A1639" i="3" s="1"/>
  <c r="A1640" i="3" s="1"/>
  <c r="A1641" i="3" s="1"/>
  <c r="A1642" i="3" s="1"/>
  <c r="A1643" i="3" s="1"/>
  <c r="A1644" i="3" s="1"/>
  <c r="A1645" i="3" s="1"/>
  <c r="A1646" i="3" s="1"/>
  <c r="A1647" i="3" s="1"/>
  <c r="A1648" i="3" s="1"/>
  <c r="A1649" i="3" s="1"/>
  <c r="A1650" i="3" s="1"/>
  <c r="A1651" i="3" s="1"/>
  <c r="A1652" i="3" s="1"/>
  <c r="A1653" i="3" s="1"/>
  <c r="A1654" i="3" s="1"/>
  <c r="A1655" i="3" s="1"/>
  <c r="A1656" i="3" s="1"/>
  <c r="A1657" i="3" s="1"/>
  <c r="A1658" i="3" s="1"/>
  <c r="A1659" i="3" s="1"/>
  <c r="A1660" i="3" s="1"/>
  <c r="A1661" i="3" s="1"/>
  <c r="A1662" i="3" s="1"/>
  <c r="A1663" i="3" s="1"/>
  <c r="A1664" i="3" s="1"/>
  <c r="A1665" i="3" s="1"/>
  <c r="A1666" i="3" s="1"/>
  <c r="A1667" i="3" s="1"/>
  <c r="A1668" i="3" s="1"/>
  <c r="A1669" i="3" s="1"/>
  <c r="A1670" i="3" s="1"/>
  <c r="A1671" i="3" s="1"/>
  <c r="A1672" i="3" s="1"/>
  <c r="A1673" i="3" s="1"/>
  <c r="A1674" i="3" s="1"/>
  <c r="A1675" i="3" s="1"/>
  <c r="A1676" i="3" s="1"/>
  <c r="A1677" i="3" s="1"/>
  <c r="A1678" i="3" s="1"/>
  <c r="A1679" i="3" s="1"/>
  <c r="A1680" i="3" s="1"/>
  <c r="A1681" i="3" s="1"/>
  <c r="A1682" i="3" s="1"/>
  <c r="A1683" i="3" s="1"/>
  <c r="A1684" i="3" s="1"/>
  <c r="A1685" i="3" s="1"/>
  <c r="A1686" i="3" s="1"/>
  <c r="A1687" i="3" s="1"/>
  <c r="A1688" i="3" s="1"/>
  <c r="A1689" i="3" s="1"/>
  <c r="A1690" i="3" s="1"/>
  <c r="A1691" i="3" s="1"/>
  <c r="A1692" i="3" s="1"/>
  <c r="A1693" i="3" s="1"/>
  <c r="A1694" i="3" s="1"/>
  <c r="A1695" i="3" s="1"/>
  <c r="A1696" i="3" s="1"/>
  <c r="A1697" i="3" s="1"/>
  <c r="A1698" i="3" s="1"/>
  <c r="A1699" i="3" s="1"/>
  <c r="A1700" i="3" s="1"/>
  <c r="A1701" i="3" s="1"/>
  <c r="A1702" i="3" s="1"/>
  <c r="A1703" i="3" s="1"/>
  <c r="A1704" i="3" s="1"/>
  <c r="A1705" i="3" s="1"/>
  <c r="A1706" i="3" s="1"/>
  <c r="A1707" i="3" s="1"/>
  <c r="A1708" i="3" s="1"/>
  <c r="A1709" i="3" s="1"/>
  <c r="N2" i="3"/>
  <c r="O2" i="3"/>
  <c r="Q2" i="3" s="1" a="1"/>
  <c r="Q2" i="3" s="1"/>
  <c r="M3" i="3"/>
  <c r="M4" i="3" s="1"/>
  <c r="M5" i="3" s="1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M142" i="3" s="1"/>
  <c r="M143" i="3" s="1"/>
  <c r="M144" i="3" s="1"/>
  <c r="M145" i="3" s="1"/>
  <c r="M146" i="3" s="1"/>
  <c r="M147" i="3" s="1"/>
  <c r="M148" i="3" s="1"/>
  <c r="M149" i="3" s="1"/>
  <c r="M150" i="3" s="1"/>
  <c r="M151" i="3" s="1"/>
  <c r="M152" i="3" s="1"/>
  <c r="M153" i="3" s="1"/>
  <c r="M154" i="3" s="1"/>
  <c r="M155" i="3" s="1"/>
  <c r="M156" i="3" s="1"/>
  <c r="M157" i="3" s="1"/>
  <c r="M158" i="3" s="1"/>
  <c r="M159" i="3" s="1"/>
  <c r="M160" i="3" s="1"/>
  <c r="M161" i="3" s="1"/>
  <c r="M162" i="3" s="1"/>
  <c r="M163" i="3" s="1"/>
  <c r="M164" i="3" s="1"/>
  <c r="M165" i="3" s="1"/>
  <c r="M166" i="3" s="1"/>
  <c r="M167" i="3" s="1"/>
  <c r="M168" i="3" s="1"/>
  <c r="M169" i="3" s="1"/>
  <c r="M170" i="3" s="1"/>
  <c r="M171" i="3" s="1"/>
  <c r="M172" i="3" s="1"/>
  <c r="M173" i="3" s="1"/>
  <c r="M174" i="3" s="1"/>
  <c r="M175" i="3" s="1"/>
  <c r="M176" i="3" s="1"/>
  <c r="M177" i="3" s="1"/>
  <c r="M178" i="3" s="1"/>
  <c r="M179" i="3" s="1"/>
  <c r="M180" i="3" s="1"/>
  <c r="M181" i="3" s="1"/>
  <c r="M182" i="3" s="1"/>
  <c r="M183" i="3" s="1"/>
  <c r="M184" i="3" s="1"/>
  <c r="M185" i="3" s="1"/>
  <c r="M186" i="3" s="1"/>
  <c r="M187" i="3" s="1"/>
  <c r="M188" i="3" s="1"/>
  <c r="M189" i="3" s="1"/>
  <c r="M190" i="3" s="1"/>
  <c r="M191" i="3" s="1"/>
  <c r="M192" i="3" s="1"/>
  <c r="M193" i="3" s="1"/>
  <c r="M194" i="3" s="1"/>
  <c r="M195" i="3" s="1"/>
  <c r="M196" i="3" s="1"/>
  <c r="M197" i="3" s="1"/>
  <c r="M198" i="3" s="1"/>
  <c r="M199" i="3" s="1"/>
  <c r="M200" i="3" s="1"/>
  <c r="M201" i="3" s="1"/>
  <c r="M202" i="3" s="1"/>
  <c r="M203" i="3" s="1"/>
  <c r="M204" i="3" s="1"/>
  <c r="M205" i="3" s="1"/>
  <c r="M206" i="3" s="1"/>
  <c r="M207" i="3" s="1"/>
  <c r="M208" i="3" s="1"/>
  <c r="M209" i="3" s="1"/>
  <c r="M210" i="3" s="1"/>
  <c r="M211" i="3" s="1"/>
  <c r="M212" i="3" s="1"/>
  <c r="M213" i="3" s="1"/>
  <c r="M214" i="3" s="1"/>
  <c r="M215" i="3" s="1"/>
  <c r="M216" i="3" s="1"/>
  <c r="M217" i="3" s="1"/>
  <c r="M218" i="3" s="1"/>
  <c r="M219" i="3" s="1"/>
  <c r="M220" i="3" s="1"/>
  <c r="M221" i="3" s="1"/>
  <c r="M222" i="3" s="1"/>
  <c r="M223" i="3" s="1"/>
  <c r="M224" i="3" s="1"/>
  <c r="M225" i="3" s="1"/>
  <c r="M226" i="3" s="1"/>
  <c r="M227" i="3" s="1"/>
  <c r="M228" i="3" s="1"/>
  <c r="M229" i="3" s="1"/>
  <c r="M230" i="3" s="1"/>
  <c r="M231" i="3" s="1"/>
  <c r="M232" i="3" s="1"/>
  <c r="M233" i="3" s="1"/>
  <c r="M234" i="3" s="1"/>
  <c r="M235" i="3" s="1"/>
  <c r="M236" i="3" s="1"/>
  <c r="M237" i="3" s="1"/>
  <c r="M238" i="3" s="1"/>
  <c r="M239" i="3" s="1"/>
  <c r="M240" i="3" s="1"/>
  <c r="M241" i="3" s="1"/>
  <c r="M242" i="3" s="1"/>
  <c r="M243" i="3" s="1"/>
  <c r="M244" i="3" s="1"/>
  <c r="M245" i="3" s="1"/>
  <c r="M246" i="3" s="1"/>
  <c r="M247" i="3" s="1"/>
  <c r="M248" i="3" s="1"/>
  <c r="M249" i="3" s="1"/>
  <c r="M250" i="3" s="1"/>
  <c r="M251" i="3" s="1"/>
  <c r="M252" i="3" s="1"/>
  <c r="M253" i="3" s="1"/>
  <c r="M254" i="3" s="1"/>
  <c r="M255" i="3" s="1"/>
  <c r="M256" i="3" s="1"/>
  <c r="M257" i="3" s="1"/>
  <c r="M258" i="3" s="1"/>
  <c r="M259" i="3" s="1"/>
  <c r="M260" i="3" s="1"/>
  <c r="M261" i="3" s="1"/>
  <c r="M262" i="3" s="1"/>
  <c r="M263" i="3" s="1"/>
  <c r="M264" i="3" s="1"/>
  <c r="M265" i="3" s="1"/>
  <c r="M266" i="3" s="1"/>
  <c r="M267" i="3" s="1"/>
  <c r="M268" i="3" s="1"/>
  <c r="M269" i="3" s="1"/>
  <c r="M270" i="3" s="1"/>
  <c r="M271" i="3" s="1"/>
  <c r="M272" i="3" s="1"/>
  <c r="M273" i="3" s="1"/>
  <c r="M274" i="3" s="1"/>
  <c r="M275" i="3" s="1"/>
  <c r="M276" i="3" s="1"/>
  <c r="M277" i="3" s="1"/>
  <c r="M278" i="3" s="1"/>
  <c r="M279" i="3" s="1"/>
  <c r="M280" i="3" s="1"/>
  <c r="M281" i="3" s="1"/>
  <c r="M282" i="3" s="1"/>
  <c r="M283" i="3" s="1"/>
  <c r="M284" i="3" s="1"/>
  <c r="M285" i="3" s="1"/>
  <c r="M286" i="3" s="1"/>
  <c r="M287" i="3" s="1"/>
  <c r="M288" i="3" s="1"/>
  <c r="M289" i="3" s="1"/>
  <c r="M290" i="3" s="1"/>
  <c r="M291" i="3" s="1"/>
  <c r="M292" i="3" s="1"/>
  <c r="M293" i="3" s="1"/>
  <c r="M294" i="3" s="1"/>
  <c r="M295" i="3" s="1"/>
  <c r="M296" i="3" s="1"/>
  <c r="M297" i="3" s="1"/>
  <c r="M298" i="3" s="1"/>
  <c r="M299" i="3" s="1"/>
  <c r="M300" i="3" s="1"/>
  <c r="M301" i="3" s="1"/>
  <c r="M302" i="3" s="1"/>
  <c r="M303" i="3" s="1"/>
  <c r="M304" i="3" s="1"/>
  <c r="M305" i="3" s="1"/>
  <c r="M306" i="3" s="1"/>
  <c r="M307" i="3" s="1"/>
  <c r="M308" i="3" s="1"/>
  <c r="M309" i="3" s="1"/>
  <c r="M310" i="3" s="1"/>
  <c r="M311" i="3" s="1"/>
  <c r="M312" i="3" s="1"/>
  <c r="M313" i="3" s="1"/>
  <c r="M314" i="3" s="1"/>
  <c r="M315" i="3" s="1"/>
  <c r="M316" i="3" s="1"/>
  <c r="M317" i="3" s="1"/>
  <c r="M318" i="3" s="1"/>
  <c r="M319" i="3" s="1"/>
  <c r="M320" i="3" s="1"/>
  <c r="M321" i="3" s="1"/>
  <c r="M322" i="3" s="1"/>
  <c r="M323" i="3" s="1"/>
  <c r="M324" i="3" s="1"/>
  <c r="M325" i="3" s="1"/>
  <c r="M326" i="3" s="1"/>
  <c r="M327" i="3" s="1"/>
  <c r="M328" i="3" s="1"/>
  <c r="M329" i="3" s="1"/>
  <c r="M330" i="3" s="1"/>
  <c r="M331" i="3" s="1"/>
  <c r="M332" i="3" s="1"/>
  <c r="M333" i="3" s="1"/>
  <c r="M334" i="3" s="1"/>
  <c r="M335" i="3" s="1"/>
  <c r="M336" i="3" s="1"/>
  <c r="M337" i="3" s="1"/>
  <c r="M338" i="3" s="1"/>
  <c r="M339" i="3" s="1"/>
  <c r="M340" i="3" s="1"/>
  <c r="M341" i="3" s="1"/>
  <c r="M342" i="3" s="1"/>
  <c r="M343" i="3" s="1"/>
  <c r="M344" i="3" s="1"/>
  <c r="M345" i="3" s="1"/>
  <c r="M346" i="3" s="1"/>
  <c r="M347" i="3" s="1"/>
  <c r="M348" i="3" s="1"/>
  <c r="M349" i="3" s="1"/>
  <c r="M350" i="3" s="1"/>
  <c r="M351" i="3" s="1"/>
  <c r="M352" i="3" s="1"/>
  <c r="M353" i="3" s="1"/>
  <c r="M354" i="3" s="1"/>
  <c r="M355" i="3" s="1"/>
  <c r="M356" i="3" s="1"/>
  <c r="M357" i="3" s="1"/>
  <c r="M358" i="3" s="1"/>
  <c r="M359" i="3" s="1"/>
  <c r="M360" i="3" s="1"/>
  <c r="M361" i="3" s="1"/>
  <c r="M362" i="3" s="1"/>
  <c r="M363" i="3" s="1"/>
  <c r="M364" i="3" s="1"/>
  <c r="M365" i="3" s="1"/>
  <c r="M366" i="3" s="1"/>
  <c r="M367" i="3" s="1"/>
  <c r="M368" i="3" s="1"/>
  <c r="M369" i="3" s="1"/>
  <c r="M370" i="3" s="1"/>
  <c r="M371" i="3" s="1"/>
  <c r="M372" i="3" s="1"/>
  <c r="M373" i="3" s="1"/>
  <c r="M374" i="3" s="1"/>
  <c r="M375" i="3" s="1"/>
  <c r="M376" i="3" s="1"/>
  <c r="M377" i="3" s="1"/>
  <c r="M378" i="3" s="1"/>
  <c r="M379" i="3" s="1"/>
  <c r="M380" i="3" s="1"/>
  <c r="M381" i="3" s="1"/>
  <c r="M382" i="3" s="1"/>
  <c r="M383" i="3" s="1"/>
  <c r="M384" i="3" s="1"/>
  <c r="M385" i="3" s="1"/>
  <c r="M386" i="3" s="1"/>
  <c r="M387" i="3" s="1"/>
  <c r="M388" i="3" s="1"/>
  <c r="M389" i="3" s="1"/>
  <c r="M390" i="3" s="1"/>
  <c r="M391" i="3" s="1"/>
  <c r="M392" i="3" s="1"/>
  <c r="M393" i="3" s="1"/>
  <c r="M394" i="3" s="1"/>
  <c r="M395" i="3" s="1"/>
  <c r="M396" i="3" s="1"/>
  <c r="M397" i="3" s="1"/>
  <c r="M398" i="3" s="1"/>
  <c r="M399" i="3" s="1"/>
  <c r="M400" i="3" s="1"/>
  <c r="M401" i="3" s="1"/>
  <c r="M402" i="3" s="1"/>
  <c r="M403" i="3" s="1"/>
  <c r="M404" i="3" s="1"/>
  <c r="M405" i="3" s="1"/>
  <c r="M406" i="3" s="1"/>
  <c r="M407" i="3" s="1"/>
  <c r="M408" i="3" s="1"/>
  <c r="M409" i="3" s="1"/>
  <c r="M410" i="3" s="1"/>
  <c r="M411" i="3" s="1"/>
  <c r="M412" i="3" s="1"/>
  <c r="M413" i="3" s="1"/>
  <c r="M414" i="3" s="1"/>
  <c r="M415" i="3" s="1"/>
  <c r="M416" i="3" s="1"/>
  <c r="M417" i="3" s="1"/>
  <c r="M418" i="3" s="1"/>
  <c r="M419" i="3" s="1"/>
  <c r="M420" i="3" s="1"/>
  <c r="M421" i="3" s="1"/>
  <c r="M422" i="3" s="1"/>
  <c r="M423" i="3" s="1"/>
  <c r="M424" i="3" s="1"/>
  <c r="M425" i="3" s="1"/>
  <c r="M426" i="3" s="1"/>
  <c r="M427" i="3" s="1"/>
  <c r="M428" i="3" s="1"/>
  <c r="M429" i="3" s="1"/>
  <c r="M430" i="3" s="1"/>
  <c r="M431" i="3" s="1"/>
  <c r="M432" i="3" s="1"/>
  <c r="M433" i="3" s="1"/>
  <c r="M434" i="3" s="1"/>
  <c r="M435" i="3" s="1"/>
  <c r="M436" i="3" s="1"/>
  <c r="M437" i="3" s="1"/>
  <c r="M438" i="3" s="1"/>
  <c r="M439" i="3" s="1"/>
  <c r="M440" i="3" s="1"/>
  <c r="M441" i="3" s="1"/>
  <c r="M442" i="3" s="1"/>
  <c r="M443" i="3" s="1"/>
  <c r="M444" i="3" s="1"/>
  <c r="M445" i="3" s="1"/>
  <c r="M446" i="3" s="1"/>
  <c r="M447" i="3" s="1"/>
  <c r="M448" i="3" s="1"/>
  <c r="M449" i="3" s="1"/>
  <c r="M450" i="3" s="1"/>
  <c r="M451" i="3" s="1"/>
  <c r="M452" i="3" s="1"/>
  <c r="M453" i="3" s="1"/>
  <c r="M454" i="3" s="1"/>
  <c r="M455" i="3" s="1"/>
  <c r="M456" i="3" s="1"/>
  <c r="M457" i="3" s="1"/>
  <c r="M458" i="3" s="1"/>
  <c r="M459" i="3" s="1"/>
  <c r="M460" i="3" s="1"/>
  <c r="M461" i="3" s="1"/>
  <c r="M462" i="3" s="1"/>
  <c r="M463" i="3" s="1"/>
  <c r="M464" i="3" s="1"/>
  <c r="M465" i="3" s="1"/>
  <c r="M466" i="3" s="1"/>
  <c r="M467" i="3" s="1"/>
  <c r="M468" i="3" s="1"/>
  <c r="M469" i="3" s="1"/>
  <c r="M470" i="3" s="1"/>
  <c r="M471" i="3" s="1"/>
  <c r="M472" i="3" s="1"/>
  <c r="M473" i="3" s="1"/>
  <c r="M474" i="3" s="1"/>
  <c r="M475" i="3" s="1"/>
  <c r="M476" i="3" s="1"/>
  <c r="M477" i="3" s="1"/>
  <c r="M478" i="3" s="1"/>
  <c r="M479" i="3" s="1"/>
  <c r="M480" i="3" s="1"/>
  <c r="M481" i="3" s="1"/>
  <c r="M482" i="3" s="1"/>
  <c r="M483" i="3" s="1"/>
  <c r="M484" i="3" s="1"/>
  <c r="M485" i="3" s="1"/>
  <c r="M486" i="3" s="1"/>
  <c r="M487" i="3" s="1"/>
  <c r="M488" i="3" s="1"/>
  <c r="M489" i="3" s="1"/>
  <c r="M490" i="3" s="1"/>
  <c r="M491" i="3" s="1"/>
  <c r="M492" i="3" s="1"/>
  <c r="M493" i="3" s="1"/>
  <c r="M494" i="3" s="1"/>
  <c r="M495" i="3" s="1"/>
  <c r="M496" i="3" s="1"/>
  <c r="M497" i="3" s="1"/>
  <c r="M498" i="3" s="1"/>
  <c r="M499" i="3" s="1"/>
  <c r="M500" i="3" s="1"/>
  <c r="M501" i="3" s="1"/>
  <c r="M502" i="3" s="1"/>
  <c r="M503" i="3" s="1"/>
  <c r="M504" i="3" s="1"/>
  <c r="M505" i="3" s="1"/>
  <c r="M506" i="3" s="1"/>
  <c r="M507" i="3" s="1"/>
  <c r="M508" i="3" s="1"/>
  <c r="M509" i="3" s="1"/>
  <c r="M510" i="3" s="1"/>
  <c r="M511" i="3" s="1"/>
  <c r="M512" i="3" s="1"/>
  <c r="M513" i="3" s="1"/>
  <c r="M514" i="3" s="1"/>
  <c r="M515" i="3" s="1"/>
  <c r="M516" i="3" s="1"/>
  <c r="M517" i="3" s="1"/>
  <c r="M518" i="3" s="1"/>
  <c r="M519" i="3" s="1"/>
  <c r="M520" i="3" s="1"/>
  <c r="M521" i="3" s="1"/>
  <c r="M522" i="3" s="1"/>
  <c r="M523" i="3" s="1"/>
  <c r="M524" i="3" s="1"/>
  <c r="M525" i="3" s="1"/>
  <c r="M526" i="3" s="1"/>
  <c r="M527" i="3" s="1"/>
  <c r="M528" i="3" s="1"/>
  <c r="M529" i="3" s="1"/>
  <c r="M530" i="3" s="1"/>
  <c r="M531" i="3" s="1"/>
  <c r="M532" i="3" s="1"/>
  <c r="M533" i="3" s="1"/>
  <c r="M534" i="3" s="1"/>
  <c r="M535" i="3" s="1"/>
  <c r="M536" i="3" s="1"/>
  <c r="M537" i="3" s="1"/>
  <c r="M538" i="3" s="1"/>
  <c r="M539" i="3" s="1"/>
  <c r="M540" i="3" s="1"/>
  <c r="M541" i="3" s="1"/>
  <c r="M542" i="3" s="1"/>
  <c r="M543" i="3" s="1"/>
  <c r="M544" i="3" s="1"/>
  <c r="M545" i="3" s="1"/>
  <c r="M546" i="3" s="1"/>
  <c r="M547" i="3" s="1"/>
  <c r="M548" i="3" s="1"/>
  <c r="M549" i="3" s="1"/>
  <c r="M550" i="3" s="1"/>
  <c r="M551" i="3" s="1"/>
  <c r="M552" i="3" s="1"/>
  <c r="M553" i="3" s="1"/>
  <c r="M554" i="3" s="1"/>
  <c r="M555" i="3" s="1"/>
  <c r="M556" i="3" s="1"/>
  <c r="M557" i="3" s="1"/>
  <c r="M558" i="3" s="1"/>
  <c r="M559" i="3" s="1"/>
  <c r="M560" i="3" s="1"/>
  <c r="M561" i="3" s="1"/>
  <c r="M562" i="3" s="1"/>
  <c r="M563" i="3" s="1"/>
  <c r="M564" i="3" s="1"/>
  <c r="M565" i="3" s="1"/>
  <c r="M566" i="3" s="1"/>
  <c r="M567" i="3" s="1"/>
  <c r="M568" i="3" s="1"/>
  <c r="M569" i="3" s="1"/>
  <c r="M570" i="3" s="1"/>
  <c r="M571" i="3" s="1"/>
  <c r="M572" i="3" s="1"/>
  <c r="M573" i="3" s="1"/>
  <c r="M574" i="3" s="1"/>
  <c r="M576" i="3" s="1"/>
  <c r="M577" i="3" s="1"/>
  <c r="M578" i="3" s="1"/>
  <c r="M579" i="3" s="1"/>
  <c r="M580" i="3" s="1"/>
  <c r="M581" i="3" s="1"/>
  <c r="M582" i="3" s="1"/>
  <c r="M583" i="3" s="1"/>
  <c r="M584" i="3" s="1"/>
  <c r="M585" i="3" s="1"/>
  <c r="M586" i="3" s="1"/>
  <c r="M587" i="3" s="1"/>
  <c r="M588" i="3" s="1"/>
  <c r="M589" i="3" s="1"/>
  <c r="M590" i="3" s="1"/>
  <c r="M591" i="3" s="1"/>
  <c r="M592" i="3" s="1"/>
  <c r="M593" i="3" s="1"/>
  <c r="M594" i="3" s="1"/>
  <c r="M595" i="3" s="1"/>
  <c r="M596" i="3" s="1"/>
  <c r="M597" i="3" s="1"/>
  <c r="M598" i="3" s="1"/>
  <c r="M599" i="3" s="1"/>
  <c r="M600" i="3" s="1"/>
  <c r="M601" i="3" s="1"/>
  <c r="M602" i="3" s="1"/>
  <c r="M603" i="3" s="1"/>
  <c r="M604" i="3" s="1"/>
  <c r="M605" i="3" s="1"/>
  <c r="M606" i="3" s="1"/>
  <c r="M607" i="3" s="1"/>
  <c r="M608" i="3" s="1"/>
  <c r="M609" i="3" s="1"/>
  <c r="M610" i="3" s="1"/>
  <c r="M611" i="3" s="1"/>
  <c r="M612" i="3" s="1"/>
  <c r="M613" i="3" s="1"/>
  <c r="M614" i="3" s="1"/>
  <c r="M615" i="3" s="1"/>
  <c r="M616" i="3" s="1"/>
  <c r="M617" i="3" s="1"/>
  <c r="M618" i="3" s="1"/>
  <c r="M619" i="3" s="1"/>
  <c r="M620" i="3" s="1"/>
  <c r="M621" i="3" s="1"/>
  <c r="M622" i="3" s="1"/>
  <c r="M623" i="3" s="1"/>
  <c r="M624" i="3" s="1"/>
  <c r="M625" i="3" s="1"/>
  <c r="M626" i="3" s="1"/>
  <c r="M627" i="3" s="1"/>
  <c r="M628" i="3" s="1"/>
  <c r="M629" i="3" s="1"/>
  <c r="M630" i="3" s="1"/>
  <c r="M631" i="3" s="1"/>
  <c r="M632" i="3" s="1"/>
  <c r="M633" i="3" s="1"/>
  <c r="M634" i="3" s="1"/>
  <c r="M635" i="3" s="1"/>
  <c r="M636" i="3" s="1"/>
  <c r="M637" i="3" s="1"/>
  <c r="M638" i="3" s="1"/>
  <c r="M639" i="3" s="1"/>
  <c r="M640" i="3" s="1"/>
  <c r="M641" i="3" s="1"/>
  <c r="M642" i="3" s="1"/>
  <c r="M643" i="3" s="1"/>
  <c r="M644" i="3" s="1"/>
  <c r="M645" i="3" s="1"/>
  <c r="M646" i="3" s="1"/>
  <c r="M647" i="3" s="1"/>
  <c r="M649" i="3" s="1"/>
  <c r="M650" i="3" s="1"/>
  <c r="M651" i="3" s="1"/>
  <c r="M652" i="3" s="1"/>
  <c r="M653" i="3" s="1"/>
  <c r="M654" i="3" s="1"/>
  <c r="M655" i="3" s="1"/>
  <c r="M656" i="3" s="1"/>
  <c r="M657" i="3" s="1"/>
  <c r="M658" i="3" s="1"/>
  <c r="M659" i="3" s="1"/>
  <c r="M660" i="3" s="1"/>
  <c r="M661" i="3" s="1"/>
  <c r="M662" i="3" s="1"/>
  <c r="M663" i="3" s="1"/>
  <c r="M664" i="3" s="1"/>
  <c r="M665" i="3" s="1"/>
  <c r="M666" i="3" s="1"/>
  <c r="M667" i="3" s="1"/>
  <c r="M668" i="3" s="1"/>
  <c r="M669" i="3" s="1"/>
  <c r="M670" i="3" s="1"/>
  <c r="M671" i="3" s="1"/>
  <c r="M672" i="3" s="1"/>
  <c r="M673" i="3" s="1"/>
  <c r="M674" i="3" s="1"/>
  <c r="M675" i="3" s="1"/>
  <c r="M676" i="3" s="1"/>
  <c r="M677" i="3" s="1"/>
  <c r="M678" i="3" s="1"/>
  <c r="M679" i="3" s="1"/>
  <c r="M680" i="3" s="1"/>
  <c r="M681" i="3" s="1"/>
  <c r="M682" i="3" s="1"/>
  <c r="M683" i="3" s="1"/>
  <c r="M684" i="3" s="1"/>
  <c r="M685" i="3" s="1"/>
  <c r="M686" i="3" s="1"/>
  <c r="M687" i="3" s="1"/>
  <c r="M688" i="3" s="1"/>
  <c r="M689" i="3" s="1"/>
  <c r="M690" i="3" s="1"/>
  <c r="M691" i="3" s="1"/>
  <c r="M692" i="3" s="1"/>
  <c r="M693" i="3" s="1"/>
  <c r="M694" i="3" s="1"/>
  <c r="M695" i="3" s="1"/>
  <c r="M696" i="3" s="1"/>
  <c r="M697" i="3" s="1"/>
  <c r="M698" i="3" s="1"/>
  <c r="M699" i="3" s="1"/>
  <c r="M700" i="3" s="1"/>
  <c r="M701" i="3" s="1"/>
  <c r="M702" i="3" s="1"/>
  <c r="M703" i="3" s="1"/>
  <c r="M704" i="3" s="1"/>
  <c r="M705" i="3" s="1"/>
  <c r="M706" i="3" s="1"/>
  <c r="M707" i="3" s="1"/>
  <c r="M708" i="3" s="1"/>
  <c r="M709" i="3" s="1"/>
  <c r="M710" i="3" s="1"/>
  <c r="M711" i="3" s="1"/>
  <c r="M712" i="3" s="1"/>
  <c r="M713" i="3" s="1"/>
  <c r="M714" i="3" s="1"/>
  <c r="M715" i="3" s="1"/>
  <c r="M716" i="3" s="1"/>
  <c r="M717" i="3" s="1"/>
  <c r="M718" i="3" s="1"/>
  <c r="M719" i="3" s="1"/>
  <c r="M720" i="3" s="1"/>
  <c r="M721" i="3" s="1"/>
  <c r="M722" i="3" s="1"/>
  <c r="M723" i="3" s="1"/>
  <c r="M724" i="3" s="1"/>
  <c r="M725" i="3" s="1"/>
  <c r="M726" i="3" s="1"/>
  <c r="M727" i="3" s="1"/>
  <c r="M728" i="3" s="1"/>
  <c r="M729" i="3" s="1"/>
  <c r="M730" i="3" s="1"/>
  <c r="M731" i="3" s="1"/>
  <c r="M732" i="3" s="1"/>
  <c r="M733" i="3" s="1"/>
  <c r="M734" i="3" s="1"/>
  <c r="M735" i="3" s="1"/>
  <c r="M736" i="3" s="1"/>
  <c r="M737" i="3" s="1"/>
  <c r="M738" i="3" s="1"/>
  <c r="M739" i="3" s="1"/>
  <c r="M740" i="3" s="1"/>
  <c r="M741" i="3" s="1"/>
  <c r="M742" i="3" s="1"/>
  <c r="M743" i="3" s="1"/>
  <c r="M744" i="3" s="1"/>
  <c r="M745" i="3" s="1"/>
  <c r="M746" i="3" s="1"/>
  <c r="M747" i="3" s="1"/>
  <c r="M748" i="3" s="1"/>
  <c r="M749" i="3" s="1"/>
  <c r="M750" i="3" s="1"/>
  <c r="M751" i="3" s="1"/>
  <c r="M752" i="3" s="1"/>
  <c r="M753" i="3" s="1"/>
  <c r="M754" i="3" s="1"/>
  <c r="M755" i="3" s="1"/>
  <c r="M756" i="3" s="1"/>
  <c r="M757" i="3" s="1"/>
  <c r="M758" i="3" s="1"/>
  <c r="M759" i="3" s="1"/>
  <c r="M760" i="3" s="1"/>
  <c r="M761" i="3" s="1"/>
  <c r="M762" i="3" s="1"/>
  <c r="M763" i="3" s="1"/>
  <c r="M764" i="3" s="1"/>
  <c r="M765" i="3" s="1"/>
  <c r="M766" i="3" s="1"/>
  <c r="M767" i="3" s="1"/>
  <c r="M768" i="3" s="1"/>
  <c r="M769" i="3" s="1"/>
  <c r="M770" i="3" s="1"/>
  <c r="M771" i="3" s="1"/>
  <c r="M772" i="3" s="1"/>
  <c r="M773" i="3" s="1"/>
  <c r="M774" i="3" s="1"/>
  <c r="M775" i="3" s="1"/>
  <c r="M776" i="3" s="1"/>
  <c r="M777" i="3" s="1"/>
  <c r="M778" i="3" s="1"/>
  <c r="M779" i="3" s="1"/>
  <c r="M780" i="3" s="1"/>
  <c r="M781" i="3" s="1"/>
  <c r="M782" i="3" s="1"/>
  <c r="M783" i="3" s="1"/>
  <c r="M784" i="3" s="1"/>
  <c r="M785" i="3" s="1"/>
  <c r="M786" i="3" s="1"/>
  <c r="M787" i="3" s="1"/>
  <c r="M788" i="3" s="1"/>
  <c r="M789" i="3" s="1"/>
  <c r="M790" i="3" s="1"/>
  <c r="M791" i="3" s="1"/>
  <c r="M792" i="3" s="1"/>
  <c r="M793" i="3" s="1"/>
  <c r="M794" i="3" s="1"/>
  <c r="M795" i="3" s="1"/>
  <c r="M796" i="3" s="1"/>
  <c r="M797" i="3" s="1"/>
  <c r="M798" i="3" s="1"/>
  <c r="M799" i="3" s="1"/>
  <c r="M800" i="3" s="1"/>
  <c r="M801" i="3" s="1"/>
  <c r="M802" i="3" s="1"/>
  <c r="M803" i="3" s="1"/>
  <c r="M804" i="3" s="1"/>
  <c r="M805" i="3" s="1"/>
  <c r="M806" i="3" s="1"/>
  <c r="M807" i="3" s="1"/>
  <c r="M808" i="3" s="1"/>
  <c r="M809" i="3" s="1"/>
  <c r="M810" i="3" s="1"/>
  <c r="M811" i="3" s="1"/>
  <c r="M812" i="3" s="1"/>
  <c r="M813" i="3" s="1"/>
  <c r="M814" i="3" s="1"/>
  <c r="M815" i="3" s="1"/>
  <c r="M816" i="3" s="1"/>
  <c r="M817" i="3" s="1"/>
  <c r="M818" i="3" s="1"/>
  <c r="M819" i="3" s="1"/>
  <c r="M820" i="3" s="1"/>
  <c r="M821" i="3" s="1"/>
  <c r="M822" i="3" s="1"/>
  <c r="M823" i="3" s="1"/>
  <c r="M824" i="3" s="1"/>
  <c r="M825" i="3" s="1"/>
  <c r="M826" i="3" s="1"/>
  <c r="M827" i="3" s="1"/>
  <c r="M829" i="3" s="1"/>
  <c r="M830" i="3" s="1"/>
  <c r="M831" i="3" s="1"/>
  <c r="M832" i="3" s="1"/>
  <c r="M833" i="3" s="1"/>
  <c r="M834" i="3" s="1"/>
  <c r="M835" i="3" s="1"/>
  <c r="M836" i="3" s="1"/>
  <c r="M837" i="3" s="1"/>
  <c r="M838" i="3" s="1"/>
  <c r="M839" i="3" s="1"/>
  <c r="M840" i="3" s="1"/>
  <c r="M841" i="3" s="1"/>
  <c r="M842" i="3" s="1"/>
  <c r="M843" i="3" s="1"/>
  <c r="M844" i="3" s="1"/>
  <c r="M845" i="3" s="1"/>
  <c r="M846" i="3" s="1"/>
  <c r="M847" i="3" s="1"/>
  <c r="M848" i="3" s="1"/>
  <c r="M849" i="3" s="1"/>
  <c r="M850" i="3" s="1"/>
  <c r="M851" i="3" s="1"/>
  <c r="M852" i="3" s="1"/>
  <c r="M853" i="3" s="1"/>
  <c r="M854" i="3" s="1"/>
  <c r="M855" i="3" s="1"/>
  <c r="M856" i="3" s="1"/>
  <c r="M857" i="3" s="1"/>
  <c r="M858" i="3" s="1"/>
  <c r="M859" i="3" s="1"/>
  <c r="M860" i="3" s="1"/>
  <c r="M861" i="3" s="1"/>
  <c r="M862" i="3" s="1"/>
  <c r="M863" i="3" s="1"/>
  <c r="M864" i="3" s="1"/>
  <c r="M865" i="3" s="1"/>
  <c r="M866" i="3" s="1"/>
  <c r="M867" i="3" s="1"/>
  <c r="M868" i="3" s="1"/>
  <c r="M869" i="3" s="1"/>
  <c r="M870" i="3" s="1"/>
  <c r="M871" i="3" s="1"/>
  <c r="M872" i="3" s="1"/>
  <c r="M873" i="3" s="1"/>
  <c r="M874" i="3" s="1"/>
  <c r="M875" i="3" s="1"/>
  <c r="M876" i="3" s="1"/>
  <c r="M877" i="3" s="1"/>
  <c r="M878" i="3" s="1"/>
  <c r="M879" i="3" s="1"/>
  <c r="M880" i="3" s="1"/>
  <c r="M881" i="3" s="1"/>
  <c r="M882" i="3" s="1"/>
  <c r="M883" i="3" s="1"/>
  <c r="M884" i="3" s="1"/>
  <c r="M885" i="3" s="1"/>
  <c r="M886" i="3" s="1"/>
  <c r="M887" i="3" s="1"/>
  <c r="M888" i="3" s="1"/>
  <c r="M889" i="3" s="1"/>
  <c r="M890" i="3" s="1"/>
  <c r="M891" i="3" s="1"/>
  <c r="M892" i="3" s="1"/>
  <c r="M893" i="3" s="1"/>
  <c r="M894" i="3" s="1"/>
  <c r="M895" i="3" s="1"/>
  <c r="M896" i="3" s="1"/>
  <c r="M897" i="3" s="1"/>
  <c r="M898" i="3" s="1"/>
  <c r="M899" i="3" s="1"/>
  <c r="M900" i="3" s="1"/>
  <c r="M901" i="3" s="1"/>
  <c r="M902" i="3" s="1"/>
  <c r="M904" i="3" s="1"/>
  <c r="M905" i="3" s="1"/>
  <c r="M906" i="3" s="1"/>
  <c r="M907" i="3" s="1"/>
  <c r="M908" i="3" s="1"/>
  <c r="M909" i="3" s="1"/>
  <c r="M910" i="3" s="1"/>
  <c r="M911" i="3" s="1"/>
  <c r="M912" i="3" s="1"/>
  <c r="M913" i="3" s="1"/>
  <c r="M914" i="3" s="1"/>
  <c r="M915" i="3" s="1"/>
  <c r="M916" i="3" s="1"/>
  <c r="M917" i="3" s="1"/>
  <c r="M918" i="3" s="1"/>
  <c r="M919" i="3" s="1"/>
  <c r="M920" i="3" s="1"/>
  <c r="M921" i="3" s="1"/>
  <c r="M922" i="3" s="1"/>
  <c r="M923" i="3" s="1"/>
  <c r="M924" i="3" s="1"/>
  <c r="M925" i="3" s="1"/>
  <c r="M926" i="3" s="1"/>
  <c r="M927" i="3" s="1"/>
  <c r="M928" i="3" s="1"/>
  <c r="M929" i="3" s="1"/>
  <c r="M930" i="3" s="1"/>
  <c r="M931" i="3" s="1"/>
  <c r="M932" i="3" s="1"/>
  <c r="M933" i="3" s="1"/>
  <c r="M934" i="3" s="1"/>
  <c r="M935" i="3" s="1"/>
  <c r="M936" i="3" s="1"/>
  <c r="M937" i="3" s="1"/>
  <c r="M938" i="3" s="1"/>
  <c r="M939" i="3" s="1"/>
  <c r="M940" i="3" s="1"/>
  <c r="M941" i="3" s="1"/>
  <c r="M942" i="3" s="1"/>
  <c r="M943" i="3" s="1"/>
  <c r="M944" i="3" s="1"/>
  <c r="M945" i="3" s="1"/>
  <c r="M946" i="3" s="1"/>
  <c r="M947" i="3" s="1"/>
  <c r="M948" i="3" s="1"/>
  <c r="M949" i="3" s="1"/>
  <c r="M950" i="3" s="1"/>
  <c r="M951" i="3" s="1"/>
  <c r="M952" i="3" s="1"/>
  <c r="M953" i="3" s="1"/>
  <c r="M954" i="3" s="1"/>
  <c r="M955" i="3" s="1"/>
  <c r="M956" i="3" s="1"/>
  <c r="M957" i="3" s="1"/>
  <c r="M958" i="3" s="1"/>
  <c r="M959" i="3" s="1"/>
  <c r="M960" i="3" s="1"/>
  <c r="M961" i="3" s="1"/>
  <c r="M962" i="3" s="1"/>
  <c r="M963" i="3" s="1"/>
  <c r="M964" i="3" s="1"/>
  <c r="M965" i="3" s="1"/>
  <c r="M966" i="3" s="1"/>
  <c r="M967" i="3" s="1"/>
  <c r="M968" i="3" s="1"/>
  <c r="M969" i="3" s="1"/>
  <c r="M970" i="3" s="1"/>
  <c r="M971" i="3" s="1"/>
  <c r="M972" i="3" s="1"/>
  <c r="M973" i="3" s="1"/>
  <c r="M974" i="3" s="1"/>
  <c r="M975" i="3" s="1"/>
  <c r="M976" i="3" s="1"/>
  <c r="M978" i="3" s="1"/>
  <c r="M979" i="3" s="1"/>
  <c r="M980" i="3" s="1"/>
  <c r="M981" i="3" s="1"/>
  <c r="M982" i="3" s="1"/>
  <c r="M983" i="3" s="1"/>
  <c r="M984" i="3" s="1"/>
  <c r="M985" i="3" s="1"/>
  <c r="M986" i="3" s="1"/>
  <c r="M987" i="3" s="1"/>
  <c r="M988" i="3" s="1"/>
  <c r="M989" i="3" s="1"/>
  <c r="M990" i="3" s="1"/>
  <c r="M991" i="3" s="1"/>
  <c r="M992" i="3" s="1"/>
  <c r="M993" i="3" s="1"/>
  <c r="M994" i="3" s="1"/>
  <c r="M995" i="3" s="1"/>
  <c r="M996" i="3" s="1"/>
  <c r="M997" i="3" s="1"/>
  <c r="M998" i="3" s="1"/>
  <c r="M999" i="3" s="1"/>
  <c r="M1000" i="3" s="1"/>
  <c r="M1001" i="3" s="1"/>
  <c r="M1002" i="3" s="1"/>
  <c r="M1003" i="3" s="1"/>
  <c r="M1004" i="3" s="1"/>
  <c r="M1005" i="3" s="1"/>
  <c r="M1006" i="3" s="1"/>
  <c r="M1007" i="3" s="1"/>
  <c r="M1008" i="3" s="1"/>
  <c r="M1009" i="3" s="1"/>
  <c r="M1010" i="3" s="1"/>
  <c r="M1011" i="3" s="1"/>
  <c r="M1012" i="3" s="1"/>
  <c r="M1013" i="3" s="1"/>
  <c r="M1014" i="3" s="1"/>
  <c r="M1015" i="3" s="1"/>
  <c r="M1016" i="3" s="1"/>
  <c r="M1017" i="3" s="1"/>
  <c r="M1018" i="3" s="1"/>
  <c r="M1019" i="3" s="1"/>
  <c r="M1020" i="3" s="1"/>
  <c r="M1021" i="3" s="1"/>
  <c r="M1022" i="3" s="1"/>
  <c r="M1023" i="3" s="1"/>
  <c r="M1024" i="3" s="1"/>
  <c r="M1025" i="3" s="1"/>
  <c r="M1026" i="3" s="1"/>
  <c r="M1027" i="3" s="1"/>
  <c r="M1028" i="3" s="1"/>
  <c r="M1029" i="3" s="1"/>
  <c r="M1030" i="3" s="1"/>
  <c r="M1031" i="3" s="1"/>
  <c r="M1032" i="3" s="1"/>
  <c r="M1033" i="3" s="1"/>
  <c r="M1034" i="3" s="1"/>
  <c r="M1035" i="3" s="1"/>
  <c r="M1036" i="3" s="1"/>
  <c r="M1037" i="3" s="1"/>
  <c r="M1038" i="3" s="1"/>
  <c r="M1039" i="3" s="1"/>
  <c r="M1040" i="3" s="1"/>
  <c r="M1041" i="3" s="1"/>
  <c r="M1042" i="3" s="1"/>
  <c r="M1043" i="3" s="1"/>
  <c r="M1044" i="3" s="1"/>
  <c r="M1045" i="3" s="1"/>
  <c r="M1046" i="3" s="1"/>
  <c r="M1047" i="3" s="1"/>
  <c r="M1048" i="3" s="1"/>
  <c r="M1049" i="3" s="1"/>
  <c r="M1050" i="3" s="1"/>
  <c r="M1051" i="3" s="1"/>
  <c r="M1053" i="3" s="1"/>
  <c r="M1054" i="3" s="1"/>
  <c r="M1055" i="3" s="1"/>
  <c r="M1056" i="3" s="1"/>
  <c r="M1057" i="3" s="1"/>
  <c r="M1058" i="3" s="1"/>
  <c r="M1059" i="3" s="1"/>
  <c r="M1060" i="3" s="1"/>
  <c r="M1061" i="3" s="1"/>
  <c r="M1062" i="3" s="1"/>
  <c r="M1063" i="3" s="1"/>
  <c r="M1064" i="3" s="1"/>
  <c r="M1065" i="3" s="1"/>
  <c r="M1066" i="3" s="1"/>
  <c r="M1067" i="3" s="1"/>
  <c r="M1068" i="3" s="1"/>
  <c r="M1069" i="3" s="1"/>
  <c r="M1070" i="3" s="1"/>
  <c r="M1071" i="3" s="1"/>
  <c r="M1072" i="3" s="1"/>
  <c r="M1073" i="3" s="1"/>
  <c r="M1074" i="3" s="1"/>
  <c r="M1075" i="3" s="1"/>
  <c r="M1076" i="3" s="1"/>
  <c r="M1077" i="3" s="1"/>
  <c r="M1078" i="3" s="1"/>
  <c r="M1079" i="3" s="1"/>
  <c r="M1080" i="3" s="1"/>
  <c r="M1081" i="3" s="1"/>
  <c r="M1082" i="3" s="1"/>
  <c r="M1083" i="3" s="1"/>
  <c r="M1084" i="3" s="1"/>
  <c r="M1085" i="3" s="1"/>
  <c r="M1086" i="3" s="1"/>
  <c r="M1087" i="3" s="1"/>
  <c r="M1088" i="3" s="1"/>
  <c r="M1089" i="3" s="1"/>
  <c r="M1090" i="3" s="1"/>
  <c r="M1091" i="3" s="1"/>
  <c r="M1092" i="3" s="1"/>
  <c r="M1093" i="3" s="1"/>
  <c r="M1094" i="3" s="1"/>
  <c r="M1095" i="3" s="1"/>
  <c r="M1096" i="3" s="1"/>
  <c r="M1097" i="3" s="1"/>
  <c r="M1098" i="3" s="1"/>
  <c r="M1099" i="3" s="1"/>
  <c r="M1100" i="3" s="1"/>
  <c r="M1101" i="3" s="1"/>
  <c r="M1102" i="3" s="1"/>
  <c r="M1103" i="3" s="1"/>
  <c r="M1104" i="3" s="1"/>
  <c r="M1105" i="3" s="1"/>
  <c r="M1106" i="3" s="1"/>
  <c r="M1107" i="3" s="1"/>
  <c r="M1108" i="3" s="1"/>
  <c r="M1109" i="3" s="1"/>
  <c r="M1110" i="3" s="1"/>
  <c r="M1111" i="3" s="1"/>
  <c r="M1112" i="3" s="1"/>
  <c r="M1113" i="3" s="1"/>
  <c r="M1114" i="3" s="1"/>
  <c r="M1115" i="3" s="1"/>
  <c r="M1116" i="3" s="1"/>
  <c r="M1117" i="3" s="1"/>
  <c r="M1118" i="3" s="1"/>
  <c r="M1119" i="3" s="1"/>
  <c r="M1120" i="3" s="1"/>
  <c r="M1121" i="3" s="1"/>
  <c r="M1122" i="3" s="1"/>
  <c r="M1123" i="3" s="1"/>
  <c r="M1124" i="3" s="1"/>
  <c r="M1125" i="3" s="1"/>
  <c r="M1126" i="3" s="1"/>
  <c r="M1127" i="3" s="1"/>
  <c r="M1128" i="3" s="1"/>
  <c r="M1129" i="3" s="1"/>
  <c r="M1130" i="3" s="1"/>
  <c r="M1131" i="3" s="1"/>
  <c r="M1132" i="3" s="1"/>
  <c r="M1133" i="3" s="1"/>
  <c r="M1134" i="3" s="1"/>
  <c r="M1135" i="3" s="1"/>
  <c r="M1136" i="3" s="1"/>
  <c r="M1137" i="3" s="1"/>
  <c r="M1138" i="3" s="1"/>
  <c r="M1139" i="3" s="1"/>
  <c r="M1140" i="3" s="1"/>
  <c r="M1141" i="3" s="1"/>
  <c r="M1142" i="3" s="1"/>
  <c r="M1143" i="3" s="1"/>
  <c r="M1144" i="3" s="1"/>
  <c r="M1145" i="3" s="1"/>
  <c r="M1146" i="3" s="1"/>
  <c r="M1147" i="3" s="1"/>
  <c r="M1148" i="3" s="1"/>
  <c r="M1149" i="3" s="1"/>
  <c r="M1150" i="3" s="1"/>
  <c r="M1151" i="3" s="1"/>
  <c r="M1152" i="3" s="1"/>
  <c r="M1153" i="3" s="1"/>
  <c r="M1154" i="3" s="1"/>
  <c r="M1155" i="3" s="1"/>
  <c r="M1156" i="3" s="1"/>
  <c r="M1157" i="3" s="1"/>
  <c r="M1158" i="3" s="1"/>
  <c r="M1159" i="3" s="1"/>
  <c r="M1160" i="3" s="1"/>
  <c r="M1161" i="3" s="1"/>
  <c r="M1162" i="3" s="1"/>
  <c r="M1163" i="3" s="1"/>
  <c r="M1164" i="3" s="1"/>
  <c r="M1165" i="3" s="1"/>
  <c r="M1166" i="3" s="1"/>
  <c r="M1167" i="3" s="1"/>
  <c r="M1168" i="3" s="1"/>
  <c r="M1169" i="3" s="1"/>
  <c r="M1170" i="3" s="1"/>
  <c r="M1171" i="3" s="1"/>
  <c r="M1172" i="3" s="1"/>
  <c r="M1173" i="3" s="1"/>
  <c r="M1174" i="3" s="1"/>
  <c r="M1175" i="3" s="1"/>
  <c r="M1176" i="3" s="1"/>
  <c r="M1177" i="3" s="1"/>
  <c r="M1178" i="3" s="1"/>
  <c r="M1179" i="3" s="1"/>
  <c r="M1180" i="3" s="1"/>
  <c r="M1181" i="3" s="1"/>
  <c r="M1182" i="3" s="1"/>
  <c r="M1183" i="3" s="1"/>
  <c r="M1184" i="3" s="1"/>
  <c r="M1185" i="3" s="1"/>
  <c r="M1186" i="3" s="1"/>
  <c r="M1187" i="3" s="1"/>
  <c r="M1188" i="3" s="1"/>
  <c r="M1189" i="3" s="1"/>
  <c r="M1190" i="3" s="1"/>
  <c r="M1191" i="3" s="1"/>
  <c r="M1192" i="3" s="1"/>
  <c r="M1193" i="3" s="1"/>
  <c r="M1194" i="3" s="1"/>
  <c r="M1195" i="3" s="1"/>
  <c r="M1196" i="3" s="1"/>
  <c r="M1197" i="3" s="1"/>
  <c r="M1198" i="3" s="1"/>
  <c r="M1199" i="3" s="1"/>
  <c r="M1200" i="3" s="1"/>
  <c r="M1201" i="3" s="1"/>
  <c r="M1202" i="3" s="1"/>
  <c r="M1203" i="3" s="1"/>
  <c r="M1204" i="3" s="1"/>
  <c r="M1205" i="3" s="1"/>
  <c r="M1206" i="3" s="1"/>
  <c r="M1207" i="3" s="1"/>
  <c r="M1208" i="3" s="1"/>
  <c r="M1209" i="3" s="1"/>
  <c r="M1210" i="3" s="1"/>
  <c r="M1211" i="3" s="1"/>
  <c r="M1212" i="3" s="1"/>
  <c r="M1213" i="3" s="1"/>
  <c r="M1214" i="3" s="1"/>
  <c r="M1215" i="3" s="1"/>
  <c r="M1216" i="3" s="1"/>
  <c r="M1217" i="3" s="1"/>
  <c r="M1218" i="3" s="1"/>
  <c r="M1219" i="3" s="1"/>
  <c r="M1220" i="3" s="1"/>
  <c r="M1221" i="3" s="1"/>
  <c r="M1222" i="3" s="1"/>
  <c r="M1223" i="3" s="1"/>
  <c r="M1224" i="3" s="1"/>
  <c r="M1225" i="3" s="1"/>
  <c r="M1226" i="3" s="1"/>
  <c r="M1227" i="3" s="1"/>
  <c r="M1228" i="3" s="1"/>
  <c r="M1229" i="3" s="1"/>
  <c r="M1230" i="3" s="1"/>
  <c r="M1231" i="3" s="1"/>
  <c r="M1232" i="3" s="1"/>
  <c r="M1233" i="3" s="1"/>
  <c r="M1234" i="3" s="1"/>
  <c r="M1235" i="3" s="1"/>
  <c r="M1236" i="3" s="1"/>
  <c r="M1237" i="3" s="1"/>
  <c r="M1238" i="3" s="1"/>
  <c r="M1239" i="3" s="1"/>
  <c r="M1240" i="3" s="1"/>
  <c r="M1241" i="3" s="1"/>
  <c r="M1242" i="3" s="1"/>
  <c r="M1243" i="3" s="1"/>
  <c r="M1244" i="3" s="1"/>
  <c r="M1245" i="3" s="1"/>
  <c r="M1246" i="3" s="1"/>
  <c r="M1247" i="3" s="1"/>
  <c r="M1248" i="3" s="1"/>
  <c r="M1249" i="3" s="1"/>
  <c r="M1250" i="3" s="1"/>
  <c r="M1251" i="3" s="1"/>
  <c r="M1252" i="3" s="1"/>
  <c r="M1253" i="3" s="1"/>
  <c r="M1254" i="3" s="1"/>
  <c r="M1255" i="3" s="1"/>
  <c r="M1256" i="3" s="1"/>
  <c r="M1257" i="3" s="1"/>
  <c r="M1258" i="3" s="1"/>
  <c r="M1259" i="3" s="1"/>
  <c r="M1260" i="3" s="1"/>
  <c r="M1261" i="3" s="1"/>
  <c r="M1262" i="3" s="1"/>
  <c r="M1263" i="3" s="1"/>
  <c r="M1264" i="3" s="1"/>
  <c r="M1265" i="3" s="1"/>
  <c r="M1266" i="3" s="1"/>
  <c r="M1267" i="3" s="1"/>
  <c r="M1268" i="3" s="1"/>
  <c r="M1269" i="3" s="1"/>
  <c r="M1270" i="3" s="1"/>
  <c r="M1271" i="3" s="1"/>
  <c r="M1272" i="3" s="1"/>
  <c r="M1273" i="3" s="1"/>
  <c r="M1274" i="3" s="1"/>
  <c r="M1275" i="3" s="1"/>
  <c r="M1276" i="3" s="1"/>
  <c r="M1277" i="3" s="1"/>
  <c r="M1278" i="3" s="1"/>
  <c r="M1279" i="3" s="1"/>
  <c r="M1280" i="3" s="1"/>
  <c r="M1281" i="3" s="1"/>
  <c r="M1282" i="3" s="1"/>
  <c r="M1283" i="3" s="1"/>
  <c r="M1284" i="3" s="1"/>
  <c r="M1285" i="3" s="1"/>
  <c r="M1286" i="3" s="1"/>
  <c r="M1287" i="3" s="1"/>
  <c r="M1288" i="3" s="1"/>
  <c r="M1289" i="3" s="1"/>
  <c r="M1290" i="3" s="1"/>
  <c r="M1291" i="3" s="1"/>
  <c r="M1292" i="3" s="1"/>
  <c r="M1293" i="3" s="1"/>
  <c r="M1294" i="3" s="1"/>
  <c r="M1295" i="3" s="1"/>
  <c r="M1296" i="3" s="1"/>
  <c r="M1297" i="3" s="1"/>
  <c r="M1298" i="3" s="1"/>
  <c r="M1299" i="3" s="1"/>
  <c r="M1300" i="3" s="1"/>
  <c r="M1301" i="3" s="1"/>
  <c r="M1302" i="3" s="1"/>
  <c r="M1303" i="3" s="1"/>
  <c r="M1304" i="3" s="1"/>
  <c r="M1305" i="3" s="1"/>
  <c r="M1306" i="3" s="1"/>
  <c r="M1307" i="3" s="1"/>
  <c r="M1308" i="3" s="1"/>
  <c r="M1309" i="3" s="1"/>
  <c r="M1310" i="3" s="1"/>
  <c r="M1311" i="3" s="1"/>
  <c r="M1312" i="3" s="1"/>
  <c r="M1313" i="3" s="1"/>
  <c r="M1314" i="3" s="1"/>
  <c r="M1315" i="3" s="1"/>
  <c r="M1316" i="3" s="1"/>
  <c r="M1317" i="3" s="1"/>
  <c r="M1318" i="3" s="1"/>
  <c r="M1319" i="3" s="1"/>
  <c r="M1320" i="3" s="1"/>
  <c r="M1321" i="3" s="1"/>
  <c r="M1322" i="3" s="1"/>
  <c r="M1323" i="3" s="1"/>
  <c r="M1324" i="3" s="1"/>
  <c r="M1325" i="3" s="1"/>
  <c r="M1326" i="3" s="1"/>
  <c r="M1327" i="3" s="1"/>
  <c r="M1328" i="3" s="1"/>
  <c r="M1329" i="3" s="1"/>
  <c r="M1330" i="3" s="1"/>
  <c r="M1331" i="3" s="1"/>
  <c r="M1332" i="3" s="1"/>
  <c r="M1333" i="3" s="1"/>
  <c r="M1334" i="3" s="1"/>
  <c r="M1335" i="3" s="1"/>
  <c r="M1336" i="3" s="1"/>
  <c r="M1337" i="3" s="1"/>
  <c r="M1338" i="3" s="1"/>
  <c r="M1339" i="3" s="1"/>
  <c r="M1340" i="3" s="1"/>
  <c r="M1341" i="3" s="1"/>
  <c r="M1342" i="3" s="1"/>
  <c r="M1343" i="3" s="1"/>
  <c r="M1344" i="3" s="1"/>
  <c r="M1345" i="3" s="1"/>
  <c r="M1346" i="3" s="1"/>
  <c r="M1347" i="3" s="1"/>
  <c r="M1348" i="3" s="1"/>
  <c r="M1350" i="3" s="1"/>
  <c r="M1351" i="3" s="1"/>
  <c r="M1352" i="3" s="1"/>
  <c r="M1353" i="3" s="1"/>
  <c r="M1354" i="3" s="1"/>
  <c r="M1355" i="3" s="1"/>
  <c r="M1356" i="3" s="1"/>
  <c r="M1357" i="3" s="1"/>
  <c r="M1358" i="3" s="1"/>
  <c r="M1359" i="3" s="1"/>
  <c r="M1360" i="3" s="1"/>
  <c r="M1361" i="3" s="1"/>
  <c r="M1362" i="3" s="1"/>
  <c r="M1363" i="3" s="1"/>
  <c r="M1364" i="3" s="1"/>
  <c r="M1365" i="3" s="1"/>
  <c r="M1366" i="3" s="1"/>
  <c r="M1367" i="3" s="1"/>
  <c r="M1368" i="3" s="1"/>
  <c r="M1369" i="3" s="1"/>
  <c r="M1370" i="3" s="1"/>
  <c r="M1371" i="3" s="1"/>
  <c r="M1372" i="3" s="1"/>
  <c r="M1373" i="3" s="1"/>
  <c r="M1374" i="3" s="1"/>
  <c r="M1375" i="3" s="1"/>
  <c r="M1376" i="3" s="1"/>
  <c r="M1377" i="3" s="1"/>
  <c r="M1378" i="3" s="1"/>
  <c r="M1379" i="3" s="1"/>
  <c r="M1380" i="3" s="1"/>
  <c r="M1381" i="3" s="1"/>
  <c r="M1382" i="3" s="1"/>
  <c r="M1383" i="3" s="1"/>
  <c r="M1384" i="3" s="1"/>
  <c r="M1385" i="3" s="1"/>
  <c r="M1386" i="3" s="1"/>
  <c r="M1387" i="3" s="1"/>
  <c r="M1388" i="3" s="1"/>
  <c r="M1389" i="3" s="1"/>
  <c r="M1390" i="3" s="1"/>
  <c r="M1391" i="3" s="1"/>
  <c r="M1392" i="3" s="1"/>
  <c r="M1393" i="3" s="1"/>
  <c r="M1394" i="3" s="1"/>
  <c r="M1395" i="3" s="1"/>
  <c r="M1396" i="3" s="1"/>
  <c r="M1397" i="3" s="1"/>
  <c r="M1398" i="3" s="1"/>
  <c r="M1399" i="3" s="1"/>
  <c r="M1400" i="3" s="1"/>
  <c r="M1401" i="3" s="1"/>
  <c r="M1402" i="3" s="1"/>
  <c r="M1403" i="3" s="1"/>
  <c r="M1404" i="3" s="1"/>
  <c r="M1405" i="3" s="1"/>
  <c r="M1406" i="3" s="1"/>
  <c r="M1407" i="3" s="1"/>
  <c r="M1408" i="3" s="1"/>
  <c r="M1409" i="3" s="1"/>
  <c r="M1410" i="3" s="1"/>
  <c r="M1411" i="3" s="1"/>
  <c r="M1412" i="3" s="1"/>
  <c r="M1413" i="3" s="1"/>
  <c r="M1414" i="3" s="1"/>
  <c r="M1415" i="3" s="1"/>
  <c r="M1416" i="3" s="1"/>
  <c r="M1417" i="3" s="1"/>
  <c r="M1418" i="3" s="1"/>
  <c r="M1419" i="3" s="1"/>
  <c r="M1420" i="3" s="1"/>
  <c r="M1421" i="3" s="1"/>
  <c r="M1422" i="3" s="1"/>
  <c r="M1423" i="3" s="1"/>
  <c r="M1424" i="3" s="1"/>
  <c r="M1425" i="3" s="1"/>
  <c r="M1426" i="3" s="1"/>
  <c r="M1427" i="3" s="1"/>
  <c r="M1428" i="3" s="1"/>
  <c r="M1429" i="3" s="1"/>
  <c r="M1430" i="3" s="1"/>
  <c r="M1431" i="3" s="1"/>
  <c r="M1432" i="3" s="1"/>
  <c r="M1433" i="3" s="1"/>
  <c r="M1434" i="3" s="1"/>
  <c r="M1435" i="3" s="1"/>
  <c r="M1436" i="3" s="1"/>
  <c r="M1437" i="3" s="1"/>
  <c r="M1438" i="3" s="1"/>
  <c r="M1439" i="3" s="1"/>
  <c r="M1440" i="3" s="1"/>
  <c r="M1441" i="3" s="1"/>
  <c r="M1442" i="3" s="1"/>
  <c r="M1443" i="3" s="1"/>
  <c r="M1444" i="3" s="1"/>
  <c r="M1445" i="3" s="1"/>
  <c r="M1446" i="3" s="1"/>
  <c r="M1447" i="3" s="1"/>
  <c r="M1448" i="3" s="1"/>
  <c r="M1449" i="3" s="1"/>
  <c r="M1450" i="3" s="1"/>
  <c r="M1451" i="3" s="1"/>
  <c r="M1452" i="3" s="1"/>
  <c r="M1453" i="3" s="1"/>
  <c r="M1454" i="3" s="1"/>
  <c r="M1455" i="3" s="1"/>
  <c r="M1456" i="3" s="1"/>
  <c r="M1457" i="3" s="1"/>
  <c r="M1458" i="3" s="1"/>
  <c r="M1459" i="3" s="1"/>
  <c r="M1460" i="3" s="1"/>
  <c r="M1461" i="3" s="1"/>
  <c r="M1462" i="3" s="1"/>
  <c r="M1463" i="3" s="1"/>
  <c r="M1464" i="3" s="1"/>
  <c r="M1465" i="3" s="1"/>
  <c r="M1466" i="3" s="1"/>
  <c r="M1467" i="3" s="1"/>
  <c r="M1468" i="3" s="1"/>
  <c r="M1469" i="3" s="1"/>
  <c r="M1470" i="3" s="1"/>
  <c r="M1471" i="3" s="1"/>
  <c r="M1472" i="3" s="1"/>
  <c r="M1473" i="3" s="1"/>
  <c r="M1474" i="3" s="1"/>
  <c r="M1475" i="3" s="1"/>
  <c r="M1476" i="3" s="1"/>
  <c r="M1477" i="3" s="1"/>
  <c r="M1478" i="3" s="1"/>
  <c r="M1479" i="3" s="1"/>
  <c r="M1480" i="3" s="1"/>
  <c r="M1481" i="3" s="1"/>
  <c r="M1482" i="3" s="1"/>
  <c r="M1483" i="3" s="1"/>
  <c r="M1484" i="3" s="1"/>
  <c r="M1485" i="3" s="1"/>
  <c r="M1486" i="3" s="1"/>
  <c r="M1487" i="3" s="1"/>
  <c r="M1488" i="3" s="1"/>
  <c r="M1489" i="3" s="1"/>
  <c r="M1490" i="3" s="1"/>
  <c r="M1491" i="3" s="1"/>
  <c r="M1492" i="3" s="1"/>
  <c r="M1493" i="3" s="1"/>
  <c r="M1494" i="3" s="1"/>
  <c r="M1495" i="3" s="1"/>
  <c r="M1496" i="3" s="1"/>
  <c r="M1497" i="3" s="1"/>
  <c r="M1498" i="3" s="1"/>
  <c r="M1499" i="3" s="1"/>
  <c r="M1500" i="3" s="1"/>
  <c r="M1501" i="3" s="1"/>
  <c r="M1502" i="3" s="1"/>
  <c r="M1503" i="3" s="1"/>
  <c r="M1504" i="3" s="1"/>
  <c r="M1505" i="3" s="1"/>
  <c r="M1506" i="3" s="1"/>
  <c r="M1507" i="3" s="1"/>
  <c r="M1508" i="3" s="1"/>
  <c r="M1509" i="3" s="1"/>
  <c r="M1510" i="3" s="1"/>
  <c r="M1511" i="3" s="1"/>
  <c r="M1512" i="3" s="1"/>
  <c r="M1513" i="3" s="1"/>
  <c r="M1514" i="3" s="1"/>
  <c r="M1515" i="3" s="1"/>
  <c r="M1516" i="3" s="1"/>
  <c r="M1517" i="3" s="1"/>
  <c r="M1518" i="3" s="1"/>
  <c r="M1519" i="3" s="1"/>
  <c r="M1520" i="3" s="1"/>
  <c r="M1521" i="3" s="1"/>
  <c r="M1522" i="3" s="1"/>
  <c r="M1523" i="3" s="1"/>
  <c r="M1524" i="3" s="1"/>
  <c r="M1525" i="3" s="1"/>
  <c r="M1526" i="3" s="1"/>
  <c r="M1527" i="3" s="1"/>
  <c r="M1528" i="3" s="1"/>
  <c r="M1529" i="3" s="1"/>
  <c r="M1530" i="3" s="1"/>
  <c r="M1531" i="3" s="1"/>
  <c r="M1532" i="3" s="1"/>
  <c r="M1533" i="3" s="1"/>
  <c r="M1534" i="3" s="1"/>
  <c r="M1535" i="3" s="1"/>
  <c r="M1536" i="3" s="1"/>
  <c r="M1537" i="3" s="1"/>
  <c r="M1538" i="3" s="1"/>
  <c r="M1539" i="3" s="1"/>
  <c r="M1540" i="3" s="1"/>
  <c r="M1541" i="3" s="1"/>
  <c r="M1542" i="3" s="1"/>
  <c r="M1543" i="3" s="1"/>
  <c r="M1544" i="3" s="1"/>
  <c r="M1545" i="3" s="1"/>
  <c r="M1546" i="3" s="1"/>
  <c r="M1547" i="3" s="1"/>
  <c r="M1548" i="3" s="1"/>
  <c r="M1549" i="3" s="1"/>
  <c r="M1550" i="3" s="1"/>
  <c r="M1551" i="3" s="1"/>
  <c r="M1552" i="3" s="1"/>
  <c r="M1553" i="3" s="1"/>
  <c r="M1554" i="3" s="1"/>
  <c r="M1555" i="3" s="1"/>
  <c r="M1556" i="3" s="1"/>
  <c r="M1557" i="3" s="1"/>
  <c r="M1558" i="3" s="1"/>
  <c r="M1559" i="3" s="1"/>
  <c r="M1560" i="3" s="1"/>
  <c r="M1561" i="3" s="1"/>
  <c r="M1562" i="3" s="1"/>
  <c r="M1563" i="3" s="1"/>
  <c r="M1564" i="3" s="1"/>
  <c r="M1565" i="3" s="1"/>
  <c r="M1566" i="3" s="1"/>
  <c r="M1567" i="3" s="1"/>
  <c r="M1568" i="3" s="1"/>
  <c r="M1569" i="3" s="1"/>
  <c r="M1570" i="3" s="1"/>
  <c r="M1571" i="3" s="1"/>
  <c r="M1572" i="3" s="1"/>
  <c r="M1573" i="3" s="1"/>
  <c r="M1574" i="3" s="1"/>
  <c r="M1575" i="3" s="1"/>
  <c r="M1576" i="3" s="1"/>
  <c r="M1577" i="3" s="1"/>
  <c r="M1578" i="3" s="1"/>
  <c r="M1579" i="3" s="1"/>
  <c r="M1580" i="3" s="1"/>
  <c r="M1581" i="3" s="1"/>
  <c r="M1582" i="3" s="1"/>
  <c r="M1583" i="3" s="1"/>
  <c r="M1584" i="3" s="1"/>
  <c r="M1585" i="3" s="1"/>
  <c r="M1586" i="3" s="1"/>
  <c r="M1587" i="3" s="1"/>
  <c r="M1588" i="3" s="1"/>
  <c r="M1589" i="3" s="1"/>
  <c r="M1590" i="3" s="1"/>
  <c r="M1591" i="3" s="1"/>
  <c r="M1592" i="3" s="1"/>
  <c r="M1593" i="3" s="1"/>
  <c r="M1594" i="3" s="1"/>
  <c r="M1595" i="3" s="1"/>
  <c r="M1596" i="3" s="1"/>
  <c r="M1597" i="3" s="1"/>
  <c r="M1598" i="3" s="1"/>
  <c r="M1599" i="3" s="1"/>
  <c r="M1600" i="3" s="1"/>
  <c r="M1601" i="3" s="1"/>
  <c r="M1602" i="3" s="1"/>
  <c r="M1603" i="3" s="1"/>
  <c r="M1604" i="3" s="1"/>
  <c r="M1605" i="3" s="1"/>
  <c r="M1606" i="3" s="1"/>
  <c r="M1607" i="3" s="1"/>
  <c r="M1608" i="3" s="1"/>
  <c r="M1609" i="3" s="1"/>
  <c r="M1610" i="3" s="1"/>
  <c r="M1611" i="3" s="1"/>
  <c r="M1612" i="3" s="1"/>
  <c r="M1613" i="3" s="1"/>
  <c r="M1614" i="3" s="1"/>
  <c r="M1615" i="3" s="1"/>
  <c r="M1616" i="3" s="1"/>
  <c r="M1617" i="3" s="1"/>
  <c r="M1618" i="3" s="1"/>
  <c r="M1619" i="3" s="1"/>
  <c r="M1620" i="3" s="1"/>
  <c r="M1621" i="3" s="1"/>
  <c r="M1622" i="3" s="1"/>
  <c r="M1623" i="3" s="1"/>
  <c r="M1624" i="3" s="1"/>
  <c r="M1625" i="3" s="1"/>
  <c r="M1626" i="3" s="1"/>
  <c r="M1627" i="3" s="1"/>
  <c r="M1628" i="3" s="1"/>
  <c r="M1629" i="3" s="1"/>
  <c r="M1630" i="3" s="1"/>
  <c r="M1631" i="3" s="1"/>
  <c r="M1632" i="3" s="1"/>
  <c r="M1633" i="3" s="1"/>
  <c r="M1634" i="3" s="1"/>
  <c r="M1635" i="3" s="1"/>
  <c r="M1636" i="3" s="1"/>
  <c r="M1637" i="3" s="1"/>
  <c r="M1638" i="3" s="1"/>
  <c r="M1639" i="3" s="1"/>
  <c r="M1640" i="3" s="1"/>
  <c r="M1641" i="3" s="1"/>
  <c r="M1642" i="3" s="1"/>
  <c r="M1643" i="3" s="1"/>
  <c r="M1644" i="3" s="1"/>
  <c r="M1645" i="3" s="1"/>
  <c r="M1646" i="3" s="1"/>
  <c r="M1647" i="3" s="1"/>
  <c r="M1648" i="3" s="1"/>
  <c r="M1649" i="3" s="1"/>
  <c r="M1650" i="3" s="1"/>
  <c r="M1651" i="3" s="1"/>
  <c r="M1652" i="3" s="1"/>
  <c r="M1653" i="3" s="1"/>
  <c r="M1654" i="3" s="1"/>
  <c r="M1655" i="3" s="1"/>
  <c r="M1656" i="3" s="1"/>
  <c r="M1657" i="3" s="1"/>
  <c r="M1658" i="3" s="1"/>
  <c r="M1659" i="3" s="1"/>
  <c r="M1660" i="3" s="1"/>
  <c r="M1661" i="3" s="1"/>
  <c r="M1662" i="3" s="1"/>
  <c r="M1663" i="3" s="1"/>
  <c r="M1664" i="3" s="1"/>
  <c r="M1665" i="3" s="1"/>
  <c r="M1666" i="3" s="1"/>
  <c r="M1667" i="3" s="1"/>
  <c r="M1668" i="3" s="1"/>
  <c r="M1669" i="3" s="1"/>
  <c r="M1670" i="3" s="1"/>
  <c r="M1671" i="3" s="1"/>
  <c r="M1672" i="3" s="1"/>
  <c r="M1673" i="3" s="1"/>
  <c r="M1674" i="3" s="1"/>
  <c r="M1675" i="3" s="1"/>
  <c r="M1676" i="3" s="1"/>
  <c r="M1677" i="3" s="1"/>
  <c r="M1678" i="3" s="1"/>
  <c r="M1679" i="3" s="1"/>
  <c r="M1680" i="3" s="1"/>
  <c r="M1681" i="3" s="1"/>
  <c r="M1682" i="3" s="1"/>
  <c r="M1683" i="3" s="1"/>
  <c r="M1684" i="3" s="1"/>
  <c r="M1685" i="3" s="1"/>
  <c r="M1686" i="3" s="1"/>
  <c r="M1687" i="3" s="1"/>
  <c r="M1688" i="3" s="1"/>
  <c r="M1689" i="3" s="1"/>
  <c r="M1690" i="3" s="1"/>
  <c r="M1691" i="3" s="1"/>
  <c r="M1692" i="3" s="1"/>
  <c r="M1693" i="3" s="1"/>
  <c r="M1694" i="3" s="1"/>
  <c r="M1695" i="3" s="1"/>
  <c r="M1696" i="3" s="1"/>
  <c r="M1697" i="3" s="1"/>
  <c r="M1699" i="3" s="1"/>
  <c r="M1700" i="3" s="1"/>
  <c r="M1701" i="3" s="1"/>
  <c r="M1702" i="3" s="1"/>
  <c r="M1703" i="3" s="1"/>
  <c r="M1704" i="3" s="1"/>
  <c r="M1705" i="3" s="1"/>
  <c r="M1706" i="3" s="1"/>
  <c r="M1707" i="3" s="1"/>
  <c r="M1708" i="3" s="1"/>
  <c r="M1709" i="3" s="1"/>
  <c r="G5" i="4"/>
  <c r="G6" i="4" s="1"/>
  <c r="G7" i="4" s="1"/>
  <c r="G8" i="4" s="1"/>
  <c r="G9" i="4" s="1"/>
  <c r="G10" i="4" s="1"/>
  <c r="G11" i="4" s="1"/>
  <c r="G12" i="4" s="1"/>
  <c r="G13" i="4" s="1"/>
  <c r="G14" i="4" s="1"/>
  <c r="G15" i="4" s="1"/>
  <c r="G4" i="4"/>
  <c r="G3" i="4"/>
  <c r="G2" i="4"/>
  <c r="K3" i="2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H3" i="2"/>
  <c r="H4" i="2" s="1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E3" i="2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N3" i="2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L2" i="2"/>
  <c r="B12" i="4"/>
  <c r="B14" i="4"/>
  <c r="B11" i="4"/>
  <c r="B9" i="4"/>
  <c r="B8" i="4"/>
  <c r="B6" i="4"/>
  <c r="B4" i="4"/>
  <c r="B3" i="4"/>
  <c r="B16" i="4" s="1"/>
  <c r="A3" i="2"/>
  <c r="K2" i="1"/>
  <c r="L17" i="1"/>
  <c r="L16" i="1"/>
  <c r="L15" i="1"/>
  <c r="L14" i="1"/>
  <c r="F17" i="1"/>
  <c r="F18" i="1"/>
  <c r="C24" i="1"/>
  <c r="C25" i="1"/>
  <c r="C22" i="1"/>
  <c r="C21" i="1"/>
  <c r="H3" i="1"/>
  <c r="C13" i="1"/>
  <c r="C23" i="1" s="1"/>
  <c r="F1109" i="3" s="1"/>
  <c r="F635" i="3" l="1"/>
  <c r="F550" i="3"/>
  <c r="F35" i="2"/>
  <c r="A36" i="2"/>
  <c r="L35" i="2"/>
  <c r="I35" i="2"/>
  <c r="F10" i="1"/>
  <c r="K8" i="1" s="1"/>
  <c r="F740" i="3"/>
  <c r="G32" i="1"/>
  <c r="F603" i="3"/>
  <c r="F508" i="3"/>
  <c r="F374" i="3"/>
  <c r="F724" i="3"/>
  <c r="F528" i="3"/>
  <c r="I16" i="1"/>
  <c r="H812" i="3" s="1"/>
  <c r="G28" i="1"/>
  <c r="F683" i="3"/>
  <c r="F598" i="3"/>
  <c r="F499" i="3"/>
  <c r="F369" i="3"/>
  <c r="F1038" i="3"/>
  <c r="F22" i="3"/>
  <c r="F589" i="3"/>
  <c r="F340" i="3"/>
  <c r="F1022" i="3"/>
  <c r="F444" i="3"/>
  <c r="F534" i="3"/>
  <c r="F605" i="3"/>
  <c r="G30" i="1"/>
  <c r="C1654" i="3" s="1"/>
  <c r="F497" i="3"/>
  <c r="F669" i="3"/>
  <c r="F587" i="3"/>
  <c r="F492" i="3"/>
  <c r="F292" i="3"/>
  <c r="F910" i="3"/>
  <c r="F667" i="3"/>
  <c r="F582" i="3"/>
  <c r="F483" i="3"/>
  <c r="F278" i="3"/>
  <c r="F894" i="3"/>
  <c r="F524" i="3"/>
  <c r="F662" i="3"/>
  <c r="F573" i="3"/>
  <c r="F481" i="3"/>
  <c r="F257" i="3"/>
  <c r="F433" i="3"/>
  <c r="F653" i="3"/>
  <c r="F571" i="3"/>
  <c r="F476" i="3"/>
  <c r="F209" i="3"/>
  <c r="F1542" i="3"/>
  <c r="F36" i="3"/>
  <c r="F435" i="3"/>
  <c r="F614" i="3"/>
  <c r="F513" i="3"/>
  <c r="F685" i="3"/>
  <c r="F651" i="3"/>
  <c r="F566" i="3"/>
  <c r="F467" i="3"/>
  <c r="F196" i="3"/>
  <c r="F1461" i="3"/>
  <c r="F621" i="3"/>
  <c r="F619" i="3"/>
  <c r="F515" i="3"/>
  <c r="F422" i="3"/>
  <c r="F678" i="3"/>
  <c r="F646" i="3"/>
  <c r="F557" i="3"/>
  <c r="F465" i="3"/>
  <c r="F166" i="3"/>
  <c r="F539" i="3"/>
  <c r="G33" i="1"/>
  <c r="F637" i="3"/>
  <c r="F555" i="3"/>
  <c r="F460" i="3"/>
  <c r="F118" i="3"/>
  <c r="F451" i="3"/>
  <c r="F113" i="3"/>
  <c r="F630" i="3"/>
  <c r="F541" i="3"/>
  <c r="F449" i="3"/>
  <c r="F84" i="3"/>
  <c r="C1638" i="3"/>
  <c r="C1670" i="3"/>
  <c r="C1640" i="3"/>
  <c r="C1704" i="3"/>
  <c r="C1641" i="3"/>
  <c r="C1673" i="3"/>
  <c r="C1642" i="3"/>
  <c r="C1690" i="3"/>
  <c r="C1611" i="3"/>
  <c r="C1675" i="3"/>
  <c r="C1707" i="3"/>
  <c r="C1628" i="3"/>
  <c r="C1692" i="3"/>
  <c r="C1613" i="3"/>
  <c r="C1645" i="3"/>
  <c r="C1709" i="3"/>
  <c r="C1630" i="3"/>
  <c r="C1662" i="3"/>
  <c r="C1615" i="3"/>
  <c r="C1647" i="3"/>
  <c r="C1679" i="3"/>
  <c r="C1648" i="3"/>
  <c r="C1680" i="3"/>
  <c r="C1617" i="3"/>
  <c r="C1681" i="3"/>
  <c r="C1620" i="3"/>
  <c r="C1652" i="3"/>
  <c r="C1621" i="3"/>
  <c r="C1653" i="3"/>
  <c r="C1685" i="3"/>
  <c r="C1623" i="3"/>
  <c r="C1635" i="3"/>
  <c r="C1650" i="3"/>
  <c r="C1667" i="3"/>
  <c r="C1682" i="3"/>
  <c r="C1698" i="3"/>
  <c r="G29" i="1"/>
  <c r="C419" i="3"/>
  <c r="C387" i="3"/>
  <c r="C355" i="3"/>
  <c r="C482" i="3"/>
  <c r="C450" i="3"/>
  <c r="F522" i="3"/>
  <c r="F684" i="3"/>
  <c r="F668" i="3"/>
  <c r="F652" i="3"/>
  <c r="F636" i="3"/>
  <c r="F620" i="3"/>
  <c r="F604" i="3"/>
  <c r="F588" i="3"/>
  <c r="F572" i="3"/>
  <c r="F556" i="3"/>
  <c r="F540" i="3"/>
  <c r="F514" i="3"/>
  <c r="F498" i="3"/>
  <c r="F482" i="3"/>
  <c r="F466" i="3"/>
  <c r="F450" i="3"/>
  <c r="F434" i="3"/>
  <c r="F372" i="3"/>
  <c r="F289" i="3"/>
  <c r="F198" i="3"/>
  <c r="F116" i="3"/>
  <c r="F33" i="3"/>
  <c r="F738" i="3"/>
  <c r="F1036" i="3"/>
  <c r="F908" i="3"/>
  <c r="F1530" i="3"/>
  <c r="C340" i="3"/>
  <c r="C402" i="3"/>
  <c r="C417" i="3"/>
  <c r="C353" i="3"/>
  <c r="C321" i="3"/>
  <c r="C480" i="3"/>
  <c r="C464" i="3"/>
  <c r="C448" i="3"/>
  <c r="C432" i="3"/>
  <c r="F523" i="3"/>
  <c r="F682" i="3"/>
  <c r="F666" i="3"/>
  <c r="F650" i="3"/>
  <c r="F634" i="3"/>
  <c r="F618" i="3"/>
  <c r="F602" i="3"/>
  <c r="F586" i="3"/>
  <c r="F570" i="3"/>
  <c r="F554" i="3"/>
  <c r="F538" i="3"/>
  <c r="F512" i="3"/>
  <c r="F496" i="3"/>
  <c r="F480" i="3"/>
  <c r="F464" i="3"/>
  <c r="F448" i="3"/>
  <c r="F432" i="3"/>
  <c r="F358" i="3"/>
  <c r="F276" i="3"/>
  <c r="F193" i="3"/>
  <c r="F102" i="3"/>
  <c r="F20" i="3"/>
  <c r="F722" i="3"/>
  <c r="F1020" i="3"/>
  <c r="F892" i="3"/>
  <c r="C1585" i="3"/>
  <c r="F1446" i="3"/>
  <c r="C324" i="3"/>
  <c r="C435" i="3"/>
  <c r="C386" i="3"/>
  <c r="C79" i="3"/>
  <c r="C416" i="3"/>
  <c r="C400" i="3"/>
  <c r="C384" i="3"/>
  <c r="C368" i="3"/>
  <c r="C352" i="3"/>
  <c r="C336" i="3"/>
  <c r="C320" i="3"/>
  <c r="C304" i="3"/>
  <c r="C479" i="3"/>
  <c r="C463" i="3"/>
  <c r="C447" i="3"/>
  <c r="C431" i="3"/>
  <c r="F531" i="3"/>
  <c r="F681" i="3"/>
  <c r="F665" i="3"/>
  <c r="F649" i="3"/>
  <c r="F633" i="3"/>
  <c r="F617" i="3"/>
  <c r="F601" i="3"/>
  <c r="F585" i="3"/>
  <c r="F569" i="3"/>
  <c r="F553" i="3"/>
  <c r="F537" i="3"/>
  <c r="F511" i="3"/>
  <c r="F495" i="3"/>
  <c r="F479" i="3"/>
  <c r="F463" i="3"/>
  <c r="F447" i="3"/>
  <c r="F431" i="3"/>
  <c r="F356" i="3"/>
  <c r="F273" i="3"/>
  <c r="F182" i="3"/>
  <c r="F100" i="3"/>
  <c r="F17" i="3"/>
  <c r="F708" i="3"/>
  <c r="F1006" i="3"/>
  <c r="F878" i="3"/>
  <c r="C1506" i="3"/>
  <c r="F1370" i="3"/>
  <c r="C483" i="3"/>
  <c r="C481" i="3"/>
  <c r="C63" i="3"/>
  <c r="C415" i="3"/>
  <c r="C399" i="3"/>
  <c r="C383" i="3"/>
  <c r="C367" i="3"/>
  <c r="C351" i="3"/>
  <c r="C335" i="3"/>
  <c r="C319" i="3"/>
  <c r="C303" i="3"/>
  <c r="C478" i="3"/>
  <c r="C462" i="3"/>
  <c r="C446" i="3"/>
  <c r="C430" i="3"/>
  <c r="F530" i="3"/>
  <c r="F680" i="3"/>
  <c r="F664" i="3"/>
  <c r="F648" i="3"/>
  <c r="F632" i="3"/>
  <c r="F616" i="3"/>
  <c r="F600" i="3"/>
  <c r="F584" i="3"/>
  <c r="F568" i="3"/>
  <c r="F552" i="3"/>
  <c r="F536" i="3"/>
  <c r="F510" i="3"/>
  <c r="F494" i="3"/>
  <c r="F478" i="3"/>
  <c r="F462" i="3"/>
  <c r="F446" i="3"/>
  <c r="F430" i="3"/>
  <c r="F353" i="3"/>
  <c r="F262" i="3"/>
  <c r="F180" i="3"/>
  <c r="F97" i="3"/>
  <c r="F6" i="3"/>
  <c r="F706" i="3"/>
  <c r="F1004" i="3"/>
  <c r="F876" i="3"/>
  <c r="C1494" i="3"/>
  <c r="F1365" i="3"/>
  <c r="C433" i="3"/>
  <c r="C46" i="3"/>
  <c r="C414" i="3"/>
  <c r="C398" i="3"/>
  <c r="C382" i="3"/>
  <c r="C366" i="3"/>
  <c r="C350" i="3"/>
  <c r="C334" i="3"/>
  <c r="C318" i="3"/>
  <c r="C477" i="3"/>
  <c r="C461" i="3"/>
  <c r="C445" i="3"/>
  <c r="C429" i="3"/>
  <c r="F529" i="3"/>
  <c r="F679" i="3"/>
  <c r="F663" i="3"/>
  <c r="F647" i="3"/>
  <c r="F631" i="3"/>
  <c r="F615" i="3"/>
  <c r="F599" i="3"/>
  <c r="F583" i="3"/>
  <c r="F567" i="3"/>
  <c r="F551" i="3"/>
  <c r="F535" i="3"/>
  <c r="F509" i="3"/>
  <c r="F493" i="3"/>
  <c r="F477" i="3"/>
  <c r="F461" i="3"/>
  <c r="F445" i="3"/>
  <c r="F428" i="3"/>
  <c r="F342" i="3"/>
  <c r="F260" i="3"/>
  <c r="F177" i="3"/>
  <c r="F86" i="3"/>
  <c r="F4" i="3"/>
  <c r="F692" i="3"/>
  <c r="F990" i="3"/>
  <c r="F862" i="3"/>
  <c r="C1425" i="3"/>
  <c r="F1286" i="3"/>
  <c r="F988" i="3"/>
  <c r="F860" i="3"/>
  <c r="C1410" i="3"/>
  <c r="F1274" i="3"/>
  <c r="C354" i="3"/>
  <c r="C287" i="3"/>
  <c r="C349" i="3"/>
  <c r="C412" i="3"/>
  <c r="C396" i="3"/>
  <c r="C380" i="3"/>
  <c r="C364" i="3"/>
  <c r="C348" i="3"/>
  <c r="C332" i="3"/>
  <c r="C316" i="3"/>
  <c r="C475" i="3"/>
  <c r="C459" i="3"/>
  <c r="C443" i="3"/>
  <c r="F527" i="3"/>
  <c r="F677" i="3"/>
  <c r="F661" i="3"/>
  <c r="F645" i="3"/>
  <c r="F629" i="3"/>
  <c r="F613" i="3"/>
  <c r="F597" i="3"/>
  <c r="F581" i="3"/>
  <c r="F565" i="3"/>
  <c r="F549" i="3"/>
  <c r="F533" i="3"/>
  <c r="F507" i="3"/>
  <c r="F491" i="3"/>
  <c r="F475" i="3"/>
  <c r="F459" i="3"/>
  <c r="F443" i="3"/>
  <c r="F420" i="3"/>
  <c r="F337" i="3"/>
  <c r="F246" i="3"/>
  <c r="F164" i="3"/>
  <c r="F81" i="3"/>
  <c r="F974" i="3"/>
  <c r="F846" i="3"/>
  <c r="C1334" i="3"/>
  <c r="F1205" i="3"/>
  <c r="C111" i="3"/>
  <c r="C397" i="3"/>
  <c r="C427" i="3"/>
  <c r="C363" i="3"/>
  <c r="C331" i="3"/>
  <c r="C315" i="3"/>
  <c r="C474" i="3"/>
  <c r="C458" i="3"/>
  <c r="C442" i="3"/>
  <c r="F526" i="3"/>
  <c r="F676" i="3"/>
  <c r="F660" i="3"/>
  <c r="F644" i="3"/>
  <c r="F628" i="3"/>
  <c r="F612" i="3"/>
  <c r="F596" i="3"/>
  <c r="F580" i="3"/>
  <c r="F564" i="3"/>
  <c r="F548" i="3"/>
  <c r="F532" i="3"/>
  <c r="F506" i="3"/>
  <c r="F490" i="3"/>
  <c r="F474" i="3"/>
  <c r="F458" i="3"/>
  <c r="F442" i="3"/>
  <c r="F417" i="3"/>
  <c r="F326" i="3"/>
  <c r="F244" i="3"/>
  <c r="F161" i="3"/>
  <c r="F70" i="3"/>
  <c r="F972" i="3"/>
  <c r="F844" i="3"/>
  <c r="F1190" i="3"/>
  <c r="C449" i="3"/>
  <c r="C413" i="3"/>
  <c r="C428" i="3"/>
  <c r="C394" i="3"/>
  <c r="C489" i="3"/>
  <c r="C441" i="3"/>
  <c r="F525" i="3"/>
  <c r="F675" i="3"/>
  <c r="F659" i="3"/>
  <c r="F643" i="3"/>
  <c r="F627" i="3"/>
  <c r="F611" i="3"/>
  <c r="F595" i="3"/>
  <c r="F579" i="3"/>
  <c r="F563" i="3"/>
  <c r="F547" i="3"/>
  <c r="F521" i="3"/>
  <c r="F505" i="3"/>
  <c r="F489" i="3"/>
  <c r="F473" i="3"/>
  <c r="F457" i="3"/>
  <c r="F441" i="3"/>
  <c r="F406" i="3"/>
  <c r="F324" i="3"/>
  <c r="F241" i="3"/>
  <c r="F150" i="3"/>
  <c r="F68" i="3"/>
  <c r="F958" i="3"/>
  <c r="F830" i="3"/>
  <c r="C1699" i="3"/>
  <c r="F1114" i="3"/>
  <c r="C338" i="3"/>
  <c r="C333" i="3"/>
  <c r="C302" i="3"/>
  <c r="C255" i="3"/>
  <c r="C411" i="3"/>
  <c r="C395" i="3"/>
  <c r="C379" i="3"/>
  <c r="C347" i="3"/>
  <c r="C239" i="3"/>
  <c r="C426" i="3"/>
  <c r="C410" i="3"/>
  <c r="C378" i="3"/>
  <c r="C362" i="3"/>
  <c r="C346" i="3"/>
  <c r="C330" i="3"/>
  <c r="C314" i="3"/>
  <c r="C473" i="3"/>
  <c r="C457" i="3"/>
  <c r="C223" i="3"/>
  <c r="C425" i="3"/>
  <c r="C409" i="3"/>
  <c r="C393" i="3"/>
  <c r="C377" i="3"/>
  <c r="C361" i="3"/>
  <c r="C345" i="3"/>
  <c r="C329" i="3"/>
  <c r="C313" i="3"/>
  <c r="C488" i="3"/>
  <c r="C472" i="3"/>
  <c r="C456" i="3"/>
  <c r="C440" i="3"/>
  <c r="F690" i="3"/>
  <c r="F674" i="3"/>
  <c r="F658" i="3"/>
  <c r="F642" i="3"/>
  <c r="F626" i="3"/>
  <c r="F610" i="3"/>
  <c r="F594" i="3"/>
  <c r="F578" i="3"/>
  <c r="F562" i="3"/>
  <c r="F546" i="3"/>
  <c r="F520" i="3"/>
  <c r="F504" i="3"/>
  <c r="F488" i="3"/>
  <c r="F472" i="3"/>
  <c r="F456" i="3"/>
  <c r="F440" i="3"/>
  <c r="F404" i="3"/>
  <c r="F321" i="3"/>
  <c r="F230" i="3"/>
  <c r="F148" i="3"/>
  <c r="F65" i="3"/>
  <c r="F956" i="3"/>
  <c r="F828" i="3"/>
  <c r="C1687" i="3"/>
  <c r="C356" i="3"/>
  <c r="C451" i="3"/>
  <c r="C322" i="3"/>
  <c r="C317" i="3"/>
  <c r="C271" i="3"/>
  <c r="G27" i="1"/>
  <c r="I2" i="7"/>
  <c r="F1065" i="3"/>
  <c r="F1081" i="3"/>
  <c r="F1097" i="3"/>
  <c r="F1113" i="3"/>
  <c r="F1129" i="3"/>
  <c r="F1145" i="3"/>
  <c r="F1161" i="3"/>
  <c r="F1177" i="3"/>
  <c r="F1193" i="3"/>
  <c r="F1209" i="3"/>
  <c r="F1225" i="3"/>
  <c r="F1241" i="3"/>
  <c r="F1257" i="3"/>
  <c r="F1273" i="3"/>
  <c r="F1289" i="3"/>
  <c r="F1305" i="3"/>
  <c r="F1321" i="3"/>
  <c r="F1337" i="3"/>
  <c r="F1353" i="3"/>
  <c r="F1369" i="3"/>
  <c r="F1385" i="3"/>
  <c r="F1401" i="3"/>
  <c r="F1417" i="3"/>
  <c r="F1433" i="3"/>
  <c r="F1449" i="3"/>
  <c r="F1465" i="3"/>
  <c r="F1481" i="3"/>
  <c r="F1497" i="3"/>
  <c r="F1513" i="3"/>
  <c r="F1529" i="3"/>
  <c r="F1545" i="3"/>
  <c r="F1561" i="3"/>
  <c r="F1577" i="3"/>
  <c r="F1593" i="3"/>
  <c r="F1609" i="3"/>
  <c r="F1625" i="3"/>
  <c r="F1641" i="3"/>
  <c r="F1657" i="3"/>
  <c r="F1673" i="3"/>
  <c r="F1689" i="3"/>
  <c r="F1705" i="3"/>
  <c r="F767" i="3"/>
  <c r="F783" i="3"/>
  <c r="F799" i="3"/>
  <c r="F815" i="3"/>
  <c r="F1067" i="3"/>
  <c r="F1083" i="3"/>
  <c r="F1099" i="3"/>
  <c r="F1115" i="3"/>
  <c r="F1131" i="3"/>
  <c r="F1147" i="3"/>
  <c r="F1163" i="3"/>
  <c r="F1179" i="3"/>
  <c r="F1195" i="3"/>
  <c r="F1211" i="3"/>
  <c r="F1227" i="3"/>
  <c r="F1243" i="3"/>
  <c r="F1259" i="3"/>
  <c r="F1275" i="3"/>
  <c r="F1291" i="3"/>
  <c r="F1307" i="3"/>
  <c r="F1323" i="3"/>
  <c r="F1339" i="3"/>
  <c r="F1355" i="3"/>
  <c r="F1371" i="3"/>
  <c r="F1387" i="3"/>
  <c r="F1403" i="3"/>
  <c r="F1419" i="3"/>
  <c r="F1435" i="3"/>
  <c r="F1451" i="3"/>
  <c r="F1467" i="3"/>
  <c r="F1483" i="3"/>
  <c r="F1499" i="3"/>
  <c r="F1515" i="3"/>
  <c r="F1531" i="3"/>
  <c r="F1547" i="3"/>
  <c r="F1563" i="3"/>
  <c r="F1579" i="3"/>
  <c r="F1595" i="3"/>
  <c r="F1611" i="3"/>
  <c r="F1627" i="3"/>
  <c r="F1643" i="3"/>
  <c r="F1659" i="3"/>
  <c r="F1675" i="3"/>
  <c r="F1691" i="3"/>
  <c r="F1707" i="3"/>
  <c r="F753" i="3"/>
  <c r="F769" i="3"/>
  <c r="F785" i="3"/>
  <c r="F801" i="3"/>
  <c r="F817" i="3"/>
  <c r="F1068" i="3"/>
  <c r="F1084" i="3"/>
  <c r="F1100" i="3"/>
  <c r="F1116" i="3"/>
  <c r="F1132" i="3"/>
  <c r="F1148" i="3"/>
  <c r="F1164" i="3"/>
  <c r="F1180" i="3"/>
  <c r="F1196" i="3"/>
  <c r="F1212" i="3"/>
  <c r="F1228" i="3"/>
  <c r="F1244" i="3"/>
  <c r="F1260" i="3"/>
  <c r="F1276" i="3"/>
  <c r="F1292" i="3"/>
  <c r="F1308" i="3"/>
  <c r="F1324" i="3"/>
  <c r="F1340" i="3"/>
  <c r="F1356" i="3"/>
  <c r="F1372" i="3"/>
  <c r="F1388" i="3"/>
  <c r="F1404" i="3"/>
  <c r="F1420" i="3"/>
  <c r="F1436" i="3"/>
  <c r="F1452" i="3"/>
  <c r="F1468" i="3"/>
  <c r="F1484" i="3"/>
  <c r="F1500" i="3"/>
  <c r="F1516" i="3"/>
  <c r="F1532" i="3"/>
  <c r="F1548" i="3"/>
  <c r="F1564" i="3"/>
  <c r="F1580" i="3"/>
  <c r="F1596" i="3"/>
  <c r="F1612" i="3"/>
  <c r="F1628" i="3"/>
  <c r="F1644" i="3"/>
  <c r="F1660" i="3"/>
  <c r="F1676" i="3"/>
  <c r="F1692" i="3"/>
  <c r="F1708" i="3"/>
  <c r="F754" i="3"/>
  <c r="F770" i="3"/>
  <c r="F786" i="3"/>
  <c r="F802" i="3"/>
  <c r="F1053" i="3"/>
  <c r="F1069" i="3"/>
  <c r="F1085" i="3"/>
  <c r="F1101" i="3"/>
  <c r="F1117" i="3"/>
  <c r="F1133" i="3"/>
  <c r="F1149" i="3"/>
  <c r="F1165" i="3"/>
  <c r="F1181" i="3"/>
  <c r="F1197" i="3"/>
  <c r="F1213" i="3"/>
  <c r="F1229" i="3"/>
  <c r="F1245" i="3"/>
  <c r="F1261" i="3"/>
  <c r="F1277" i="3"/>
  <c r="F1293" i="3"/>
  <c r="F1309" i="3"/>
  <c r="F1325" i="3"/>
  <c r="F1341" i="3"/>
  <c r="F1357" i="3"/>
  <c r="F1373" i="3"/>
  <c r="F1389" i="3"/>
  <c r="F1405" i="3"/>
  <c r="F1421" i="3"/>
  <c r="F1437" i="3"/>
  <c r="F1453" i="3"/>
  <c r="F1469" i="3"/>
  <c r="F1485" i="3"/>
  <c r="F1501" i="3"/>
  <c r="F1517" i="3"/>
  <c r="F1533" i="3"/>
  <c r="F1549" i="3"/>
  <c r="F1565" i="3"/>
  <c r="F1581" i="3"/>
  <c r="F1597" i="3"/>
  <c r="F1613" i="3"/>
  <c r="F1629" i="3"/>
  <c r="F1645" i="3"/>
  <c r="F1661" i="3"/>
  <c r="F1677" i="3"/>
  <c r="F1693" i="3"/>
  <c r="F1709" i="3"/>
  <c r="F755" i="3"/>
  <c r="F771" i="3"/>
  <c r="F787" i="3"/>
  <c r="F803" i="3"/>
  <c r="F1054" i="3"/>
  <c r="F1070" i="3"/>
  <c r="F1086" i="3"/>
  <c r="F1102" i="3"/>
  <c r="F1118" i="3"/>
  <c r="F1134" i="3"/>
  <c r="F1150" i="3"/>
  <c r="F1166" i="3"/>
  <c r="F1182" i="3"/>
  <c r="F1198" i="3"/>
  <c r="F1214" i="3"/>
  <c r="F1230" i="3"/>
  <c r="F1246" i="3"/>
  <c r="F1262" i="3"/>
  <c r="F1278" i="3"/>
  <c r="F1294" i="3"/>
  <c r="F1310" i="3"/>
  <c r="F1326" i="3"/>
  <c r="F1342" i="3"/>
  <c r="F1358" i="3"/>
  <c r="F1374" i="3"/>
  <c r="F1390" i="3"/>
  <c r="F1406" i="3"/>
  <c r="F1422" i="3"/>
  <c r="F1438" i="3"/>
  <c r="F1454" i="3"/>
  <c r="F1470" i="3"/>
  <c r="F1486" i="3"/>
  <c r="F1502" i="3"/>
  <c r="F1518" i="3"/>
  <c r="F1534" i="3"/>
  <c r="F1550" i="3"/>
  <c r="F1566" i="3"/>
  <c r="F1582" i="3"/>
  <c r="F1598" i="3"/>
  <c r="F1614" i="3"/>
  <c r="F1630" i="3"/>
  <c r="F1646" i="3"/>
  <c r="F1662" i="3"/>
  <c r="F1678" i="3"/>
  <c r="F1694" i="3"/>
  <c r="F756" i="3"/>
  <c r="F772" i="3"/>
  <c r="F788" i="3"/>
  <c r="F804" i="3"/>
  <c r="F1055" i="3"/>
  <c r="F1071" i="3"/>
  <c r="F1087" i="3"/>
  <c r="F1103" i="3"/>
  <c r="F1119" i="3"/>
  <c r="F1135" i="3"/>
  <c r="F1151" i="3"/>
  <c r="F1167" i="3"/>
  <c r="F1183" i="3"/>
  <c r="F1199" i="3"/>
  <c r="F1215" i="3"/>
  <c r="F1231" i="3"/>
  <c r="F1247" i="3"/>
  <c r="F1263" i="3"/>
  <c r="F1279" i="3"/>
  <c r="F1295" i="3"/>
  <c r="F1311" i="3"/>
  <c r="F1327" i="3"/>
  <c r="F1343" i="3"/>
  <c r="F1359" i="3"/>
  <c r="F1375" i="3"/>
  <c r="F1391" i="3"/>
  <c r="F1407" i="3"/>
  <c r="F1423" i="3"/>
  <c r="F1439" i="3"/>
  <c r="F1455" i="3"/>
  <c r="F1471" i="3"/>
  <c r="F1487" i="3"/>
  <c r="F1503" i="3"/>
  <c r="F1519" i="3"/>
  <c r="F1535" i="3"/>
  <c r="F1551" i="3"/>
  <c r="F1567" i="3"/>
  <c r="F1583" i="3"/>
  <c r="F1599" i="3"/>
  <c r="F1615" i="3"/>
  <c r="F1631" i="3"/>
  <c r="F1647" i="3"/>
  <c r="F1663" i="3"/>
  <c r="F1679" i="3"/>
  <c r="F1695" i="3"/>
  <c r="F757" i="3"/>
  <c r="F773" i="3"/>
  <c r="F789" i="3"/>
  <c r="F805" i="3"/>
  <c r="F1056" i="3"/>
  <c r="F1072" i="3"/>
  <c r="F1088" i="3"/>
  <c r="F1104" i="3"/>
  <c r="F1120" i="3"/>
  <c r="F1136" i="3"/>
  <c r="F1152" i="3"/>
  <c r="F1168" i="3"/>
  <c r="F1184" i="3"/>
  <c r="F1200" i="3"/>
  <c r="F1216" i="3"/>
  <c r="F1232" i="3"/>
  <c r="F1248" i="3"/>
  <c r="F1264" i="3"/>
  <c r="F1280" i="3"/>
  <c r="F1296" i="3"/>
  <c r="F1312" i="3"/>
  <c r="F1328" i="3"/>
  <c r="F1344" i="3"/>
  <c r="F1360" i="3"/>
  <c r="F1376" i="3"/>
  <c r="F1392" i="3"/>
  <c r="F1408" i="3"/>
  <c r="F1424" i="3"/>
  <c r="F1440" i="3"/>
  <c r="F1456" i="3"/>
  <c r="F1472" i="3"/>
  <c r="F1488" i="3"/>
  <c r="F1504" i="3"/>
  <c r="F1520" i="3"/>
  <c r="F1536" i="3"/>
  <c r="F1552" i="3"/>
  <c r="F1568" i="3"/>
  <c r="F1584" i="3"/>
  <c r="F1600" i="3"/>
  <c r="F1616" i="3"/>
  <c r="F1632" i="3"/>
  <c r="F1648" i="3"/>
  <c r="F1664" i="3"/>
  <c r="F1680" i="3"/>
  <c r="F1696" i="3"/>
  <c r="F758" i="3"/>
  <c r="F774" i="3"/>
  <c r="F790" i="3"/>
  <c r="F806" i="3"/>
  <c r="F1057" i="3"/>
  <c r="F1073" i="3"/>
  <c r="F1089" i="3"/>
  <c r="F1105" i="3"/>
  <c r="F1121" i="3"/>
  <c r="F1137" i="3"/>
  <c r="F1153" i="3"/>
  <c r="F1169" i="3"/>
  <c r="F1185" i="3"/>
  <c r="F1201" i="3"/>
  <c r="F1217" i="3"/>
  <c r="F1233" i="3"/>
  <c r="F1249" i="3"/>
  <c r="F1265" i="3"/>
  <c r="F1281" i="3"/>
  <c r="F1297" i="3"/>
  <c r="F1313" i="3"/>
  <c r="F1329" i="3"/>
  <c r="F1345" i="3"/>
  <c r="F1361" i="3"/>
  <c r="F1377" i="3"/>
  <c r="F1393" i="3"/>
  <c r="F1409" i="3"/>
  <c r="F1425" i="3"/>
  <c r="F1441" i="3"/>
  <c r="F1457" i="3"/>
  <c r="F1473" i="3"/>
  <c r="F1489" i="3"/>
  <c r="F1505" i="3"/>
  <c r="F1521" i="3"/>
  <c r="F1537" i="3"/>
  <c r="F1553" i="3"/>
  <c r="F1569" i="3"/>
  <c r="F1585" i="3"/>
  <c r="F1601" i="3"/>
  <c r="F1617" i="3"/>
  <c r="F1633" i="3"/>
  <c r="F1649" i="3"/>
  <c r="F1665" i="3"/>
  <c r="F1681" i="3"/>
  <c r="F1697" i="3"/>
  <c r="F759" i="3"/>
  <c r="F775" i="3"/>
  <c r="F791" i="3"/>
  <c r="F807" i="3"/>
  <c r="F1058" i="3"/>
  <c r="F1074" i="3"/>
  <c r="F1090" i="3"/>
  <c r="F1106" i="3"/>
  <c r="F1122" i="3"/>
  <c r="F1138" i="3"/>
  <c r="F1154" i="3"/>
  <c r="F1170" i="3"/>
  <c r="F1186" i="3"/>
  <c r="F1202" i="3"/>
  <c r="F1218" i="3"/>
  <c r="F1234" i="3"/>
  <c r="F1250" i="3"/>
  <c r="F1266" i="3"/>
  <c r="F1282" i="3"/>
  <c r="F1298" i="3"/>
  <c r="F1314" i="3"/>
  <c r="F1330" i="3"/>
  <c r="F1346" i="3"/>
  <c r="F1362" i="3"/>
  <c r="F1378" i="3"/>
  <c r="F1394" i="3"/>
  <c r="F1410" i="3"/>
  <c r="F1426" i="3"/>
  <c r="F1442" i="3"/>
  <c r="F1458" i="3"/>
  <c r="F1474" i="3"/>
  <c r="F1490" i="3"/>
  <c r="F1506" i="3"/>
  <c r="F1522" i="3"/>
  <c r="F1538" i="3"/>
  <c r="F1554" i="3"/>
  <c r="F1570" i="3"/>
  <c r="F1586" i="3"/>
  <c r="F1602" i="3"/>
  <c r="F1618" i="3"/>
  <c r="F1634" i="3"/>
  <c r="F1650" i="3"/>
  <c r="F1666" i="3"/>
  <c r="F1682" i="3"/>
  <c r="F1698" i="3"/>
  <c r="F760" i="3"/>
  <c r="F776" i="3"/>
  <c r="F792" i="3"/>
  <c r="F808" i="3"/>
  <c r="F1059" i="3"/>
  <c r="F1075" i="3"/>
  <c r="F1091" i="3"/>
  <c r="F1107" i="3"/>
  <c r="F1123" i="3"/>
  <c r="F1139" i="3"/>
  <c r="F1155" i="3"/>
  <c r="F1171" i="3"/>
  <c r="F1187" i="3"/>
  <c r="F1203" i="3"/>
  <c r="F1219" i="3"/>
  <c r="F1235" i="3"/>
  <c r="F1251" i="3"/>
  <c r="F1267" i="3"/>
  <c r="F1283" i="3"/>
  <c r="F1299" i="3"/>
  <c r="F1315" i="3"/>
  <c r="F1331" i="3"/>
  <c r="F1347" i="3"/>
  <c r="F1363" i="3"/>
  <c r="F1379" i="3"/>
  <c r="F1395" i="3"/>
  <c r="F1411" i="3"/>
  <c r="F1427" i="3"/>
  <c r="F1443" i="3"/>
  <c r="F1459" i="3"/>
  <c r="F1475" i="3"/>
  <c r="F1491" i="3"/>
  <c r="F1507" i="3"/>
  <c r="F1523" i="3"/>
  <c r="F1539" i="3"/>
  <c r="F1555" i="3"/>
  <c r="F1571" i="3"/>
  <c r="F1587" i="3"/>
  <c r="F1603" i="3"/>
  <c r="F1619" i="3"/>
  <c r="F1635" i="3"/>
  <c r="F1651" i="3"/>
  <c r="F1667" i="3"/>
  <c r="F1683" i="3"/>
  <c r="F1699" i="3"/>
  <c r="F761" i="3"/>
  <c r="F777" i="3"/>
  <c r="F793" i="3"/>
  <c r="F809" i="3"/>
  <c r="F1060" i="3"/>
  <c r="F1076" i="3"/>
  <c r="F1092" i="3"/>
  <c r="F1108" i="3"/>
  <c r="F1124" i="3"/>
  <c r="F1140" i="3"/>
  <c r="F1156" i="3"/>
  <c r="F1172" i="3"/>
  <c r="F1188" i="3"/>
  <c r="F1204" i="3"/>
  <c r="F1220" i="3"/>
  <c r="F1236" i="3"/>
  <c r="F1252" i="3"/>
  <c r="F1268" i="3"/>
  <c r="F1284" i="3"/>
  <c r="F1300" i="3"/>
  <c r="F1316" i="3"/>
  <c r="F1332" i="3"/>
  <c r="F1348" i="3"/>
  <c r="F1364" i="3"/>
  <c r="F1380" i="3"/>
  <c r="F1396" i="3"/>
  <c r="F1412" i="3"/>
  <c r="F1428" i="3"/>
  <c r="F1444" i="3"/>
  <c r="F1460" i="3"/>
  <c r="F1476" i="3"/>
  <c r="F1492" i="3"/>
  <c r="F1508" i="3"/>
  <c r="F1524" i="3"/>
  <c r="F1540" i="3"/>
  <c r="F1556" i="3"/>
  <c r="F1572" i="3"/>
  <c r="F1588" i="3"/>
  <c r="F1604" i="3"/>
  <c r="F1620" i="3"/>
  <c r="F1636" i="3"/>
  <c r="F1652" i="3"/>
  <c r="F1668" i="3"/>
  <c r="F1684" i="3"/>
  <c r="F1700" i="3"/>
  <c r="F762" i="3"/>
  <c r="F778" i="3"/>
  <c r="F794" i="3"/>
  <c r="F810" i="3"/>
  <c r="F1063" i="3"/>
  <c r="F1079" i="3"/>
  <c r="F1095" i="3"/>
  <c r="F1111" i="3"/>
  <c r="F1127" i="3"/>
  <c r="F1143" i="3"/>
  <c r="F1159" i="3"/>
  <c r="F1175" i="3"/>
  <c r="F1191" i="3"/>
  <c r="F1207" i="3"/>
  <c r="F1223" i="3"/>
  <c r="F1239" i="3"/>
  <c r="F1255" i="3"/>
  <c r="F1271" i="3"/>
  <c r="F1287" i="3"/>
  <c r="F1303" i="3"/>
  <c r="F1319" i="3"/>
  <c r="F1335" i="3"/>
  <c r="F1351" i="3"/>
  <c r="F1367" i="3"/>
  <c r="F1383" i="3"/>
  <c r="F1399" i="3"/>
  <c r="F1415" i="3"/>
  <c r="F1431" i="3"/>
  <c r="F1447" i="3"/>
  <c r="F1463" i="3"/>
  <c r="F1479" i="3"/>
  <c r="F1495" i="3"/>
  <c r="F1511" i="3"/>
  <c r="F1527" i="3"/>
  <c r="F1543" i="3"/>
  <c r="F1559" i="3"/>
  <c r="F1575" i="3"/>
  <c r="F1591" i="3"/>
  <c r="F1607" i="3"/>
  <c r="F1623" i="3"/>
  <c r="F1639" i="3"/>
  <c r="F1655" i="3"/>
  <c r="F1671" i="3"/>
  <c r="F1687" i="3"/>
  <c r="F1703" i="3"/>
  <c r="F765" i="3"/>
  <c r="F781" i="3"/>
  <c r="F797" i="3"/>
  <c r="F813" i="3"/>
  <c r="F1064" i="3"/>
  <c r="F1080" i="3"/>
  <c r="F1096" i="3"/>
  <c r="F1112" i="3"/>
  <c r="F1128" i="3"/>
  <c r="F1144" i="3"/>
  <c r="F1160" i="3"/>
  <c r="F1176" i="3"/>
  <c r="F1192" i="3"/>
  <c r="F1208" i="3"/>
  <c r="F1224" i="3"/>
  <c r="F1240" i="3"/>
  <c r="F1256" i="3"/>
  <c r="F1272" i="3"/>
  <c r="F1288" i="3"/>
  <c r="F1304" i="3"/>
  <c r="F1320" i="3"/>
  <c r="F1336" i="3"/>
  <c r="F1352" i="3"/>
  <c r="F1368" i="3"/>
  <c r="F1384" i="3"/>
  <c r="F1400" i="3"/>
  <c r="F1416" i="3"/>
  <c r="F1432" i="3"/>
  <c r="F1448" i="3"/>
  <c r="F1464" i="3"/>
  <c r="F1480" i="3"/>
  <c r="F1496" i="3"/>
  <c r="F1512" i="3"/>
  <c r="F1528" i="3"/>
  <c r="F1544" i="3"/>
  <c r="F1560" i="3"/>
  <c r="F1576" i="3"/>
  <c r="F1592" i="3"/>
  <c r="F1608" i="3"/>
  <c r="F1624" i="3"/>
  <c r="F1640" i="3"/>
  <c r="F1656" i="3"/>
  <c r="F1672" i="3"/>
  <c r="F1688" i="3"/>
  <c r="F1704" i="3"/>
  <c r="F766" i="3"/>
  <c r="F782" i="3"/>
  <c r="F798" i="3"/>
  <c r="F814" i="3"/>
  <c r="F1125" i="3"/>
  <c r="F1206" i="3"/>
  <c r="F1290" i="3"/>
  <c r="F1381" i="3"/>
  <c r="F1462" i="3"/>
  <c r="F1546" i="3"/>
  <c r="F1637" i="3"/>
  <c r="F811" i="3"/>
  <c r="F831" i="3"/>
  <c r="F847" i="3"/>
  <c r="F863" i="3"/>
  <c r="F879" i="3"/>
  <c r="F895" i="3"/>
  <c r="F911" i="3"/>
  <c r="F927" i="3"/>
  <c r="F943" i="3"/>
  <c r="F959" i="3"/>
  <c r="F975" i="3"/>
  <c r="F991" i="3"/>
  <c r="F1007" i="3"/>
  <c r="F1023" i="3"/>
  <c r="F1039" i="3"/>
  <c r="F693" i="3"/>
  <c r="F709" i="3"/>
  <c r="F725" i="3"/>
  <c r="F741" i="3"/>
  <c r="F7" i="3"/>
  <c r="F23" i="3"/>
  <c r="F39" i="3"/>
  <c r="F55" i="3"/>
  <c r="F71" i="3"/>
  <c r="F87" i="3"/>
  <c r="F103" i="3"/>
  <c r="F119" i="3"/>
  <c r="F135" i="3"/>
  <c r="F151" i="3"/>
  <c r="F167" i="3"/>
  <c r="F183" i="3"/>
  <c r="F199" i="3"/>
  <c r="F215" i="3"/>
  <c r="F231" i="3"/>
  <c r="F247" i="3"/>
  <c r="F263" i="3"/>
  <c r="F279" i="3"/>
  <c r="F295" i="3"/>
  <c r="F311" i="3"/>
  <c r="F327" i="3"/>
  <c r="F343" i="3"/>
  <c r="F359" i="3"/>
  <c r="F375" i="3"/>
  <c r="F391" i="3"/>
  <c r="F407" i="3"/>
  <c r="F423" i="3"/>
  <c r="F1126" i="3"/>
  <c r="F1210" i="3"/>
  <c r="F1301" i="3"/>
  <c r="F1382" i="3"/>
  <c r="F1466" i="3"/>
  <c r="F1557" i="3"/>
  <c r="F1638" i="3"/>
  <c r="F812" i="3"/>
  <c r="F832" i="3"/>
  <c r="F848" i="3"/>
  <c r="F864" i="3"/>
  <c r="F880" i="3"/>
  <c r="F896" i="3"/>
  <c r="F912" i="3"/>
  <c r="F928" i="3"/>
  <c r="F944" i="3"/>
  <c r="F960" i="3"/>
  <c r="F976" i="3"/>
  <c r="F992" i="3"/>
  <c r="F1008" i="3"/>
  <c r="F1024" i="3"/>
  <c r="F1040" i="3"/>
  <c r="F694" i="3"/>
  <c r="F710" i="3"/>
  <c r="F726" i="3"/>
  <c r="F742" i="3"/>
  <c r="F8" i="3"/>
  <c r="F24" i="3"/>
  <c r="F40" i="3"/>
  <c r="F56" i="3"/>
  <c r="F72" i="3"/>
  <c r="F88" i="3"/>
  <c r="F104" i="3"/>
  <c r="F120" i="3"/>
  <c r="F136" i="3"/>
  <c r="F152" i="3"/>
  <c r="F168" i="3"/>
  <c r="F184" i="3"/>
  <c r="F200" i="3"/>
  <c r="F216" i="3"/>
  <c r="F232" i="3"/>
  <c r="F248" i="3"/>
  <c r="F264" i="3"/>
  <c r="F280" i="3"/>
  <c r="F296" i="3"/>
  <c r="F312" i="3"/>
  <c r="F328" i="3"/>
  <c r="F344" i="3"/>
  <c r="F360" i="3"/>
  <c r="F376" i="3"/>
  <c r="F392" i="3"/>
  <c r="F408" i="3"/>
  <c r="F424" i="3"/>
  <c r="F1130" i="3"/>
  <c r="F1221" i="3"/>
  <c r="F1302" i="3"/>
  <c r="F1386" i="3"/>
  <c r="F1477" i="3"/>
  <c r="F1558" i="3"/>
  <c r="F1642" i="3"/>
  <c r="F816" i="3"/>
  <c r="F833" i="3"/>
  <c r="F849" i="3"/>
  <c r="F865" i="3"/>
  <c r="F881" i="3"/>
  <c r="F897" i="3"/>
  <c r="F913" i="3"/>
  <c r="F929" i="3"/>
  <c r="F945" i="3"/>
  <c r="F961" i="3"/>
  <c r="F977" i="3"/>
  <c r="F993" i="3"/>
  <c r="F1009" i="3"/>
  <c r="F1025" i="3"/>
  <c r="F1041" i="3"/>
  <c r="F695" i="3"/>
  <c r="F711" i="3"/>
  <c r="F727" i="3"/>
  <c r="F743" i="3"/>
  <c r="F9" i="3"/>
  <c r="F25" i="3"/>
  <c r="F41" i="3"/>
  <c r="F57" i="3"/>
  <c r="F73" i="3"/>
  <c r="F89" i="3"/>
  <c r="F105" i="3"/>
  <c r="F121" i="3"/>
  <c r="F137" i="3"/>
  <c r="F153" i="3"/>
  <c r="F169" i="3"/>
  <c r="F185" i="3"/>
  <c r="F201" i="3"/>
  <c r="F217" i="3"/>
  <c r="F233" i="3"/>
  <c r="F249" i="3"/>
  <c r="F265" i="3"/>
  <c r="F281" i="3"/>
  <c r="F297" i="3"/>
  <c r="F313" i="3"/>
  <c r="F329" i="3"/>
  <c r="F345" i="3"/>
  <c r="F361" i="3"/>
  <c r="F377" i="3"/>
  <c r="F393" i="3"/>
  <c r="F409" i="3"/>
  <c r="F425" i="3"/>
  <c r="F1141" i="3"/>
  <c r="F1222" i="3"/>
  <c r="F1306" i="3"/>
  <c r="F1397" i="3"/>
  <c r="F1478" i="3"/>
  <c r="F1562" i="3"/>
  <c r="F1653" i="3"/>
  <c r="F818" i="3"/>
  <c r="F834" i="3"/>
  <c r="F850" i="3"/>
  <c r="F866" i="3"/>
  <c r="F882" i="3"/>
  <c r="F898" i="3"/>
  <c r="F914" i="3"/>
  <c r="F930" i="3"/>
  <c r="F946" i="3"/>
  <c r="F962" i="3"/>
  <c r="F978" i="3"/>
  <c r="F994" i="3"/>
  <c r="F1010" i="3"/>
  <c r="F1026" i="3"/>
  <c r="F1042" i="3"/>
  <c r="F696" i="3"/>
  <c r="F712" i="3"/>
  <c r="F728" i="3"/>
  <c r="F744" i="3"/>
  <c r="F10" i="3"/>
  <c r="F26" i="3"/>
  <c r="F42" i="3"/>
  <c r="F58" i="3"/>
  <c r="F74" i="3"/>
  <c r="F90" i="3"/>
  <c r="F106" i="3"/>
  <c r="F122" i="3"/>
  <c r="F138" i="3"/>
  <c r="F154" i="3"/>
  <c r="F170" i="3"/>
  <c r="F186" i="3"/>
  <c r="F202" i="3"/>
  <c r="F218" i="3"/>
  <c r="F234" i="3"/>
  <c r="F250" i="3"/>
  <c r="F266" i="3"/>
  <c r="F282" i="3"/>
  <c r="F298" i="3"/>
  <c r="F314" i="3"/>
  <c r="F330" i="3"/>
  <c r="F346" i="3"/>
  <c r="F362" i="3"/>
  <c r="F378" i="3"/>
  <c r="F394" i="3"/>
  <c r="F410" i="3"/>
  <c r="F426" i="3"/>
  <c r="F1061" i="3"/>
  <c r="F1142" i="3"/>
  <c r="F1226" i="3"/>
  <c r="F1317" i="3"/>
  <c r="F1398" i="3"/>
  <c r="F1482" i="3"/>
  <c r="F1573" i="3"/>
  <c r="F1654" i="3"/>
  <c r="F819" i="3"/>
  <c r="F835" i="3"/>
  <c r="F851" i="3"/>
  <c r="F867" i="3"/>
  <c r="F883" i="3"/>
  <c r="F899" i="3"/>
  <c r="F915" i="3"/>
  <c r="F931" i="3"/>
  <c r="F947" i="3"/>
  <c r="F963" i="3"/>
  <c r="F979" i="3"/>
  <c r="F995" i="3"/>
  <c r="F1011" i="3"/>
  <c r="F1027" i="3"/>
  <c r="F1043" i="3"/>
  <c r="F697" i="3"/>
  <c r="F713" i="3"/>
  <c r="F729" i="3"/>
  <c r="F745" i="3"/>
  <c r="F11" i="3"/>
  <c r="F27" i="3"/>
  <c r="F43" i="3"/>
  <c r="F59" i="3"/>
  <c r="F75" i="3"/>
  <c r="F91" i="3"/>
  <c r="F107" i="3"/>
  <c r="F123" i="3"/>
  <c r="F139" i="3"/>
  <c r="F155" i="3"/>
  <c r="F171" i="3"/>
  <c r="F187" i="3"/>
  <c r="F203" i="3"/>
  <c r="F219" i="3"/>
  <c r="F235" i="3"/>
  <c r="F251" i="3"/>
  <c r="F267" i="3"/>
  <c r="F283" i="3"/>
  <c r="F299" i="3"/>
  <c r="F315" i="3"/>
  <c r="F331" i="3"/>
  <c r="F347" i="3"/>
  <c r="F363" i="3"/>
  <c r="F379" i="3"/>
  <c r="F395" i="3"/>
  <c r="F411" i="3"/>
  <c r="F427" i="3"/>
  <c r="F1062" i="3"/>
  <c r="F1146" i="3"/>
  <c r="F1237" i="3"/>
  <c r="F1318" i="3"/>
  <c r="F1402" i="3"/>
  <c r="F1493" i="3"/>
  <c r="F1574" i="3"/>
  <c r="F1658" i="3"/>
  <c r="F820" i="3"/>
  <c r="F836" i="3"/>
  <c r="F852" i="3"/>
  <c r="F868" i="3"/>
  <c r="F884" i="3"/>
  <c r="F900" i="3"/>
  <c r="F916" i="3"/>
  <c r="F932" i="3"/>
  <c r="F948" i="3"/>
  <c r="F964" i="3"/>
  <c r="F980" i="3"/>
  <c r="F996" i="3"/>
  <c r="F1012" i="3"/>
  <c r="F1028" i="3"/>
  <c r="F1044" i="3"/>
  <c r="F698" i="3"/>
  <c r="F714" i="3"/>
  <c r="F730" i="3"/>
  <c r="F746" i="3"/>
  <c r="F12" i="3"/>
  <c r="F28" i="3"/>
  <c r="F44" i="3"/>
  <c r="F60" i="3"/>
  <c r="F76" i="3"/>
  <c r="F92" i="3"/>
  <c r="F108" i="3"/>
  <c r="F124" i="3"/>
  <c r="F140" i="3"/>
  <c r="F156" i="3"/>
  <c r="F172" i="3"/>
  <c r="F188" i="3"/>
  <c r="F204" i="3"/>
  <c r="F220" i="3"/>
  <c r="F236" i="3"/>
  <c r="F252" i="3"/>
  <c r="F268" i="3"/>
  <c r="F284" i="3"/>
  <c r="F300" i="3"/>
  <c r="F316" i="3"/>
  <c r="F332" i="3"/>
  <c r="F348" i="3"/>
  <c r="F364" i="3"/>
  <c r="F380" i="3"/>
  <c r="F396" i="3"/>
  <c r="F412" i="3"/>
  <c r="F1066" i="3"/>
  <c r="F1157" i="3"/>
  <c r="F1238" i="3"/>
  <c r="F1322" i="3"/>
  <c r="F1413" i="3"/>
  <c r="F1494" i="3"/>
  <c r="F1578" i="3"/>
  <c r="F1669" i="3"/>
  <c r="F821" i="3"/>
  <c r="F837" i="3"/>
  <c r="F853" i="3"/>
  <c r="F869" i="3"/>
  <c r="F885" i="3"/>
  <c r="F901" i="3"/>
  <c r="F917" i="3"/>
  <c r="F933" i="3"/>
  <c r="F949" i="3"/>
  <c r="F965" i="3"/>
  <c r="F981" i="3"/>
  <c r="F997" i="3"/>
  <c r="F1013" i="3"/>
  <c r="F1029" i="3"/>
  <c r="F1045" i="3"/>
  <c r="F699" i="3"/>
  <c r="F715" i="3"/>
  <c r="F731" i="3"/>
  <c r="F747" i="3"/>
  <c r="F13" i="3"/>
  <c r="F29" i="3"/>
  <c r="F45" i="3"/>
  <c r="F61" i="3"/>
  <c r="F77" i="3"/>
  <c r="F93" i="3"/>
  <c r="F109" i="3"/>
  <c r="F125" i="3"/>
  <c r="F141" i="3"/>
  <c r="F157" i="3"/>
  <c r="F173" i="3"/>
  <c r="F189" i="3"/>
  <c r="F205" i="3"/>
  <c r="F221" i="3"/>
  <c r="F237" i="3"/>
  <c r="F253" i="3"/>
  <c r="F269" i="3"/>
  <c r="F285" i="3"/>
  <c r="F301" i="3"/>
  <c r="F317" i="3"/>
  <c r="F333" i="3"/>
  <c r="F349" i="3"/>
  <c r="F365" i="3"/>
  <c r="F381" i="3"/>
  <c r="F397" i="3"/>
  <c r="F413" i="3"/>
  <c r="F429" i="3"/>
  <c r="F1077" i="3"/>
  <c r="F1158" i="3"/>
  <c r="F1242" i="3"/>
  <c r="F1333" i="3"/>
  <c r="F1414" i="3"/>
  <c r="F1498" i="3"/>
  <c r="F1589" i="3"/>
  <c r="F1670" i="3"/>
  <c r="F763" i="3"/>
  <c r="F822" i="3"/>
  <c r="F838" i="3"/>
  <c r="F854" i="3"/>
  <c r="F870" i="3"/>
  <c r="F886" i="3"/>
  <c r="F902" i="3"/>
  <c r="F918" i="3"/>
  <c r="F934" i="3"/>
  <c r="F950" i="3"/>
  <c r="F966" i="3"/>
  <c r="F982" i="3"/>
  <c r="F998" i="3"/>
  <c r="F1014" i="3"/>
  <c r="F1030" i="3"/>
  <c r="F1046" i="3"/>
  <c r="F700" i="3"/>
  <c r="F716" i="3"/>
  <c r="F732" i="3"/>
  <c r="F748" i="3"/>
  <c r="F14" i="3"/>
  <c r="F30" i="3"/>
  <c r="F46" i="3"/>
  <c r="F62" i="3"/>
  <c r="F78" i="3"/>
  <c r="F94" i="3"/>
  <c r="F110" i="3"/>
  <c r="F126" i="3"/>
  <c r="F142" i="3"/>
  <c r="F158" i="3"/>
  <c r="F174" i="3"/>
  <c r="F190" i="3"/>
  <c r="F206" i="3"/>
  <c r="F222" i="3"/>
  <c r="F238" i="3"/>
  <c r="F254" i="3"/>
  <c r="F270" i="3"/>
  <c r="F286" i="3"/>
  <c r="F302" i="3"/>
  <c r="F318" i="3"/>
  <c r="F334" i="3"/>
  <c r="F350" i="3"/>
  <c r="F366" i="3"/>
  <c r="F382" i="3"/>
  <c r="F398" i="3"/>
  <c r="F414" i="3"/>
  <c r="F1078" i="3"/>
  <c r="F1162" i="3"/>
  <c r="F1253" i="3"/>
  <c r="F1334" i="3"/>
  <c r="F1418" i="3"/>
  <c r="F1509" i="3"/>
  <c r="F1590" i="3"/>
  <c r="F1674" i="3"/>
  <c r="F764" i="3"/>
  <c r="F823" i="3"/>
  <c r="F839" i="3"/>
  <c r="F855" i="3"/>
  <c r="F871" i="3"/>
  <c r="F887" i="3"/>
  <c r="F903" i="3"/>
  <c r="F919" i="3"/>
  <c r="F935" i="3"/>
  <c r="F951" i="3"/>
  <c r="F967" i="3"/>
  <c r="F983" i="3"/>
  <c r="F999" i="3"/>
  <c r="F1015" i="3"/>
  <c r="F1031" i="3"/>
  <c r="F1047" i="3"/>
  <c r="F701" i="3"/>
  <c r="F717" i="3"/>
  <c r="F733" i="3"/>
  <c r="F749" i="3"/>
  <c r="F15" i="3"/>
  <c r="F31" i="3"/>
  <c r="F47" i="3"/>
  <c r="F63" i="3"/>
  <c r="F79" i="3"/>
  <c r="F95" i="3"/>
  <c r="F111" i="3"/>
  <c r="F127" i="3"/>
  <c r="F143" i="3"/>
  <c r="F159" i="3"/>
  <c r="F175" i="3"/>
  <c r="F191" i="3"/>
  <c r="F207" i="3"/>
  <c r="F223" i="3"/>
  <c r="F239" i="3"/>
  <c r="F255" i="3"/>
  <c r="F271" i="3"/>
  <c r="F287" i="3"/>
  <c r="F303" i="3"/>
  <c r="F319" i="3"/>
  <c r="F335" i="3"/>
  <c r="F351" i="3"/>
  <c r="F367" i="3"/>
  <c r="F383" i="3"/>
  <c r="F399" i="3"/>
  <c r="F415" i="3"/>
  <c r="F1082" i="3"/>
  <c r="F1173" i="3"/>
  <c r="F1254" i="3"/>
  <c r="F1338" i="3"/>
  <c r="F1429" i="3"/>
  <c r="F1510" i="3"/>
  <c r="F1594" i="3"/>
  <c r="F1685" i="3"/>
  <c r="F768" i="3"/>
  <c r="F824" i="3"/>
  <c r="F840" i="3"/>
  <c r="F856" i="3"/>
  <c r="F872" i="3"/>
  <c r="F888" i="3"/>
  <c r="F904" i="3"/>
  <c r="F920" i="3"/>
  <c r="F936" i="3"/>
  <c r="F952" i="3"/>
  <c r="F968" i="3"/>
  <c r="F984" i="3"/>
  <c r="F1000" i="3"/>
  <c r="F1016" i="3"/>
  <c r="F1032" i="3"/>
  <c r="F1048" i="3"/>
  <c r="F702" i="3"/>
  <c r="F718" i="3"/>
  <c r="F734" i="3"/>
  <c r="F750" i="3"/>
  <c r="F16" i="3"/>
  <c r="F32" i="3"/>
  <c r="F48" i="3"/>
  <c r="F64" i="3"/>
  <c r="F80" i="3"/>
  <c r="F96" i="3"/>
  <c r="F112" i="3"/>
  <c r="F128" i="3"/>
  <c r="F144" i="3"/>
  <c r="F160" i="3"/>
  <c r="F176" i="3"/>
  <c r="F192" i="3"/>
  <c r="F208" i="3"/>
  <c r="F224" i="3"/>
  <c r="F240" i="3"/>
  <c r="F256" i="3"/>
  <c r="F272" i="3"/>
  <c r="F288" i="3"/>
  <c r="F304" i="3"/>
  <c r="F320" i="3"/>
  <c r="F336" i="3"/>
  <c r="F352" i="3"/>
  <c r="F368" i="3"/>
  <c r="F384" i="3"/>
  <c r="F400" i="3"/>
  <c r="F416" i="3"/>
  <c r="F1093" i="3"/>
  <c r="F1174" i="3"/>
  <c r="F1258" i="3"/>
  <c r="F1349" i="3"/>
  <c r="F1430" i="3"/>
  <c r="F1514" i="3"/>
  <c r="F1605" i="3"/>
  <c r="F1686" i="3"/>
  <c r="F779" i="3"/>
  <c r="F825" i="3"/>
  <c r="F841" i="3"/>
  <c r="F857" i="3"/>
  <c r="F873" i="3"/>
  <c r="F889" i="3"/>
  <c r="F905" i="3"/>
  <c r="F921" i="3"/>
  <c r="F937" i="3"/>
  <c r="F953" i="3"/>
  <c r="F969" i="3"/>
  <c r="F985" i="3"/>
  <c r="F1001" i="3"/>
  <c r="F1017" i="3"/>
  <c r="F1033" i="3"/>
  <c r="F1049" i="3"/>
  <c r="F703" i="3"/>
  <c r="F719" i="3"/>
  <c r="F735" i="3"/>
  <c r="F751" i="3"/>
  <c r="F1094" i="3"/>
  <c r="F1178" i="3"/>
  <c r="F1269" i="3"/>
  <c r="F1350" i="3"/>
  <c r="F1434" i="3"/>
  <c r="F1525" i="3"/>
  <c r="F1606" i="3"/>
  <c r="F1690" i="3"/>
  <c r="F780" i="3"/>
  <c r="F826" i="3"/>
  <c r="F842" i="3"/>
  <c r="F858" i="3"/>
  <c r="F874" i="3"/>
  <c r="F890" i="3"/>
  <c r="F906" i="3"/>
  <c r="F922" i="3"/>
  <c r="F938" i="3"/>
  <c r="F954" i="3"/>
  <c r="F970" i="3"/>
  <c r="F986" i="3"/>
  <c r="F1002" i="3"/>
  <c r="F1018" i="3"/>
  <c r="F1034" i="3"/>
  <c r="F1050" i="3"/>
  <c r="F704" i="3"/>
  <c r="F720" i="3"/>
  <c r="F736" i="3"/>
  <c r="F752" i="3"/>
  <c r="F2" i="3"/>
  <c r="F18" i="3"/>
  <c r="F34" i="3"/>
  <c r="F50" i="3"/>
  <c r="F66" i="3"/>
  <c r="F82" i="3"/>
  <c r="F98" i="3"/>
  <c r="F114" i="3"/>
  <c r="F130" i="3"/>
  <c r="F146" i="3"/>
  <c r="F162" i="3"/>
  <c r="F178" i="3"/>
  <c r="F194" i="3"/>
  <c r="F210" i="3"/>
  <c r="F226" i="3"/>
  <c r="F242" i="3"/>
  <c r="F258" i="3"/>
  <c r="F274" i="3"/>
  <c r="F290" i="3"/>
  <c r="F306" i="3"/>
  <c r="F322" i="3"/>
  <c r="F338" i="3"/>
  <c r="F354" i="3"/>
  <c r="F370" i="3"/>
  <c r="F386" i="3"/>
  <c r="F402" i="3"/>
  <c r="F418" i="3"/>
  <c r="F1098" i="3"/>
  <c r="F1189" i="3"/>
  <c r="F1270" i="3"/>
  <c r="F1354" i="3"/>
  <c r="F1445" i="3"/>
  <c r="F1526" i="3"/>
  <c r="F1610" i="3"/>
  <c r="F1701" i="3"/>
  <c r="F784" i="3"/>
  <c r="F827" i="3"/>
  <c r="F843" i="3"/>
  <c r="F859" i="3"/>
  <c r="F875" i="3"/>
  <c r="F891" i="3"/>
  <c r="F907" i="3"/>
  <c r="F923" i="3"/>
  <c r="F939" i="3"/>
  <c r="F955" i="3"/>
  <c r="F971" i="3"/>
  <c r="F987" i="3"/>
  <c r="F1003" i="3"/>
  <c r="F1019" i="3"/>
  <c r="F1035" i="3"/>
  <c r="F1051" i="3"/>
  <c r="F705" i="3"/>
  <c r="F721" i="3"/>
  <c r="F737" i="3"/>
  <c r="F3" i="3"/>
  <c r="F19" i="3"/>
  <c r="F35" i="3"/>
  <c r="F51" i="3"/>
  <c r="F67" i="3"/>
  <c r="F83" i="3"/>
  <c r="F99" i="3"/>
  <c r="F115" i="3"/>
  <c r="F131" i="3"/>
  <c r="F147" i="3"/>
  <c r="F163" i="3"/>
  <c r="F179" i="3"/>
  <c r="F195" i="3"/>
  <c r="F211" i="3"/>
  <c r="F227" i="3"/>
  <c r="F243" i="3"/>
  <c r="F259" i="3"/>
  <c r="F275" i="3"/>
  <c r="F291" i="3"/>
  <c r="F307" i="3"/>
  <c r="F323" i="3"/>
  <c r="F339" i="3"/>
  <c r="F355" i="3"/>
  <c r="F371" i="3"/>
  <c r="F387" i="3"/>
  <c r="F403" i="3"/>
  <c r="F419" i="3"/>
  <c r="F1110" i="3"/>
  <c r="F1194" i="3"/>
  <c r="F1285" i="3"/>
  <c r="F1366" i="3"/>
  <c r="F1450" i="3"/>
  <c r="F1541" i="3"/>
  <c r="F1622" i="3"/>
  <c r="F1706" i="3"/>
  <c r="F796" i="3"/>
  <c r="F829" i="3"/>
  <c r="F845" i="3"/>
  <c r="F861" i="3"/>
  <c r="F877" i="3"/>
  <c r="F893" i="3"/>
  <c r="F909" i="3"/>
  <c r="F925" i="3"/>
  <c r="F941" i="3"/>
  <c r="F957" i="3"/>
  <c r="F973" i="3"/>
  <c r="F989" i="3"/>
  <c r="F1005" i="3"/>
  <c r="F1021" i="3"/>
  <c r="F1037" i="3"/>
  <c r="F691" i="3"/>
  <c r="F707" i="3"/>
  <c r="F723" i="3"/>
  <c r="F739" i="3"/>
  <c r="F5" i="3"/>
  <c r="F21" i="3"/>
  <c r="F37" i="3"/>
  <c r="F53" i="3"/>
  <c r="F69" i="3"/>
  <c r="F85" i="3"/>
  <c r="F101" i="3"/>
  <c r="F117" i="3"/>
  <c r="F133" i="3"/>
  <c r="F149" i="3"/>
  <c r="F165" i="3"/>
  <c r="F181" i="3"/>
  <c r="F197" i="3"/>
  <c r="F213" i="3"/>
  <c r="F229" i="3"/>
  <c r="F245" i="3"/>
  <c r="F261" i="3"/>
  <c r="F277" i="3"/>
  <c r="F293" i="3"/>
  <c r="F309" i="3"/>
  <c r="F325" i="3"/>
  <c r="F341" i="3"/>
  <c r="F357" i="3"/>
  <c r="F373" i="3"/>
  <c r="F389" i="3"/>
  <c r="F405" i="3"/>
  <c r="F421" i="3"/>
  <c r="G34" i="1"/>
  <c r="C207" i="3"/>
  <c r="C424" i="3"/>
  <c r="C408" i="3"/>
  <c r="C392" i="3"/>
  <c r="C376" i="3"/>
  <c r="C360" i="3"/>
  <c r="C344" i="3"/>
  <c r="C328" i="3"/>
  <c r="C312" i="3"/>
  <c r="C487" i="3"/>
  <c r="C471" i="3"/>
  <c r="C455" i="3"/>
  <c r="C439" i="3"/>
  <c r="F689" i="3"/>
  <c r="F673" i="3"/>
  <c r="F657" i="3"/>
  <c r="F641" i="3"/>
  <c r="F625" i="3"/>
  <c r="F609" i="3"/>
  <c r="F593" i="3"/>
  <c r="F577" i="3"/>
  <c r="F561" i="3"/>
  <c r="F545" i="3"/>
  <c r="F519" i="3"/>
  <c r="F503" i="3"/>
  <c r="F487" i="3"/>
  <c r="F471" i="3"/>
  <c r="F455" i="3"/>
  <c r="F439" i="3"/>
  <c r="F401" i="3"/>
  <c r="F310" i="3"/>
  <c r="F228" i="3"/>
  <c r="F145" i="3"/>
  <c r="F54" i="3"/>
  <c r="F942" i="3"/>
  <c r="F800" i="3"/>
  <c r="C1618" i="3"/>
  <c r="C418" i="3"/>
  <c r="C465" i="3"/>
  <c r="C381" i="3"/>
  <c r="C444" i="3"/>
  <c r="C15" i="3"/>
  <c r="C191" i="3"/>
  <c r="C423" i="3"/>
  <c r="C407" i="3"/>
  <c r="C391" i="3"/>
  <c r="C375" i="3"/>
  <c r="C359" i="3"/>
  <c r="C343" i="3"/>
  <c r="C327" i="3"/>
  <c r="C311" i="3"/>
  <c r="C486" i="3"/>
  <c r="C470" i="3"/>
  <c r="C454" i="3"/>
  <c r="C438" i="3"/>
  <c r="F688" i="3"/>
  <c r="F672" i="3"/>
  <c r="F656" i="3"/>
  <c r="F640" i="3"/>
  <c r="F624" i="3"/>
  <c r="F608" i="3"/>
  <c r="F592" i="3"/>
  <c r="F576" i="3"/>
  <c r="F560" i="3"/>
  <c r="F544" i="3"/>
  <c r="F518" i="3"/>
  <c r="F502" i="3"/>
  <c r="F486" i="3"/>
  <c r="F470" i="3"/>
  <c r="F454" i="3"/>
  <c r="F438" i="3"/>
  <c r="F390" i="3"/>
  <c r="F308" i="3"/>
  <c r="F225" i="3"/>
  <c r="F134" i="3"/>
  <c r="F52" i="3"/>
  <c r="F940" i="3"/>
  <c r="F795" i="3"/>
  <c r="F1702" i="3"/>
  <c r="C370" i="3"/>
  <c r="C30" i="3"/>
  <c r="C476" i="3"/>
  <c r="C175" i="3"/>
  <c r="C326" i="3"/>
  <c r="C469" i="3"/>
  <c r="C437" i="3"/>
  <c r="F687" i="3"/>
  <c r="F671" i="3"/>
  <c r="F655" i="3"/>
  <c r="F639" i="3"/>
  <c r="F623" i="3"/>
  <c r="F607" i="3"/>
  <c r="F591" i="3"/>
  <c r="F575" i="3"/>
  <c r="F559" i="3"/>
  <c r="F543" i="3"/>
  <c r="F517" i="3"/>
  <c r="F501" i="3"/>
  <c r="F485" i="3"/>
  <c r="F469" i="3"/>
  <c r="F453" i="3"/>
  <c r="F437" i="3"/>
  <c r="F388" i="3"/>
  <c r="F305" i="3"/>
  <c r="F214" i="3"/>
  <c r="F132" i="3"/>
  <c r="F49" i="3"/>
  <c r="F926" i="3"/>
  <c r="F1626" i="3"/>
  <c r="C306" i="3"/>
  <c r="C365" i="3"/>
  <c r="C460" i="3"/>
  <c r="C1269" i="3"/>
  <c r="C1285" i="3"/>
  <c r="C1301" i="3"/>
  <c r="C1317" i="3"/>
  <c r="C1333" i="3"/>
  <c r="C1349" i="3"/>
  <c r="C1365" i="3"/>
  <c r="C1381" i="3"/>
  <c r="C1397" i="3"/>
  <c r="C1413" i="3"/>
  <c r="C1429" i="3"/>
  <c r="C1445" i="3"/>
  <c r="C1461" i="3"/>
  <c r="C1477" i="3"/>
  <c r="C1493" i="3"/>
  <c r="C1509" i="3"/>
  <c r="C1525" i="3"/>
  <c r="C1541" i="3"/>
  <c r="C1557" i="3"/>
  <c r="C1573" i="3"/>
  <c r="C1589" i="3"/>
  <c r="C1605" i="3"/>
  <c r="C1271" i="3"/>
  <c r="C1287" i="3"/>
  <c r="C1303" i="3"/>
  <c r="C1319" i="3"/>
  <c r="C1335" i="3"/>
  <c r="C1351" i="3"/>
  <c r="C1367" i="3"/>
  <c r="C1383" i="3"/>
  <c r="C1399" i="3"/>
  <c r="C1415" i="3"/>
  <c r="C1431" i="3"/>
  <c r="C1447" i="3"/>
  <c r="C1463" i="3"/>
  <c r="C1479" i="3"/>
  <c r="C1495" i="3"/>
  <c r="C1511" i="3"/>
  <c r="C1527" i="3"/>
  <c r="C1543" i="3"/>
  <c r="C1559" i="3"/>
  <c r="C1575" i="3"/>
  <c r="C1591" i="3"/>
  <c r="C1607" i="3"/>
  <c r="C1272" i="3"/>
  <c r="C1288" i="3"/>
  <c r="C1304" i="3"/>
  <c r="C1320" i="3"/>
  <c r="C1336" i="3"/>
  <c r="C1352" i="3"/>
  <c r="C1368" i="3"/>
  <c r="C1384" i="3"/>
  <c r="C1400" i="3"/>
  <c r="C1416" i="3"/>
  <c r="C1432" i="3"/>
  <c r="C1448" i="3"/>
  <c r="C1464" i="3"/>
  <c r="C1480" i="3"/>
  <c r="C1496" i="3"/>
  <c r="C1512" i="3"/>
  <c r="C1528" i="3"/>
  <c r="C1544" i="3"/>
  <c r="C1560" i="3"/>
  <c r="C1576" i="3"/>
  <c r="C1592" i="3"/>
  <c r="C1608" i="3"/>
  <c r="C1273" i="3"/>
  <c r="C1289" i="3"/>
  <c r="C1305" i="3"/>
  <c r="C1321" i="3"/>
  <c r="C1337" i="3"/>
  <c r="C1353" i="3"/>
  <c r="C1369" i="3"/>
  <c r="C1385" i="3"/>
  <c r="C1401" i="3"/>
  <c r="C1417" i="3"/>
  <c r="C1433" i="3"/>
  <c r="C1449" i="3"/>
  <c r="C1465" i="3"/>
  <c r="C1481" i="3"/>
  <c r="C1497" i="3"/>
  <c r="C1513" i="3"/>
  <c r="C1529" i="3"/>
  <c r="C1545" i="3"/>
  <c r="C1561" i="3"/>
  <c r="C1577" i="3"/>
  <c r="C1593" i="3"/>
  <c r="C1609" i="3"/>
  <c r="C1274" i="3"/>
  <c r="C1290" i="3"/>
  <c r="C1306" i="3"/>
  <c r="C1322" i="3"/>
  <c r="C1338" i="3"/>
  <c r="C1354" i="3"/>
  <c r="C1370" i="3"/>
  <c r="C1386" i="3"/>
  <c r="C1402" i="3"/>
  <c r="C1418" i="3"/>
  <c r="C1434" i="3"/>
  <c r="C1450" i="3"/>
  <c r="C1466" i="3"/>
  <c r="C1482" i="3"/>
  <c r="C1498" i="3"/>
  <c r="C1514" i="3"/>
  <c r="C1530" i="3"/>
  <c r="C1546" i="3"/>
  <c r="C1562" i="3"/>
  <c r="C1578" i="3"/>
  <c r="C1594" i="3"/>
  <c r="C1261" i="3"/>
  <c r="C1275" i="3"/>
  <c r="C1291" i="3"/>
  <c r="C1307" i="3"/>
  <c r="C1323" i="3"/>
  <c r="C1339" i="3"/>
  <c r="C1355" i="3"/>
  <c r="C1371" i="3"/>
  <c r="C1387" i="3"/>
  <c r="C1403" i="3"/>
  <c r="C1419" i="3"/>
  <c r="C1435" i="3"/>
  <c r="C1451" i="3"/>
  <c r="C1467" i="3"/>
  <c r="C1483" i="3"/>
  <c r="C1499" i="3"/>
  <c r="C1515" i="3"/>
  <c r="C1531" i="3"/>
  <c r="C1547" i="3"/>
  <c r="C1563" i="3"/>
  <c r="C1579" i="3"/>
  <c r="C1595" i="3"/>
  <c r="C1276" i="3"/>
  <c r="C1292" i="3"/>
  <c r="C1308" i="3"/>
  <c r="C1324" i="3"/>
  <c r="C1340" i="3"/>
  <c r="C1356" i="3"/>
  <c r="C1372" i="3"/>
  <c r="C1388" i="3"/>
  <c r="C1404" i="3"/>
  <c r="C1420" i="3"/>
  <c r="C1436" i="3"/>
  <c r="C1452" i="3"/>
  <c r="C1468" i="3"/>
  <c r="C1484" i="3"/>
  <c r="C1500" i="3"/>
  <c r="C1516" i="3"/>
  <c r="C1532" i="3"/>
  <c r="C1548" i="3"/>
  <c r="C1564" i="3"/>
  <c r="C1580" i="3"/>
  <c r="C1596" i="3"/>
  <c r="C1277" i="3"/>
  <c r="C1293" i="3"/>
  <c r="C1309" i="3"/>
  <c r="C1325" i="3"/>
  <c r="C1341" i="3"/>
  <c r="C1357" i="3"/>
  <c r="C1373" i="3"/>
  <c r="C1389" i="3"/>
  <c r="C1405" i="3"/>
  <c r="C1421" i="3"/>
  <c r="C1437" i="3"/>
  <c r="C1453" i="3"/>
  <c r="C1469" i="3"/>
  <c r="C1485" i="3"/>
  <c r="C1501" i="3"/>
  <c r="C1517" i="3"/>
  <c r="C1533" i="3"/>
  <c r="C1549" i="3"/>
  <c r="C1565" i="3"/>
  <c r="C1581" i="3"/>
  <c r="C1597" i="3"/>
  <c r="C1262" i="3"/>
  <c r="C1278" i="3"/>
  <c r="C1294" i="3"/>
  <c r="C1310" i="3"/>
  <c r="C1326" i="3"/>
  <c r="C1342" i="3"/>
  <c r="C1358" i="3"/>
  <c r="C1374" i="3"/>
  <c r="C1390" i="3"/>
  <c r="C1406" i="3"/>
  <c r="C1422" i="3"/>
  <c r="C1438" i="3"/>
  <c r="C1454" i="3"/>
  <c r="C1470" i="3"/>
  <c r="C1486" i="3"/>
  <c r="C1502" i="3"/>
  <c r="C1518" i="3"/>
  <c r="C1534" i="3"/>
  <c r="C1550" i="3"/>
  <c r="C1566" i="3"/>
  <c r="C1582" i="3"/>
  <c r="C1598" i="3"/>
  <c r="C1263" i="3"/>
  <c r="C1279" i="3"/>
  <c r="C1295" i="3"/>
  <c r="C1311" i="3"/>
  <c r="C1327" i="3"/>
  <c r="C1343" i="3"/>
  <c r="C1359" i="3"/>
  <c r="C1375" i="3"/>
  <c r="C1391" i="3"/>
  <c r="C1407" i="3"/>
  <c r="C1423" i="3"/>
  <c r="C1439" i="3"/>
  <c r="C1455" i="3"/>
  <c r="C1471" i="3"/>
  <c r="C1487" i="3"/>
  <c r="C1503" i="3"/>
  <c r="C1519" i="3"/>
  <c r="C1535" i="3"/>
  <c r="C1551" i="3"/>
  <c r="C1567" i="3"/>
  <c r="C1583" i="3"/>
  <c r="C1599" i="3"/>
  <c r="C1264" i="3"/>
  <c r="C1280" i="3"/>
  <c r="C1296" i="3"/>
  <c r="C1312" i="3"/>
  <c r="C1328" i="3"/>
  <c r="C1344" i="3"/>
  <c r="C1360" i="3"/>
  <c r="C1376" i="3"/>
  <c r="C1392" i="3"/>
  <c r="C1408" i="3"/>
  <c r="C1424" i="3"/>
  <c r="C1440" i="3"/>
  <c r="C1456" i="3"/>
  <c r="C1472" i="3"/>
  <c r="C1488" i="3"/>
  <c r="C1504" i="3"/>
  <c r="C1520" i="3"/>
  <c r="C1536" i="3"/>
  <c r="C1552" i="3"/>
  <c r="C1568" i="3"/>
  <c r="C1584" i="3"/>
  <c r="C1600" i="3"/>
  <c r="C1267" i="3"/>
  <c r="C1283" i="3"/>
  <c r="C1299" i="3"/>
  <c r="C1315" i="3"/>
  <c r="C1331" i="3"/>
  <c r="C1347" i="3"/>
  <c r="C1363" i="3"/>
  <c r="C1379" i="3"/>
  <c r="C1395" i="3"/>
  <c r="C1411" i="3"/>
  <c r="C1427" i="3"/>
  <c r="C1443" i="3"/>
  <c r="C1459" i="3"/>
  <c r="C1475" i="3"/>
  <c r="C1491" i="3"/>
  <c r="C1507" i="3"/>
  <c r="C1523" i="3"/>
  <c r="C1539" i="3"/>
  <c r="C1555" i="3"/>
  <c r="C1571" i="3"/>
  <c r="C1587" i="3"/>
  <c r="C1603" i="3"/>
  <c r="C1268" i="3"/>
  <c r="C1284" i="3"/>
  <c r="C1300" i="3"/>
  <c r="C1316" i="3"/>
  <c r="C1332" i="3"/>
  <c r="C1348" i="3"/>
  <c r="C1364" i="3"/>
  <c r="C1380" i="3"/>
  <c r="C1396" i="3"/>
  <c r="C1412" i="3"/>
  <c r="C1428" i="3"/>
  <c r="C1444" i="3"/>
  <c r="C1460" i="3"/>
  <c r="C1476" i="3"/>
  <c r="C1492" i="3"/>
  <c r="C1508" i="3"/>
  <c r="C1524" i="3"/>
  <c r="C1540" i="3"/>
  <c r="C1556" i="3"/>
  <c r="C1572" i="3"/>
  <c r="C1588" i="3"/>
  <c r="C1604" i="3"/>
  <c r="C1345" i="3"/>
  <c r="C1426" i="3"/>
  <c r="C1510" i="3"/>
  <c r="C1601" i="3"/>
  <c r="C1265" i="3"/>
  <c r="C1346" i="3"/>
  <c r="C1430" i="3"/>
  <c r="C1521" i="3"/>
  <c r="C1602" i="3"/>
  <c r="C1266" i="3"/>
  <c r="C1350" i="3"/>
  <c r="C1441" i="3"/>
  <c r="C1522" i="3"/>
  <c r="C1606" i="3"/>
  <c r="C1270" i="3"/>
  <c r="C1361" i="3"/>
  <c r="C1442" i="3"/>
  <c r="C1526" i="3"/>
  <c r="C1281" i="3"/>
  <c r="C1362" i="3"/>
  <c r="C1446" i="3"/>
  <c r="C1537" i="3"/>
  <c r="C1282" i="3"/>
  <c r="C1366" i="3"/>
  <c r="C1457" i="3"/>
  <c r="C1538" i="3"/>
  <c r="C1286" i="3"/>
  <c r="C1377" i="3"/>
  <c r="C1458" i="3"/>
  <c r="C1542" i="3"/>
  <c r="C1297" i="3"/>
  <c r="C1378" i="3"/>
  <c r="C1462" i="3"/>
  <c r="C1553" i="3"/>
  <c r="C1298" i="3"/>
  <c r="C1382" i="3"/>
  <c r="C1473" i="3"/>
  <c r="C1554" i="3"/>
  <c r="C1302" i="3"/>
  <c r="C1393" i="3"/>
  <c r="C1474" i="3"/>
  <c r="C1558" i="3"/>
  <c r="C1313" i="3"/>
  <c r="C1394" i="3"/>
  <c r="C1478" i="3"/>
  <c r="C1569" i="3"/>
  <c r="C1314" i="3"/>
  <c r="C1398" i="3"/>
  <c r="C1489" i="3"/>
  <c r="C1570" i="3"/>
  <c r="C1318" i="3"/>
  <c r="C1409" i="3"/>
  <c r="C1490" i="3"/>
  <c r="C1574" i="3"/>
  <c r="C1330" i="3"/>
  <c r="C1414" i="3"/>
  <c r="C1505" i="3"/>
  <c r="C1586" i="3"/>
  <c r="C422" i="3"/>
  <c r="C406" i="3"/>
  <c r="C390" i="3"/>
  <c r="C374" i="3"/>
  <c r="C358" i="3"/>
  <c r="C342" i="3"/>
  <c r="C310" i="3"/>
  <c r="C485" i="3"/>
  <c r="C453" i="3"/>
  <c r="I15" i="1"/>
  <c r="H1140" i="3" s="1"/>
  <c r="G31" i="1"/>
  <c r="C159" i="3"/>
  <c r="C421" i="3"/>
  <c r="C405" i="3"/>
  <c r="C389" i="3"/>
  <c r="C373" i="3"/>
  <c r="C357" i="3"/>
  <c r="C341" i="3"/>
  <c r="C325" i="3"/>
  <c r="C309" i="3"/>
  <c r="C484" i="3"/>
  <c r="C468" i="3"/>
  <c r="C452" i="3"/>
  <c r="C436" i="3"/>
  <c r="F686" i="3"/>
  <c r="F670" i="3"/>
  <c r="F654" i="3"/>
  <c r="F638" i="3"/>
  <c r="F622" i="3"/>
  <c r="F606" i="3"/>
  <c r="F590" i="3"/>
  <c r="F574" i="3"/>
  <c r="F558" i="3"/>
  <c r="F542" i="3"/>
  <c r="F516" i="3"/>
  <c r="F500" i="3"/>
  <c r="F484" i="3"/>
  <c r="F468" i="3"/>
  <c r="F452" i="3"/>
  <c r="F436" i="3"/>
  <c r="F385" i="3"/>
  <c r="F294" i="3"/>
  <c r="F212" i="3"/>
  <c r="F129" i="3"/>
  <c r="F38" i="3"/>
  <c r="F1052" i="3"/>
  <c r="F924" i="3"/>
  <c r="F1621" i="3"/>
  <c r="P2" i="3"/>
  <c r="R2" i="3" s="1"/>
  <c r="I2" i="2"/>
  <c r="H50" i="3"/>
  <c r="H523" i="3"/>
  <c r="H525" i="3"/>
  <c r="H526" i="3"/>
  <c r="I3" i="2"/>
  <c r="F12" i="1"/>
  <c r="F13" i="1" s="1"/>
  <c r="G2" i="2"/>
  <c r="H194" i="3"/>
  <c r="H583" i="3"/>
  <c r="H1032" i="3"/>
  <c r="H968" i="3"/>
  <c r="H904" i="3"/>
  <c r="H178" i="3"/>
  <c r="H598" i="3"/>
  <c r="H1047" i="3"/>
  <c r="H983" i="3"/>
  <c r="H919" i="3"/>
  <c r="H826" i="3"/>
  <c r="H629" i="3"/>
  <c r="H549" i="3"/>
  <c r="H998" i="3"/>
  <c r="H934" i="3"/>
  <c r="H853" i="3"/>
  <c r="H146" i="3"/>
  <c r="H628" i="3"/>
  <c r="H548" i="3"/>
  <c r="H997" i="3"/>
  <c r="H933" i="3"/>
  <c r="H852" i="3"/>
  <c r="H659" i="3"/>
  <c r="H579" i="3"/>
  <c r="H1044" i="3"/>
  <c r="H980" i="3"/>
  <c r="H916" i="3"/>
  <c r="H819" i="3"/>
  <c r="H642" i="3"/>
  <c r="H562" i="3"/>
  <c r="H1027" i="3"/>
  <c r="H963" i="3"/>
  <c r="H899" i="3"/>
  <c r="H673" i="3"/>
  <c r="H593" i="3"/>
  <c r="H1058" i="3"/>
  <c r="H994" i="3"/>
  <c r="H930" i="3"/>
  <c r="H845" i="3"/>
  <c r="H640" i="3"/>
  <c r="H560" i="3"/>
  <c r="H1025" i="3"/>
  <c r="H961" i="3"/>
  <c r="H897" i="3"/>
  <c r="H1320" i="3"/>
  <c r="H1384" i="3"/>
  <c r="H1704" i="3"/>
  <c r="H1369" i="3"/>
  <c r="H1689" i="3"/>
  <c r="H1354" i="3"/>
  <c r="H1674" i="3"/>
  <c r="H1339" i="3"/>
  <c r="H1659" i="3"/>
  <c r="H1324" i="3"/>
  <c r="H1388" i="3"/>
  <c r="H1708" i="3"/>
  <c r="H814" i="3"/>
  <c r="H862" i="3"/>
  <c r="H878" i="3"/>
  <c r="H1357" i="3"/>
  <c r="H1373" i="3"/>
  <c r="H1661" i="3"/>
  <c r="H1677" i="3"/>
  <c r="H815" i="3"/>
  <c r="H831" i="3"/>
  <c r="H879" i="3"/>
  <c r="H1326" i="3"/>
  <c r="H1374" i="3"/>
  <c r="H1390" i="3"/>
  <c r="H1678" i="3"/>
  <c r="H1694" i="3"/>
  <c r="H848" i="3"/>
  <c r="H864" i="3"/>
  <c r="H1343" i="3"/>
  <c r="H1359" i="3"/>
  <c r="H1647" i="3"/>
  <c r="H1663" i="3"/>
  <c r="H817" i="3"/>
  <c r="H833" i="3"/>
  <c r="H881" i="3"/>
  <c r="H1296" i="3"/>
  <c r="H1360" i="3"/>
  <c r="H1376" i="3"/>
  <c r="H1664" i="3"/>
  <c r="H1680" i="3"/>
  <c r="H1329" i="3"/>
  <c r="H1345" i="3"/>
  <c r="H1393" i="3"/>
  <c r="H1649" i="3"/>
  <c r="H1697" i="3"/>
  <c r="H1298" i="3"/>
  <c r="H1362" i="3"/>
  <c r="H1378" i="3"/>
  <c r="H1666" i="3"/>
  <c r="H1682" i="3"/>
  <c r="H1698" i="3"/>
  <c r="H1299" i="3"/>
  <c r="H1331" i="3"/>
  <c r="H1347" i="3"/>
  <c r="H1363" i="3"/>
  <c r="H1379" i="3"/>
  <c r="H1395" i="3"/>
  <c r="H1651" i="3"/>
  <c r="H1667" i="3"/>
  <c r="H1683" i="3"/>
  <c r="H1699" i="3"/>
  <c r="H1300" i="3"/>
  <c r="H1332" i="3"/>
  <c r="H1348" i="3"/>
  <c r="H1364" i="3"/>
  <c r="H1380" i="3"/>
  <c r="H1396" i="3"/>
  <c r="H1652" i="3"/>
  <c r="H1668" i="3"/>
  <c r="H1684" i="3"/>
  <c r="H1700" i="3"/>
  <c r="H806" i="3"/>
  <c r="H822" i="3"/>
  <c r="H838" i="3"/>
  <c r="H854" i="3"/>
  <c r="H870" i="3"/>
  <c r="H1317" i="3"/>
  <c r="H1333" i="3"/>
  <c r="H1349" i="3"/>
  <c r="H1365" i="3"/>
  <c r="H1381" i="3"/>
  <c r="H1397" i="3"/>
  <c r="H1653" i="3"/>
  <c r="H1669" i="3"/>
  <c r="H1685" i="3"/>
  <c r="H1701" i="3"/>
  <c r="H807" i="3"/>
  <c r="H823" i="3"/>
  <c r="H839" i="3"/>
  <c r="H855" i="3"/>
  <c r="H871" i="3"/>
  <c r="H887" i="3"/>
  <c r="H1318" i="3"/>
  <c r="H1334" i="3"/>
  <c r="H1350" i="3"/>
  <c r="H1366" i="3"/>
  <c r="H1382" i="3"/>
  <c r="H1398" i="3"/>
  <c r="H1654" i="3"/>
  <c r="H1670" i="3"/>
  <c r="H1686" i="3"/>
  <c r="H1702" i="3"/>
  <c r="H808" i="3"/>
  <c r="H824" i="3"/>
  <c r="H840" i="3"/>
  <c r="H856" i="3"/>
  <c r="H872" i="3"/>
  <c r="H1319" i="3"/>
  <c r="H1335" i="3"/>
  <c r="H1351" i="3"/>
  <c r="H1367" i="3"/>
  <c r="H1383" i="3"/>
  <c r="H1655" i="3"/>
  <c r="H1671" i="3"/>
  <c r="H1687" i="3"/>
  <c r="H1703" i="3"/>
  <c r="H809" i="3"/>
  <c r="H825" i="3"/>
  <c r="H841" i="3"/>
  <c r="H857" i="3"/>
  <c r="H873" i="3"/>
  <c r="H98" i="3"/>
  <c r="H66" i="3"/>
  <c r="H671" i="3"/>
  <c r="H655" i="3"/>
  <c r="H639" i="3"/>
  <c r="H623" i="3"/>
  <c r="H591" i="3"/>
  <c r="H575" i="3"/>
  <c r="H559" i="3"/>
  <c r="H543" i="3"/>
  <c r="H1056" i="3"/>
  <c r="H1040" i="3"/>
  <c r="H1024" i="3"/>
  <c r="H1008" i="3"/>
  <c r="H992" i="3"/>
  <c r="H976" i="3"/>
  <c r="H960" i="3"/>
  <c r="H944" i="3"/>
  <c r="H928" i="3"/>
  <c r="H912" i="3"/>
  <c r="H896" i="3"/>
  <c r="H875" i="3"/>
  <c r="H843" i="3"/>
  <c r="H811" i="3"/>
  <c r="H670" i="3"/>
  <c r="H654" i="3"/>
  <c r="H638" i="3"/>
  <c r="H622" i="3"/>
  <c r="H590" i="3"/>
  <c r="H574" i="3"/>
  <c r="H558" i="3"/>
  <c r="H1055" i="3"/>
  <c r="H1039" i="3"/>
  <c r="H1023" i="3"/>
  <c r="H1007" i="3"/>
  <c r="H991" i="3"/>
  <c r="H975" i="3"/>
  <c r="H959" i="3"/>
  <c r="H943" i="3"/>
  <c r="H927" i="3"/>
  <c r="H911" i="3"/>
  <c r="H895" i="3"/>
  <c r="H874" i="3"/>
  <c r="H842" i="3"/>
  <c r="H810" i="3"/>
  <c r="H82" i="3"/>
  <c r="H290" i="3"/>
  <c r="H669" i="3"/>
  <c r="H653" i="3"/>
  <c r="H637" i="3"/>
  <c r="H621" i="3"/>
  <c r="H589" i="3"/>
  <c r="H573" i="3"/>
  <c r="H557" i="3"/>
  <c r="H1054" i="3"/>
  <c r="H1038" i="3"/>
  <c r="H1022" i="3"/>
  <c r="H1006" i="3"/>
  <c r="H990" i="3"/>
  <c r="H974" i="3"/>
  <c r="H958" i="3"/>
  <c r="H942" i="3"/>
  <c r="H926" i="3"/>
  <c r="H910" i="3"/>
  <c r="H894" i="3"/>
  <c r="H869" i="3"/>
  <c r="H837" i="3"/>
  <c r="H805" i="3"/>
  <c r="H274" i="3"/>
  <c r="H668" i="3"/>
  <c r="H652" i="3"/>
  <c r="H636" i="3"/>
  <c r="H620" i="3"/>
  <c r="H588" i="3"/>
  <c r="H572" i="3"/>
  <c r="H556" i="3"/>
  <c r="H1053" i="3"/>
  <c r="H1037" i="3"/>
  <c r="H1021" i="3"/>
  <c r="H1005" i="3"/>
  <c r="H989" i="3"/>
  <c r="H973" i="3"/>
  <c r="H957" i="3"/>
  <c r="H941" i="3"/>
  <c r="H925" i="3"/>
  <c r="H909" i="3"/>
  <c r="H893" i="3"/>
  <c r="H868" i="3"/>
  <c r="H836" i="3"/>
  <c r="H258" i="3"/>
  <c r="H667" i="3"/>
  <c r="H651" i="3"/>
  <c r="H635" i="3"/>
  <c r="H619" i="3"/>
  <c r="H587" i="3"/>
  <c r="H571" i="3"/>
  <c r="H555" i="3"/>
  <c r="H1052" i="3"/>
  <c r="H1036" i="3"/>
  <c r="H1020" i="3"/>
  <c r="H1004" i="3"/>
  <c r="H988" i="3"/>
  <c r="H972" i="3"/>
  <c r="H956" i="3"/>
  <c r="H940" i="3"/>
  <c r="H924" i="3"/>
  <c r="H908" i="3"/>
  <c r="H892" i="3"/>
  <c r="H867" i="3"/>
  <c r="H835" i="3"/>
  <c r="H666" i="3"/>
  <c r="H650" i="3"/>
  <c r="H634" i="3"/>
  <c r="H618" i="3"/>
  <c r="H586" i="3"/>
  <c r="H570" i="3"/>
  <c r="H554" i="3"/>
  <c r="H1051" i="3"/>
  <c r="H1035" i="3"/>
  <c r="H1019" i="3"/>
  <c r="H1003" i="3"/>
  <c r="H987" i="3"/>
  <c r="H971" i="3"/>
  <c r="H955" i="3"/>
  <c r="H939" i="3"/>
  <c r="H923" i="3"/>
  <c r="H907" i="3"/>
  <c r="H891" i="3"/>
  <c r="H866" i="3"/>
  <c r="H834" i="3"/>
  <c r="H226" i="3"/>
  <c r="H665" i="3"/>
  <c r="H649" i="3"/>
  <c r="H633" i="3"/>
  <c r="H617" i="3"/>
  <c r="H585" i="3"/>
  <c r="H569" i="3"/>
  <c r="H553" i="3"/>
  <c r="H1050" i="3"/>
  <c r="H1034" i="3"/>
  <c r="H1018" i="3"/>
  <c r="H1002" i="3"/>
  <c r="H986" i="3"/>
  <c r="H970" i="3"/>
  <c r="H954" i="3"/>
  <c r="H938" i="3"/>
  <c r="H922" i="3"/>
  <c r="H906" i="3"/>
  <c r="H890" i="3"/>
  <c r="H861" i="3"/>
  <c r="H829" i="3"/>
  <c r="H664" i="3"/>
  <c r="H648" i="3"/>
  <c r="H632" i="3"/>
  <c r="H616" i="3"/>
  <c r="H584" i="3"/>
  <c r="H568" i="3"/>
  <c r="H552" i="3"/>
  <c r="H1049" i="3"/>
  <c r="H1033" i="3"/>
  <c r="H1017" i="3"/>
  <c r="H1001" i="3"/>
  <c r="H985" i="3"/>
  <c r="H969" i="3"/>
  <c r="H953" i="3"/>
  <c r="H937" i="3"/>
  <c r="H921" i="3"/>
  <c r="H905" i="3"/>
  <c r="H889" i="3"/>
  <c r="H860" i="3"/>
  <c r="H828" i="3"/>
  <c r="H289" i="3"/>
  <c r="H273" i="3"/>
  <c r="H257" i="3"/>
  <c r="H241" i="3"/>
  <c r="H225" i="3"/>
  <c r="H209" i="3"/>
  <c r="H193" i="3"/>
  <c r="H177" i="3"/>
  <c r="H161" i="3"/>
  <c r="H145" i="3"/>
  <c r="H129" i="3"/>
  <c r="H113" i="3"/>
  <c r="H97" i="3"/>
  <c r="H81" i="3"/>
  <c r="H65" i="3"/>
  <c r="H49" i="3"/>
  <c r="H288" i="3"/>
  <c r="H272" i="3"/>
  <c r="H256" i="3"/>
  <c r="H240" i="3"/>
  <c r="H224" i="3"/>
  <c r="H208" i="3"/>
  <c r="H192" i="3"/>
  <c r="H176" i="3"/>
  <c r="H160" i="3"/>
  <c r="H144" i="3"/>
  <c r="H128" i="3"/>
  <c r="H112" i="3"/>
  <c r="H96" i="3"/>
  <c r="H80" i="3"/>
  <c r="H64" i="3"/>
  <c r="H48" i="3"/>
  <c r="H287" i="3"/>
  <c r="H271" i="3"/>
  <c r="H255" i="3"/>
  <c r="H239" i="3"/>
  <c r="H223" i="3"/>
  <c r="H207" i="3"/>
  <c r="H191" i="3"/>
  <c r="H175" i="3"/>
  <c r="H159" i="3"/>
  <c r="H143" i="3"/>
  <c r="H127" i="3"/>
  <c r="H111" i="3"/>
  <c r="H95" i="3"/>
  <c r="H79" i="3"/>
  <c r="H63" i="3"/>
  <c r="H47" i="3"/>
  <c r="H286" i="3"/>
  <c r="H270" i="3"/>
  <c r="H254" i="3"/>
  <c r="H238" i="3"/>
  <c r="H222" i="3"/>
  <c r="H206" i="3"/>
  <c r="H190" i="3"/>
  <c r="H174" i="3"/>
  <c r="H158" i="3"/>
  <c r="H142" i="3"/>
  <c r="H126" i="3"/>
  <c r="H110" i="3"/>
  <c r="H94" i="3"/>
  <c r="H78" i="3"/>
  <c r="H62" i="3"/>
  <c r="H46" i="3"/>
  <c r="H285" i="3"/>
  <c r="H269" i="3"/>
  <c r="H253" i="3"/>
  <c r="H237" i="3"/>
  <c r="H221" i="3"/>
  <c r="H205" i="3"/>
  <c r="H189" i="3"/>
  <c r="H173" i="3"/>
  <c r="H157" i="3"/>
  <c r="H141" i="3"/>
  <c r="H125" i="3"/>
  <c r="H109" i="3"/>
  <c r="H93" i="3"/>
  <c r="H77" i="3"/>
  <c r="H61" i="3"/>
  <c r="H45" i="3"/>
  <c r="H284" i="3"/>
  <c r="H268" i="3"/>
  <c r="H252" i="3"/>
  <c r="H236" i="3"/>
  <c r="H220" i="3"/>
  <c r="H204" i="3"/>
  <c r="H188" i="3"/>
  <c r="H172" i="3"/>
  <c r="H156" i="3"/>
  <c r="H140" i="3"/>
  <c r="H124" i="3"/>
  <c r="H108" i="3"/>
  <c r="H92" i="3"/>
  <c r="H76" i="3"/>
  <c r="H60" i="3"/>
  <c r="H44" i="3"/>
  <c r="H283" i="3"/>
  <c r="H267" i="3"/>
  <c r="H251" i="3"/>
  <c r="H235" i="3"/>
  <c r="H219" i="3"/>
  <c r="H203" i="3"/>
  <c r="H187" i="3"/>
  <c r="H171" i="3"/>
  <c r="H155" i="3"/>
  <c r="H139" i="3"/>
  <c r="H123" i="3"/>
  <c r="H107" i="3"/>
  <c r="H91" i="3"/>
  <c r="H75" i="3"/>
  <c r="H59" i="3"/>
  <c r="H43" i="3"/>
  <c r="H282" i="3"/>
  <c r="H266" i="3"/>
  <c r="H250" i="3"/>
  <c r="H234" i="3"/>
  <c r="H218" i="3"/>
  <c r="H202" i="3"/>
  <c r="H186" i="3"/>
  <c r="H170" i="3"/>
  <c r="H154" i="3"/>
  <c r="H138" i="3"/>
  <c r="H122" i="3"/>
  <c r="H106" i="3"/>
  <c r="H90" i="3"/>
  <c r="H74" i="3"/>
  <c r="H58" i="3"/>
  <c r="H42" i="3"/>
  <c r="H281" i="3"/>
  <c r="H265" i="3"/>
  <c r="H249" i="3"/>
  <c r="H233" i="3"/>
  <c r="H217" i="3"/>
  <c r="H201" i="3"/>
  <c r="H185" i="3"/>
  <c r="H169" i="3"/>
  <c r="H153" i="3"/>
  <c r="H137" i="3"/>
  <c r="H121" i="3"/>
  <c r="H105" i="3"/>
  <c r="H89" i="3"/>
  <c r="H73" i="3"/>
  <c r="H57" i="3"/>
  <c r="H41" i="3"/>
  <c r="H280" i="3"/>
  <c r="H264" i="3"/>
  <c r="H248" i="3"/>
  <c r="H232" i="3"/>
  <c r="H216" i="3"/>
  <c r="H200" i="3"/>
  <c r="H184" i="3"/>
  <c r="H168" i="3"/>
  <c r="H152" i="3"/>
  <c r="H136" i="3"/>
  <c r="H120" i="3"/>
  <c r="H104" i="3"/>
  <c r="H88" i="3"/>
  <c r="H72" i="3"/>
  <c r="H56" i="3"/>
  <c r="H40" i="3"/>
  <c r="H295" i="3"/>
  <c r="H279" i="3"/>
  <c r="H263" i="3"/>
  <c r="H247" i="3"/>
  <c r="H231" i="3"/>
  <c r="H215" i="3"/>
  <c r="H199" i="3"/>
  <c r="H183" i="3"/>
  <c r="H167" i="3"/>
  <c r="H151" i="3"/>
  <c r="H135" i="3"/>
  <c r="H119" i="3"/>
  <c r="H103" i="3"/>
  <c r="H87" i="3"/>
  <c r="H71" i="3"/>
  <c r="H55" i="3"/>
  <c r="H39" i="3"/>
  <c r="H294" i="3"/>
  <c r="H278" i="3"/>
  <c r="H262" i="3"/>
  <c r="H246" i="3"/>
  <c r="H230" i="3"/>
  <c r="H214" i="3"/>
  <c r="H198" i="3"/>
  <c r="H182" i="3"/>
  <c r="H166" i="3"/>
  <c r="H150" i="3"/>
  <c r="H134" i="3"/>
  <c r="H118" i="3"/>
  <c r="H102" i="3"/>
  <c r="H86" i="3"/>
  <c r="H70" i="3"/>
  <c r="H54" i="3"/>
  <c r="H38" i="3"/>
  <c r="H293" i="3"/>
  <c r="H277" i="3"/>
  <c r="H261" i="3"/>
  <c r="H245" i="3"/>
  <c r="H229" i="3"/>
  <c r="H213" i="3"/>
  <c r="H197" i="3"/>
  <c r="H181" i="3"/>
  <c r="H165" i="3"/>
  <c r="H149" i="3"/>
  <c r="H133" i="3"/>
  <c r="H117" i="3"/>
  <c r="H101" i="3"/>
  <c r="H85" i="3"/>
  <c r="H69" i="3"/>
  <c r="H53" i="3"/>
  <c r="H37" i="3"/>
  <c r="H292" i="3"/>
  <c r="H276" i="3"/>
  <c r="H260" i="3"/>
  <c r="H244" i="3"/>
  <c r="H228" i="3"/>
  <c r="H212" i="3"/>
  <c r="H196" i="3"/>
  <c r="H180" i="3"/>
  <c r="H164" i="3"/>
  <c r="H148" i="3"/>
  <c r="H132" i="3"/>
  <c r="H116" i="3"/>
  <c r="H100" i="3"/>
  <c r="H84" i="3"/>
  <c r="H68" i="3"/>
  <c r="H52" i="3"/>
  <c r="H36" i="3"/>
  <c r="H291" i="3"/>
  <c r="H275" i="3"/>
  <c r="H259" i="3"/>
  <c r="H243" i="3"/>
  <c r="H227" i="3"/>
  <c r="H211" i="3"/>
  <c r="H195" i="3"/>
  <c r="H179" i="3"/>
  <c r="H163" i="3"/>
  <c r="H147" i="3"/>
  <c r="H131" i="3"/>
  <c r="H115" i="3"/>
  <c r="H99" i="3"/>
  <c r="H83" i="3"/>
  <c r="H51" i="3"/>
  <c r="H35" i="3"/>
  <c r="C14" i="3"/>
  <c r="C286" i="3"/>
  <c r="C270" i="3"/>
  <c r="C254" i="3"/>
  <c r="C238" i="3"/>
  <c r="C222" i="3"/>
  <c r="C206" i="3"/>
  <c r="C190" i="3"/>
  <c r="C174" i="3"/>
  <c r="C158" i="3"/>
  <c r="C142" i="3"/>
  <c r="C126" i="3"/>
  <c r="C110" i="3"/>
  <c r="C94" i="3"/>
  <c r="C78" i="3"/>
  <c r="C62" i="3"/>
  <c r="C45" i="3"/>
  <c r="C29" i="3"/>
  <c r="C301" i="3"/>
  <c r="C285" i="3"/>
  <c r="C269" i="3"/>
  <c r="C253" i="3"/>
  <c r="C237" i="3"/>
  <c r="C221" i="3"/>
  <c r="C205" i="3"/>
  <c r="C189" i="3"/>
  <c r="C173" i="3"/>
  <c r="C157" i="3"/>
  <c r="C141" i="3"/>
  <c r="C125" i="3"/>
  <c r="C109" i="3"/>
  <c r="C93" i="3"/>
  <c r="C77" i="3"/>
  <c r="C61" i="3"/>
  <c r="C44" i="3"/>
  <c r="C28" i="3"/>
  <c r="C3" i="3"/>
  <c r="C300" i="3"/>
  <c r="C284" i="3"/>
  <c r="C268" i="3"/>
  <c r="C252" i="3"/>
  <c r="C236" i="3"/>
  <c r="C220" i="3"/>
  <c r="C204" i="3"/>
  <c r="C188" i="3"/>
  <c r="C172" i="3"/>
  <c r="C156" i="3"/>
  <c r="C140" i="3"/>
  <c r="C124" i="3"/>
  <c r="C108" i="3"/>
  <c r="C92" i="3"/>
  <c r="C76" i="3"/>
  <c r="C60" i="3"/>
  <c r="C43" i="3"/>
  <c r="C27" i="3"/>
  <c r="C2" i="3"/>
  <c r="C299" i="3"/>
  <c r="C283" i="3"/>
  <c r="C267" i="3"/>
  <c r="C251" i="3"/>
  <c r="C235" i="3"/>
  <c r="C219" i="3"/>
  <c r="C203" i="3"/>
  <c r="C187" i="3"/>
  <c r="C171" i="3"/>
  <c r="C155" i="3"/>
  <c r="C139" i="3"/>
  <c r="C123" i="3"/>
  <c r="C107" i="3"/>
  <c r="C91" i="3"/>
  <c r="C75" i="3"/>
  <c r="C59" i="3"/>
  <c r="C42" i="3"/>
  <c r="C26" i="3"/>
  <c r="C298" i="3"/>
  <c r="C282" i="3"/>
  <c r="C266" i="3"/>
  <c r="C250" i="3"/>
  <c r="C234" i="3"/>
  <c r="C218" i="3"/>
  <c r="C202" i="3"/>
  <c r="C186" i="3"/>
  <c r="C170" i="3"/>
  <c r="C154" i="3"/>
  <c r="C138" i="3"/>
  <c r="C122" i="3"/>
  <c r="C106" i="3"/>
  <c r="C90" i="3"/>
  <c r="C74" i="3"/>
  <c r="C58" i="3"/>
  <c r="C41" i="3"/>
  <c r="C25" i="3"/>
  <c r="C13" i="3"/>
  <c r="C297" i="3"/>
  <c r="C281" i="3"/>
  <c r="C265" i="3"/>
  <c r="C249" i="3"/>
  <c r="C233" i="3"/>
  <c r="C217" i="3"/>
  <c r="C201" i="3"/>
  <c r="C185" i="3"/>
  <c r="C169" i="3"/>
  <c r="C153" i="3"/>
  <c r="C137" i="3"/>
  <c r="C121" i="3"/>
  <c r="C105" i="3"/>
  <c r="C89" i="3"/>
  <c r="C73" i="3"/>
  <c r="C57" i="3"/>
  <c r="C40" i="3"/>
  <c r="C24" i="3"/>
  <c r="C296" i="3"/>
  <c r="C280" i="3"/>
  <c r="C264" i="3"/>
  <c r="C248" i="3"/>
  <c r="C232" i="3"/>
  <c r="C216" i="3"/>
  <c r="C200" i="3"/>
  <c r="C184" i="3"/>
  <c r="C168" i="3"/>
  <c r="C152" i="3"/>
  <c r="C136" i="3"/>
  <c r="C120" i="3"/>
  <c r="C104" i="3"/>
  <c r="C88" i="3"/>
  <c r="C72" i="3"/>
  <c r="C56" i="3"/>
  <c r="C39" i="3"/>
  <c r="C23" i="3"/>
  <c r="C215" i="3"/>
  <c r="C183" i="3"/>
  <c r="C167" i="3"/>
  <c r="C119" i="3"/>
  <c r="C87" i="3"/>
  <c r="C71" i="3"/>
  <c r="C55" i="3"/>
  <c r="C38" i="3"/>
  <c r="C22" i="3"/>
  <c r="C279" i="3"/>
  <c r="C263" i="3"/>
  <c r="C199" i="3"/>
  <c r="C103" i="3"/>
  <c r="C10" i="3"/>
  <c r="C294" i="3"/>
  <c r="C278" i="3"/>
  <c r="C262" i="3"/>
  <c r="C246" i="3"/>
  <c r="C230" i="3"/>
  <c r="C214" i="3"/>
  <c r="C198" i="3"/>
  <c r="C182" i="3"/>
  <c r="C166" i="3"/>
  <c r="C150" i="3"/>
  <c r="C134" i="3"/>
  <c r="C118" i="3"/>
  <c r="C102" i="3"/>
  <c r="C86" i="3"/>
  <c r="C70" i="3"/>
  <c r="C54" i="3"/>
  <c r="C37" i="3"/>
  <c r="C21" i="3"/>
  <c r="C9" i="3"/>
  <c r="C293" i="3"/>
  <c r="C277" i="3"/>
  <c r="C261" i="3"/>
  <c r="C245" i="3"/>
  <c r="C229" i="3"/>
  <c r="C213" i="3"/>
  <c r="C197" i="3"/>
  <c r="C181" i="3"/>
  <c r="C165" i="3"/>
  <c r="C149" i="3"/>
  <c r="C133" i="3"/>
  <c r="C117" i="3"/>
  <c r="C101" i="3"/>
  <c r="C85" i="3"/>
  <c r="C69" i="3"/>
  <c r="C53" i="3"/>
  <c r="C36" i="3"/>
  <c r="C20" i="3"/>
  <c r="C295" i="3"/>
  <c r="C231" i="3"/>
  <c r="C151" i="3"/>
  <c r="C8" i="3"/>
  <c r="C292" i="3"/>
  <c r="C276" i="3"/>
  <c r="C260" i="3"/>
  <c r="C244" i="3"/>
  <c r="C228" i="3"/>
  <c r="C212" i="3"/>
  <c r="C196" i="3"/>
  <c r="C180" i="3"/>
  <c r="C164" i="3"/>
  <c r="C148" i="3"/>
  <c r="C132" i="3"/>
  <c r="C116" i="3"/>
  <c r="C100" i="3"/>
  <c r="C84" i="3"/>
  <c r="C68" i="3"/>
  <c r="C51" i="3"/>
  <c r="C35" i="3"/>
  <c r="C19" i="3"/>
  <c r="C12" i="3"/>
  <c r="C11" i="3"/>
  <c r="C247" i="3"/>
  <c r="C135" i="3"/>
  <c r="C7" i="3"/>
  <c r="C291" i="3"/>
  <c r="C275" i="3"/>
  <c r="C259" i="3"/>
  <c r="C243" i="3"/>
  <c r="C227" i="3"/>
  <c r="C211" i="3"/>
  <c r="C195" i="3"/>
  <c r="C179" i="3"/>
  <c r="C163" i="3"/>
  <c r="C147" i="3"/>
  <c r="C131" i="3"/>
  <c r="C115" i="3"/>
  <c r="C99" i="3"/>
  <c r="C83" i="3"/>
  <c r="C67" i="3"/>
  <c r="C50" i="3"/>
  <c r="C34" i="3"/>
  <c r="C18" i="3"/>
  <c r="C6" i="3"/>
  <c r="C290" i="3"/>
  <c r="C274" i="3"/>
  <c r="C258" i="3"/>
  <c r="C242" i="3"/>
  <c r="C226" i="3"/>
  <c r="C210" i="3"/>
  <c r="C194" i="3"/>
  <c r="C178" i="3"/>
  <c r="C162" i="3"/>
  <c r="C146" i="3"/>
  <c r="C130" i="3"/>
  <c r="C114" i="3"/>
  <c r="C98" i="3"/>
  <c r="C82" i="3"/>
  <c r="C66" i="3"/>
  <c r="C49" i="3"/>
  <c r="C33" i="3"/>
  <c r="C17" i="3"/>
  <c r="C273" i="3"/>
  <c r="C241" i="3"/>
  <c r="C209" i="3"/>
  <c r="C193" i="3"/>
  <c r="C177" i="3"/>
  <c r="C145" i="3"/>
  <c r="C129" i="3"/>
  <c r="C113" i="3"/>
  <c r="C97" i="3"/>
  <c r="C81" i="3"/>
  <c r="C65" i="3"/>
  <c r="C48" i="3"/>
  <c r="C16" i="3"/>
  <c r="C5" i="3"/>
  <c r="C289" i="3"/>
  <c r="C257" i="3"/>
  <c r="C225" i="3"/>
  <c r="C161" i="3"/>
  <c r="C32" i="3"/>
  <c r="C4" i="3"/>
  <c r="C288" i="3"/>
  <c r="C272" i="3"/>
  <c r="C256" i="3"/>
  <c r="C240" i="3"/>
  <c r="C224" i="3"/>
  <c r="C208" i="3"/>
  <c r="C192" i="3"/>
  <c r="C176" i="3"/>
  <c r="C160" i="3"/>
  <c r="C144" i="3"/>
  <c r="C128" i="3"/>
  <c r="C112" i="3"/>
  <c r="C96" i="3"/>
  <c r="C80" i="3"/>
  <c r="C64" i="3"/>
  <c r="C47" i="3"/>
  <c r="C31" i="3"/>
  <c r="G3" i="2"/>
  <c r="F3" i="2"/>
  <c r="A4" i="2"/>
  <c r="J2" i="2"/>
  <c r="M2" i="2"/>
  <c r="L3" i="2"/>
  <c r="I14" i="1"/>
  <c r="H1229" i="3" l="1"/>
  <c r="H1264" i="3"/>
  <c r="H299" i="3"/>
  <c r="H1236" i="3"/>
  <c r="H510" i="3"/>
  <c r="H350" i="3"/>
  <c r="H1123" i="3"/>
  <c r="H301" i="3"/>
  <c r="H486" i="3"/>
  <c r="H1560" i="3"/>
  <c r="H1084" i="3"/>
  <c r="H1267" i="3"/>
  <c r="H1555" i="3"/>
  <c r="H1124" i="3"/>
  <c r="H1309" i="3"/>
  <c r="H372" i="3"/>
  <c r="H1606" i="3"/>
  <c r="H31" i="3"/>
  <c r="H297" i="3"/>
  <c r="H1643" i="3"/>
  <c r="H1520" i="3"/>
  <c r="H1163" i="3"/>
  <c r="H509" i="3"/>
  <c r="H1238" i="3"/>
  <c r="H470" i="3"/>
  <c r="H20" i="3"/>
  <c r="H22" i="3"/>
  <c r="H24" i="3"/>
  <c r="H26" i="3"/>
  <c r="H28" i="3"/>
  <c r="H14" i="3"/>
  <c r="H16" i="3"/>
  <c r="H694" i="3"/>
  <c r="H410" i="3"/>
  <c r="H1308" i="3"/>
  <c r="H1075" i="3"/>
  <c r="H1250" i="3"/>
  <c r="H791" i="3"/>
  <c r="H1400" i="3"/>
  <c r="H308" i="3"/>
  <c r="H1639" i="3"/>
  <c r="H1562" i="3"/>
  <c r="H371" i="3"/>
  <c r="H1316" i="3"/>
  <c r="H1225" i="3"/>
  <c r="H435" i="3"/>
  <c r="H1192" i="3"/>
  <c r="H1228" i="3"/>
  <c r="H374" i="3"/>
  <c r="H1570" i="3"/>
  <c r="H700" i="3"/>
  <c r="H1405" i="3"/>
  <c r="H1183" i="3"/>
  <c r="H1271" i="3"/>
  <c r="H604" i="3"/>
  <c r="H408" i="3"/>
  <c r="H728" i="3"/>
  <c r="H1151" i="3"/>
  <c r="H397" i="3"/>
  <c r="H1065" i="3"/>
  <c r="H1502" i="3"/>
  <c r="H396" i="3"/>
  <c r="H1185" i="3"/>
  <c r="H1547" i="3"/>
  <c r="H315" i="3"/>
  <c r="H1220" i="3"/>
  <c r="H1500" i="3"/>
  <c r="H759" i="3"/>
  <c r="H1627" i="3"/>
  <c r="H393" i="3"/>
  <c r="H503" i="3"/>
  <c r="H1090" i="3"/>
  <c r="H712" i="3"/>
  <c r="H1615" i="3"/>
  <c r="H455" i="3"/>
  <c r="H756" i="3"/>
  <c r="H1440" i="3"/>
  <c r="H1311" i="3"/>
  <c r="H1537" i="3"/>
  <c r="H1617" i="3"/>
  <c r="H1157" i="3"/>
  <c r="H778" i="3"/>
  <c r="H506" i="3"/>
  <c r="H427" i="3"/>
  <c r="H414" i="3"/>
  <c r="H1266" i="3"/>
  <c r="H1213" i="3"/>
  <c r="H1134" i="3"/>
  <c r="H1291" i="3"/>
  <c r="H1538" i="3"/>
  <c r="H1618" i="3"/>
  <c r="H1190" i="3"/>
  <c r="H763" i="3"/>
  <c r="H749" i="3"/>
  <c r="H445" i="3"/>
  <c r="H335" i="3"/>
  <c r="H1625" i="3"/>
  <c r="H725" i="3"/>
  <c r="H1491" i="3"/>
  <c r="H1571" i="3"/>
  <c r="H1111" i="3"/>
  <c r="H1239" i="3"/>
  <c r="H718" i="3"/>
  <c r="H430" i="3"/>
  <c r="H320" i="3"/>
  <c r="H739" i="3"/>
  <c r="H1401" i="3"/>
  <c r="H358" i="3"/>
  <c r="H1086" i="3"/>
  <c r="H1277" i="3"/>
  <c r="H1492" i="3"/>
  <c r="H1556" i="3"/>
  <c r="H1128" i="3"/>
  <c r="H1208" i="3"/>
  <c r="H798" i="3"/>
  <c r="H431" i="3"/>
  <c r="H385" i="3"/>
  <c r="H769" i="3"/>
  <c r="H1465" i="3"/>
  <c r="H310" i="3"/>
  <c r="H1514" i="3"/>
  <c r="H1294" i="3"/>
  <c r="H1445" i="3"/>
  <c r="H1541" i="3"/>
  <c r="H1097" i="3"/>
  <c r="H1161" i="3"/>
  <c r="H1071" i="3"/>
  <c r="H752" i="3"/>
  <c r="H614" i="3"/>
  <c r="H354" i="3"/>
  <c r="H418" i="3"/>
  <c r="H1263" i="3"/>
  <c r="H1430" i="3"/>
  <c r="H1526" i="3"/>
  <c r="H1082" i="3"/>
  <c r="H1146" i="3"/>
  <c r="H783" i="3"/>
  <c r="H737" i="3"/>
  <c r="H433" i="3"/>
  <c r="H473" i="3"/>
  <c r="H1468" i="3"/>
  <c r="H1066" i="3"/>
  <c r="H1105" i="3"/>
  <c r="H317" i="3"/>
  <c r="H772" i="3"/>
  <c r="H1420" i="3"/>
  <c r="H316" i="3"/>
  <c r="H1103" i="3"/>
  <c r="H1455" i="3"/>
  <c r="H505" i="3"/>
  <c r="H1184" i="3"/>
  <c r="H1454" i="3"/>
  <c r="H1219" i="3"/>
  <c r="H1499" i="3"/>
  <c r="H313" i="3"/>
  <c r="H1061" i="3"/>
  <c r="H1488" i="3"/>
  <c r="H793" i="3"/>
  <c r="H1579" i="3"/>
  <c r="H501" i="3"/>
  <c r="H1170" i="3"/>
  <c r="H1404" i="3"/>
  <c r="H1409" i="3"/>
  <c r="H1569" i="3"/>
  <c r="H1077" i="3"/>
  <c r="H1221" i="3"/>
  <c r="H794" i="3"/>
  <c r="H428" i="3"/>
  <c r="H318" i="3"/>
  <c r="H1100" i="3"/>
  <c r="H1449" i="3"/>
  <c r="H530" i="3"/>
  <c r="H1230" i="3"/>
  <c r="H1426" i="3"/>
  <c r="H1554" i="3"/>
  <c r="H1634" i="3"/>
  <c r="H1222" i="3"/>
  <c r="H795" i="3"/>
  <c r="H461" i="3"/>
  <c r="H383" i="3"/>
  <c r="H1165" i="3"/>
  <c r="H1276" i="3"/>
  <c r="H1523" i="3"/>
  <c r="H1603" i="3"/>
  <c r="H1175" i="3"/>
  <c r="H1255" i="3"/>
  <c r="H734" i="3"/>
  <c r="H446" i="3"/>
  <c r="H368" i="3"/>
  <c r="H529" i="3"/>
  <c r="H1481" i="3"/>
  <c r="H1418" i="3"/>
  <c r="H1166" i="3"/>
  <c r="H1293" i="3"/>
  <c r="H1508" i="3"/>
  <c r="H1572" i="3"/>
  <c r="H1160" i="3"/>
  <c r="H1224" i="3"/>
  <c r="H1070" i="3"/>
  <c r="H541" i="3"/>
  <c r="H447" i="3"/>
  <c r="H417" i="3"/>
  <c r="H723" i="3"/>
  <c r="H803" i="3"/>
  <c r="H422" i="3"/>
  <c r="H1182" i="3"/>
  <c r="H1315" i="3"/>
  <c r="H1461" i="3"/>
  <c r="H1605" i="3"/>
  <c r="H1113" i="3"/>
  <c r="H1209" i="3"/>
  <c r="H704" i="3"/>
  <c r="H494" i="3"/>
  <c r="H432" i="3"/>
  <c r="H370" i="3"/>
  <c r="H1164" i="3"/>
  <c r="H1295" i="3"/>
  <c r="H1446" i="3"/>
  <c r="H1542" i="3"/>
  <c r="H1098" i="3"/>
  <c r="H1162" i="3"/>
  <c r="H1072" i="3"/>
  <c r="H495" i="3"/>
  <c r="H449" i="3"/>
  <c r="H682" i="3"/>
  <c r="H348" i="3"/>
  <c r="H1503" i="3"/>
  <c r="H1104" i="3"/>
  <c r="H726" i="3"/>
  <c r="H361" i="3"/>
  <c r="H1628" i="3"/>
  <c r="H1091" i="3"/>
  <c r="H605" i="3"/>
  <c r="H1273" i="3"/>
  <c r="H391" i="3"/>
  <c r="H1532" i="3"/>
  <c r="H1473" i="3"/>
  <c r="H1141" i="3"/>
  <c r="H716" i="3"/>
  <c r="H366" i="3"/>
  <c r="H1133" i="3"/>
  <c r="H1275" i="3"/>
  <c r="H1586" i="3"/>
  <c r="H1254" i="3"/>
  <c r="H611" i="3"/>
  <c r="H399" i="3"/>
  <c r="H1411" i="3"/>
  <c r="H1619" i="3"/>
  <c r="H780" i="3"/>
  <c r="H462" i="3"/>
  <c r="H467" i="3"/>
  <c r="H1482" i="3"/>
  <c r="H1444" i="3"/>
  <c r="H1620" i="3"/>
  <c r="H1240" i="3"/>
  <c r="H321" i="3"/>
  <c r="H1282" i="3"/>
  <c r="H1434" i="3"/>
  <c r="H1429" i="3"/>
  <c r="H1081" i="3"/>
  <c r="H782" i="3"/>
  <c r="H402" i="3"/>
  <c r="H1414" i="3"/>
  <c r="H1638" i="3"/>
  <c r="H1226" i="3"/>
  <c r="H527" i="3"/>
  <c r="H387" i="3"/>
  <c r="H1212" i="3"/>
  <c r="H1181" i="3"/>
  <c r="H484" i="3"/>
  <c r="H804" i="3"/>
  <c r="H1280" i="3"/>
  <c r="H1463" i="3"/>
  <c r="H1591" i="3"/>
  <c r="H1083" i="3"/>
  <c r="H1227" i="3"/>
  <c r="H801" i="3"/>
  <c r="H528" i="3"/>
  <c r="H324" i="3"/>
  <c r="H388" i="3"/>
  <c r="H709" i="3"/>
  <c r="H1265" i="3"/>
  <c r="H1448" i="3"/>
  <c r="H1576" i="3"/>
  <c r="H1640" i="3"/>
  <c r="H536" i="3"/>
  <c r="H1251" i="3"/>
  <c r="H1567" i="3"/>
  <c r="H424" i="3"/>
  <c r="H443" i="3"/>
  <c r="H1076" i="3"/>
  <c r="H1484" i="3"/>
  <c r="H344" i="3"/>
  <c r="H1203" i="3"/>
  <c r="H1611" i="3"/>
  <c r="H333" i="3"/>
  <c r="H743" i="3"/>
  <c r="H1120" i="3"/>
  <c r="H411" i="3"/>
  <c r="H440" i="3"/>
  <c r="H1119" i="3"/>
  <c r="H1471" i="3"/>
  <c r="H475" i="3"/>
  <c r="H1200" i="3"/>
  <c r="H1598" i="3"/>
  <c r="H474" i="3"/>
  <c r="H775" i="3"/>
  <c r="H1597" i="3"/>
  <c r="H1596" i="3"/>
  <c r="H773" i="3"/>
  <c r="H471" i="3"/>
  <c r="H1287" i="3"/>
  <c r="H1629" i="3"/>
  <c r="H1063" i="3"/>
  <c r="H504" i="3"/>
  <c r="H1453" i="3"/>
  <c r="H758" i="3"/>
  <c r="H1217" i="3"/>
  <c r="H747" i="3"/>
  <c r="H19" i="3"/>
  <c r="H1585" i="3"/>
  <c r="H1253" i="3"/>
  <c r="H460" i="3"/>
  <c r="H601" i="3"/>
  <c r="H468" i="3"/>
  <c r="H1442" i="3"/>
  <c r="H1110" i="3"/>
  <c r="H1068" i="3"/>
  <c r="H429" i="3"/>
  <c r="H1433" i="3"/>
  <c r="H1427" i="3"/>
  <c r="H1095" i="3"/>
  <c r="H796" i="3"/>
  <c r="H304" i="3"/>
  <c r="H357" i="3"/>
  <c r="H1578" i="3"/>
  <c r="H1476" i="3"/>
  <c r="H1636" i="3"/>
  <c r="H1256" i="3"/>
  <c r="H613" i="3"/>
  <c r="H1148" i="3"/>
  <c r="H602" i="3"/>
  <c r="H787" i="3"/>
  <c r="H1477" i="3"/>
  <c r="H1129" i="3"/>
  <c r="H720" i="3"/>
  <c r="H306" i="3"/>
  <c r="H1417" i="3"/>
  <c r="H1462" i="3"/>
  <c r="H1114" i="3"/>
  <c r="H705" i="3"/>
  <c r="H323" i="3"/>
  <c r="H403" i="3"/>
  <c r="H497" i="3"/>
  <c r="H1245" i="3"/>
  <c r="H326" i="3"/>
  <c r="H485" i="3"/>
  <c r="H1301" i="3"/>
  <c r="H1479" i="3"/>
  <c r="H1607" i="3"/>
  <c r="H1099" i="3"/>
  <c r="H1259" i="3"/>
  <c r="H706" i="3"/>
  <c r="H600" i="3"/>
  <c r="H340" i="3"/>
  <c r="H404" i="3"/>
  <c r="H453" i="3"/>
  <c r="H1281" i="3"/>
  <c r="H1464" i="3"/>
  <c r="H1592" i="3"/>
  <c r="H1116" i="3"/>
  <c r="H746" i="3"/>
  <c r="H1215" i="3"/>
  <c r="H1531" i="3"/>
  <c r="H380" i="3"/>
  <c r="H535" i="3"/>
  <c r="H1612" i="3"/>
  <c r="H1438" i="3"/>
  <c r="H488" i="3"/>
  <c r="H1167" i="3"/>
  <c r="H1565" i="3"/>
  <c r="H441" i="3"/>
  <c r="H697" i="3"/>
  <c r="H1074" i="3"/>
  <c r="H377" i="3"/>
  <c r="H685" i="3"/>
  <c r="H1599" i="3"/>
  <c r="H1435" i="3"/>
  <c r="H439" i="3"/>
  <c r="H1154" i="3"/>
  <c r="H1552" i="3"/>
  <c r="H683" i="3"/>
  <c r="H1235" i="3"/>
  <c r="H1423" i="3"/>
  <c r="H1550" i="3"/>
  <c r="H1233" i="3"/>
  <c r="H609" i="3"/>
  <c r="H681" i="3"/>
  <c r="H1583" i="3"/>
  <c r="H760" i="3"/>
  <c r="H1062" i="3"/>
  <c r="H1136" i="3"/>
  <c r="H1171" i="3"/>
  <c r="H792" i="3"/>
  <c r="H1274" i="3"/>
  <c r="H1601" i="3"/>
  <c r="H762" i="3"/>
  <c r="H476" i="3"/>
  <c r="H373" i="3"/>
  <c r="H1546" i="3"/>
  <c r="H1506" i="3"/>
  <c r="H1126" i="3"/>
  <c r="H733" i="3"/>
  <c r="H477" i="3"/>
  <c r="H679" i="3"/>
  <c r="H1539" i="3"/>
  <c r="H1207" i="3"/>
  <c r="H540" i="3"/>
  <c r="H384" i="3"/>
  <c r="H1117" i="3"/>
  <c r="H771" i="3"/>
  <c r="H1524" i="3"/>
  <c r="H1176" i="3"/>
  <c r="H751" i="3"/>
  <c r="H690" i="3"/>
  <c r="H1244" i="3"/>
  <c r="H452" i="3"/>
  <c r="H1262" i="3"/>
  <c r="H1525" i="3"/>
  <c r="H1145" i="3"/>
  <c r="H736" i="3"/>
  <c r="H338" i="3"/>
  <c r="H1529" i="3"/>
  <c r="H1478" i="3"/>
  <c r="H1130" i="3"/>
  <c r="H721" i="3"/>
  <c r="H355" i="3"/>
  <c r="H419" i="3"/>
  <c r="H451" i="3"/>
  <c r="H786" i="3"/>
  <c r="H1466" i="3"/>
  <c r="H359" i="3"/>
  <c r="H1399" i="3"/>
  <c r="H1543" i="3"/>
  <c r="H1623" i="3"/>
  <c r="H1147" i="3"/>
  <c r="H768" i="3"/>
  <c r="H722" i="3"/>
  <c r="H466" i="3"/>
  <c r="H356" i="3"/>
  <c r="H1610" i="3"/>
  <c r="H327" i="3"/>
  <c r="H1302" i="3"/>
  <c r="H1528" i="3"/>
  <c r="H1608" i="3"/>
  <c r="H537" i="3"/>
  <c r="H710" i="3"/>
  <c r="H1169" i="3"/>
  <c r="H1270" i="3"/>
  <c r="H345" i="3"/>
  <c r="H790" i="3"/>
  <c r="H1566" i="3"/>
  <c r="H1310" i="3"/>
  <c r="H698" i="3"/>
  <c r="H1121" i="3"/>
  <c r="H1437" i="3"/>
  <c r="H686" i="3"/>
  <c r="H788" i="3"/>
  <c r="H1472" i="3"/>
  <c r="H332" i="3"/>
  <c r="H696" i="3"/>
  <c r="H1563" i="3"/>
  <c r="H1307" i="3"/>
  <c r="H695" i="3"/>
  <c r="H1108" i="3"/>
  <c r="H1424" i="3"/>
  <c r="H730" i="3"/>
  <c r="H1199" i="3"/>
  <c r="H33" i="3"/>
  <c r="H296" i="3"/>
  <c r="H32" i="3"/>
  <c r="H1306" i="3"/>
  <c r="H1517" i="3"/>
  <c r="H1248" i="3"/>
  <c r="H1249" i="3"/>
  <c r="H489" i="3"/>
  <c r="H425" i="3"/>
  <c r="H423" i="3"/>
  <c r="H738" i="3"/>
  <c r="H1575" i="3"/>
  <c r="H724" i="3"/>
  <c r="H511" i="3"/>
  <c r="H386" i="3"/>
  <c r="H1637" i="3"/>
  <c r="H305" i="3"/>
  <c r="H1540" i="3"/>
  <c r="H689" i="3"/>
  <c r="H319" i="3"/>
  <c r="H693" i="3"/>
  <c r="H1093" i="3"/>
  <c r="H1406" i="3"/>
  <c r="H1092" i="3"/>
  <c r="H1549" i="3"/>
  <c r="H298" i="3"/>
  <c r="H300" i="3"/>
  <c r="H30" i="3"/>
  <c r="H21" i="3"/>
  <c r="H23" i="3"/>
  <c r="H25" i="3"/>
  <c r="H27" i="3"/>
  <c r="H29" i="3"/>
  <c r="H15" i="3"/>
  <c r="H17" i="3"/>
  <c r="H1644" i="3"/>
  <c r="H777" i="3"/>
  <c r="H533" i="3"/>
  <c r="H1269" i="3"/>
  <c r="H347" i="3"/>
  <c r="H1624" i="3"/>
  <c r="H1150" i="3"/>
  <c r="H784" i="3"/>
  <c r="H1415" i="3"/>
  <c r="H1593" i="3"/>
  <c r="H1210" i="3"/>
  <c r="H1413" i="3"/>
  <c r="H531" i="3"/>
  <c r="H1223" i="3"/>
  <c r="H1545" i="3"/>
  <c r="H1457" i="3"/>
  <c r="H457" i="3"/>
  <c r="H1419" i="3"/>
  <c r="H392" i="3"/>
  <c r="C385" i="3"/>
  <c r="C323" i="3"/>
  <c r="C1655" i="3"/>
  <c r="C1619" i="3"/>
  <c r="C1684" i="3"/>
  <c r="C1649" i="3"/>
  <c r="C1616" i="3"/>
  <c r="C1694" i="3"/>
  <c r="C1677" i="3"/>
  <c r="C1660" i="3"/>
  <c r="C1643" i="3"/>
  <c r="C1705" i="3"/>
  <c r="C1672" i="3"/>
  <c r="C52" i="3"/>
  <c r="G2" i="3"/>
  <c r="H1289" i="3"/>
  <c r="H458" i="3"/>
  <c r="H774" i="3"/>
  <c r="H1632" i="3"/>
  <c r="H312" i="3"/>
  <c r="C337" i="3"/>
  <c r="C401" i="3"/>
  <c r="C467" i="3"/>
  <c r="C434" i="3"/>
  <c r="C307" i="3"/>
  <c r="C371" i="3"/>
  <c r="C127" i="3"/>
  <c r="C1683" i="3"/>
  <c r="C1666" i="3"/>
  <c r="C1639" i="3"/>
  <c r="C1703" i="3"/>
  <c r="C1669" i="3"/>
  <c r="C1700" i="3"/>
  <c r="C1636" i="3"/>
  <c r="C1665" i="3"/>
  <c r="C1696" i="3"/>
  <c r="C1632" i="3"/>
  <c r="C1663" i="3"/>
  <c r="C1610" i="3"/>
  <c r="C1646" i="3"/>
  <c r="C1693" i="3"/>
  <c r="C1629" i="3"/>
  <c r="C1676" i="3"/>
  <c r="C1612" i="3"/>
  <c r="C1659" i="3"/>
  <c r="C1706" i="3"/>
  <c r="C1626" i="3"/>
  <c r="C1657" i="3"/>
  <c r="C1688" i="3"/>
  <c r="C1624" i="3"/>
  <c r="C1622" i="3"/>
  <c r="H394" i="3"/>
  <c r="H34" i="3"/>
  <c r="H1152" i="3"/>
  <c r="H1234" i="3"/>
  <c r="C305" i="3"/>
  <c r="C369" i="3"/>
  <c r="C95" i="3"/>
  <c r="C466" i="3"/>
  <c r="C339" i="3"/>
  <c r="C403" i="3"/>
  <c r="C308" i="3"/>
  <c r="C1671" i="3"/>
  <c r="C1651" i="3"/>
  <c r="C1634" i="3"/>
  <c r="C1701" i="3"/>
  <c r="C1637" i="3"/>
  <c r="C1668" i="3"/>
  <c r="C1697" i="3"/>
  <c r="C1633" i="3"/>
  <c r="C1664" i="3"/>
  <c r="C1695" i="3"/>
  <c r="C1631" i="3"/>
  <c r="C1678" i="3"/>
  <c r="C1614" i="3"/>
  <c r="C1661" i="3"/>
  <c r="C1708" i="3"/>
  <c r="C1644" i="3"/>
  <c r="C1691" i="3"/>
  <c r="C1627" i="3"/>
  <c r="C1658" i="3"/>
  <c r="C1689" i="3"/>
  <c r="C1625" i="3"/>
  <c r="C1656" i="3"/>
  <c r="A37" i="2"/>
  <c r="L36" i="2"/>
  <c r="I36" i="2"/>
  <c r="F36" i="2"/>
  <c r="H1650" i="3"/>
  <c r="H1346" i="3"/>
  <c r="H1681" i="3"/>
  <c r="H1377" i="3"/>
  <c r="H1297" i="3"/>
  <c r="H1648" i="3"/>
  <c r="H1344" i="3"/>
  <c r="H865" i="3"/>
  <c r="H1695" i="3"/>
  <c r="H1391" i="3"/>
  <c r="H1327" i="3"/>
  <c r="H832" i="3"/>
  <c r="H1662" i="3"/>
  <c r="H1358" i="3"/>
  <c r="H863" i="3"/>
  <c r="H1709" i="3"/>
  <c r="H1645" i="3"/>
  <c r="H1341" i="3"/>
  <c r="H846" i="3"/>
  <c r="H1692" i="3"/>
  <c r="H1372" i="3"/>
  <c r="H1707" i="3"/>
  <c r="H1387" i="3"/>
  <c r="H1323" i="3"/>
  <c r="H1658" i="3"/>
  <c r="H1338" i="3"/>
  <c r="H1673" i="3"/>
  <c r="H1353" i="3"/>
  <c r="H1688" i="3"/>
  <c r="H1368" i="3"/>
  <c r="H67" i="3"/>
  <c r="H913" i="3"/>
  <c r="H977" i="3"/>
  <c r="H1041" i="3"/>
  <c r="H576" i="3"/>
  <c r="H656" i="3"/>
  <c r="H877" i="3"/>
  <c r="H946" i="3"/>
  <c r="H1010" i="3"/>
  <c r="H545" i="3"/>
  <c r="H625" i="3"/>
  <c r="H818" i="3"/>
  <c r="H915" i="3"/>
  <c r="H979" i="3"/>
  <c r="H1043" i="3"/>
  <c r="H578" i="3"/>
  <c r="H658" i="3"/>
  <c r="H851" i="3"/>
  <c r="H932" i="3"/>
  <c r="H996" i="3"/>
  <c r="H1060" i="3"/>
  <c r="H595" i="3"/>
  <c r="H675" i="3"/>
  <c r="H884" i="3"/>
  <c r="H949" i="3"/>
  <c r="H1013" i="3"/>
  <c r="H564" i="3"/>
  <c r="H644" i="3"/>
  <c r="H210" i="3"/>
  <c r="H885" i="3"/>
  <c r="H950" i="3"/>
  <c r="H1014" i="3"/>
  <c r="H565" i="3"/>
  <c r="H645" i="3"/>
  <c r="H858" i="3"/>
  <c r="H935" i="3"/>
  <c r="H999" i="3"/>
  <c r="H550" i="3"/>
  <c r="H630" i="3"/>
  <c r="H827" i="3"/>
  <c r="H920" i="3"/>
  <c r="H984" i="3"/>
  <c r="H1048" i="3"/>
  <c r="H631" i="3"/>
  <c r="H520" i="3"/>
  <c r="H512" i="3"/>
  <c r="H516" i="3"/>
  <c r="H517" i="3"/>
  <c r="H1394" i="3"/>
  <c r="H1330" i="3"/>
  <c r="H1665" i="3"/>
  <c r="H1361" i="3"/>
  <c r="H1696" i="3"/>
  <c r="H1392" i="3"/>
  <c r="H1328" i="3"/>
  <c r="H849" i="3"/>
  <c r="H1679" i="3"/>
  <c r="H1375" i="3"/>
  <c r="H880" i="3"/>
  <c r="H816" i="3"/>
  <c r="H1646" i="3"/>
  <c r="H1342" i="3"/>
  <c r="H847" i="3"/>
  <c r="H1693" i="3"/>
  <c r="H1389" i="3"/>
  <c r="H1325" i="3"/>
  <c r="H830" i="3"/>
  <c r="H1676" i="3"/>
  <c r="H1356" i="3"/>
  <c r="H1691" i="3"/>
  <c r="H1371" i="3"/>
  <c r="H1706" i="3"/>
  <c r="H1386" i="3"/>
  <c r="H1322" i="3"/>
  <c r="H1657" i="3"/>
  <c r="H1337" i="3"/>
  <c r="H1672" i="3"/>
  <c r="H1352" i="3"/>
  <c r="H844" i="3"/>
  <c r="H929" i="3"/>
  <c r="H993" i="3"/>
  <c r="H1057" i="3"/>
  <c r="H592" i="3"/>
  <c r="H672" i="3"/>
  <c r="H898" i="3"/>
  <c r="H962" i="3"/>
  <c r="H1026" i="3"/>
  <c r="H561" i="3"/>
  <c r="H641" i="3"/>
  <c r="H850" i="3"/>
  <c r="H931" i="3"/>
  <c r="H995" i="3"/>
  <c r="H1059" i="3"/>
  <c r="H594" i="3"/>
  <c r="H674" i="3"/>
  <c r="H883" i="3"/>
  <c r="H948" i="3"/>
  <c r="H1012" i="3"/>
  <c r="H547" i="3"/>
  <c r="H627" i="3"/>
  <c r="H130" i="3"/>
  <c r="H901" i="3"/>
  <c r="H965" i="3"/>
  <c r="H1029" i="3"/>
  <c r="H580" i="3"/>
  <c r="H660" i="3"/>
  <c r="H797" i="3"/>
  <c r="H902" i="3"/>
  <c r="H966" i="3"/>
  <c r="H1030" i="3"/>
  <c r="H581" i="3"/>
  <c r="H661" i="3"/>
  <c r="H886" i="3"/>
  <c r="H951" i="3"/>
  <c r="H1015" i="3"/>
  <c r="H566" i="3"/>
  <c r="H646" i="3"/>
  <c r="H859" i="3"/>
  <c r="H936" i="3"/>
  <c r="H1000" i="3"/>
  <c r="H551" i="3"/>
  <c r="H647" i="3"/>
  <c r="H521" i="3"/>
  <c r="H514" i="3"/>
  <c r="H513" i="3"/>
  <c r="H522" i="3"/>
  <c r="H518" i="3"/>
  <c r="H1660" i="3"/>
  <c r="H1340" i="3"/>
  <c r="H1675" i="3"/>
  <c r="H1355" i="3"/>
  <c r="H1690" i="3"/>
  <c r="H1370" i="3"/>
  <c r="H1705" i="3"/>
  <c r="H1385" i="3"/>
  <c r="H1321" i="3"/>
  <c r="H1656" i="3"/>
  <c r="H1336" i="3"/>
  <c r="H876" i="3"/>
  <c r="H945" i="3"/>
  <c r="H1009" i="3"/>
  <c r="H544" i="3"/>
  <c r="H624" i="3"/>
  <c r="H813" i="3"/>
  <c r="H914" i="3"/>
  <c r="H978" i="3"/>
  <c r="H1042" i="3"/>
  <c r="H577" i="3"/>
  <c r="H657" i="3"/>
  <c r="H882" i="3"/>
  <c r="H947" i="3"/>
  <c r="H1011" i="3"/>
  <c r="H546" i="3"/>
  <c r="H626" i="3"/>
  <c r="H114" i="3"/>
  <c r="H900" i="3"/>
  <c r="H964" i="3"/>
  <c r="H1028" i="3"/>
  <c r="H563" i="3"/>
  <c r="H643" i="3"/>
  <c r="H820" i="3"/>
  <c r="H917" i="3"/>
  <c r="H981" i="3"/>
  <c r="H1045" i="3"/>
  <c r="H596" i="3"/>
  <c r="H676" i="3"/>
  <c r="H821" i="3"/>
  <c r="H918" i="3"/>
  <c r="H982" i="3"/>
  <c r="H1046" i="3"/>
  <c r="H597" i="3"/>
  <c r="H162" i="3"/>
  <c r="H903" i="3"/>
  <c r="H967" i="3"/>
  <c r="H1031" i="3"/>
  <c r="H582" i="3"/>
  <c r="H662" i="3"/>
  <c r="H888" i="3"/>
  <c r="H952" i="3"/>
  <c r="H1016" i="3"/>
  <c r="H567" i="3"/>
  <c r="H663" i="3"/>
  <c r="H524" i="3"/>
  <c r="H515" i="3"/>
  <c r="H519" i="3"/>
  <c r="H242" i="3"/>
  <c r="H328" i="3"/>
  <c r="H407" i="3"/>
  <c r="C372" i="3"/>
  <c r="C388" i="3"/>
  <c r="C404" i="3"/>
  <c r="C420" i="3"/>
  <c r="C143" i="3"/>
  <c r="C1674" i="3"/>
  <c r="C1702" i="3"/>
  <c r="C1686" i="3"/>
  <c r="C1329" i="3"/>
  <c r="C1590" i="3"/>
  <c r="H405" i="3"/>
  <c r="H478" i="3"/>
  <c r="H764" i="3"/>
  <c r="H1587" i="3"/>
  <c r="H1498" i="3"/>
  <c r="H303" i="3"/>
  <c r="H779" i="3"/>
  <c r="H1602" i="3"/>
  <c r="H311" i="3"/>
  <c r="H1609" i="3"/>
  <c r="H334" i="3"/>
  <c r="H1067" i="3"/>
  <c r="H1633" i="3"/>
  <c r="H1290" i="3"/>
  <c r="H711" i="3"/>
  <c r="H757" i="3"/>
  <c r="H713" i="3"/>
  <c r="H1137" i="3"/>
  <c r="H1138" i="3"/>
  <c r="H1501" i="3"/>
  <c r="H362" i="3"/>
  <c r="H727" i="3"/>
  <c r="H1187" i="3"/>
  <c r="H1504" i="3"/>
  <c r="H1188" i="3"/>
  <c r="H1305" i="3"/>
  <c r="H438" i="3"/>
  <c r="H776" i="3"/>
  <c r="H1073" i="3"/>
  <c r="H1436" i="3"/>
  <c r="H487" i="3"/>
  <c r="H789" i="3"/>
  <c r="H1261" i="3"/>
  <c r="H18" i="3"/>
  <c r="H500" i="3"/>
  <c r="H1544" i="3"/>
  <c r="H499" i="3"/>
  <c r="H482" i="3"/>
  <c r="H1243" i="3"/>
  <c r="H1559" i="3"/>
  <c r="H680" i="3"/>
  <c r="H1101" i="3"/>
  <c r="H339" i="3"/>
  <c r="H800" i="3"/>
  <c r="H1622" i="3"/>
  <c r="H1279" i="3"/>
  <c r="H322" i="3"/>
  <c r="H799" i="3"/>
  <c r="H1621" i="3"/>
  <c r="H1278" i="3"/>
  <c r="H708" i="3"/>
  <c r="H401" i="3"/>
  <c r="H493" i="3"/>
  <c r="H1144" i="3"/>
  <c r="H1460" i="3"/>
  <c r="H406" i="3"/>
  <c r="H785" i="3"/>
  <c r="H612" i="3"/>
  <c r="H1191" i="3"/>
  <c r="H1507" i="3"/>
  <c r="H1513" i="3"/>
  <c r="H688" i="3"/>
  <c r="H1206" i="3"/>
  <c r="H1522" i="3"/>
  <c r="H1642" i="3"/>
  <c r="H483" i="3"/>
  <c r="H444" i="3"/>
  <c r="H1237" i="3"/>
  <c r="H1553" i="3"/>
  <c r="H1486" i="3"/>
  <c r="H1272" i="3"/>
  <c r="H1452" i="3"/>
  <c r="H349" i="3"/>
  <c r="H714" i="3"/>
  <c r="H715" i="3"/>
  <c r="H1139" i="3"/>
  <c r="H1456" i="3"/>
  <c r="H363" i="3"/>
  <c r="H1106" i="3"/>
  <c r="H314" i="3"/>
  <c r="H1469" i="3"/>
  <c r="H330" i="3"/>
  <c r="H731" i="3"/>
  <c r="H1155" i="3"/>
  <c r="H1518" i="3"/>
  <c r="H378" i="3"/>
  <c r="H744" i="3"/>
  <c r="H1122" i="3"/>
  <c r="H1403" i="3"/>
  <c r="H454" i="3"/>
  <c r="H1512" i="3"/>
  <c r="H755" i="3"/>
  <c r="H450" i="3"/>
  <c r="H1211" i="3"/>
  <c r="H1527" i="3"/>
  <c r="H1214" i="3"/>
  <c r="H1497" i="3"/>
  <c r="H307" i="3"/>
  <c r="H767" i="3"/>
  <c r="H1590" i="3"/>
  <c r="H1530" i="3"/>
  <c r="H480" i="3"/>
  <c r="H766" i="3"/>
  <c r="H1589" i="3"/>
  <c r="H469" i="3"/>
  <c r="H1197" i="3"/>
  <c r="H369" i="3"/>
  <c r="H735" i="3"/>
  <c r="H1112" i="3"/>
  <c r="H1428" i="3"/>
  <c r="H436" i="3"/>
  <c r="H1132" i="3"/>
  <c r="H1159" i="3"/>
  <c r="H1475" i="3"/>
  <c r="H341" i="3"/>
  <c r="H539" i="3"/>
  <c r="H1174" i="3"/>
  <c r="H1490" i="3"/>
  <c r="H1450" i="3"/>
  <c r="H707" i="3"/>
  <c r="H687" i="3"/>
  <c r="H1205" i="3"/>
  <c r="H1521" i="3"/>
  <c r="H1568" i="3"/>
  <c r="H1451" i="3"/>
  <c r="H1534" i="3"/>
  <c r="H606" i="3"/>
  <c r="H607" i="3"/>
  <c r="H1231" i="3"/>
  <c r="H1548" i="3"/>
  <c r="H1288" i="3"/>
  <c r="H360" i="3"/>
  <c r="H502" i="3"/>
  <c r="H456" i="3"/>
  <c r="H1515" i="3"/>
  <c r="H375" i="3"/>
  <c r="H1201" i="3"/>
  <c r="H1564" i="3"/>
  <c r="H412" i="3"/>
  <c r="H534" i="3"/>
  <c r="H1168" i="3"/>
  <c r="H1439" i="3"/>
  <c r="H346" i="3"/>
  <c r="H1496" i="3"/>
  <c r="H1246" i="3"/>
  <c r="H434" i="3"/>
  <c r="H1195" i="3"/>
  <c r="H1511" i="3"/>
  <c r="H1118" i="3"/>
  <c r="H1303" i="3"/>
  <c r="H481" i="3"/>
  <c r="H1258" i="3"/>
  <c r="H1574" i="3"/>
  <c r="H740" i="3"/>
  <c r="H464" i="3"/>
  <c r="H1257" i="3"/>
  <c r="H1573" i="3"/>
  <c r="H603" i="3"/>
  <c r="H1085" i="3"/>
  <c r="H353" i="3"/>
  <c r="H719" i="3"/>
  <c r="H1096" i="3"/>
  <c r="H1412" i="3"/>
  <c r="H498" i="3"/>
  <c r="H416" i="3"/>
  <c r="H508" i="3"/>
  <c r="H1143" i="3"/>
  <c r="H1459" i="3"/>
  <c r="H1196" i="3"/>
  <c r="H1158" i="3"/>
  <c r="H1474" i="3"/>
  <c r="H1283" i="3"/>
  <c r="H1260" i="3"/>
  <c r="H610" i="3"/>
  <c r="H1189" i="3"/>
  <c r="H1505" i="3"/>
  <c r="H1614" i="3"/>
  <c r="H1487" i="3"/>
  <c r="H1580" i="3"/>
  <c r="H1284" i="3"/>
  <c r="H1285" i="3"/>
  <c r="H492" i="3"/>
  <c r="H761" i="3"/>
  <c r="H1584" i="3"/>
  <c r="H1421" i="3"/>
  <c r="H364" i="3"/>
  <c r="H472" i="3"/>
  <c r="H1551" i="3"/>
  <c r="H409" i="3"/>
  <c r="H684" i="3"/>
  <c r="H1247" i="3"/>
  <c r="H1600" i="3"/>
  <c r="H1268" i="3"/>
  <c r="H442" i="3"/>
  <c r="H1204" i="3"/>
  <c r="H1485" i="3"/>
  <c r="H381" i="3"/>
  <c r="H1480" i="3"/>
  <c r="H1198" i="3"/>
  <c r="H677" i="3"/>
  <c r="H1179" i="3"/>
  <c r="H1495" i="3"/>
  <c r="H1626" i="3"/>
  <c r="H325" i="3"/>
  <c r="H465" i="3"/>
  <c r="H1242" i="3"/>
  <c r="H1558" i="3"/>
  <c r="H1149" i="3"/>
  <c r="H448" i="3"/>
  <c r="H1241" i="3"/>
  <c r="H1557" i="3"/>
  <c r="H741" i="3"/>
  <c r="H1561" i="3"/>
  <c r="H337" i="3"/>
  <c r="H703" i="3"/>
  <c r="H1080" i="3"/>
  <c r="H1314" i="3"/>
  <c r="H754" i="3"/>
  <c r="H400" i="3"/>
  <c r="H750" i="3"/>
  <c r="H1127" i="3"/>
  <c r="H1443" i="3"/>
  <c r="H415" i="3"/>
  <c r="H507" i="3"/>
  <c r="H1142" i="3"/>
  <c r="H1458" i="3"/>
  <c r="H342" i="3"/>
  <c r="H1180" i="3"/>
  <c r="H538" i="3"/>
  <c r="H1173" i="3"/>
  <c r="H1489" i="3"/>
  <c r="H1088" i="3"/>
  <c r="H1533" i="3"/>
  <c r="H1616" i="3"/>
  <c r="H1407" i="3"/>
  <c r="H1408" i="3"/>
  <c r="H459" i="3"/>
  <c r="H1064" i="3"/>
  <c r="H1630" i="3"/>
  <c r="H1467" i="3"/>
  <c r="H365" i="3"/>
  <c r="H302" i="3"/>
  <c r="H329" i="3"/>
  <c r="C1083" i="3"/>
  <c r="C1099" i="3"/>
  <c r="C1115" i="3"/>
  <c r="C1131" i="3"/>
  <c r="C1147" i="3"/>
  <c r="C1163" i="3"/>
  <c r="C1179" i="3"/>
  <c r="C1195" i="3"/>
  <c r="C1211" i="3"/>
  <c r="C1227" i="3"/>
  <c r="C1243" i="3"/>
  <c r="C1259" i="3"/>
  <c r="C1085" i="3"/>
  <c r="C1101" i="3"/>
  <c r="C1117" i="3"/>
  <c r="C1133" i="3"/>
  <c r="C1149" i="3"/>
  <c r="C1165" i="3"/>
  <c r="C1181" i="3"/>
  <c r="C1197" i="3"/>
  <c r="C1213" i="3"/>
  <c r="C1229" i="3"/>
  <c r="C1245" i="3"/>
  <c r="C1086" i="3"/>
  <c r="C1102" i="3"/>
  <c r="C1118" i="3"/>
  <c r="C1134" i="3"/>
  <c r="C1150" i="3"/>
  <c r="C1166" i="3"/>
  <c r="C1182" i="3"/>
  <c r="C1198" i="3"/>
  <c r="C1214" i="3"/>
  <c r="C1230" i="3"/>
  <c r="C1246" i="3"/>
  <c r="C1087" i="3"/>
  <c r="C1103" i="3"/>
  <c r="C1119" i="3"/>
  <c r="C1135" i="3"/>
  <c r="C1151" i="3"/>
  <c r="C1167" i="3"/>
  <c r="C1183" i="3"/>
  <c r="C1199" i="3"/>
  <c r="C1215" i="3"/>
  <c r="C1231" i="3"/>
  <c r="C1247" i="3"/>
  <c r="C1088" i="3"/>
  <c r="C1104" i="3"/>
  <c r="C1120" i="3"/>
  <c r="C1136" i="3"/>
  <c r="C1152" i="3"/>
  <c r="C1168" i="3"/>
  <c r="C1184" i="3"/>
  <c r="C1200" i="3"/>
  <c r="C1216" i="3"/>
  <c r="C1232" i="3"/>
  <c r="C1248" i="3"/>
  <c r="C1073" i="3"/>
  <c r="C1089" i="3"/>
  <c r="C1105" i="3"/>
  <c r="C1121" i="3"/>
  <c r="C1137" i="3"/>
  <c r="C1153" i="3"/>
  <c r="C1169" i="3"/>
  <c r="C1185" i="3"/>
  <c r="C1201" i="3"/>
  <c r="C1217" i="3"/>
  <c r="C1233" i="3"/>
  <c r="C1249" i="3"/>
  <c r="C1074" i="3"/>
  <c r="C1090" i="3"/>
  <c r="C1106" i="3"/>
  <c r="C1122" i="3"/>
  <c r="C1138" i="3"/>
  <c r="C1154" i="3"/>
  <c r="C1170" i="3"/>
  <c r="C1186" i="3"/>
  <c r="C1202" i="3"/>
  <c r="C1218" i="3"/>
  <c r="C1234" i="3"/>
  <c r="C1250" i="3"/>
  <c r="C1075" i="3"/>
  <c r="C1091" i="3"/>
  <c r="C1107" i="3"/>
  <c r="C1123" i="3"/>
  <c r="C1139" i="3"/>
  <c r="C1155" i="3"/>
  <c r="C1171" i="3"/>
  <c r="C1187" i="3"/>
  <c r="C1203" i="3"/>
  <c r="C1219" i="3"/>
  <c r="C1235" i="3"/>
  <c r="C1251" i="3"/>
  <c r="C1076" i="3"/>
  <c r="C1092" i="3"/>
  <c r="C1108" i="3"/>
  <c r="C1124" i="3"/>
  <c r="C1140" i="3"/>
  <c r="C1156" i="3"/>
  <c r="C1172" i="3"/>
  <c r="C1188" i="3"/>
  <c r="C1204" i="3"/>
  <c r="C1220" i="3"/>
  <c r="C1236" i="3"/>
  <c r="C1252" i="3"/>
  <c r="C1077" i="3"/>
  <c r="C1093" i="3"/>
  <c r="C1109" i="3"/>
  <c r="C1125" i="3"/>
  <c r="C1141" i="3"/>
  <c r="C1157" i="3"/>
  <c r="C1173" i="3"/>
  <c r="C1189" i="3"/>
  <c r="C1205" i="3"/>
  <c r="C1221" i="3"/>
  <c r="C1237" i="3"/>
  <c r="C1253" i="3"/>
  <c r="C1078" i="3"/>
  <c r="C1094" i="3"/>
  <c r="C1110" i="3"/>
  <c r="C1126" i="3"/>
  <c r="C1142" i="3"/>
  <c r="C1158" i="3"/>
  <c r="C1174" i="3"/>
  <c r="C1190" i="3"/>
  <c r="C1206" i="3"/>
  <c r="C1222" i="3"/>
  <c r="C1238" i="3"/>
  <c r="C1254" i="3"/>
  <c r="C1081" i="3"/>
  <c r="C1097" i="3"/>
  <c r="C1113" i="3"/>
  <c r="C1129" i="3"/>
  <c r="C1145" i="3"/>
  <c r="C1161" i="3"/>
  <c r="C1177" i="3"/>
  <c r="C1193" i="3"/>
  <c r="C1209" i="3"/>
  <c r="C1225" i="3"/>
  <c r="C1241" i="3"/>
  <c r="C1257" i="3"/>
  <c r="C1082" i="3"/>
  <c r="C1098" i="3"/>
  <c r="C1114" i="3"/>
  <c r="C1130" i="3"/>
  <c r="C1146" i="3"/>
  <c r="C1162" i="3"/>
  <c r="C1178" i="3"/>
  <c r="C1194" i="3"/>
  <c r="C1210" i="3"/>
  <c r="C1226" i="3"/>
  <c r="C1242" i="3"/>
  <c r="C1258" i="3"/>
  <c r="C1144" i="3"/>
  <c r="C1228" i="3"/>
  <c r="C755" i="3"/>
  <c r="C771" i="3"/>
  <c r="C787" i="3"/>
  <c r="C803" i="3"/>
  <c r="C819" i="3"/>
  <c r="C835" i="3"/>
  <c r="C851" i="3"/>
  <c r="C867" i="3"/>
  <c r="C883" i="3"/>
  <c r="C899" i="3"/>
  <c r="C915" i="3"/>
  <c r="C931" i="3"/>
  <c r="C947" i="3"/>
  <c r="C963" i="3"/>
  <c r="C979" i="3"/>
  <c r="C995" i="3"/>
  <c r="C1011" i="3"/>
  <c r="C1027" i="3"/>
  <c r="C1043" i="3"/>
  <c r="C1059" i="3"/>
  <c r="C695" i="3"/>
  <c r="C711" i="3"/>
  <c r="C727" i="3"/>
  <c r="C743" i="3"/>
  <c r="C1148" i="3"/>
  <c r="C1239" i="3"/>
  <c r="C756" i="3"/>
  <c r="C772" i="3"/>
  <c r="C788" i="3"/>
  <c r="C804" i="3"/>
  <c r="C820" i="3"/>
  <c r="C836" i="3"/>
  <c r="C852" i="3"/>
  <c r="C868" i="3"/>
  <c r="C884" i="3"/>
  <c r="C900" i="3"/>
  <c r="C916" i="3"/>
  <c r="C932" i="3"/>
  <c r="C948" i="3"/>
  <c r="C964" i="3"/>
  <c r="C980" i="3"/>
  <c r="C996" i="3"/>
  <c r="C1012" i="3"/>
  <c r="C1028" i="3"/>
  <c r="C1044" i="3"/>
  <c r="C1060" i="3"/>
  <c r="C696" i="3"/>
  <c r="C712" i="3"/>
  <c r="C728" i="3"/>
  <c r="C744" i="3"/>
  <c r="C1159" i="3"/>
  <c r="C1240" i="3"/>
  <c r="C757" i="3"/>
  <c r="C773" i="3"/>
  <c r="C789" i="3"/>
  <c r="C805" i="3"/>
  <c r="C821" i="3"/>
  <c r="C837" i="3"/>
  <c r="C853" i="3"/>
  <c r="C869" i="3"/>
  <c r="C885" i="3"/>
  <c r="C901" i="3"/>
  <c r="C917" i="3"/>
  <c r="C933" i="3"/>
  <c r="C949" i="3"/>
  <c r="C965" i="3"/>
  <c r="C981" i="3"/>
  <c r="C997" i="3"/>
  <c r="C1013" i="3"/>
  <c r="C1029" i="3"/>
  <c r="C1045" i="3"/>
  <c r="C1061" i="3"/>
  <c r="C697" i="3"/>
  <c r="C713" i="3"/>
  <c r="C729" i="3"/>
  <c r="C745" i="3"/>
  <c r="C1079" i="3"/>
  <c r="C1160" i="3"/>
  <c r="C1244" i="3"/>
  <c r="C758" i="3"/>
  <c r="C774" i="3"/>
  <c r="C790" i="3"/>
  <c r="C806" i="3"/>
  <c r="C822" i="3"/>
  <c r="C838" i="3"/>
  <c r="C854" i="3"/>
  <c r="C870" i="3"/>
  <c r="C886" i="3"/>
  <c r="C902" i="3"/>
  <c r="C918" i="3"/>
  <c r="C934" i="3"/>
  <c r="C950" i="3"/>
  <c r="C966" i="3"/>
  <c r="C982" i="3"/>
  <c r="C998" i="3"/>
  <c r="C1014" i="3"/>
  <c r="C1030" i="3"/>
  <c r="C1046" i="3"/>
  <c r="C1062" i="3"/>
  <c r="C698" i="3"/>
  <c r="C714" i="3"/>
  <c r="C730" i="3"/>
  <c r="C746" i="3"/>
  <c r="C1080" i="3"/>
  <c r="C1164" i="3"/>
  <c r="C1255" i="3"/>
  <c r="C759" i="3"/>
  <c r="C775" i="3"/>
  <c r="C791" i="3"/>
  <c r="C807" i="3"/>
  <c r="C823" i="3"/>
  <c r="C839" i="3"/>
  <c r="C855" i="3"/>
  <c r="C871" i="3"/>
  <c r="C887" i="3"/>
  <c r="C903" i="3"/>
  <c r="C919" i="3"/>
  <c r="C935" i="3"/>
  <c r="C951" i="3"/>
  <c r="C967" i="3"/>
  <c r="C983" i="3"/>
  <c r="C999" i="3"/>
  <c r="C1015" i="3"/>
  <c r="C1031" i="3"/>
  <c r="C1047" i="3"/>
  <c r="C1063" i="3"/>
  <c r="C699" i="3"/>
  <c r="C715" i="3"/>
  <c r="C731" i="3"/>
  <c r="C747" i="3"/>
  <c r="C1084" i="3"/>
  <c r="C1175" i="3"/>
  <c r="C1256" i="3"/>
  <c r="C760" i="3"/>
  <c r="C776" i="3"/>
  <c r="C792" i="3"/>
  <c r="C808" i="3"/>
  <c r="C824" i="3"/>
  <c r="C840" i="3"/>
  <c r="C856" i="3"/>
  <c r="C872" i="3"/>
  <c r="C888" i="3"/>
  <c r="C904" i="3"/>
  <c r="C920" i="3"/>
  <c r="C936" i="3"/>
  <c r="C952" i="3"/>
  <c r="C968" i="3"/>
  <c r="C984" i="3"/>
  <c r="C1000" i="3"/>
  <c r="C1016" i="3"/>
  <c r="C1032" i="3"/>
  <c r="C1048" i="3"/>
  <c r="C1064" i="3"/>
  <c r="C700" i="3"/>
  <c r="C716" i="3"/>
  <c r="C732" i="3"/>
  <c r="C748" i="3"/>
  <c r="C1095" i="3"/>
  <c r="C1176" i="3"/>
  <c r="C1260" i="3"/>
  <c r="C761" i="3"/>
  <c r="C777" i="3"/>
  <c r="C793" i="3"/>
  <c r="C809" i="3"/>
  <c r="C825" i="3"/>
  <c r="C841" i="3"/>
  <c r="C857" i="3"/>
  <c r="C873" i="3"/>
  <c r="C889" i="3"/>
  <c r="C905" i="3"/>
  <c r="C921" i="3"/>
  <c r="C937" i="3"/>
  <c r="C953" i="3"/>
  <c r="C969" i="3"/>
  <c r="C985" i="3"/>
  <c r="C1001" i="3"/>
  <c r="C1017" i="3"/>
  <c r="C1033" i="3"/>
  <c r="C1049" i="3"/>
  <c r="C1065" i="3"/>
  <c r="C701" i="3"/>
  <c r="C717" i="3"/>
  <c r="C733" i="3"/>
  <c r="C749" i="3"/>
  <c r="C1096" i="3"/>
  <c r="C1180" i="3"/>
  <c r="C762" i="3"/>
  <c r="C778" i="3"/>
  <c r="C794" i="3"/>
  <c r="C810" i="3"/>
  <c r="C826" i="3"/>
  <c r="C842" i="3"/>
  <c r="C858" i="3"/>
  <c r="C874" i="3"/>
  <c r="C890" i="3"/>
  <c r="C906" i="3"/>
  <c r="C922" i="3"/>
  <c r="C938" i="3"/>
  <c r="C954" i="3"/>
  <c r="C970" i="3"/>
  <c r="C986" i="3"/>
  <c r="C1002" i="3"/>
  <c r="C1018" i="3"/>
  <c r="C1034" i="3"/>
  <c r="C1050" i="3"/>
  <c r="C1066" i="3"/>
  <c r="C702" i="3"/>
  <c r="C718" i="3"/>
  <c r="C734" i="3"/>
  <c r="C750" i="3"/>
  <c r="C1100" i="3"/>
  <c r="C1191" i="3"/>
  <c r="C763" i="3"/>
  <c r="C779" i="3"/>
  <c r="C795" i="3"/>
  <c r="C811" i="3"/>
  <c r="C827" i="3"/>
  <c r="C843" i="3"/>
  <c r="C859" i="3"/>
  <c r="C875" i="3"/>
  <c r="C891" i="3"/>
  <c r="C907" i="3"/>
  <c r="C923" i="3"/>
  <c r="C939" i="3"/>
  <c r="C955" i="3"/>
  <c r="C971" i="3"/>
  <c r="C987" i="3"/>
  <c r="C1003" i="3"/>
  <c r="C1019" i="3"/>
  <c r="C1035" i="3"/>
  <c r="C1051" i="3"/>
  <c r="C1067" i="3"/>
  <c r="C703" i="3"/>
  <c r="C719" i="3"/>
  <c r="C735" i="3"/>
  <c r="C751" i="3"/>
  <c r="C1111" i="3"/>
  <c r="C1192" i="3"/>
  <c r="C764" i="3"/>
  <c r="C780" i="3"/>
  <c r="C796" i="3"/>
  <c r="C812" i="3"/>
  <c r="C828" i="3"/>
  <c r="C844" i="3"/>
  <c r="C860" i="3"/>
  <c r="C876" i="3"/>
  <c r="C892" i="3"/>
  <c r="C908" i="3"/>
  <c r="C924" i="3"/>
  <c r="C940" i="3"/>
  <c r="C956" i="3"/>
  <c r="C972" i="3"/>
  <c r="C988" i="3"/>
  <c r="C1004" i="3"/>
  <c r="C1020" i="3"/>
  <c r="C1036" i="3"/>
  <c r="C1052" i="3"/>
  <c r="C1068" i="3"/>
  <c r="C704" i="3"/>
  <c r="C720" i="3"/>
  <c r="C736" i="3"/>
  <c r="C752" i="3"/>
  <c r="C1112" i="3"/>
  <c r="C1196" i="3"/>
  <c r="C765" i="3"/>
  <c r="C781" i="3"/>
  <c r="C797" i="3"/>
  <c r="C813" i="3"/>
  <c r="C829" i="3"/>
  <c r="C845" i="3"/>
  <c r="C861" i="3"/>
  <c r="C877" i="3"/>
  <c r="C893" i="3"/>
  <c r="C909" i="3"/>
  <c r="C925" i="3"/>
  <c r="C941" i="3"/>
  <c r="C957" i="3"/>
  <c r="C973" i="3"/>
  <c r="C989" i="3"/>
  <c r="C1005" i="3"/>
  <c r="C1021" i="3"/>
  <c r="C1037" i="3"/>
  <c r="C1053" i="3"/>
  <c r="C1069" i="3"/>
  <c r="C705" i="3"/>
  <c r="C721" i="3"/>
  <c r="C737" i="3"/>
  <c r="C1116" i="3"/>
  <c r="C1207" i="3"/>
  <c r="C766" i="3"/>
  <c r="C782" i="3"/>
  <c r="C798" i="3"/>
  <c r="C814" i="3"/>
  <c r="C830" i="3"/>
  <c r="C846" i="3"/>
  <c r="C862" i="3"/>
  <c r="C878" i="3"/>
  <c r="C894" i="3"/>
  <c r="C910" i="3"/>
  <c r="C926" i="3"/>
  <c r="C942" i="3"/>
  <c r="C958" i="3"/>
  <c r="C974" i="3"/>
  <c r="C990" i="3"/>
  <c r="C1006" i="3"/>
  <c r="C1022" i="3"/>
  <c r="C1038" i="3"/>
  <c r="C1054" i="3"/>
  <c r="C1070" i="3"/>
  <c r="C706" i="3"/>
  <c r="C722" i="3"/>
  <c r="C738" i="3"/>
  <c r="C1127" i="3"/>
  <c r="C1208" i="3"/>
  <c r="C767" i="3"/>
  <c r="C783" i="3"/>
  <c r="C799" i="3"/>
  <c r="C815" i="3"/>
  <c r="C831" i="3"/>
  <c r="C847" i="3"/>
  <c r="C863" i="3"/>
  <c r="C879" i="3"/>
  <c r="C895" i="3"/>
  <c r="C911" i="3"/>
  <c r="C927" i="3"/>
  <c r="C943" i="3"/>
  <c r="C959" i="3"/>
  <c r="C975" i="3"/>
  <c r="C991" i="3"/>
  <c r="C1007" i="3"/>
  <c r="C1023" i="3"/>
  <c r="C1039" i="3"/>
  <c r="C1055" i="3"/>
  <c r="C1071" i="3"/>
  <c r="C691" i="3"/>
  <c r="C707" i="3"/>
  <c r="C723" i="3"/>
  <c r="C739" i="3"/>
  <c r="C1132" i="3"/>
  <c r="C1223" i="3"/>
  <c r="C753" i="3"/>
  <c r="C769" i="3"/>
  <c r="C785" i="3"/>
  <c r="C801" i="3"/>
  <c r="C817" i="3"/>
  <c r="C833" i="3"/>
  <c r="C849" i="3"/>
  <c r="C865" i="3"/>
  <c r="C881" i="3"/>
  <c r="C897" i="3"/>
  <c r="C913" i="3"/>
  <c r="C929" i="3"/>
  <c r="C945" i="3"/>
  <c r="C961" i="3"/>
  <c r="C977" i="3"/>
  <c r="C993" i="3"/>
  <c r="C1009" i="3"/>
  <c r="C1025" i="3"/>
  <c r="C1041" i="3"/>
  <c r="C1057" i="3"/>
  <c r="C693" i="3"/>
  <c r="C709" i="3"/>
  <c r="C725" i="3"/>
  <c r="C741" i="3"/>
  <c r="C1212" i="3"/>
  <c r="C880" i="3"/>
  <c r="C1008" i="3"/>
  <c r="C692" i="3"/>
  <c r="C494" i="3"/>
  <c r="C510" i="3"/>
  <c r="C526" i="3"/>
  <c r="C542" i="3"/>
  <c r="C558" i="3"/>
  <c r="C574" i="3"/>
  <c r="C590" i="3"/>
  <c r="C606" i="3"/>
  <c r="C622" i="3"/>
  <c r="C638" i="3"/>
  <c r="C654" i="3"/>
  <c r="C670" i="3"/>
  <c r="C686" i="3"/>
  <c r="C614" i="3"/>
  <c r="C605" i="3"/>
  <c r="C1224" i="3"/>
  <c r="C754" i="3"/>
  <c r="C882" i="3"/>
  <c r="C1010" i="3"/>
  <c r="C694" i="3"/>
  <c r="C495" i="3"/>
  <c r="C511" i="3"/>
  <c r="C527" i="3"/>
  <c r="C543" i="3"/>
  <c r="C559" i="3"/>
  <c r="C575" i="3"/>
  <c r="C591" i="3"/>
  <c r="C607" i="3"/>
  <c r="C623" i="3"/>
  <c r="C639" i="3"/>
  <c r="C655" i="3"/>
  <c r="C671" i="3"/>
  <c r="C687" i="3"/>
  <c r="C557" i="3"/>
  <c r="C768" i="3"/>
  <c r="C896" i="3"/>
  <c r="C1024" i="3"/>
  <c r="C708" i="3"/>
  <c r="C496" i="3"/>
  <c r="C512" i="3"/>
  <c r="C528" i="3"/>
  <c r="C544" i="3"/>
  <c r="C560" i="3"/>
  <c r="C576" i="3"/>
  <c r="C592" i="3"/>
  <c r="C608" i="3"/>
  <c r="C624" i="3"/>
  <c r="C640" i="3"/>
  <c r="C656" i="3"/>
  <c r="C672" i="3"/>
  <c r="C688" i="3"/>
  <c r="C534" i="3"/>
  <c r="C589" i="3"/>
  <c r="C770" i="3"/>
  <c r="C898" i="3"/>
  <c r="C1026" i="3"/>
  <c r="C710" i="3"/>
  <c r="C497" i="3"/>
  <c r="C513" i="3"/>
  <c r="C529" i="3"/>
  <c r="C545" i="3"/>
  <c r="C561" i="3"/>
  <c r="C577" i="3"/>
  <c r="C593" i="3"/>
  <c r="C609" i="3"/>
  <c r="C625" i="3"/>
  <c r="C641" i="3"/>
  <c r="C657" i="3"/>
  <c r="C673" i="3"/>
  <c r="C689" i="3"/>
  <c r="C502" i="3"/>
  <c r="C550" i="3"/>
  <c r="C582" i="3"/>
  <c r="C662" i="3"/>
  <c r="C784" i="3"/>
  <c r="C912" i="3"/>
  <c r="C1040" i="3"/>
  <c r="C724" i="3"/>
  <c r="C498" i="3"/>
  <c r="C514" i="3"/>
  <c r="C530" i="3"/>
  <c r="C546" i="3"/>
  <c r="C562" i="3"/>
  <c r="C578" i="3"/>
  <c r="C594" i="3"/>
  <c r="C610" i="3"/>
  <c r="C626" i="3"/>
  <c r="C642" i="3"/>
  <c r="C658" i="3"/>
  <c r="C674" i="3"/>
  <c r="C690" i="3"/>
  <c r="C492" i="3"/>
  <c r="C518" i="3"/>
  <c r="C598" i="3"/>
  <c r="C678" i="3"/>
  <c r="C653" i="3"/>
  <c r="C786" i="3"/>
  <c r="C914" i="3"/>
  <c r="C1042" i="3"/>
  <c r="C726" i="3"/>
  <c r="C499" i="3"/>
  <c r="C515" i="3"/>
  <c r="C531" i="3"/>
  <c r="C547" i="3"/>
  <c r="C563" i="3"/>
  <c r="C579" i="3"/>
  <c r="C595" i="3"/>
  <c r="C611" i="3"/>
  <c r="C627" i="3"/>
  <c r="C643" i="3"/>
  <c r="C659" i="3"/>
  <c r="C675" i="3"/>
  <c r="C566" i="3"/>
  <c r="C573" i="3"/>
  <c r="C800" i="3"/>
  <c r="C928" i="3"/>
  <c r="C1056" i="3"/>
  <c r="C740" i="3"/>
  <c r="C500" i="3"/>
  <c r="C516" i="3"/>
  <c r="C532" i="3"/>
  <c r="C548" i="3"/>
  <c r="C564" i="3"/>
  <c r="C580" i="3"/>
  <c r="C596" i="3"/>
  <c r="C612" i="3"/>
  <c r="C628" i="3"/>
  <c r="C644" i="3"/>
  <c r="C660" i="3"/>
  <c r="C676" i="3"/>
  <c r="C491" i="3"/>
  <c r="C630" i="3"/>
  <c r="C651" i="3"/>
  <c r="C637" i="3"/>
  <c r="C802" i="3"/>
  <c r="C930" i="3"/>
  <c r="C1058" i="3"/>
  <c r="C742" i="3"/>
  <c r="C501" i="3"/>
  <c r="C517" i="3"/>
  <c r="C533" i="3"/>
  <c r="C549" i="3"/>
  <c r="C565" i="3"/>
  <c r="C581" i="3"/>
  <c r="C597" i="3"/>
  <c r="C613" i="3"/>
  <c r="C629" i="3"/>
  <c r="C645" i="3"/>
  <c r="C661" i="3"/>
  <c r="C677" i="3"/>
  <c r="C490" i="3"/>
  <c r="C646" i="3"/>
  <c r="C816" i="3"/>
  <c r="C944" i="3"/>
  <c r="C1072" i="3"/>
  <c r="C818" i="3"/>
  <c r="C946" i="3"/>
  <c r="C503" i="3"/>
  <c r="C519" i="3"/>
  <c r="C535" i="3"/>
  <c r="C551" i="3"/>
  <c r="C567" i="3"/>
  <c r="C583" i="3"/>
  <c r="C599" i="3"/>
  <c r="C615" i="3"/>
  <c r="C631" i="3"/>
  <c r="C647" i="3"/>
  <c r="C663" i="3"/>
  <c r="C679" i="3"/>
  <c r="C523" i="3"/>
  <c r="C621" i="3"/>
  <c r="C832" i="3"/>
  <c r="C960" i="3"/>
  <c r="C504" i="3"/>
  <c r="C520" i="3"/>
  <c r="C536" i="3"/>
  <c r="C552" i="3"/>
  <c r="C568" i="3"/>
  <c r="C584" i="3"/>
  <c r="C600" i="3"/>
  <c r="C616" i="3"/>
  <c r="C632" i="3"/>
  <c r="C648" i="3"/>
  <c r="C664" i="3"/>
  <c r="C680" i="3"/>
  <c r="C850" i="3"/>
  <c r="C978" i="3"/>
  <c r="C571" i="3"/>
  <c r="C635" i="3"/>
  <c r="C525" i="3"/>
  <c r="C669" i="3"/>
  <c r="C834" i="3"/>
  <c r="C962" i="3"/>
  <c r="C505" i="3"/>
  <c r="C521" i="3"/>
  <c r="C537" i="3"/>
  <c r="C553" i="3"/>
  <c r="C569" i="3"/>
  <c r="C585" i="3"/>
  <c r="C601" i="3"/>
  <c r="C617" i="3"/>
  <c r="C633" i="3"/>
  <c r="C649" i="3"/>
  <c r="C665" i="3"/>
  <c r="C681" i="3"/>
  <c r="C539" i="3"/>
  <c r="C587" i="3"/>
  <c r="C619" i="3"/>
  <c r="C683" i="3"/>
  <c r="C541" i="3"/>
  <c r="C848" i="3"/>
  <c r="C976" i="3"/>
  <c r="C506" i="3"/>
  <c r="C522" i="3"/>
  <c r="C538" i="3"/>
  <c r="C554" i="3"/>
  <c r="C570" i="3"/>
  <c r="C586" i="3"/>
  <c r="C602" i="3"/>
  <c r="C618" i="3"/>
  <c r="C634" i="3"/>
  <c r="C650" i="3"/>
  <c r="C666" i="3"/>
  <c r="C682" i="3"/>
  <c r="C507" i="3"/>
  <c r="C555" i="3"/>
  <c r="C603" i="3"/>
  <c r="C667" i="3"/>
  <c r="C493" i="3"/>
  <c r="C1128" i="3"/>
  <c r="C864" i="3"/>
  <c r="C992" i="3"/>
  <c r="C508" i="3"/>
  <c r="C524" i="3"/>
  <c r="C540" i="3"/>
  <c r="C556" i="3"/>
  <c r="C572" i="3"/>
  <c r="C588" i="3"/>
  <c r="C604" i="3"/>
  <c r="C620" i="3"/>
  <c r="C636" i="3"/>
  <c r="C652" i="3"/>
  <c r="C668" i="3"/>
  <c r="C684" i="3"/>
  <c r="C1143" i="3"/>
  <c r="C866" i="3"/>
  <c r="C994" i="3"/>
  <c r="C509" i="3"/>
  <c r="C685" i="3"/>
  <c r="H1107" i="3"/>
  <c r="H1470" i="3"/>
  <c r="H331" i="3"/>
  <c r="H742" i="3"/>
  <c r="H1156" i="3"/>
  <c r="H1483" i="3"/>
  <c r="H379" i="3"/>
  <c r="H699" i="3"/>
  <c r="H1613" i="3"/>
  <c r="H426" i="3"/>
  <c r="H1432" i="3"/>
  <c r="H1402" i="3"/>
  <c r="H1131" i="3"/>
  <c r="H1447" i="3"/>
  <c r="H1304" i="3"/>
  <c r="H691" i="3"/>
  <c r="H615" i="3"/>
  <c r="H1194" i="3"/>
  <c r="H1510" i="3"/>
  <c r="H389" i="3"/>
  <c r="H542" i="3"/>
  <c r="H1193" i="3"/>
  <c r="H1509" i="3"/>
  <c r="H1102" i="3"/>
  <c r="H421" i="3"/>
  <c r="H479" i="3"/>
  <c r="H781" i="3"/>
  <c r="H1604" i="3"/>
  <c r="H343" i="3"/>
  <c r="H1641" i="3"/>
  <c r="H352" i="3"/>
  <c r="H702" i="3"/>
  <c r="H1079" i="3"/>
  <c r="H1313" i="3"/>
  <c r="H367" i="3"/>
  <c r="H717" i="3"/>
  <c r="H1094" i="3"/>
  <c r="H1410" i="3"/>
  <c r="H692" i="3"/>
  <c r="H398" i="3"/>
  <c r="H748" i="3"/>
  <c r="H1125" i="3"/>
  <c r="H1441" i="3"/>
  <c r="H1216" i="3"/>
  <c r="H1089" i="3"/>
  <c r="H1172" i="3"/>
  <c r="H1535" i="3"/>
  <c r="H1536" i="3"/>
  <c r="H395" i="3"/>
  <c r="H608" i="3"/>
  <c r="H1186" i="3"/>
  <c r="H1595" i="3"/>
  <c r="H1422" i="3"/>
  <c r="H729" i="3"/>
  <c r="H1153" i="3"/>
  <c r="H1516" i="3"/>
  <c r="H376" i="3"/>
  <c r="H532" i="3"/>
  <c r="H1202" i="3"/>
  <c r="H1519" i="3"/>
  <c r="H413" i="3"/>
  <c r="H745" i="3"/>
  <c r="H1087" i="3"/>
  <c r="H678" i="3"/>
  <c r="H1416" i="3"/>
  <c r="H420" i="3"/>
  <c r="H496" i="3"/>
  <c r="H1115" i="3"/>
  <c r="H1431" i="3"/>
  <c r="H390" i="3"/>
  <c r="H753" i="3"/>
  <c r="H599" i="3"/>
  <c r="H1178" i="3"/>
  <c r="H1494" i="3"/>
  <c r="H802" i="3"/>
  <c r="H1177" i="3"/>
  <c r="H1493" i="3"/>
  <c r="H1594" i="3"/>
  <c r="H309" i="3"/>
  <c r="H463" i="3"/>
  <c r="H765" i="3"/>
  <c r="H1588" i="3"/>
  <c r="H437" i="3"/>
  <c r="H1577" i="3"/>
  <c r="H336" i="3"/>
  <c r="H1069" i="3"/>
  <c r="H1635" i="3"/>
  <c r="H1292" i="3"/>
  <c r="H351" i="3"/>
  <c r="H701" i="3"/>
  <c r="H1078" i="3"/>
  <c r="H1312" i="3"/>
  <c r="H770" i="3"/>
  <c r="H382" i="3"/>
  <c r="H732" i="3"/>
  <c r="H1109" i="3"/>
  <c r="H1425" i="3"/>
  <c r="H1252" i="3"/>
  <c r="H1135" i="3"/>
  <c r="H1218" i="3"/>
  <c r="H1581" i="3"/>
  <c r="H1582" i="3"/>
  <c r="H1286" i="3"/>
  <c r="H491" i="3"/>
  <c r="H1232" i="3"/>
  <c r="H1631" i="3"/>
  <c r="H490" i="3"/>
  <c r="I293" i="3"/>
  <c r="I294" i="3"/>
  <c r="I295" i="3"/>
  <c r="I289" i="3"/>
  <c r="I290" i="3"/>
  <c r="I291" i="3"/>
  <c r="I292" i="3"/>
  <c r="H3" i="3"/>
  <c r="H4" i="3"/>
  <c r="H5" i="3"/>
  <c r="H6" i="3"/>
  <c r="H7" i="3"/>
  <c r="H8" i="3"/>
  <c r="H9" i="3"/>
  <c r="H10" i="3"/>
  <c r="H11" i="3"/>
  <c r="H12" i="3"/>
  <c r="H13" i="3"/>
  <c r="H2" i="3"/>
  <c r="J3" i="2"/>
  <c r="M3" i="2"/>
  <c r="A5" i="2"/>
  <c r="F4" i="2"/>
  <c r="I4" i="2"/>
  <c r="L4" i="2"/>
  <c r="G4" i="2"/>
  <c r="I2" i="3" l="1"/>
  <c r="B3" i="3" s="1"/>
  <c r="L2" i="3" s="1"/>
  <c r="S2" i="3" s="1"/>
  <c r="L37" i="2"/>
  <c r="I37" i="2"/>
  <c r="F37" i="2"/>
  <c r="A38" i="2"/>
  <c r="M4" i="2"/>
  <c r="J4" i="2"/>
  <c r="A6" i="2"/>
  <c r="F5" i="2"/>
  <c r="G5" i="2"/>
  <c r="I5" i="2"/>
  <c r="L5" i="2"/>
  <c r="I38" i="2" l="1"/>
  <c r="F38" i="2"/>
  <c r="A39" i="2"/>
  <c r="L38" i="2"/>
  <c r="D3" i="3"/>
  <c r="V2" i="3"/>
  <c r="W2" i="3" s="1"/>
  <c r="T2" i="3"/>
  <c r="U2" i="3" s="1"/>
  <c r="A7" i="2"/>
  <c r="F6" i="2"/>
  <c r="G6" i="2"/>
  <c r="I6" i="2"/>
  <c r="L6" i="2"/>
  <c r="M5" i="2"/>
  <c r="J5" i="2"/>
  <c r="F39" i="2" l="1"/>
  <c r="A40" i="2"/>
  <c r="L39" i="2"/>
  <c r="I39" i="2"/>
  <c r="M6" i="2"/>
  <c r="J6" i="2"/>
  <c r="A8" i="2"/>
  <c r="G7" i="2"/>
  <c r="F7" i="2"/>
  <c r="I7" i="2"/>
  <c r="L7" i="2"/>
  <c r="A41" i="2" l="1"/>
  <c r="L40" i="2"/>
  <c r="I40" i="2"/>
  <c r="F40" i="2"/>
  <c r="M7" i="2"/>
  <c r="J7" i="2"/>
  <c r="A9" i="2"/>
  <c r="F8" i="2"/>
  <c r="G8" i="2"/>
  <c r="I8" i="2"/>
  <c r="L8" i="2"/>
  <c r="L41" i="2" l="1"/>
  <c r="I41" i="2"/>
  <c r="F41" i="2"/>
  <c r="A42" i="2"/>
  <c r="M8" i="2"/>
  <c r="J8" i="2"/>
  <c r="A10" i="2"/>
  <c r="F9" i="2"/>
  <c r="G9" i="2"/>
  <c r="I9" i="2"/>
  <c r="L9" i="2"/>
  <c r="I42" i="2" l="1"/>
  <c r="F42" i="2"/>
  <c r="A43" i="2"/>
  <c r="L42" i="2"/>
  <c r="J9" i="2"/>
  <c r="M9" i="2"/>
  <c r="A11" i="2"/>
  <c r="F10" i="2"/>
  <c r="G10" i="2"/>
  <c r="I10" i="2"/>
  <c r="L10" i="2"/>
  <c r="F43" i="2" l="1"/>
  <c r="A44" i="2"/>
  <c r="L43" i="2"/>
  <c r="I43" i="2"/>
  <c r="J10" i="2"/>
  <c r="M10" i="2"/>
  <c r="A12" i="2"/>
  <c r="F11" i="2"/>
  <c r="G11" i="2"/>
  <c r="I11" i="2"/>
  <c r="L11" i="2"/>
  <c r="A45" i="2" l="1"/>
  <c r="L44" i="2"/>
  <c r="I44" i="2"/>
  <c r="F44" i="2"/>
  <c r="J11" i="2"/>
  <c r="M11" i="2"/>
  <c r="A13" i="2"/>
  <c r="F12" i="2"/>
  <c r="G12" i="2"/>
  <c r="L12" i="2"/>
  <c r="I12" i="2"/>
  <c r="L45" i="2" l="1"/>
  <c r="I45" i="2"/>
  <c r="F45" i="2"/>
  <c r="A46" i="2"/>
  <c r="J12" i="2"/>
  <c r="M12" i="2"/>
  <c r="A14" i="2"/>
  <c r="L13" i="2"/>
  <c r="F13" i="2"/>
  <c r="G13" i="2"/>
  <c r="I13" i="2"/>
  <c r="I46" i="2" l="1"/>
  <c r="F46" i="2"/>
  <c r="A47" i="2"/>
  <c r="L46" i="2"/>
  <c r="J13" i="2"/>
  <c r="M13" i="2"/>
  <c r="A15" i="2"/>
  <c r="L14" i="2"/>
  <c r="G14" i="2"/>
  <c r="F14" i="2"/>
  <c r="I14" i="2"/>
  <c r="F47" i="2" l="1"/>
  <c r="A48" i="2"/>
  <c r="L47" i="2"/>
  <c r="I47" i="2"/>
  <c r="J14" i="2"/>
  <c r="M14" i="2"/>
  <c r="A16" i="2"/>
  <c r="L15" i="2"/>
  <c r="I15" i="2"/>
  <c r="F15" i="2"/>
  <c r="G15" i="2"/>
  <c r="A49" i="2" l="1"/>
  <c r="L48" i="2"/>
  <c r="I48" i="2"/>
  <c r="F48" i="2"/>
  <c r="A17" i="2"/>
  <c r="L16" i="2"/>
  <c r="I16" i="2"/>
  <c r="F16" i="2"/>
  <c r="G16" i="2"/>
  <c r="J15" i="2"/>
  <c r="M15" i="2"/>
  <c r="L49" i="2" l="1"/>
  <c r="I49" i="2"/>
  <c r="F49" i="2"/>
  <c r="A50" i="2"/>
  <c r="J16" i="2"/>
  <c r="M16" i="2"/>
  <c r="A18" i="2"/>
  <c r="I17" i="2"/>
  <c r="L17" i="2"/>
  <c r="F17" i="2"/>
  <c r="G17" i="2"/>
  <c r="I50" i="2" l="1"/>
  <c r="F50" i="2"/>
  <c r="A51" i="2"/>
  <c r="L50" i="2"/>
  <c r="J17" i="2"/>
  <c r="M17" i="2"/>
  <c r="A19" i="2"/>
  <c r="I18" i="2"/>
  <c r="L18" i="2"/>
  <c r="G18" i="2"/>
  <c r="F18" i="2"/>
  <c r="F51" i="2" l="1"/>
  <c r="A52" i="2"/>
  <c r="L51" i="2"/>
  <c r="I51" i="2"/>
  <c r="J18" i="2"/>
  <c r="M18" i="2"/>
  <c r="A20" i="2"/>
  <c r="I19" i="2"/>
  <c r="L19" i="2"/>
  <c r="F19" i="2"/>
  <c r="G19" i="2"/>
  <c r="A53" i="2" l="1"/>
  <c r="L52" i="2"/>
  <c r="I52" i="2"/>
  <c r="F52" i="2"/>
  <c r="J19" i="2"/>
  <c r="M19" i="2"/>
  <c r="A21" i="2"/>
  <c r="I20" i="2"/>
  <c r="L20" i="2"/>
  <c r="F20" i="2"/>
  <c r="G20" i="2"/>
  <c r="L53" i="2" l="1"/>
  <c r="I53" i="2"/>
  <c r="F53" i="2"/>
  <c r="A54" i="2"/>
  <c r="M20" i="2"/>
  <c r="J20" i="2"/>
  <c r="A22" i="2"/>
  <c r="F21" i="2"/>
  <c r="G21" i="2"/>
  <c r="I21" i="2"/>
  <c r="L21" i="2"/>
  <c r="I54" i="2" l="1"/>
  <c r="F54" i="2"/>
  <c r="A55" i="2"/>
  <c r="L54" i="2"/>
  <c r="M21" i="2"/>
  <c r="J21" i="2"/>
  <c r="A23" i="2"/>
  <c r="F22" i="2"/>
  <c r="G22" i="2"/>
  <c r="I22" i="2"/>
  <c r="L22" i="2"/>
  <c r="F55" i="2" l="1"/>
  <c r="A56" i="2"/>
  <c r="L55" i="2"/>
  <c r="I55" i="2"/>
  <c r="M22" i="2"/>
  <c r="J22" i="2"/>
  <c r="A24" i="2"/>
  <c r="G23" i="2"/>
  <c r="F23" i="2"/>
  <c r="I23" i="2"/>
  <c r="L23" i="2"/>
  <c r="A57" i="2" l="1"/>
  <c r="L56" i="2"/>
  <c r="I56" i="2"/>
  <c r="F56" i="2"/>
  <c r="M23" i="2"/>
  <c r="J23" i="2"/>
  <c r="A25" i="2"/>
  <c r="F24" i="2"/>
  <c r="G24" i="2"/>
  <c r="I24" i="2"/>
  <c r="L24" i="2"/>
  <c r="L57" i="2" l="1"/>
  <c r="I57" i="2"/>
  <c r="F57" i="2"/>
  <c r="A58" i="2"/>
  <c r="M24" i="2"/>
  <c r="J24" i="2"/>
  <c r="A26" i="2"/>
  <c r="F25" i="2"/>
  <c r="G25" i="2"/>
  <c r="L25" i="2"/>
  <c r="I25" i="2"/>
  <c r="I58" i="2" l="1"/>
  <c r="F58" i="2"/>
  <c r="A59" i="2"/>
  <c r="L58" i="2"/>
  <c r="J25" i="2"/>
  <c r="M25" i="2"/>
  <c r="A27" i="2"/>
  <c r="F26" i="2"/>
  <c r="G26" i="2"/>
  <c r="I26" i="2"/>
  <c r="L26" i="2"/>
  <c r="F59" i="2" l="1"/>
  <c r="A60" i="2"/>
  <c r="L59" i="2"/>
  <c r="I59" i="2"/>
  <c r="J26" i="2"/>
  <c r="M26" i="2"/>
  <c r="A28" i="2"/>
  <c r="F27" i="2"/>
  <c r="G27" i="2"/>
  <c r="I27" i="2"/>
  <c r="L27" i="2"/>
  <c r="A61" i="2" l="1"/>
  <c r="L60" i="2"/>
  <c r="I60" i="2"/>
  <c r="F60" i="2"/>
  <c r="J27" i="2"/>
  <c r="M27" i="2"/>
  <c r="A29" i="2"/>
  <c r="L28" i="2"/>
  <c r="F28" i="2"/>
  <c r="G28" i="2"/>
  <c r="I28" i="2"/>
  <c r="L61" i="2" l="1"/>
  <c r="I61" i="2"/>
  <c r="F61" i="2"/>
  <c r="A62" i="2"/>
  <c r="J28" i="2"/>
  <c r="M28" i="2"/>
  <c r="A30" i="2"/>
  <c r="L29" i="2"/>
  <c r="G29" i="2"/>
  <c r="F29" i="2"/>
  <c r="I29" i="2"/>
  <c r="I62" i="2" l="1"/>
  <c r="F62" i="2"/>
  <c r="L62" i="2"/>
  <c r="J29" i="2"/>
  <c r="M29" i="2"/>
  <c r="A31" i="2"/>
  <c r="L30" i="2"/>
  <c r="F30" i="2"/>
  <c r="G30" i="2"/>
  <c r="I30" i="2"/>
  <c r="J30" i="2" l="1"/>
  <c r="M30" i="2"/>
  <c r="A32" i="2"/>
  <c r="L31" i="2"/>
  <c r="F31" i="2"/>
  <c r="G31" i="2"/>
  <c r="I31" i="2"/>
  <c r="J31" i="2" l="1"/>
  <c r="M31" i="2"/>
  <c r="L32" i="2"/>
  <c r="G32" i="2"/>
  <c r="F32" i="2"/>
  <c r="I32" i="2"/>
  <c r="J32" i="2" l="1"/>
  <c r="M32" i="2"/>
  <c r="K3" i="3" l="1"/>
  <c r="G3" i="3" s="1"/>
  <c r="N3" i="3" l="1"/>
  <c r="O3" i="3"/>
  <c r="I3" i="3"/>
  <c r="B4" i="3" l="1"/>
  <c r="L3" i="3" s="1"/>
  <c r="Q3" i="3" a="1"/>
  <c r="Q3" i="3" s="1"/>
  <c r="P3" i="3"/>
  <c r="R3" i="3" l="1"/>
  <c r="S3" i="3"/>
  <c r="V3" i="3" s="1"/>
  <c r="D4" i="3"/>
  <c r="K4" i="3"/>
  <c r="T3" i="3" l="1"/>
  <c r="U3" i="3" s="1"/>
  <c r="O4" i="3"/>
  <c r="N4" i="3"/>
  <c r="G4" i="3"/>
  <c r="I4" i="3" s="1"/>
  <c r="B5" i="3" s="1"/>
  <c r="W3" i="3"/>
  <c r="L4" i="3" l="1"/>
  <c r="D5" i="3"/>
  <c r="K5" i="3"/>
  <c r="Q4" i="3" a="1"/>
  <c r="Q4" i="3" s="1"/>
  <c r="P4" i="3"/>
  <c r="R4" i="3" l="1"/>
  <c r="O5" i="3"/>
  <c r="N5" i="3"/>
  <c r="G5" i="3"/>
  <c r="I5" i="3" s="1"/>
  <c r="S4" i="3"/>
  <c r="B6" i="3" l="1"/>
  <c r="T4" i="3"/>
  <c r="U4" i="3" s="1"/>
  <c r="V4" i="3"/>
  <c r="Q5" i="3" a="1"/>
  <c r="Q5" i="3" s="1"/>
  <c r="P5" i="3"/>
  <c r="R5" i="3" l="1"/>
  <c r="W4" i="3"/>
  <c r="D6" i="3"/>
  <c r="K6" i="3"/>
  <c r="L5" i="3"/>
  <c r="S5" i="3" s="1"/>
  <c r="T5" i="3" s="1"/>
  <c r="U5" i="3" s="1"/>
  <c r="O6" i="3" l="1"/>
  <c r="N6" i="3"/>
  <c r="G6" i="3"/>
  <c r="I6" i="3" s="1"/>
  <c r="V5" i="3"/>
  <c r="B7" i="3" l="1"/>
  <c r="W5" i="3"/>
  <c r="Q6" i="3" a="1"/>
  <c r="Q6" i="3" s="1"/>
  <c r="P6" i="3"/>
  <c r="R6" i="3" l="1"/>
  <c r="K7" i="3"/>
  <c r="D7" i="3"/>
  <c r="L6" i="3"/>
  <c r="S6" i="3" s="1"/>
  <c r="T6" i="3" l="1"/>
  <c r="U6" i="3" s="1"/>
  <c r="V6" i="3"/>
  <c r="G7" i="3"/>
  <c r="I7" i="3" s="1"/>
  <c r="N7" i="3"/>
  <c r="O7" i="3"/>
  <c r="B8" i="3" l="1"/>
  <c r="W6" i="3"/>
  <c r="Q7" i="3" a="1"/>
  <c r="Q7" i="3" s="1"/>
  <c r="P7" i="3"/>
  <c r="R7" i="3" l="1"/>
  <c r="D8" i="3"/>
  <c r="K8" i="3"/>
  <c r="L7" i="3"/>
  <c r="S7" i="3" s="1"/>
  <c r="O8" i="3" l="1"/>
  <c r="N8" i="3"/>
  <c r="G8" i="3"/>
  <c r="I8" i="3" s="1"/>
  <c r="T7" i="3"/>
  <c r="U7" i="3" s="1"/>
  <c r="V7" i="3"/>
  <c r="B9" i="3" l="1"/>
  <c r="W7" i="3"/>
  <c r="Q8" i="3" a="1"/>
  <c r="Q8" i="3" s="1"/>
  <c r="P8" i="3"/>
  <c r="R8" i="3" l="1"/>
  <c r="K9" i="3"/>
  <c r="D9" i="3"/>
  <c r="L8" i="3"/>
  <c r="S8" i="3" s="1"/>
  <c r="T8" i="3" l="1"/>
  <c r="U8" i="3" s="1"/>
  <c r="V8" i="3"/>
  <c r="O9" i="3"/>
  <c r="G9" i="3"/>
  <c r="I9" i="3" s="1"/>
  <c r="N9" i="3"/>
  <c r="Q9" i="3" l="1" a="1"/>
  <c r="Q9" i="3" s="1"/>
  <c r="P9" i="3"/>
  <c r="B10" i="3"/>
  <c r="L9" i="3" s="1"/>
  <c r="W8" i="3"/>
  <c r="S9" i="3" l="1"/>
  <c r="T9" i="3" s="1"/>
  <c r="U9" i="3" s="1"/>
  <c r="K10" i="3"/>
  <c r="D10" i="3"/>
  <c r="R9" i="3"/>
  <c r="V9" i="3" l="1"/>
  <c r="W9" i="3" s="1"/>
  <c r="N10" i="3"/>
  <c r="G10" i="3"/>
  <c r="I10" i="3" s="1"/>
  <c r="O10" i="3"/>
  <c r="Q10" i="3" l="1" a="1"/>
  <c r="Q10" i="3" s="1"/>
  <c r="P10" i="3"/>
  <c r="B11" i="3"/>
  <c r="L10" i="3" s="1"/>
  <c r="S10" i="3" l="1"/>
  <c r="T10" i="3" s="1"/>
  <c r="U10" i="3" s="1"/>
  <c r="K11" i="3"/>
  <c r="D11" i="3"/>
  <c r="R10" i="3"/>
  <c r="V10" i="3" l="1"/>
  <c r="W10" i="3" s="1"/>
  <c r="O11" i="3"/>
  <c r="N11" i="3"/>
  <c r="G11" i="3"/>
  <c r="I11" i="3" s="1"/>
  <c r="Q11" i="3" l="1" a="1"/>
  <c r="Q11" i="3" s="1"/>
  <c r="P11" i="3"/>
  <c r="B12" i="3"/>
  <c r="L11" i="3" s="1"/>
  <c r="S11" i="3" l="1"/>
  <c r="T11" i="3" s="1"/>
  <c r="U11" i="3" s="1"/>
  <c r="K12" i="3"/>
  <c r="D12" i="3"/>
  <c r="R11" i="3"/>
  <c r="V11" i="3" l="1"/>
  <c r="W11" i="3" s="1"/>
  <c r="O12" i="3"/>
  <c r="G12" i="3"/>
  <c r="I12" i="3" s="1"/>
  <c r="B13" i="3" s="1"/>
  <c r="N12" i="3"/>
  <c r="L12" i="3" l="1"/>
  <c r="K13" i="3"/>
  <c r="D13" i="3"/>
  <c r="Q12" i="3" a="1"/>
  <c r="Q12" i="3" s="1"/>
  <c r="P12" i="3"/>
  <c r="R12" i="3" l="1"/>
  <c r="N13" i="3"/>
  <c r="G13" i="3"/>
  <c r="I13" i="3" s="1"/>
  <c r="O13" i="3"/>
  <c r="S12" i="3"/>
  <c r="B14" i="3" l="1"/>
  <c r="Q13" i="3" a="1"/>
  <c r="Q13" i="3" s="1"/>
  <c r="P13" i="3"/>
  <c r="T12" i="3"/>
  <c r="U12" i="3" s="1"/>
  <c r="V12" i="3"/>
  <c r="R13" i="3" l="1"/>
  <c r="K14" i="3"/>
  <c r="D14" i="3"/>
  <c r="W12" i="3"/>
  <c r="L13" i="3"/>
  <c r="S13" i="3" s="1"/>
  <c r="T13" i="3" s="1"/>
  <c r="U13" i="3" s="1"/>
  <c r="G14" i="3" l="1"/>
  <c r="I14" i="3" s="1"/>
  <c r="O14" i="3"/>
  <c r="N14" i="3"/>
  <c r="V13" i="3"/>
  <c r="W13" i="3" l="1"/>
  <c r="Q14" i="3" a="1"/>
  <c r="Q14" i="3" s="1"/>
  <c r="P14" i="3"/>
  <c r="B15" i="3"/>
  <c r="L14" i="3" s="1"/>
  <c r="R14" i="3" l="1"/>
  <c r="D15" i="3"/>
  <c r="K15" i="3"/>
  <c r="S14" i="3"/>
  <c r="N15" i="3" l="1"/>
  <c r="G15" i="3"/>
  <c r="I15" i="3" s="1"/>
  <c r="O15" i="3"/>
  <c r="T14" i="3"/>
  <c r="U14" i="3" s="1"/>
  <c r="V14" i="3"/>
  <c r="Q15" i="3" l="1" a="1"/>
  <c r="Q15" i="3" s="1"/>
  <c r="P15" i="3"/>
  <c r="B16" i="3"/>
  <c r="L15" i="3" s="1"/>
  <c r="W14" i="3"/>
  <c r="S15" i="3" l="1"/>
  <c r="T15" i="3" s="1"/>
  <c r="U15" i="3" s="1"/>
  <c r="D16" i="3"/>
  <c r="K16" i="3"/>
  <c r="R15" i="3"/>
  <c r="V15" i="3" l="1"/>
  <c r="W15" i="3" s="1"/>
  <c r="N16" i="3"/>
  <c r="G16" i="3"/>
  <c r="I16" i="3" s="1"/>
  <c r="O16" i="3"/>
  <c r="B17" i="3" l="1"/>
  <c r="L16" i="3" s="1"/>
  <c r="Q16" i="3" a="1"/>
  <c r="Q16" i="3" s="1"/>
  <c r="P16" i="3"/>
  <c r="D17" i="3" l="1"/>
  <c r="K17" i="3"/>
  <c r="R16" i="3"/>
  <c r="S16" i="3"/>
  <c r="G17" i="3" l="1"/>
  <c r="I17" i="3" s="1"/>
  <c r="N17" i="3"/>
  <c r="O17" i="3"/>
  <c r="T16" i="3"/>
  <c r="U16" i="3" s="1"/>
  <c r="V16" i="3"/>
  <c r="Q17" i="3" l="1" a="1"/>
  <c r="Q17" i="3" s="1"/>
  <c r="P17" i="3"/>
  <c r="W16" i="3"/>
  <c r="B18" i="3"/>
  <c r="L17" i="3" s="1"/>
  <c r="S17" i="3" l="1"/>
  <c r="T17" i="3" s="1"/>
  <c r="U17" i="3" s="1"/>
  <c r="K18" i="3"/>
  <c r="D18" i="3"/>
  <c r="R17" i="3"/>
  <c r="V17" i="3" l="1"/>
  <c r="W17" i="3" s="1"/>
  <c r="O18" i="3"/>
  <c r="N18" i="3"/>
  <c r="G18" i="3"/>
  <c r="I18" i="3" s="1"/>
  <c r="B19" i="3" l="1"/>
  <c r="L18" i="3" s="1"/>
  <c r="Q18" i="3" a="1"/>
  <c r="Q18" i="3" s="1"/>
  <c r="P18" i="3"/>
  <c r="D19" i="3" l="1"/>
  <c r="K19" i="3"/>
  <c r="R18" i="3"/>
  <c r="S18" i="3"/>
  <c r="G19" i="3" l="1"/>
  <c r="I19" i="3" s="1"/>
  <c r="O19" i="3"/>
  <c r="N19" i="3"/>
  <c r="T18" i="3"/>
  <c r="U18" i="3" s="1"/>
  <c r="V18" i="3"/>
  <c r="Q19" i="3" l="1" a="1"/>
  <c r="Q19" i="3" s="1"/>
  <c r="P19" i="3"/>
  <c r="W18" i="3"/>
  <c r="B20" i="3"/>
  <c r="L19" i="3" s="1"/>
  <c r="S19" i="3" l="1"/>
  <c r="T19" i="3" s="1"/>
  <c r="U19" i="3" s="1"/>
  <c r="D20" i="3"/>
  <c r="K20" i="3"/>
  <c r="R19" i="3"/>
  <c r="V19" i="3" l="1"/>
  <c r="W19" i="3" s="1"/>
  <c r="G20" i="3"/>
  <c r="I20" i="3" s="1"/>
  <c r="N20" i="3"/>
  <c r="O20" i="3"/>
  <c r="P20" i="3" l="1"/>
  <c r="Q20" i="3" a="1"/>
  <c r="Q20" i="3" s="1"/>
  <c r="R20" i="3" s="1"/>
  <c r="B21" i="3"/>
  <c r="L20" i="3" s="1"/>
  <c r="S20" i="3" l="1"/>
  <c r="V20" i="3" s="1"/>
  <c r="W20" i="3" s="1"/>
  <c r="D21" i="3"/>
  <c r="K21" i="3"/>
  <c r="T20" i="3" l="1"/>
  <c r="U20" i="3" s="1"/>
  <c r="N21" i="3"/>
  <c r="G21" i="3"/>
  <c r="I21" i="3" s="1"/>
  <c r="O21" i="3"/>
  <c r="B22" i="3" l="1"/>
  <c r="L21" i="3" s="1"/>
  <c r="P21" i="3"/>
  <c r="Q21" i="3" a="1"/>
  <c r="Q21" i="3" s="1"/>
  <c r="R21" i="3" l="1"/>
  <c r="S21" i="3"/>
  <c r="K22" i="3"/>
  <c r="D22" i="3"/>
  <c r="N22" i="3" l="1"/>
  <c r="O22" i="3"/>
  <c r="G22" i="3"/>
  <c r="I22" i="3" s="1"/>
  <c r="V21" i="3"/>
  <c r="T21" i="3"/>
  <c r="U21" i="3" s="1"/>
  <c r="B23" i="3" l="1"/>
  <c r="L22" i="3" s="1"/>
  <c r="Q22" i="3" a="1"/>
  <c r="Q22" i="3" s="1"/>
  <c r="P22" i="3"/>
  <c r="W21" i="3"/>
  <c r="R22" i="3" l="1"/>
  <c r="S22" i="3"/>
  <c r="D23" i="3"/>
  <c r="K23" i="3"/>
  <c r="O23" i="3" l="1"/>
  <c r="N23" i="3"/>
  <c r="G23" i="3"/>
  <c r="I23" i="3" s="1"/>
  <c r="T22" i="3"/>
  <c r="U22" i="3" s="1"/>
  <c r="V22" i="3"/>
  <c r="B24" i="3" l="1"/>
  <c r="L23" i="3" s="1"/>
  <c r="W22" i="3"/>
  <c r="Q23" i="3" a="1"/>
  <c r="Q23" i="3" s="1"/>
  <c r="P23" i="3"/>
  <c r="R23" i="3" l="1"/>
  <c r="K24" i="3"/>
  <c r="D24" i="3"/>
  <c r="S23" i="3"/>
  <c r="N24" i="3" l="1"/>
  <c r="G24" i="3"/>
  <c r="I24" i="3" s="1"/>
  <c r="O24" i="3"/>
  <c r="T23" i="3"/>
  <c r="U23" i="3" s="1"/>
  <c r="V23" i="3"/>
  <c r="Q24" i="3" l="1" a="1"/>
  <c r="Q24" i="3" s="1"/>
  <c r="P24" i="3"/>
  <c r="B25" i="3"/>
  <c r="L24" i="3" s="1"/>
  <c r="W23" i="3"/>
  <c r="S24" i="3" l="1"/>
  <c r="T24" i="3" s="1"/>
  <c r="U24" i="3" s="1"/>
  <c r="R24" i="3"/>
  <c r="K25" i="3"/>
  <c r="D25" i="3"/>
  <c r="V24" i="3" l="1"/>
  <c r="W24" i="3" s="1"/>
  <c r="O25" i="3"/>
  <c r="G25" i="3"/>
  <c r="I25" i="3" s="1"/>
  <c r="N25" i="3"/>
  <c r="Q25" i="3" l="1" a="1"/>
  <c r="Q25" i="3" s="1"/>
  <c r="P25" i="3"/>
  <c r="B26" i="3"/>
  <c r="L25" i="3" s="1"/>
  <c r="S25" i="3" l="1"/>
  <c r="T25" i="3" s="1"/>
  <c r="U25" i="3" s="1"/>
  <c r="D26" i="3"/>
  <c r="K26" i="3"/>
  <c r="R25" i="3"/>
  <c r="V25" i="3" l="1"/>
  <c r="W25" i="3" s="1"/>
  <c r="N26" i="3"/>
  <c r="G26" i="3"/>
  <c r="I26" i="3" s="1"/>
  <c r="O26" i="3"/>
  <c r="Q26" i="3" l="1" a="1"/>
  <c r="Q26" i="3" s="1"/>
  <c r="P26" i="3"/>
  <c r="B27" i="3"/>
  <c r="L26" i="3" s="1"/>
  <c r="S26" i="3" l="1"/>
  <c r="T26" i="3" s="1"/>
  <c r="U26" i="3" s="1"/>
  <c r="K27" i="3"/>
  <c r="D27" i="3"/>
  <c r="R26" i="3"/>
  <c r="V26" i="3" l="1"/>
  <c r="W26" i="3" s="1"/>
  <c r="O27" i="3"/>
  <c r="N27" i="3"/>
  <c r="G27" i="3"/>
  <c r="I27" i="3" s="1"/>
  <c r="B28" i="3" l="1"/>
  <c r="L27" i="3" s="1"/>
  <c r="Q27" i="3" a="1"/>
  <c r="Q27" i="3" s="1"/>
  <c r="P27" i="3"/>
  <c r="R27" i="3" l="1"/>
  <c r="D28" i="3"/>
  <c r="K28" i="3"/>
  <c r="S27" i="3"/>
  <c r="N28" i="3" l="1"/>
  <c r="O28" i="3"/>
  <c r="G28" i="3"/>
  <c r="I28" i="3" s="1"/>
  <c r="T27" i="3"/>
  <c r="U27" i="3" s="1"/>
  <c r="V27" i="3"/>
  <c r="B29" i="3" l="1"/>
  <c r="L28" i="3" s="1"/>
  <c r="Q28" i="3" a="1"/>
  <c r="Q28" i="3" s="1"/>
  <c r="P28" i="3"/>
  <c r="W27" i="3"/>
  <c r="D29" i="3" l="1"/>
  <c r="K29" i="3"/>
  <c r="R28" i="3"/>
  <c r="S28" i="3"/>
  <c r="N29" i="3" l="1"/>
  <c r="G29" i="3"/>
  <c r="I29" i="3" s="1"/>
  <c r="O29" i="3"/>
  <c r="T28" i="3"/>
  <c r="U28" i="3" s="1"/>
  <c r="V28" i="3"/>
  <c r="Q29" i="3" l="1" a="1"/>
  <c r="Q29" i="3" s="1"/>
  <c r="P29" i="3"/>
  <c r="B30" i="3"/>
  <c r="L29" i="3" s="1"/>
  <c r="W28" i="3"/>
  <c r="S29" i="3" l="1"/>
  <c r="T29" i="3" s="1"/>
  <c r="U29" i="3" s="1"/>
  <c r="K30" i="3"/>
  <c r="D30" i="3"/>
  <c r="R29" i="3"/>
  <c r="V29" i="3" l="1"/>
  <c r="W29" i="3" s="1"/>
  <c r="O30" i="3"/>
  <c r="N30" i="3"/>
  <c r="G30" i="3"/>
  <c r="I30" i="3" s="1"/>
  <c r="Q30" i="3" l="1" a="1"/>
  <c r="Q30" i="3" s="1"/>
  <c r="P30" i="3"/>
  <c r="B31" i="3"/>
  <c r="L30" i="3" s="1"/>
  <c r="S30" i="3" l="1"/>
  <c r="T30" i="3" s="1"/>
  <c r="U30" i="3" s="1"/>
  <c r="K31" i="3"/>
  <c r="D31" i="3"/>
  <c r="R30" i="3"/>
  <c r="V30" i="3" l="1"/>
  <c r="W30" i="3" s="1"/>
  <c r="N31" i="3"/>
  <c r="G31" i="3"/>
  <c r="I31" i="3" s="1"/>
  <c r="O31" i="3"/>
  <c r="B32" i="3" l="1"/>
  <c r="L31" i="3" s="1"/>
  <c r="Q31" i="3" a="1"/>
  <c r="Q31" i="3" s="1"/>
  <c r="P31" i="3"/>
  <c r="R31" i="3" l="1"/>
  <c r="K32" i="3"/>
  <c r="D32" i="3"/>
  <c r="S31" i="3"/>
  <c r="T31" i="3" l="1"/>
  <c r="U31" i="3" s="1"/>
  <c r="V31" i="3"/>
  <c r="O32" i="3"/>
  <c r="N32" i="3"/>
  <c r="G32" i="3"/>
  <c r="I32" i="3" s="1"/>
  <c r="Q32" i="3" l="1" a="1"/>
  <c r="Q32" i="3" s="1"/>
  <c r="P32" i="3"/>
  <c r="W31" i="3"/>
  <c r="B33" i="3"/>
  <c r="L32" i="3" s="1"/>
  <c r="S32" i="3" l="1"/>
  <c r="V32" i="3" s="1"/>
  <c r="K33" i="3"/>
  <c r="D33" i="3"/>
  <c r="R32" i="3"/>
  <c r="T32" i="3" l="1"/>
  <c r="U32" i="3" s="1"/>
  <c r="N33" i="3"/>
  <c r="G33" i="3"/>
  <c r="I33" i="3" s="1"/>
  <c r="O33" i="3"/>
  <c r="W32" i="3"/>
  <c r="Q33" i="3" l="1" a="1"/>
  <c r="Q33" i="3" s="1"/>
  <c r="P33" i="3"/>
  <c r="B34" i="3"/>
  <c r="L33" i="3" s="1"/>
  <c r="S33" i="3" l="1"/>
  <c r="V33" i="3" s="1"/>
  <c r="K34" i="3"/>
  <c r="D34" i="3"/>
  <c r="R33" i="3"/>
  <c r="T33" i="3" l="1"/>
  <c r="U33" i="3" s="1"/>
  <c r="G34" i="3"/>
  <c r="I34" i="3" s="1"/>
  <c r="O34" i="3"/>
  <c r="N34" i="3"/>
  <c r="W33" i="3"/>
  <c r="Q34" i="3" l="1" a="1"/>
  <c r="Q34" i="3" s="1"/>
  <c r="P34" i="3"/>
  <c r="B35" i="3"/>
  <c r="L34" i="3" s="1"/>
  <c r="S34" i="3" l="1"/>
  <c r="T34" i="3" s="1"/>
  <c r="U34" i="3" s="1"/>
  <c r="K35" i="3"/>
  <c r="D35" i="3"/>
  <c r="R34" i="3"/>
  <c r="V34" i="3" l="1"/>
  <c r="W34" i="3" s="1"/>
  <c r="N35" i="3"/>
  <c r="G35" i="3"/>
  <c r="I35" i="3" s="1"/>
  <c r="O35" i="3"/>
  <c r="B36" i="3" l="1"/>
  <c r="L35" i="3" s="1"/>
  <c r="Q35" i="3" a="1"/>
  <c r="Q35" i="3" s="1"/>
  <c r="P35" i="3"/>
  <c r="S35" i="3" l="1"/>
  <c r="R35" i="3"/>
  <c r="K36" i="3"/>
  <c r="D36" i="3"/>
  <c r="N36" i="3" l="1"/>
  <c r="G36" i="3"/>
  <c r="I36" i="3" s="1"/>
  <c r="O36" i="3"/>
  <c r="T35" i="3"/>
  <c r="U35" i="3" s="1"/>
  <c r="V35" i="3"/>
  <c r="W35" i="3" s="1"/>
  <c r="P36" i="3" l="1"/>
  <c r="Q36" i="3" a="1"/>
  <c r="Q36" i="3" s="1"/>
  <c r="R36" i="3" s="1"/>
  <c r="B37" i="3"/>
  <c r="L36" i="3" s="1"/>
  <c r="S36" i="3" l="1"/>
  <c r="V36" i="3" s="1"/>
  <c r="K37" i="3"/>
  <c r="D37" i="3"/>
  <c r="T36" i="3" l="1"/>
  <c r="U36" i="3" s="1"/>
  <c r="N37" i="3"/>
  <c r="G37" i="3"/>
  <c r="I37" i="3" s="1"/>
  <c r="O37" i="3"/>
  <c r="W36" i="3"/>
  <c r="Q37" i="3" l="1" a="1"/>
  <c r="Q37" i="3" s="1"/>
  <c r="P37" i="3"/>
  <c r="B38" i="3"/>
  <c r="L37" i="3" s="1"/>
  <c r="S37" i="3" l="1"/>
  <c r="V37" i="3" s="1"/>
  <c r="W37" i="3" s="1"/>
  <c r="K38" i="3"/>
  <c r="D38" i="3"/>
  <c r="R37" i="3"/>
  <c r="T37" i="3" l="1"/>
  <c r="U37" i="3" s="1"/>
  <c r="O38" i="3"/>
  <c r="G38" i="3"/>
  <c r="I38" i="3" s="1"/>
  <c r="N38" i="3"/>
  <c r="B39" i="3" l="1"/>
  <c r="L38" i="3" s="1"/>
  <c r="Q38" i="3" a="1"/>
  <c r="Q38" i="3" s="1"/>
  <c r="P38" i="3"/>
  <c r="R38" i="3" l="1"/>
  <c r="S38" i="3"/>
  <c r="K39" i="3"/>
  <c r="D39" i="3"/>
  <c r="O39" i="3" l="1"/>
  <c r="N39" i="3"/>
  <c r="G39" i="3"/>
  <c r="I39" i="3" s="1"/>
  <c r="V38" i="3"/>
  <c r="T38" i="3"/>
  <c r="U38" i="3" s="1"/>
  <c r="B40" i="3" l="1"/>
  <c r="L39" i="3" s="1"/>
  <c r="W38" i="3"/>
  <c r="Q39" i="3" a="1"/>
  <c r="Q39" i="3" s="1"/>
  <c r="P39" i="3"/>
  <c r="R39" i="3" l="1"/>
  <c r="S39" i="3"/>
  <c r="K40" i="3"/>
  <c r="D40" i="3"/>
  <c r="G40" i="3" l="1"/>
  <c r="I40" i="3" s="1"/>
  <c r="O40" i="3"/>
  <c r="N40" i="3"/>
  <c r="T39" i="3"/>
  <c r="U39" i="3" s="1"/>
  <c r="V39" i="3"/>
  <c r="Q40" i="3" l="1" a="1"/>
  <c r="Q40" i="3" s="1"/>
  <c r="P40" i="3"/>
  <c r="W39" i="3"/>
  <c r="B41" i="3"/>
  <c r="L40" i="3" s="1"/>
  <c r="S40" i="3" l="1"/>
  <c r="V40" i="3" s="1"/>
  <c r="W40" i="3" s="1"/>
  <c r="R40" i="3"/>
  <c r="D41" i="3"/>
  <c r="K41" i="3"/>
  <c r="T40" i="3" l="1"/>
  <c r="U40" i="3" s="1"/>
  <c r="N41" i="3"/>
  <c r="G41" i="3"/>
  <c r="I41" i="3" s="1"/>
  <c r="B42" i="3" s="1"/>
  <c r="O41" i="3"/>
  <c r="Q41" i="3" l="1" a="1"/>
  <c r="Q41" i="3" s="1"/>
  <c r="P41" i="3"/>
  <c r="L41" i="3"/>
  <c r="K42" i="3"/>
  <c r="D42" i="3"/>
  <c r="S41" i="3" l="1"/>
  <c r="T41" i="3" s="1"/>
  <c r="U41" i="3" s="1"/>
  <c r="N42" i="3"/>
  <c r="G42" i="3"/>
  <c r="I42" i="3" s="1"/>
  <c r="O42" i="3"/>
  <c r="R41" i="3"/>
  <c r="V41" i="3" l="1"/>
  <c r="W41" i="3" s="1"/>
  <c r="B43" i="3"/>
  <c r="L42" i="3" s="1"/>
  <c r="Q42" i="3" a="1"/>
  <c r="Q42" i="3" s="1"/>
  <c r="P42" i="3"/>
  <c r="R42" i="3" l="1"/>
  <c r="D43" i="3"/>
  <c r="K43" i="3"/>
  <c r="S42" i="3"/>
  <c r="O43" i="3" l="1"/>
  <c r="G43" i="3"/>
  <c r="I43" i="3" s="1"/>
  <c r="N43" i="3"/>
  <c r="T42" i="3"/>
  <c r="U42" i="3" s="1"/>
  <c r="V42" i="3"/>
  <c r="B44" i="3" l="1"/>
  <c r="L43" i="3" s="1"/>
  <c r="W42" i="3"/>
  <c r="Q43" i="3" a="1"/>
  <c r="Q43" i="3" s="1"/>
  <c r="P43" i="3"/>
  <c r="R43" i="3" l="1"/>
  <c r="D44" i="3"/>
  <c r="K44" i="3"/>
  <c r="S43" i="3"/>
  <c r="T43" i="3" l="1"/>
  <c r="U43" i="3" s="1"/>
  <c r="V43" i="3"/>
  <c r="O44" i="3"/>
  <c r="N44" i="3"/>
  <c r="G44" i="3"/>
  <c r="I44" i="3" s="1"/>
  <c r="Q44" i="3" l="1" a="1"/>
  <c r="Q44" i="3" s="1"/>
  <c r="P44" i="3"/>
  <c r="W43" i="3"/>
  <c r="B45" i="3"/>
  <c r="L44" i="3" s="1"/>
  <c r="S44" i="3" l="1"/>
  <c r="T44" i="3" s="1"/>
  <c r="U44" i="3" s="1"/>
  <c r="R44" i="3"/>
  <c r="D45" i="3"/>
  <c r="K45" i="3"/>
  <c r="V44" i="3" l="1"/>
  <c r="W44" i="3" s="1"/>
  <c r="N45" i="3"/>
  <c r="G45" i="3"/>
  <c r="I45" i="3" s="1"/>
  <c r="O45" i="3"/>
  <c r="Q45" i="3" l="1" a="1"/>
  <c r="Q45" i="3" s="1"/>
  <c r="P45" i="3"/>
  <c r="B46" i="3"/>
  <c r="L45" i="3" s="1"/>
  <c r="S45" i="3" l="1"/>
  <c r="T45" i="3" s="1"/>
  <c r="U45" i="3" s="1"/>
  <c r="K46" i="3"/>
  <c r="D46" i="3"/>
  <c r="R45" i="3"/>
  <c r="V45" i="3" l="1"/>
  <c r="W45" i="3" s="1"/>
  <c r="N46" i="3"/>
  <c r="G46" i="3"/>
  <c r="I46" i="3" s="1"/>
  <c r="O46" i="3"/>
  <c r="B47" i="3" l="1"/>
  <c r="L46" i="3" s="1"/>
  <c r="Q46" i="3" a="1"/>
  <c r="Q46" i="3" s="1"/>
  <c r="P46" i="3"/>
  <c r="K47" i="3" l="1"/>
  <c r="D47" i="3"/>
  <c r="R46" i="3"/>
  <c r="S46" i="3"/>
  <c r="T46" i="3" l="1"/>
  <c r="U46" i="3" s="1"/>
  <c r="V46" i="3"/>
  <c r="G47" i="3"/>
  <c r="I47" i="3" s="1"/>
  <c r="O47" i="3"/>
  <c r="N47" i="3"/>
  <c r="B48" i="3" l="1"/>
  <c r="L47" i="3" s="1"/>
  <c r="Q47" i="3" a="1"/>
  <c r="Q47" i="3" s="1"/>
  <c r="P47" i="3"/>
  <c r="W46" i="3"/>
  <c r="K48" i="3" l="1"/>
  <c r="D48" i="3"/>
  <c r="R47" i="3"/>
  <c r="S47" i="3"/>
  <c r="T47" i="3" l="1"/>
  <c r="U47" i="3" s="1"/>
  <c r="V47" i="3"/>
  <c r="G48" i="3"/>
  <c r="I48" i="3" s="1"/>
  <c r="N48" i="3"/>
  <c r="O48" i="3"/>
  <c r="B49" i="3" l="1"/>
  <c r="L48" i="3" s="1"/>
  <c r="W47" i="3"/>
  <c r="Q48" i="3" a="1"/>
  <c r="Q48" i="3" s="1"/>
  <c r="P48" i="3"/>
  <c r="R48" i="3" l="1"/>
  <c r="D49" i="3"/>
  <c r="K49" i="3"/>
  <c r="S48" i="3"/>
  <c r="N49" i="3" l="1"/>
  <c r="O49" i="3"/>
  <c r="G49" i="3"/>
  <c r="I49" i="3" s="1"/>
  <c r="T48" i="3"/>
  <c r="U48" i="3" s="1"/>
  <c r="V48" i="3"/>
  <c r="B50" i="3" l="1"/>
  <c r="L49" i="3" s="1"/>
  <c r="Q49" i="3" a="1"/>
  <c r="Q49" i="3" s="1"/>
  <c r="P49" i="3"/>
  <c r="W48" i="3"/>
  <c r="D50" i="3" l="1"/>
  <c r="K50" i="3"/>
  <c r="R49" i="3"/>
  <c r="S49" i="3"/>
  <c r="O50" i="3" l="1"/>
  <c r="N50" i="3"/>
  <c r="G50" i="3"/>
  <c r="I50" i="3" s="1"/>
  <c r="T49" i="3"/>
  <c r="U49" i="3" s="1"/>
  <c r="V49" i="3"/>
  <c r="B51" i="3" l="1"/>
  <c r="L50" i="3" s="1"/>
  <c r="W49" i="3"/>
  <c r="Q50" i="3" a="1"/>
  <c r="Q50" i="3" s="1"/>
  <c r="P50" i="3"/>
  <c r="R50" i="3" l="1"/>
  <c r="D51" i="3"/>
  <c r="K51" i="3"/>
  <c r="S50" i="3"/>
  <c r="N51" i="3" l="1"/>
  <c r="O51" i="3"/>
  <c r="G51" i="3"/>
  <c r="I51" i="3" s="1"/>
  <c r="T50" i="3"/>
  <c r="U50" i="3" s="1"/>
  <c r="V50" i="3"/>
  <c r="B52" i="3" l="1"/>
  <c r="L51" i="3" s="1"/>
  <c r="Q51" i="3" a="1"/>
  <c r="Q51" i="3" s="1"/>
  <c r="P51" i="3"/>
  <c r="W50" i="3"/>
  <c r="R51" i="3" l="1"/>
  <c r="K52" i="3"/>
  <c r="D52" i="3"/>
  <c r="S51" i="3"/>
  <c r="T51" i="3" l="1"/>
  <c r="U51" i="3" s="1"/>
  <c r="V51" i="3"/>
  <c r="O52" i="3"/>
  <c r="N52" i="3"/>
  <c r="G52" i="3"/>
  <c r="I52" i="3" s="1"/>
  <c r="Q52" i="3" l="1" a="1"/>
  <c r="Q52" i="3" s="1"/>
  <c r="P52" i="3"/>
  <c r="W51" i="3"/>
  <c r="B53" i="3"/>
  <c r="L52" i="3" s="1"/>
  <c r="S52" i="3" l="1"/>
  <c r="T52" i="3" s="1"/>
  <c r="U52" i="3" s="1"/>
  <c r="K53" i="3"/>
  <c r="D53" i="3"/>
  <c r="R52" i="3"/>
  <c r="V52" i="3" l="1"/>
  <c r="W52" i="3" s="1"/>
  <c r="O53" i="3"/>
  <c r="N53" i="3"/>
  <c r="G53" i="3"/>
  <c r="I53" i="3" s="1"/>
  <c r="B54" i="3" l="1"/>
  <c r="L53" i="3" s="1"/>
  <c r="Q53" i="3" a="1"/>
  <c r="Q53" i="3" s="1"/>
  <c r="P53" i="3"/>
  <c r="K54" i="3" l="1"/>
  <c r="D54" i="3"/>
  <c r="R53" i="3"/>
  <c r="S53" i="3"/>
  <c r="T53" i="3" l="1"/>
  <c r="U53" i="3" s="1"/>
  <c r="V53" i="3"/>
  <c r="G54" i="3"/>
  <c r="I54" i="3" s="1"/>
  <c r="N54" i="3"/>
  <c r="O54" i="3"/>
  <c r="B55" i="3" l="1"/>
  <c r="L54" i="3" s="1"/>
  <c r="W53" i="3"/>
  <c r="Q54" i="3" a="1"/>
  <c r="Q54" i="3" s="1"/>
  <c r="P54" i="3"/>
  <c r="R54" i="3" l="1"/>
  <c r="B56" i="3"/>
  <c r="K55" i="3"/>
  <c r="D55" i="3"/>
  <c r="L55" i="3"/>
  <c r="S54" i="3"/>
  <c r="G55" i="3" l="1"/>
  <c r="N55" i="3"/>
  <c r="O55" i="3"/>
  <c r="T54" i="3"/>
  <c r="U54" i="3" s="1"/>
  <c r="V54" i="3"/>
  <c r="W54" i="3" s="1"/>
  <c r="D56" i="3"/>
  <c r="K56" i="3"/>
  <c r="B57" i="3"/>
  <c r="L56" i="3"/>
  <c r="G56" i="3" l="1"/>
  <c r="N56" i="3"/>
  <c r="O56" i="3"/>
  <c r="Q55" i="3" a="1"/>
  <c r="Q55" i="3" s="1"/>
  <c r="P55" i="3"/>
  <c r="S55" i="3" s="1"/>
  <c r="L57" i="3"/>
  <c r="B58" i="3"/>
  <c r="K57" i="3"/>
  <c r="D57" i="3"/>
  <c r="R55" i="3" l="1"/>
  <c r="N57" i="3"/>
  <c r="G57" i="3"/>
  <c r="O57" i="3"/>
  <c r="B59" i="3"/>
  <c r="L58" i="3"/>
  <c r="K58" i="3"/>
  <c r="D58" i="3"/>
  <c r="Q56" i="3" a="1"/>
  <c r="Q56" i="3" s="1"/>
  <c r="P56" i="3"/>
  <c r="S56" i="3" s="1"/>
  <c r="V55" i="3"/>
  <c r="T55" i="3"/>
  <c r="U55" i="3" s="1"/>
  <c r="R56" i="3" l="1"/>
  <c r="T56" i="3"/>
  <c r="U56" i="3" s="1"/>
  <c r="D59" i="3"/>
  <c r="B60" i="3"/>
  <c r="K59" i="3"/>
  <c r="L59" i="3"/>
  <c r="Q57" i="3" a="1"/>
  <c r="Q57" i="3" s="1"/>
  <c r="P57" i="3"/>
  <c r="S57" i="3" s="1"/>
  <c r="W55" i="3"/>
  <c r="V56" i="3"/>
  <c r="O58" i="3"/>
  <c r="G58" i="3"/>
  <c r="N58" i="3"/>
  <c r="T57" i="3" l="1"/>
  <c r="U57" i="3" s="1"/>
  <c r="R57" i="3"/>
  <c r="K60" i="3"/>
  <c r="B61" i="3"/>
  <c r="D60" i="3"/>
  <c r="L60" i="3"/>
  <c r="W56" i="3"/>
  <c r="V57" i="3"/>
  <c r="G59" i="3"/>
  <c r="O59" i="3"/>
  <c r="N59" i="3"/>
  <c r="Q58" i="3" a="1"/>
  <c r="Q58" i="3" s="1"/>
  <c r="P58" i="3"/>
  <c r="S58" i="3" s="1"/>
  <c r="T58" i="3" l="1"/>
  <c r="U58" i="3" s="1"/>
  <c r="Q59" i="3" a="1"/>
  <c r="Q59" i="3" s="1"/>
  <c r="P59" i="3"/>
  <c r="S59" i="3" s="1"/>
  <c r="R58" i="3"/>
  <c r="W57" i="3"/>
  <c r="V58" i="3"/>
  <c r="K61" i="3"/>
  <c r="D61" i="3"/>
  <c r="L61" i="3"/>
  <c r="N60" i="3"/>
  <c r="G60" i="3"/>
  <c r="O60" i="3"/>
  <c r="R59" i="3" l="1"/>
  <c r="N61" i="3"/>
  <c r="O61" i="3"/>
  <c r="G61" i="3"/>
  <c r="B62" i="3" s="1"/>
  <c r="T59" i="3"/>
  <c r="U59" i="3" s="1"/>
  <c r="Q60" i="3" a="1"/>
  <c r="Q60" i="3" s="1"/>
  <c r="P60" i="3"/>
  <c r="S60" i="3" s="1"/>
  <c r="W58" i="3"/>
  <c r="V59" i="3"/>
  <c r="T60" i="3" l="1"/>
  <c r="U60" i="3" s="1"/>
  <c r="W59" i="3"/>
  <c r="V60" i="3"/>
  <c r="K62" i="3"/>
  <c r="L62" i="3"/>
  <c r="D62" i="3"/>
  <c r="B63" i="3"/>
  <c r="Q61" i="3" a="1"/>
  <c r="Q61" i="3" s="1"/>
  <c r="P61" i="3"/>
  <c r="S61" i="3" s="1"/>
  <c r="R60" i="3"/>
  <c r="R61" i="3" l="1"/>
  <c r="W60" i="3"/>
  <c r="V61" i="3"/>
  <c r="G62" i="3"/>
  <c r="O62" i="3"/>
  <c r="N62" i="3"/>
  <c r="K63" i="3"/>
  <c r="B64" i="3"/>
  <c r="L63" i="3"/>
  <c r="D63" i="3"/>
  <c r="T61" i="3"/>
  <c r="U61" i="3" s="1"/>
  <c r="L64" i="3" l="1"/>
  <c r="K64" i="3"/>
  <c r="D64" i="3"/>
  <c r="W61" i="3"/>
  <c r="Q62" i="3" a="1"/>
  <c r="Q62" i="3" s="1"/>
  <c r="P62" i="3"/>
  <c r="S62" i="3" s="1"/>
  <c r="N63" i="3"/>
  <c r="O63" i="3"/>
  <c r="G63" i="3"/>
  <c r="T62" i="3" l="1"/>
  <c r="U62" i="3" s="1"/>
  <c r="G64" i="3"/>
  <c r="B65" i="3" s="1"/>
  <c r="N64" i="3"/>
  <c r="O64" i="3"/>
  <c r="R62" i="3"/>
  <c r="Q63" i="3" a="1"/>
  <c r="Q63" i="3" s="1"/>
  <c r="P63" i="3"/>
  <c r="S63" i="3" s="1"/>
  <c r="V62" i="3"/>
  <c r="R63" i="3" l="1"/>
  <c r="W62" i="3"/>
  <c r="V63" i="3"/>
  <c r="Q64" i="3" a="1"/>
  <c r="Q64" i="3" s="1"/>
  <c r="P64" i="3"/>
  <c r="S64" i="3" s="1"/>
  <c r="T63" i="3"/>
  <c r="U63" i="3" s="1"/>
  <c r="D65" i="3"/>
  <c r="L65" i="3"/>
  <c r="B66" i="3"/>
  <c r="K65" i="3"/>
  <c r="R64" i="3" l="1"/>
  <c r="W63" i="3"/>
  <c r="V64" i="3"/>
  <c r="W64" i="3" s="1"/>
  <c r="K66" i="3"/>
  <c r="L66" i="3"/>
  <c r="B67" i="3"/>
  <c r="D66" i="3"/>
  <c r="T64" i="3"/>
  <c r="U64" i="3" s="1"/>
  <c r="O65" i="3"/>
  <c r="N65" i="3"/>
  <c r="G65" i="3"/>
  <c r="Q65" i="3" l="1" a="1"/>
  <c r="Q65" i="3" s="1"/>
  <c r="P65" i="3"/>
  <c r="S65" i="3" s="1"/>
  <c r="N66" i="3"/>
  <c r="O66" i="3"/>
  <c r="G66" i="3"/>
  <c r="L67" i="3"/>
  <c r="D67" i="3"/>
  <c r="K67" i="3"/>
  <c r="B68" i="3"/>
  <c r="R65" i="3" l="1"/>
  <c r="Q66" i="3" a="1"/>
  <c r="Q66" i="3" s="1"/>
  <c r="P66" i="3"/>
  <c r="S66" i="3" s="1"/>
  <c r="D68" i="3"/>
  <c r="K68" i="3"/>
  <c r="L68" i="3"/>
  <c r="G67" i="3"/>
  <c r="N67" i="3"/>
  <c r="O67" i="3"/>
  <c r="V65" i="3"/>
  <c r="W65" i="3" s="1"/>
  <c r="T65" i="3"/>
  <c r="U65" i="3" s="1"/>
  <c r="R66" i="3" l="1"/>
  <c r="G68" i="3"/>
  <c r="B69" i="3" s="1"/>
  <c r="O68" i="3"/>
  <c r="N68" i="3"/>
  <c r="Q67" i="3" a="1"/>
  <c r="Q67" i="3" s="1"/>
  <c r="P67" i="3"/>
  <c r="S67" i="3" s="1"/>
  <c r="V66" i="3"/>
  <c r="T66" i="3"/>
  <c r="U66" i="3" s="1"/>
  <c r="T67" i="3" l="1"/>
  <c r="U67" i="3" s="1"/>
  <c r="R67" i="3"/>
  <c r="K69" i="3"/>
  <c r="B70" i="3"/>
  <c r="L69" i="3"/>
  <c r="D69" i="3"/>
  <c r="W66" i="3"/>
  <c r="V67" i="3"/>
  <c r="Q68" i="3" a="1"/>
  <c r="Q68" i="3" s="1"/>
  <c r="P68" i="3"/>
  <c r="S68" i="3" s="1"/>
  <c r="T68" i="3" l="1"/>
  <c r="U68" i="3" s="1"/>
  <c r="R68" i="3"/>
  <c r="W67" i="3"/>
  <c r="V68" i="3"/>
  <c r="K70" i="3"/>
  <c r="B71" i="3"/>
  <c r="L70" i="3"/>
  <c r="D70" i="3"/>
  <c r="O69" i="3"/>
  <c r="G69" i="3"/>
  <c r="N69" i="3"/>
  <c r="D71" i="3" l="1"/>
  <c r="K71" i="3"/>
  <c r="L71" i="3"/>
  <c r="Q69" i="3" a="1"/>
  <c r="Q69" i="3" s="1"/>
  <c r="P69" i="3"/>
  <c r="S69" i="3" s="1"/>
  <c r="G70" i="3"/>
  <c r="N70" i="3"/>
  <c r="O70" i="3"/>
  <c r="W68" i="3"/>
  <c r="T69" i="3" l="1"/>
  <c r="U69" i="3" s="1"/>
  <c r="Q70" i="3" a="1"/>
  <c r="Q70" i="3" s="1"/>
  <c r="P70" i="3"/>
  <c r="S70" i="3" s="1"/>
  <c r="R69" i="3"/>
  <c r="V69" i="3"/>
  <c r="O71" i="3"/>
  <c r="N71" i="3"/>
  <c r="G71" i="3"/>
  <c r="B72" i="3" s="1"/>
  <c r="R70" i="3" l="1"/>
  <c r="Q71" i="3" a="1"/>
  <c r="Q71" i="3" s="1"/>
  <c r="P71" i="3"/>
  <c r="S71" i="3" s="1"/>
  <c r="W69" i="3"/>
  <c r="V70" i="3"/>
  <c r="K72" i="3"/>
  <c r="D72" i="3"/>
  <c r="B73" i="3"/>
  <c r="L72" i="3"/>
  <c r="T70" i="3"/>
  <c r="U70" i="3" s="1"/>
  <c r="R71" i="3" l="1"/>
  <c r="W70" i="3"/>
  <c r="V71" i="3"/>
  <c r="W71" i="3" s="1"/>
  <c r="G72" i="3"/>
  <c r="N72" i="3"/>
  <c r="O72" i="3"/>
  <c r="K73" i="3"/>
  <c r="D73" i="3"/>
  <c r="L73" i="3"/>
  <c r="B74" i="3"/>
  <c r="T71" i="3"/>
  <c r="U71" i="3" s="1"/>
  <c r="B75" i="3" l="1"/>
  <c r="K74" i="3"/>
  <c r="L74" i="3"/>
  <c r="D74" i="3"/>
  <c r="Q72" i="3" a="1"/>
  <c r="Q72" i="3" s="1"/>
  <c r="P72" i="3"/>
  <c r="S72" i="3" s="1"/>
  <c r="G73" i="3"/>
  <c r="O73" i="3"/>
  <c r="N73" i="3"/>
  <c r="R72" i="3" l="1"/>
  <c r="D75" i="3"/>
  <c r="B76" i="3"/>
  <c r="K75" i="3"/>
  <c r="L75" i="3"/>
  <c r="Q73" i="3" a="1"/>
  <c r="Q73" i="3" s="1"/>
  <c r="P73" i="3"/>
  <c r="S73" i="3" s="1"/>
  <c r="V72" i="3"/>
  <c r="T72" i="3"/>
  <c r="U72" i="3" s="1"/>
  <c r="O74" i="3"/>
  <c r="G74" i="3"/>
  <c r="N74" i="3"/>
  <c r="R73" i="3" l="1"/>
  <c r="Q74" i="3" a="1"/>
  <c r="Q74" i="3" s="1"/>
  <c r="P74" i="3"/>
  <c r="S74" i="3" s="1"/>
  <c r="W72" i="3"/>
  <c r="V73" i="3"/>
  <c r="O75" i="3"/>
  <c r="G75" i="3"/>
  <c r="N75" i="3"/>
  <c r="T73" i="3"/>
  <c r="U73" i="3" s="1"/>
  <c r="L76" i="3"/>
  <c r="D76" i="3"/>
  <c r="K76" i="3"/>
  <c r="R74" i="3" l="1"/>
  <c r="Q75" i="3" a="1"/>
  <c r="Q75" i="3" s="1"/>
  <c r="P75" i="3"/>
  <c r="S75" i="3" s="1"/>
  <c r="W73" i="3"/>
  <c r="V74" i="3"/>
  <c r="O76" i="3"/>
  <c r="G76" i="3"/>
  <c r="B77" i="3" s="1"/>
  <c r="N76" i="3"/>
  <c r="T74" i="3"/>
  <c r="U74" i="3" s="1"/>
  <c r="R75" i="3" l="1"/>
  <c r="W74" i="3"/>
  <c r="V75" i="3"/>
  <c r="K77" i="3"/>
  <c r="B78" i="3"/>
  <c r="L77" i="3"/>
  <c r="D77" i="3"/>
  <c r="T75" i="3"/>
  <c r="U75" i="3" s="1"/>
  <c r="Q76" i="3" a="1"/>
  <c r="Q76" i="3" s="1"/>
  <c r="P76" i="3"/>
  <c r="S76" i="3" s="1"/>
  <c r="R76" i="3" l="1"/>
  <c r="B79" i="3"/>
  <c r="L78" i="3"/>
  <c r="D78" i="3"/>
  <c r="K78" i="3"/>
  <c r="N77" i="3"/>
  <c r="O77" i="3"/>
  <c r="G77" i="3"/>
  <c r="V76" i="3"/>
  <c r="W75" i="3"/>
  <c r="T76" i="3"/>
  <c r="U76" i="3" s="1"/>
  <c r="W76" i="3" l="1"/>
  <c r="O78" i="3"/>
  <c r="N78" i="3"/>
  <c r="G78" i="3"/>
  <c r="Q77" i="3" a="1"/>
  <c r="Q77" i="3" s="1"/>
  <c r="P77" i="3"/>
  <c r="S77" i="3" s="1"/>
  <c r="K79" i="3"/>
  <c r="D79" i="3"/>
  <c r="L79" i="3"/>
  <c r="R77" i="3" l="1"/>
  <c r="O79" i="3"/>
  <c r="G79" i="3"/>
  <c r="B80" i="3" s="1"/>
  <c r="N79" i="3"/>
  <c r="T77" i="3"/>
  <c r="U77" i="3" s="1"/>
  <c r="Q78" i="3" a="1"/>
  <c r="Q78" i="3" s="1"/>
  <c r="P78" i="3"/>
  <c r="S78" i="3" s="1"/>
  <c r="V77" i="3"/>
  <c r="T78" i="3" l="1"/>
  <c r="U78" i="3" s="1"/>
  <c r="R78" i="3"/>
  <c r="W77" i="3"/>
  <c r="V78" i="3"/>
  <c r="D80" i="3"/>
  <c r="L80" i="3"/>
  <c r="B81" i="3"/>
  <c r="K80" i="3"/>
  <c r="Q79" i="3" a="1"/>
  <c r="Q79" i="3" s="1"/>
  <c r="P79" i="3"/>
  <c r="S79" i="3" s="1"/>
  <c r="R79" i="3" l="1"/>
  <c r="T79" i="3"/>
  <c r="U79" i="3" s="1"/>
  <c r="G80" i="3"/>
  <c r="N80" i="3"/>
  <c r="O80" i="3"/>
  <c r="V79" i="3"/>
  <c r="W78" i="3"/>
  <c r="D81" i="3"/>
  <c r="K81" i="3"/>
  <c r="L81" i="3"/>
  <c r="B82" i="3"/>
  <c r="G81" i="3" l="1"/>
  <c r="N81" i="3"/>
  <c r="O81" i="3"/>
  <c r="Q80" i="3" a="1"/>
  <c r="Q80" i="3" s="1"/>
  <c r="P80" i="3"/>
  <c r="S80" i="3" s="1"/>
  <c r="V80" i="3" s="1"/>
  <c r="K82" i="3"/>
  <c r="L82" i="3"/>
  <c r="D82" i="3"/>
  <c r="W79" i="3"/>
  <c r="R80" i="3" l="1"/>
  <c r="Q81" i="3" a="1"/>
  <c r="Q81" i="3" s="1"/>
  <c r="P81" i="3"/>
  <c r="S81" i="3" s="1"/>
  <c r="V81" i="3" s="1"/>
  <c r="W80" i="3"/>
  <c r="N82" i="3"/>
  <c r="O82" i="3"/>
  <c r="G82" i="3"/>
  <c r="B83" i="3" s="1"/>
  <c r="T80" i="3"/>
  <c r="U80" i="3" s="1"/>
  <c r="R81" i="3" l="1"/>
  <c r="W81" i="3"/>
  <c r="D83" i="3"/>
  <c r="L83" i="3"/>
  <c r="K83" i="3"/>
  <c r="B84" i="3"/>
  <c r="Q82" i="3" a="1"/>
  <c r="Q82" i="3" s="1"/>
  <c r="P82" i="3"/>
  <c r="S82" i="3" s="1"/>
  <c r="T81" i="3"/>
  <c r="U81" i="3" s="1"/>
  <c r="R82" i="3" l="1"/>
  <c r="T82" i="3"/>
  <c r="U82" i="3" s="1"/>
  <c r="L84" i="3"/>
  <c r="K84" i="3"/>
  <c r="D84" i="3"/>
  <c r="V82" i="3"/>
  <c r="W82" i="3" s="1"/>
  <c r="O83" i="3"/>
  <c r="G83" i="3"/>
  <c r="N83" i="3"/>
  <c r="N84" i="3" l="1"/>
  <c r="G84" i="3"/>
  <c r="B85" i="3" s="1"/>
  <c r="O84" i="3"/>
  <c r="Q83" i="3" a="1"/>
  <c r="Q83" i="3" s="1"/>
  <c r="P83" i="3"/>
  <c r="S83" i="3" s="1"/>
  <c r="R83" i="3" l="1"/>
  <c r="Q84" i="3" a="1"/>
  <c r="Q84" i="3" s="1"/>
  <c r="P84" i="3"/>
  <c r="S84" i="3" s="1"/>
  <c r="B86" i="3"/>
  <c r="L85" i="3"/>
  <c r="D85" i="3"/>
  <c r="K85" i="3"/>
  <c r="V83" i="3"/>
  <c r="T83" i="3"/>
  <c r="U83" i="3" s="1"/>
  <c r="R84" i="3" l="1"/>
  <c r="W83" i="3"/>
  <c r="V84" i="3"/>
  <c r="W84" i="3" s="1"/>
  <c r="K86" i="3"/>
  <c r="L86" i="3"/>
  <c r="D86" i="3"/>
  <c r="N85" i="3"/>
  <c r="G85" i="3"/>
  <c r="O85" i="3"/>
  <c r="T84" i="3"/>
  <c r="U84" i="3" s="1"/>
  <c r="Q85" i="3" l="1" a="1"/>
  <c r="Q85" i="3" s="1"/>
  <c r="P85" i="3"/>
  <c r="S85" i="3" s="1"/>
  <c r="N86" i="3"/>
  <c r="O86" i="3"/>
  <c r="G86" i="3"/>
  <c r="B87" i="3" s="1"/>
  <c r="R85" i="3" l="1"/>
  <c r="Q86" i="3" a="1"/>
  <c r="Q86" i="3" s="1"/>
  <c r="P86" i="3"/>
  <c r="S86" i="3" s="1"/>
  <c r="V85" i="3"/>
  <c r="W85" i="3" s="1"/>
  <c r="T85" i="3"/>
  <c r="U85" i="3" s="1"/>
  <c r="L87" i="3"/>
  <c r="D87" i="3"/>
  <c r="K87" i="3"/>
  <c r="B88" i="3"/>
  <c r="R86" i="3" l="1"/>
  <c r="B89" i="3"/>
  <c r="D88" i="3"/>
  <c r="K88" i="3"/>
  <c r="L88" i="3"/>
  <c r="O87" i="3"/>
  <c r="N87" i="3"/>
  <c r="G87" i="3"/>
  <c r="V86" i="3"/>
  <c r="T86" i="3"/>
  <c r="U86" i="3" s="1"/>
  <c r="W86" i="3" l="1"/>
  <c r="G88" i="3"/>
  <c r="O88" i="3"/>
  <c r="N88" i="3"/>
  <c r="Q87" i="3" a="1"/>
  <c r="Q87" i="3" s="1"/>
  <c r="P87" i="3"/>
  <c r="S87" i="3" s="1"/>
  <c r="B90" i="3"/>
  <c r="L89" i="3"/>
  <c r="D89" i="3"/>
  <c r="K89" i="3"/>
  <c r="T87" i="3" l="1"/>
  <c r="U87" i="3" s="1"/>
  <c r="K90" i="3"/>
  <c r="D90" i="3"/>
  <c r="Q88" i="3" a="1"/>
  <c r="Q88" i="3" s="1"/>
  <c r="P88" i="3"/>
  <c r="S88" i="3" s="1"/>
  <c r="G89" i="3"/>
  <c r="O89" i="3"/>
  <c r="N89" i="3"/>
  <c r="R87" i="3"/>
  <c r="V87" i="3"/>
  <c r="L90" i="3"/>
  <c r="R88" i="3" l="1"/>
  <c r="T88" i="3"/>
  <c r="U88" i="3" s="1"/>
  <c r="Q89" i="3" a="1"/>
  <c r="Q89" i="3" s="1"/>
  <c r="P89" i="3"/>
  <c r="S89" i="3" s="1"/>
  <c r="W87" i="3"/>
  <c r="V88" i="3"/>
  <c r="O90" i="3"/>
  <c r="G90" i="3"/>
  <c r="B91" i="3" s="1"/>
  <c r="N90" i="3"/>
  <c r="R89" i="3" l="1"/>
  <c r="T89" i="3"/>
  <c r="U89" i="3" s="1"/>
  <c r="K91" i="3"/>
  <c r="D91" i="3"/>
  <c r="L91" i="3"/>
  <c r="B92" i="3"/>
  <c r="Q90" i="3" a="1"/>
  <c r="Q90" i="3" s="1"/>
  <c r="P90" i="3"/>
  <c r="S90" i="3" s="1"/>
  <c r="W88" i="3"/>
  <c r="V89" i="3"/>
  <c r="R90" i="3" l="1"/>
  <c r="T90" i="3"/>
  <c r="U90" i="3" s="1"/>
  <c r="N91" i="3"/>
  <c r="O91" i="3"/>
  <c r="G91" i="3"/>
  <c r="W89" i="3"/>
  <c r="V90" i="3"/>
  <c r="W90" i="3" s="1"/>
  <c r="K92" i="3"/>
  <c r="L92" i="3"/>
  <c r="D92" i="3"/>
  <c r="B93" i="3"/>
  <c r="O92" i="3" l="1"/>
  <c r="G92" i="3"/>
  <c r="N92" i="3"/>
  <c r="Q91" i="3" a="1"/>
  <c r="Q91" i="3" s="1"/>
  <c r="P91" i="3"/>
  <c r="K93" i="3"/>
  <c r="L93" i="3"/>
  <c r="D93" i="3"/>
  <c r="B94" i="3"/>
  <c r="G93" i="3" l="1"/>
  <c r="O93" i="3"/>
  <c r="N93" i="3"/>
  <c r="R91" i="3"/>
  <c r="S91" i="3"/>
  <c r="Q92" i="3" a="1"/>
  <c r="Q92" i="3" s="1"/>
  <c r="P92" i="3"/>
  <c r="L94" i="3"/>
  <c r="K94" i="3"/>
  <c r="D94" i="3"/>
  <c r="R92" i="3" l="1"/>
  <c r="S92" i="3"/>
  <c r="T92" i="3" s="1"/>
  <c r="Q93" i="3" a="1"/>
  <c r="Q93" i="3" s="1"/>
  <c r="P93" i="3"/>
  <c r="V91" i="3"/>
  <c r="T91" i="3"/>
  <c r="U91" i="3" s="1"/>
  <c r="G94" i="3"/>
  <c r="B95" i="3" s="1"/>
  <c r="N94" i="3"/>
  <c r="O94" i="3"/>
  <c r="Q94" i="3" s="1" a="1"/>
  <c r="Q94" i="3" s="1"/>
  <c r="R93" i="3" l="1"/>
  <c r="S93" i="3"/>
  <c r="T93" i="3" s="1"/>
  <c r="U92" i="3"/>
  <c r="W91" i="3"/>
  <c r="V92" i="3"/>
  <c r="D95" i="3"/>
  <c r="L95" i="3"/>
  <c r="K95" i="3"/>
  <c r="N95" i="3" s="1"/>
  <c r="P94" i="3"/>
  <c r="S94" i="3" s="1"/>
  <c r="U93" i="3" l="1"/>
  <c r="W92" i="3"/>
  <c r="V93" i="3"/>
  <c r="W93" i="3" s="1"/>
  <c r="R94" i="3"/>
  <c r="G95" i="3"/>
  <c r="O95" i="3"/>
  <c r="T94" i="3"/>
  <c r="B96" i="3"/>
  <c r="V94" i="3" l="1"/>
  <c r="W94" i="3" s="1"/>
  <c r="U94" i="3"/>
  <c r="P95" i="3"/>
  <c r="S95" i="3" s="1"/>
  <c r="Q95" i="3" a="1"/>
  <c r="Q95" i="3" s="1"/>
  <c r="L96" i="3"/>
  <c r="K96" i="3"/>
  <c r="D96" i="3"/>
  <c r="V95" i="3" l="1"/>
  <c r="W95" i="3" s="1"/>
  <c r="R95" i="3"/>
  <c r="T95" i="3"/>
  <c r="U95" i="3" s="1"/>
  <c r="G96" i="3"/>
  <c r="B97" i="3" s="1"/>
  <c r="N96" i="3"/>
  <c r="O96" i="3"/>
  <c r="Q96" i="3" s="1" a="1"/>
  <c r="Q96" i="3" s="1"/>
  <c r="D97" i="3" l="1"/>
  <c r="L97" i="3"/>
  <c r="K97" i="3"/>
  <c r="N97" i="3" s="1"/>
  <c r="P96" i="3"/>
  <c r="R96" i="3" s="1"/>
  <c r="G97" i="3" l="1"/>
  <c r="S96" i="3"/>
  <c r="T96" i="3" s="1"/>
  <c r="U96" i="3" s="1"/>
  <c r="O97" i="3"/>
  <c r="B98" i="3"/>
  <c r="V96" i="3" l="1"/>
  <c r="W96" i="3" s="1"/>
  <c r="P97" i="3"/>
  <c r="S97" i="3" s="1"/>
  <c r="Q97" i="3" a="1"/>
  <c r="Q97" i="3" s="1"/>
  <c r="L98" i="3"/>
  <c r="K98" i="3"/>
  <c r="D98" i="3"/>
  <c r="R97" i="3" l="1"/>
  <c r="T97" i="3"/>
  <c r="U97" i="3" s="1"/>
  <c r="V97" i="3"/>
  <c r="W97" i="3" s="1"/>
  <c r="N98" i="3"/>
  <c r="O98" i="3"/>
  <c r="Q98" i="3" s="1" a="1"/>
  <c r="Q98" i="3" s="1"/>
  <c r="G98" i="3"/>
  <c r="P98" i="3" l="1"/>
  <c r="R98" i="3" s="1"/>
  <c r="B99" i="3"/>
  <c r="S98" i="3" l="1"/>
  <c r="T98" i="3" s="1"/>
  <c r="U98" i="3" s="1"/>
  <c r="L99" i="3"/>
  <c r="K99" i="3"/>
  <c r="D99" i="3"/>
  <c r="V98" i="3" l="1"/>
  <c r="W98" i="3" s="1"/>
  <c r="N99" i="3"/>
  <c r="O99" i="3"/>
  <c r="Q99" i="3" s="1" a="1"/>
  <c r="Q99" i="3" s="1"/>
  <c r="G99" i="3"/>
  <c r="P99" i="3" l="1"/>
  <c r="R99" i="3" s="1"/>
  <c r="B100" i="3"/>
  <c r="S99" i="3" l="1"/>
  <c r="T99" i="3" s="1"/>
  <c r="U99" i="3" s="1"/>
  <c r="L100" i="3"/>
  <c r="K100" i="3"/>
  <c r="D100" i="3"/>
  <c r="V99" i="3" l="1"/>
  <c r="W99" i="3" s="1"/>
  <c r="G100" i="3"/>
  <c r="B101" i="3" s="1"/>
  <c r="N100" i="3"/>
  <c r="O100" i="3"/>
  <c r="Q100" i="3" s="1" a="1"/>
  <c r="Q100" i="3" s="1"/>
  <c r="D101" i="3" l="1"/>
  <c r="L101" i="3"/>
  <c r="K101" i="3"/>
  <c r="N101" i="3" s="1"/>
  <c r="P100" i="3"/>
  <c r="S100" i="3" s="1"/>
  <c r="R100" i="3" l="1"/>
  <c r="G101" i="3"/>
  <c r="O101" i="3"/>
  <c r="T100" i="3"/>
  <c r="U100" i="3" s="1"/>
  <c r="V100" i="3"/>
  <c r="B102" i="3"/>
  <c r="P101" i="3" l="1"/>
  <c r="S101" i="3" s="1"/>
  <c r="V101" i="3" s="1"/>
  <c r="Q101" i="3" a="1"/>
  <c r="Q101" i="3" s="1"/>
  <c r="L102" i="3"/>
  <c r="W100" i="3"/>
  <c r="K102" i="3"/>
  <c r="D102" i="3"/>
  <c r="R101" i="3" l="1"/>
  <c r="T101" i="3"/>
  <c r="U101" i="3" s="1"/>
  <c r="W101" i="3"/>
  <c r="N102" i="3"/>
  <c r="O102" i="3"/>
  <c r="Q102" i="3" s="1" a="1"/>
  <c r="Q102" i="3" s="1"/>
  <c r="G102" i="3"/>
  <c r="P102" i="3" l="1"/>
  <c r="R102" i="3" s="1"/>
  <c r="B103" i="3"/>
  <c r="S102" i="3" l="1"/>
  <c r="T102" i="3" s="1"/>
  <c r="U102" i="3" s="1"/>
  <c r="L103" i="3"/>
  <c r="D103" i="3"/>
  <c r="K103" i="3"/>
  <c r="V102" i="3" l="1"/>
  <c r="W102" i="3" s="1"/>
  <c r="N103" i="3"/>
  <c r="O103" i="3"/>
  <c r="Q103" i="3" s="1" a="1"/>
  <c r="Q103" i="3" s="1"/>
  <c r="G103" i="3"/>
  <c r="P103" i="3" l="1"/>
  <c r="R103" i="3" s="1"/>
  <c r="B104" i="3"/>
  <c r="S103" i="3" l="1"/>
  <c r="V103" i="3" s="1"/>
  <c r="L104" i="3"/>
  <c r="K104" i="3"/>
  <c r="D104" i="3"/>
  <c r="T103" i="3" l="1"/>
  <c r="U103" i="3" s="1"/>
  <c r="W103" i="3"/>
  <c r="N104" i="3"/>
  <c r="O104" i="3"/>
  <c r="Q104" i="3" s="1" a="1"/>
  <c r="Q104" i="3" s="1"/>
  <c r="G104" i="3"/>
  <c r="P104" i="3" l="1"/>
  <c r="R104" i="3" s="1"/>
  <c r="B105" i="3"/>
  <c r="S104" i="3" l="1"/>
  <c r="T104" i="3" s="1"/>
  <c r="U104" i="3" s="1"/>
  <c r="L105" i="3"/>
  <c r="D105" i="3"/>
  <c r="K105" i="3"/>
  <c r="V104" i="3" l="1"/>
  <c r="W104" i="3" s="1"/>
  <c r="G105" i="3"/>
  <c r="N105" i="3"/>
  <c r="O105" i="3"/>
  <c r="Q105" i="3" s="1" a="1"/>
  <c r="Q105" i="3" s="1"/>
  <c r="B106" i="3"/>
  <c r="L106" i="3" l="1"/>
  <c r="P105" i="3"/>
  <c r="R105" i="3" s="1"/>
  <c r="K106" i="3"/>
  <c r="D106" i="3"/>
  <c r="S105" i="3" l="1"/>
  <c r="V105" i="3" s="1"/>
  <c r="G106" i="3"/>
  <c r="B107" i="3" s="1"/>
  <c r="N106" i="3"/>
  <c r="O106" i="3"/>
  <c r="Q106" i="3" s="1" a="1"/>
  <c r="Q106" i="3" s="1"/>
  <c r="T105" i="3" l="1"/>
  <c r="U105" i="3" s="1"/>
  <c r="D107" i="3"/>
  <c r="L107" i="3"/>
  <c r="P106" i="3"/>
  <c r="S106" i="3" s="1"/>
  <c r="V106" i="3" s="1"/>
  <c r="K107" i="3"/>
  <c r="N107" i="3" s="1"/>
  <c r="W105" i="3"/>
  <c r="R106" i="3" l="1"/>
  <c r="G107" i="3"/>
  <c r="O107" i="3"/>
  <c r="T106" i="3"/>
  <c r="U106" i="3" s="1"/>
  <c r="W106" i="3"/>
  <c r="B108" i="3"/>
  <c r="P107" i="3" l="1"/>
  <c r="S107" i="3" s="1"/>
  <c r="V107" i="3" s="1"/>
  <c r="Q107" i="3" a="1"/>
  <c r="Q107" i="3" s="1"/>
  <c r="R107" i="3" s="1"/>
  <c r="L108" i="3"/>
  <c r="D108" i="3"/>
  <c r="K108" i="3"/>
  <c r="T107" i="3" l="1"/>
  <c r="U107" i="3" s="1"/>
  <c r="W107" i="3"/>
  <c r="G108" i="3"/>
  <c r="N108" i="3"/>
  <c r="O108" i="3"/>
  <c r="Q108" i="3" s="1" a="1"/>
  <c r="Q108" i="3" s="1"/>
  <c r="B109" i="3"/>
  <c r="L109" i="3" l="1"/>
  <c r="P108" i="3"/>
  <c r="S108" i="3" s="1"/>
  <c r="V108" i="3" s="1"/>
  <c r="W108" i="3" s="1"/>
  <c r="K109" i="3"/>
  <c r="D109" i="3"/>
  <c r="R108" i="3" l="1"/>
  <c r="T108" i="3"/>
  <c r="U108" i="3" s="1"/>
  <c r="G109" i="3"/>
  <c r="B110" i="3" s="1"/>
  <c r="N109" i="3"/>
  <c r="O109" i="3"/>
  <c r="Q109" i="3" s="1" a="1"/>
  <c r="Q109" i="3" s="1"/>
  <c r="D110" i="3" l="1"/>
  <c r="L110" i="3"/>
  <c r="K110" i="3"/>
  <c r="N110" i="3" s="1"/>
  <c r="P109" i="3"/>
  <c r="S109" i="3" s="1"/>
  <c r="R109" i="3" l="1"/>
  <c r="O110" i="3"/>
  <c r="G110" i="3"/>
  <c r="T109" i="3"/>
  <c r="U109" i="3" s="1"/>
  <c r="V109" i="3"/>
  <c r="B111" i="3"/>
  <c r="P110" i="3" l="1"/>
  <c r="S110" i="3" s="1"/>
  <c r="V110" i="3" s="1"/>
  <c r="Q110" i="3" a="1"/>
  <c r="Q110" i="3" s="1"/>
  <c r="L111" i="3"/>
  <c r="W109" i="3"/>
  <c r="K111" i="3"/>
  <c r="D111" i="3"/>
  <c r="R110" i="3" l="1"/>
  <c r="T110" i="3"/>
  <c r="U110" i="3" s="1"/>
  <c r="W110" i="3"/>
  <c r="N111" i="3"/>
  <c r="O111" i="3"/>
  <c r="Q111" i="3" s="1" a="1"/>
  <c r="Q111" i="3" s="1"/>
  <c r="G111" i="3"/>
  <c r="P111" i="3" l="1"/>
  <c r="R111" i="3" s="1"/>
  <c r="B112" i="3"/>
  <c r="S111" i="3" l="1"/>
  <c r="T111" i="3" s="1"/>
  <c r="U111" i="3" s="1"/>
  <c r="L112" i="3"/>
  <c r="K112" i="3"/>
  <c r="D112" i="3"/>
  <c r="V111" i="3" l="1"/>
  <c r="W111" i="3" s="1"/>
  <c r="G112" i="3"/>
  <c r="B113" i="3" s="1"/>
  <c r="N112" i="3"/>
  <c r="O112" i="3"/>
  <c r="Q112" i="3" s="1" a="1"/>
  <c r="Q112" i="3" s="1"/>
  <c r="D113" i="3" l="1"/>
  <c r="L113" i="3"/>
  <c r="K113" i="3"/>
  <c r="P112" i="3"/>
  <c r="S112" i="3" s="1"/>
  <c r="G113" i="3" l="1"/>
  <c r="B114" i="3" s="1"/>
  <c r="K114" i="3" s="1"/>
  <c r="N114" i="3" s="1"/>
  <c r="R112" i="3"/>
  <c r="O113" i="3"/>
  <c r="N113" i="3"/>
  <c r="T112" i="3"/>
  <c r="U112" i="3" s="1"/>
  <c r="V112" i="3"/>
  <c r="D114" i="3" l="1"/>
  <c r="G114" i="3" s="1"/>
  <c r="B115" i="3" s="1"/>
  <c r="D115" i="3" s="1"/>
  <c r="L114" i="3"/>
  <c r="O114" i="3"/>
  <c r="Q114" i="3" s="1" a="1"/>
  <c r="Q114" i="3" s="1"/>
  <c r="P113" i="3"/>
  <c r="S113" i="3" s="1"/>
  <c r="V113" i="3" s="1"/>
  <c r="Q113" i="3" a="1"/>
  <c r="Q113" i="3" s="1"/>
  <c r="W112" i="3"/>
  <c r="R113" i="3" l="1"/>
  <c r="L115" i="3"/>
  <c r="K115" i="3"/>
  <c r="N115" i="3" s="1"/>
  <c r="P114" i="3"/>
  <c r="S114" i="3" s="1"/>
  <c r="V114" i="3" s="1"/>
  <c r="T113" i="3"/>
  <c r="U113" i="3" s="1"/>
  <c r="W113" i="3"/>
  <c r="B116" i="3"/>
  <c r="T114" i="3" l="1"/>
  <c r="U114" i="3" s="1"/>
  <c r="O115" i="3"/>
  <c r="Q115" i="3" s="1" a="1"/>
  <c r="Q115" i="3" s="1"/>
  <c r="R114" i="3"/>
  <c r="G115" i="3"/>
  <c r="L116" i="3"/>
  <c r="W114" i="3"/>
  <c r="K116" i="3"/>
  <c r="D116" i="3"/>
  <c r="P115" i="3" l="1"/>
  <c r="S115" i="3" s="1"/>
  <c r="V115" i="3" s="1"/>
  <c r="W115" i="3" s="1"/>
  <c r="G116" i="3"/>
  <c r="B117" i="3" s="1"/>
  <c r="N116" i="3"/>
  <c r="O116" i="3"/>
  <c r="Q116" i="3" s="1" a="1"/>
  <c r="Q116" i="3" s="1"/>
  <c r="T115" i="3" l="1"/>
  <c r="U115" i="3" s="1"/>
  <c r="R115" i="3"/>
  <c r="D117" i="3"/>
  <c r="L117" i="3"/>
  <c r="P116" i="3"/>
  <c r="S116" i="3" s="1"/>
  <c r="K117" i="3"/>
  <c r="N117" i="3" s="1"/>
  <c r="B118" i="3"/>
  <c r="L118" i="3" l="1"/>
  <c r="R116" i="3"/>
  <c r="O117" i="3"/>
  <c r="Q117" i="3" s="1" a="1"/>
  <c r="Q117" i="3" s="1"/>
  <c r="G117" i="3"/>
  <c r="T116" i="3"/>
  <c r="U116" i="3" s="1"/>
  <c r="V116" i="3"/>
  <c r="D118" i="3"/>
  <c r="K118" i="3"/>
  <c r="P117" i="3" l="1"/>
  <c r="W116" i="3"/>
  <c r="N118" i="3"/>
  <c r="O118" i="3"/>
  <c r="Q118" i="3" s="1" a="1"/>
  <c r="Q118" i="3" s="1"/>
  <c r="G118" i="3"/>
  <c r="P118" i="3" l="1"/>
  <c r="R118" i="3" s="1"/>
  <c r="R117" i="3"/>
  <c r="S117" i="3"/>
  <c r="B119" i="3"/>
  <c r="S118" i="3" l="1"/>
  <c r="T118" i="3" s="1"/>
  <c r="L119" i="3"/>
  <c r="T117" i="3"/>
  <c r="U117" i="3" s="1"/>
  <c r="V117" i="3"/>
  <c r="W117" i="3" s="1"/>
  <c r="D119" i="3"/>
  <c r="K119" i="3"/>
  <c r="U118" i="3" l="1"/>
  <c r="V118" i="3"/>
  <c r="W118" i="3" s="1"/>
  <c r="N119" i="3"/>
  <c r="O119" i="3"/>
  <c r="Q119" i="3" s="1" a="1"/>
  <c r="Q119" i="3" s="1"/>
  <c r="G119" i="3"/>
  <c r="P119" i="3" l="1"/>
  <c r="B120" i="3"/>
  <c r="L120" i="3" l="1"/>
  <c r="S119" i="3"/>
  <c r="T119" i="3" s="1"/>
  <c r="U119" i="3" s="1"/>
  <c r="R119" i="3"/>
  <c r="K120" i="3"/>
  <c r="D120" i="3"/>
  <c r="V119" i="3" l="1"/>
  <c r="W119" i="3" s="1"/>
  <c r="N120" i="3"/>
  <c r="O120" i="3"/>
  <c r="Q120" i="3" s="1" a="1"/>
  <c r="Q120" i="3" s="1"/>
  <c r="G120" i="3"/>
  <c r="P120" i="3" l="1"/>
  <c r="R120" i="3" s="1"/>
  <c r="B121" i="3"/>
  <c r="S120" i="3" l="1"/>
  <c r="T120" i="3" s="1"/>
  <c r="U120" i="3" s="1"/>
  <c r="L121" i="3"/>
  <c r="D121" i="3"/>
  <c r="K121" i="3"/>
  <c r="V120" i="3" l="1"/>
  <c r="W120" i="3" s="1"/>
  <c r="N121" i="3"/>
  <c r="O121" i="3"/>
  <c r="Q121" i="3" s="1" a="1"/>
  <c r="Q121" i="3" s="1"/>
  <c r="G121" i="3"/>
  <c r="P121" i="3" l="1"/>
  <c r="R121" i="3" s="1"/>
  <c r="B122" i="3"/>
  <c r="S121" i="3" l="1"/>
  <c r="T121" i="3" s="1"/>
  <c r="U121" i="3" s="1"/>
  <c r="L122" i="3"/>
  <c r="K122" i="3"/>
  <c r="D122" i="3"/>
  <c r="V121" i="3" l="1"/>
  <c r="W121" i="3" s="1"/>
  <c r="G122" i="3"/>
  <c r="B123" i="3" s="1"/>
  <c r="N122" i="3"/>
  <c r="O122" i="3"/>
  <c r="Q122" i="3" s="1" a="1"/>
  <c r="Q122" i="3" s="1"/>
  <c r="D123" i="3" l="1"/>
  <c r="L123" i="3"/>
  <c r="K123" i="3"/>
  <c r="N123" i="3" s="1"/>
  <c r="P122" i="3"/>
  <c r="S122" i="3" s="1"/>
  <c r="R122" i="3" l="1"/>
  <c r="G123" i="3"/>
  <c r="O123" i="3"/>
  <c r="T122" i="3"/>
  <c r="U122" i="3" s="1"/>
  <c r="V122" i="3"/>
  <c r="B124" i="3"/>
  <c r="P123" i="3" l="1"/>
  <c r="S123" i="3" s="1"/>
  <c r="V123" i="3" s="1"/>
  <c r="Q123" i="3" a="1"/>
  <c r="Q123" i="3" s="1"/>
  <c r="R123" i="3" s="1"/>
  <c r="L124" i="3"/>
  <c r="W122" i="3"/>
  <c r="D124" i="3"/>
  <c r="K124" i="3"/>
  <c r="T123" i="3" l="1"/>
  <c r="U123" i="3" s="1"/>
  <c r="W123" i="3"/>
  <c r="N124" i="3"/>
  <c r="O124" i="3"/>
  <c r="Q124" i="3" s="1" a="1"/>
  <c r="Q124" i="3" s="1"/>
  <c r="G124" i="3"/>
  <c r="P124" i="3" l="1"/>
  <c r="R124" i="3" s="1"/>
  <c r="B125" i="3"/>
  <c r="S124" i="3" l="1"/>
  <c r="T124" i="3" s="1"/>
  <c r="U124" i="3" s="1"/>
  <c r="L125" i="3"/>
  <c r="D125" i="3"/>
  <c r="K125" i="3"/>
  <c r="V124" i="3" l="1"/>
  <c r="W124" i="3" s="1"/>
  <c r="N125" i="3"/>
  <c r="O125" i="3"/>
  <c r="Q125" i="3" s="1" a="1"/>
  <c r="Q125" i="3" s="1"/>
  <c r="G125" i="3"/>
  <c r="P125" i="3" l="1"/>
  <c r="R125" i="3" s="1"/>
  <c r="B126" i="3"/>
  <c r="S125" i="3" l="1"/>
  <c r="T125" i="3" s="1"/>
  <c r="U125" i="3" s="1"/>
  <c r="L126" i="3"/>
  <c r="D126" i="3"/>
  <c r="K126" i="3"/>
  <c r="V125" i="3" l="1"/>
  <c r="W125" i="3" s="1"/>
  <c r="N126" i="3"/>
  <c r="O126" i="3"/>
  <c r="Q126" i="3" s="1" a="1"/>
  <c r="Q126" i="3" s="1"/>
  <c r="G126" i="3"/>
  <c r="P126" i="3" l="1"/>
  <c r="R126" i="3" s="1"/>
  <c r="B127" i="3"/>
  <c r="S126" i="3" l="1"/>
  <c r="T126" i="3" s="1"/>
  <c r="U126" i="3" s="1"/>
  <c r="L127" i="3"/>
  <c r="D127" i="3"/>
  <c r="K127" i="3"/>
  <c r="V126" i="3" l="1"/>
  <c r="W126" i="3" s="1"/>
  <c r="G127" i="3"/>
  <c r="B128" i="3" s="1"/>
  <c r="N127" i="3"/>
  <c r="O127" i="3"/>
  <c r="Q127" i="3" s="1" a="1"/>
  <c r="Q127" i="3" s="1"/>
  <c r="D128" i="3" l="1"/>
  <c r="L128" i="3"/>
  <c r="K128" i="3"/>
  <c r="N128" i="3" s="1"/>
  <c r="P127" i="3"/>
  <c r="S127" i="3" s="1"/>
  <c r="R127" i="3" l="1"/>
  <c r="G128" i="3"/>
  <c r="O128" i="3"/>
  <c r="Q128" i="3" s="1" a="1"/>
  <c r="Q128" i="3" s="1"/>
  <c r="T127" i="3"/>
  <c r="U127" i="3" s="1"/>
  <c r="V127" i="3"/>
  <c r="B129" i="3"/>
  <c r="L129" i="3" l="1"/>
  <c r="P128" i="3"/>
  <c r="S128" i="3" s="1"/>
  <c r="W127" i="3"/>
  <c r="D129" i="3"/>
  <c r="K129" i="3"/>
  <c r="R128" i="3" l="1"/>
  <c r="T128" i="3"/>
  <c r="U128" i="3" s="1"/>
  <c r="V128" i="3"/>
  <c r="W128" i="3" s="1"/>
  <c r="G129" i="3"/>
  <c r="N129" i="3"/>
  <c r="O129" i="3"/>
  <c r="Q129" i="3" s="1" a="1"/>
  <c r="Q129" i="3" s="1"/>
  <c r="B130" i="3"/>
  <c r="L130" i="3" l="1"/>
  <c r="P129" i="3"/>
  <c r="S129" i="3" s="1"/>
  <c r="D130" i="3"/>
  <c r="K130" i="3"/>
  <c r="R129" i="3" l="1"/>
  <c r="T129" i="3"/>
  <c r="U129" i="3" s="1"/>
  <c r="V129" i="3"/>
  <c r="N130" i="3"/>
  <c r="O130" i="3"/>
  <c r="Q130" i="3" s="1" a="1"/>
  <c r="Q130" i="3" s="1"/>
  <c r="G130" i="3"/>
  <c r="P130" i="3" l="1"/>
  <c r="R130" i="3" s="1"/>
  <c r="W129" i="3"/>
  <c r="B131" i="3"/>
  <c r="S130" i="3" l="1"/>
  <c r="T130" i="3" s="1"/>
  <c r="U130" i="3" s="1"/>
  <c r="L131" i="3"/>
  <c r="D131" i="3"/>
  <c r="K131" i="3"/>
  <c r="V130" i="3" l="1"/>
  <c r="W130" i="3" s="1"/>
  <c r="N131" i="3"/>
  <c r="O131" i="3"/>
  <c r="Q131" i="3" s="1" a="1"/>
  <c r="Q131" i="3" s="1"/>
  <c r="G131" i="3"/>
  <c r="P131" i="3" l="1"/>
  <c r="R131" i="3" s="1"/>
  <c r="B132" i="3"/>
  <c r="S131" i="3" l="1"/>
  <c r="T131" i="3" s="1"/>
  <c r="U131" i="3" s="1"/>
  <c r="L132" i="3"/>
  <c r="D132" i="3"/>
  <c r="K132" i="3"/>
  <c r="V131" i="3" l="1"/>
  <c r="W131" i="3" s="1"/>
  <c r="N132" i="3"/>
  <c r="O132" i="3"/>
  <c r="Q132" i="3" s="1" a="1"/>
  <c r="Q132" i="3" s="1"/>
  <c r="G132" i="3"/>
  <c r="P132" i="3" l="1"/>
  <c r="R132" i="3" s="1"/>
  <c r="B133" i="3"/>
  <c r="S132" i="3" l="1"/>
  <c r="T132" i="3" s="1"/>
  <c r="U132" i="3" s="1"/>
  <c r="L133" i="3"/>
  <c r="K133" i="3"/>
  <c r="D133" i="3"/>
  <c r="V132" i="3" l="1"/>
  <c r="W132" i="3" s="1"/>
  <c r="N133" i="3"/>
  <c r="O133" i="3"/>
  <c r="Q133" i="3" s="1" a="1"/>
  <c r="Q133" i="3" s="1"/>
  <c r="G133" i="3"/>
  <c r="P133" i="3" l="1"/>
  <c r="R133" i="3" s="1"/>
  <c r="B134" i="3"/>
  <c r="S133" i="3" l="1"/>
  <c r="T133" i="3" s="1"/>
  <c r="U133" i="3" s="1"/>
  <c r="L134" i="3"/>
  <c r="D134" i="3"/>
  <c r="K134" i="3"/>
  <c r="V133" i="3" l="1"/>
  <c r="W133" i="3" s="1"/>
  <c r="N134" i="3"/>
  <c r="O134" i="3"/>
  <c r="Q134" i="3" s="1" a="1"/>
  <c r="Q134" i="3" s="1"/>
  <c r="G134" i="3"/>
  <c r="P134" i="3" l="1"/>
  <c r="R134" i="3" s="1"/>
  <c r="B135" i="3"/>
  <c r="S134" i="3" l="1"/>
  <c r="T134" i="3" s="1"/>
  <c r="U134" i="3" s="1"/>
  <c r="L135" i="3"/>
  <c r="D135" i="3"/>
  <c r="K135" i="3"/>
  <c r="V134" i="3" l="1"/>
  <c r="W134" i="3" s="1"/>
  <c r="G135" i="3"/>
  <c r="N135" i="3"/>
  <c r="O135" i="3"/>
  <c r="Q135" i="3" s="1" a="1"/>
  <c r="Q135" i="3" s="1"/>
  <c r="B136" i="3"/>
  <c r="L136" i="3" l="1"/>
  <c r="P135" i="3"/>
  <c r="R135" i="3" s="1"/>
  <c r="K136" i="3"/>
  <c r="D136" i="3"/>
  <c r="S135" i="3" l="1"/>
  <c r="T135" i="3" s="1"/>
  <c r="U135" i="3" s="1"/>
  <c r="N136" i="3"/>
  <c r="O136" i="3"/>
  <c r="Q136" i="3" s="1" a="1"/>
  <c r="Q136" i="3" s="1"/>
  <c r="G136" i="3"/>
  <c r="V135" i="3" l="1"/>
  <c r="W135" i="3" s="1"/>
  <c r="P136" i="3"/>
  <c r="R136" i="3" s="1"/>
  <c r="B137" i="3"/>
  <c r="S136" i="3" l="1"/>
  <c r="V136" i="3" s="1"/>
  <c r="L137" i="3"/>
  <c r="D137" i="3"/>
  <c r="K137" i="3"/>
  <c r="T136" i="3" l="1"/>
  <c r="U136" i="3" s="1"/>
  <c r="W136" i="3"/>
  <c r="N137" i="3"/>
  <c r="O137" i="3"/>
  <c r="Q137" i="3" s="1" a="1"/>
  <c r="Q137" i="3" s="1"/>
  <c r="G137" i="3"/>
  <c r="P137" i="3" l="1"/>
  <c r="R137" i="3" s="1"/>
  <c r="B138" i="3"/>
  <c r="S137" i="3" l="1"/>
  <c r="T137" i="3" s="1"/>
  <c r="U137" i="3" s="1"/>
  <c r="L138" i="3"/>
  <c r="K138" i="3"/>
  <c r="D138" i="3"/>
  <c r="V137" i="3" l="1"/>
  <c r="W137" i="3" s="1"/>
  <c r="N138" i="3"/>
  <c r="O138" i="3"/>
  <c r="Q138" i="3" s="1" a="1"/>
  <c r="Q138" i="3" s="1"/>
  <c r="G138" i="3"/>
  <c r="P138" i="3" l="1"/>
  <c r="R138" i="3" s="1"/>
  <c r="B139" i="3"/>
  <c r="S138" i="3" l="1"/>
  <c r="T138" i="3" s="1"/>
  <c r="U138" i="3" s="1"/>
  <c r="L139" i="3"/>
  <c r="D139" i="3"/>
  <c r="K139" i="3"/>
  <c r="V138" i="3" l="1"/>
  <c r="W138" i="3" s="1"/>
  <c r="N139" i="3"/>
  <c r="O139" i="3"/>
  <c r="Q139" i="3" s="1" a="1"/>
  <c r="Q139" i="3" s="1"/>
  <c r="G139" i="3"/>
  <c r="P139" i="3" l="1"/>
  <c r="R139" i="3" s="1"/>
  <c r="B140" i="3"/>
  <c r="S139" i="3" l="1"/>
  <c r="T139" i="3" s="1"/>
  <c r="U139" i="3" s="1"/>
  <c r="L140" i="3"/>
  <c r="K140" i="3"/>
  <c r="D140" i="3"/>
  <c r="V139" i="3" l="1"/>
  <c r="W139" i="3" s="1"/>
  <c r="G140" i="3"/>
  <c r="B141" i="3" s="1"/>
  <c r="N140" i="3"/>
  <c r="O140" i="3"/>
  <c r="Q140" i="3" s="1" a="1"/>
  <c r="Q140" i="3" s="1"/>
  <c r="K141" i="3" l="1"/>
  <c r="N141" i="3" s="1"/>
  <c r="L141" i="3"/>
  <c r="P140" i="3"/>
  <c r="S140" i="3" s="1"/>
  <c r="D141" i="3"/>
  <c r="G141" i="3" l="1"/>
  <c r="B142" i="3" s="1"/>
  <c r="K142" i="3" s="1"/>
  <c r="N142" i="3" s="1"/>
  <c r="O141" i="3"/>
  <c r="Q141" i="3" s="1" a="1"/>
  <c r="Q141" i="3" s="1"/>
  <c r="R140" i="3"/>
  <c r="T140" i="3"/>
  <c r="U140" i="3" s="1"/>
  <c r="V140" i="3"/>
  <c r="P141" i="3" l="1"/>
  <c r="R141" i="3" s="1"/>
  <c r="D142" i="3"/>
  <c r="G142" i="3" s="1"/>
  <c r="L142" i="3"/>
  <c r="O142" i="3"/>
  <c r="W140" i="3"/>
  <c r="B143" i="3"/>
  <c r="S141" i="3" l="1"/>
  <c r="T141" i="3" s="1"/>
  <c r="U141" i="3" s="1"/>
  <c r="P142" i="3"/>
  <c r="S142" i="3" s="1"/>
  <c r="Q142" i="3" a="1"/>
  <c r="Q142" i="3" s="1"/>
  <c r="L143" i="3"/>
  <c r="D143" i="3"/>
  <c r="K143" i="3"/>
  <c r="V141" i="3" l="1"/>
  <c r="W141" i="3" s="1"/>
  <c r="R142" i="3"/>
  <c r="T142" i="3"/>
  <c r="U142" i="3" s="1"/>
  <c r="N143" i="3"/>
  <c r="O143" i="3"/>
  <c r="Q143" i="3" s="1" a="1"/>
  <c r="Q143" i="3" s="1"/>
  <c r="G143" i="3"/>
  <c r="V142" i="3" l="1"/>
  <c r="W142" i="3" s="1"/>
  <c r="P143" i="3"/>
  <c r="R143" i="3" s="1"/>
  <c r="B144" i="3"/>
  <c r="S143" i="3" l="1"/>
  <c r="T143" i="3" s="1"/>
  <c r="U143" i="3" s="1"/>
  <c r="L144" i="3"/>
  <c r="D144" i="3"/>
  <c r="K144" i="3"/>
  <c r="V143" i="3" l="1"/>
  <c r="W143" i="3" s="1"/>
  <c r="N144" i="3"/>
  <c r="O144" i="3"/>
  <c r="Q144" i="3" s="1" a="1"/>
  <c r="Q144" i="3" s="1"/>
  <c r="G144" i="3"/>
  <c r="P144" i="3" l="1"/>
  <c r="R144" i="3" s="1"/>
  <c r="B145" i="3"/>
  <c r="S144" i="3" l="1"/>
  <c r="T144" i="3" s="1"/>
  <c r="U144" i="3" s="1"/>
  <c r="L145" i="3"/>
  <c r="K145" i="3"/>
  <c r="D145" i="3"/>
  <c r="V144" i="3" l="1"/>
  <c r="W144" i="3" s="1"/>
  <c r="G145" i="3"/>
  <c r="B146" i="3" s="1"/>
  <c r="N145" i="3"/>
  <c r="O145" i="3"/>
  <c r="Q145" i="3" s="1" a="1"/>
  <c r="Q145" i="3" s="1"/>
  <c r="K146" i="3" l="1"/>
  <c r="N146" i="3" s="1"/>
  <c r="L146" i="3"/>
  <c r="D146" i="3"/>
  <c r="P145" i="3"/>
  <c r="R145" i="3" s="1"/>
  <c r="O146" i="3" l="1"/>
  <c r="Q146" i="3" s="1" a="1"/>
  <c r="Q146" i="3" s="1"/>
  <c r="G146" i="3"/>
  <c r="S145" i="3"/>
  <c r="T145" i="3" s="1"/>
  <c r="U145" i="3" s="1"/>
  <c r="B147" i="3"/>
  <c r="P146" i="3" l="1"/>
  <c r="R146" i="3" s="1"/>
  <c r="V145" i="3"/>
  <c r="W145" i="3" s="1"/>
  <c r="L147" i="3"/>
  <c r="D147" i="3"/>
  <c r="K147" i="3"/>
  <c r="S146" i="3" l="1"/>
  <c r="T146" i="3" s="1"/>
  <c r="U146" i="3" s="1"/>
  <c r="N147" i="3"/>
  <c r="O147" i="3"/>
  <c r="Q147" i="3" s="1" a="1"/>
  <c r="Q147" i="3" s="1"/>
  <c r="G147" i="3"/>
  <c r="V146" i="3" l="1"/>
  <c r="W146" i="3" s="1"/>
  <c r="P147" i="3"/>
  <c r="R147" i="3" s="1"/>
  <c r="B148" i="3"/>
  <c r="S147" i="3" l="1"/>
  <c r="V147" i="3" s="1"/>
  <c r="L148" i="3"/>
  <c r="D148" i="3"/>
  <c r="K148" i="3"/>
  <c r="T147" i="3" l="1"/>
  <c r="U147" i="3" s="1"/>
  <c r="W147" i="3"/>
  <c r="N148" i="3"/>
  <c r="O148" i="3"/>
  <c r="Q148" i="3" s="1" a="1"/>
  <c r="Q148" i="3" s="1"/>
  <c r="G148" i="3"/>
  <c r="P148" i="3" l="1"/>
  <c r="R148" i="3" s="1"/>
  <c r="B149" i="3"/>
  <c r="S148" i="3" l="1"/>
  <c r="V148" i="3" s="1"/>
  <c r="L149" i="3"/>
  <c r="K149" i="3"/>
  <c r="D149" i="3"/>
  <c r="T148" i="3" l="1"/>
  <c r="U148" i="3" s="1"/>
  <c r="W148" i="3"/>
  <c r="N149" i="3"/>
  <c r="O149" i="3"/>
  <c r="Q149" i="3" s="1" a="1"/>
  <c r="Q149" i="3" s="1"/>
  <c r="G149" i="3"/>
  <c r="P149" i="3" l="1"/>
  <c r="R149" i="3" s="1"/>
  <c r="B150" i="3"/>
  <c r="L150" i="3" l="1"/>
  <c r="S149" i="3"/>
  <c r="T149" i="3" s="1"/>
  <c r="U149" i="3" s="1"/>
  <c r="K150" i="3"/>
  <c r="D150" i="3"/>
  <c r="V149" i="3" l="1"/>
  <c r="W149" i="3" s="1"/>
  <c r="G150" i="3"/>
  <c r="B151" i="3" s="1"/>
  <c r="N150" i="3"/>
  <c r="O150" i="3"/>
  <c r="Q150" i="3" s="1" a="1"/>
  <c r="Q150" i="3" s="1"/>
  <c r="D151" i="3" l="1"/>
  <c r="L151" i="3"/>
  <c r="K151" i="3"/>
  <c r="N151" i="3" s="1"/>
  <c r="P150" i="3"/>
  <c r="R150" i="3" s="1"/>
  <c r="S150" i="3" l="1"/>
  <c r="V150" i="3" s="1"/>
  <c r="G151" i="3"/>
  <c r="O151" i="3"/>
  <c r="B152" i="3"/>
  <c r="T150" i="3" l="1"/>
  <c r="U150" i="3" s="1"/>
  <c r="P151" i="3"/>
  <c r="S151" i="3" s="1"/>
  <c r="V151" i="3" s="1"/>
  <c r="Q151" i="3" a="1"/>
  <c r="Q151" i="3" s="1"/>
  <c r="L152" i="3"/>
  <c r="W150" i="3"/>
  <c r="D152" i="3"/>
  <c r="K152" i="3"/>
  <c r="R151" i="3" l="1"/>
  <c r="T151" i="3"/>
  <c r="U151" i="3" s="1"/>
  <c r="W151" i="3"/>
  <c r="N152" i="3"/>
  <c r="O152" i="3"/>
  <c r="Q152" i="3" s="1" a="1"/>
  <c r="Q152" i="3" s="1"/>
  <c r="G152" i="3"/>
  <c r="P152" i="3" l="1"/>
  <c r="R152" i="3" s="1"/>
  <c r="B153" i="3"/>
  <c r="S152" i="3" l="1"/>
  <c r="V152" i="3" s="1"/>
  <c r="L153" i="3"/>
  <c r="D153" i="3"/>
  <c r="K153" i="3"/>
  <c r="T152" i="3" l="1"/>
  <c r="U152" i="3" s="1"/>
  <c r="W152" i="3"/>
  <c r="N153" i="3"/>
  <c r="O153" i="3"/>
  <c r="Q153" i="3" s="1" a="1"/>
  <c r="Q153" i="3" s="1"/>
  <c r="G153" i="3"/>
  <c r="P153" i="3" l="1"/>
  <c r="R153" i="3" s="1"/>
  <c r="B154" i="3"/>
  <c r="S153" i="3" l="1"/>
  <c r="T153" i="3" s="1"/>
  <c r="U153" i="3" s="1"/>
  <c r="L154" i="3"/>
  <c r="D154" i="3"/>
  <c r="K154" i="3"/>
  <c r="V153" i="3" l="1"/>
  <c r="W153" i="3" s="1"/>
  <c r="N154" i="3"/>
  <c r="O154" i="3"/>
  <c r="Q154" i="3" s="1" a="1"/>
  <c r="Q154" i="3" s="1"/>
  <c r="G154" i="3"/>
  <c r="P154" i="3" l="1"/>
  <c r="R154" i="3" s="1"/>
  <c r="B155" i="3"/>
  <c r="S154" i="3" l="1"/>
  <c r="T154" i="3" s="1"/>
  <c r="U154" i="3" s="1"/>
  <c r="L155" i="3"/>
  <c r="D155" i="3"/>
  <c r="K155" i="3"/>
  <c r="V154" i="3" l="1"/>
  <c r="W154" i="3" s="1"/>
  <c r="G155" i="3"/>
  <c r="N155" i="3"/>
  <c r="O155" i="3"/>
  <c r="Q155" i="3" s="1" a="1"/>
  <c r="Q155" i="3" s="1"/>
  <c r="B156" i="3"/>
  <c r="L156" i="3" l="1"/>
  <c r="P155" i="3"/>
  <c r="R155" i="3" s="1"/>
  <c r="K156" i="3"/>
  <c r="D156" i="3"/>
  <c r="S155" i="3" l="1"/>
  <c r="V155" i="3" s="1"/>
  <c r="G156" i="3"/>
  <c r="B157" i="3" s="1"/>
  <c r="N156" i="3"/>
  <c r="O156" i="3"/>
  <c r="Q156" i="3" s="1" a="1"/>
  <c r="Q156" i="3" s="1"/>
  <c r="T155" i="3" l="1"/>
  <c r="U155" i="3" s="1"/>
  <c r="D157" i="3"/>
  <c r="L157" i="3"/>
  <c r="K157" i="3"/>
  <c r="N157" i="3" s="1"/>
  <c r="P156" i="3"/>
  <c r="R156" i="3" s="1"/>
  <c r="W155" i="3"/>
  <c r="S156" i="3" l="1"/>
  <c r="V156" i="3" s="1"/>
  <c r="W156" i="3" s="1"/>
  <c r="G157" i="3"/>
  <c r="O157" i="3"/>
  <c r="B158" i="3"/>
  <c r="T156" i="3" l="1"/>
  <c r="U156" i="3" s="1"/>
  <c r="P157" i="3"/>
  <c r="S157" i="3" s="1"/>
  <c r="V157" i="3" s="1"/>
  <c r="Q157" i="3" a="1"/>
  <c r="Q157" i="3" s="1"/>
  <c r="L158" i="3"/>
  <c r="K158" i="3"/>
  <c r="D158" i="3"/>
  <c r="R157" i="3" l="1"/>
  <c r="T157" i="3"/>
  <c r="U157" i="3" s="1"/>
  <c r="W157" i="3"/>
  <c r="N158" i="3"/>
  <c r="O158" i="3"/>
  <c r="Q158" i="3" s="1" a="1"/>
  <c r="Q158" i="3" s="1"/>
  <c r="G158" i="3"/>
  <c r="P158" i="3" l="1"/>
  <c r="R158" i="3" s="1"/>
  <c r="B159" i="3"/>
  <c r="S158" i="3" l="1"/>
  <c r="T158" i="3" s="1"/>
  <c r="U158" i="3" s="1"/>
  <c r="L159" i="3"/>
  <c r="K159" i="3"/>
  <c r="D159" i="3"/>
  <c r="V158" i="3" l="1"/>
  <c r="W158" i="3" s="1"/>
  <c r="N159" i="3"/>
  <c r="O159" i="3"/>
  <c r="Q159" i="3" s="1" a="1"/>
  <c r="Q159" i="3" s="1"/>
  <c r="G159" i="3"/>
  <c r="P159" i="3" l="1"/>
  <c r="R159" i="3" s="1"/>
  <c r="B160" i="3"/>
  <c r="S159" i="3" l="1"/>
  <c r="T159" i="3" s="1"/>
  <c r="U159" i="3" s="1"/>
  <c r="L160" i="3"/>
  <c r="K160" i="3"/>
  <c r="D160" i="3"/>
  <c r="V159" i="3" l="1"/>
  <c r="W159" i="3" s="1"/>
  <c r="N160" i="3"/>
  <c r="O160" i="3"/>
  <c r="Q160" i="3" s="1" a="1"/>
  <c r="Q160" i="3" s="1"/>
  <c r="G160" i="3"/>
  <c r="P160" i="3" l="1"/>
  <c r="R160" i="3" s="1"/>
  <c r="B161" i="3"/>
  <c r="S160" i="3" l="1"/>
  <c r="T160" i="3" s="1"/>
  <c r="U160" i="3" s="1"/>
  <c r="L161" i="3"/>
  <c r="D161" i="3"/>
  <c r="K161" i="3"/>
  <c r="V160" i="3" l="1"/>
  <c r="W160" i="3" s="1"/>
  <c r="N161" i="3"/>
  <c r="O161" i="3"/>
  <c r="Q161" i="3" s="1" a="1"/>
  <c r="Q161" i="3" s="1"/>
  <c r="G161" i="3"/>
  <c r="P161" i="3" l="1"/>
  <c r="R161" i="3" s="1"/>
  <c r="B162" i="3"/>
  <c r="S161" i="3" l="1"/>
  <c r="T161" i="3" s="1"/>
  <c r="U161" i="3" s="1"/>
  <c r="L162" i="3"/>
  <c r="D162" i="3"/>
  <c r="K162" i="3"/>
  <c r="V161" i="3" l="1"/>
  <c r="W161" i="3" s="1"/>
  <c r="G162" i="3"/>
  <c r="N162" i="3"/>
  <c r="O162" i="3"/>
  <c r="Q162" i="3" s="1" a="1"/>
  <c r="Q162" i="3" s="1"/>
  <c r="B163" i="3"/>
  <c r="L163" i="3" l="1"/>
  <c r="P162" i="3"/>
  <c r="S162" i="3" s="1"/>
  <c r="D163" i="3"/>
  <c r="K163" i="3"/>
  <c r="R162" i="3" l="1"/>
  <c r="T162" i="3"/>
  <c r="U162" i="3" s="1"/>
  <c r="V162" i="3"/>
  <c r="N163" i="3"/>
  <c r="O163" i="3"/>
  <c r="Q163" i="3" s="1" a="1"/>
  <c r="Q163" i="3" s="1"/>
  <c r="G163" i="3"/>
  <c r="P163" i="3" l="1"/>
  <c r="R163" i="3" s="1"/>
  <c r="W162" i="3"/>
  <c r="B164" i="3"/>
  <c r="S163" i="3" l="1"/>
  <c r="V163" i="3" s="1"/>
  <c r="L164" i="3"/>
  <c r="K164" i="3"/>
  <c r="D164" i="3"/>
  <c r="T163" i="3" l="1"/>
  <c r="U163" i="3" s="1"/>
  <c r="W163" i="3"/>
  <c r="N164" i="3"/>
  <c r="O164" i="3"/>
  <c r="Q164" i="3" s="1" a="1"/>
  <c r="Q164" i="3" s="1"/>
  <c r="G164" i="3"/>
  <c r="P164" i="3" l="1"/>
  <c r="R164" i="3" s="1"/>
  <c r="B165" i="3"/>
  <c r="S164" i="3" l="1"/>
  <c r="T164" i="3" s="1"/>
  <c r="U164" i="3" s="1"/>
  <c r="L165" i="3"/>
  <c r="D165" i="3"/>
  <c r="K165" i="3"/>
  <c r="V164" i="3" l="1"/>
  <c r="W164" i="3" s="1"/>
  <c r="N165" i="3"/>
  <c r="O165" i="3"/>
  <c r="Q165" i="3" s="1" a="1"/>
  <c r="Q165" i="3" s="1"/>
  <c r="G165" i="3"/>
  <c r="P165" i="3" l="1"/>
  <c r="R165" i="3" s="1"/>
  <c r="B166" i="3"/>
  <c r="L166" i="3" l="1"/>
  <c r="S165" i="3"/>
  <c r="T165" i="3" s="1"/>
  <c r="U165" i="3" s="1"/>
  <c r="K166" i="3"/>
  <c r="D166" i="3"/>
  <c r="V165" i="3" l="1"/>
  <c r="W165" i="3" s="1"/>
  <c r="G166" i="3"/>
  <c r="B167" i="3" s="1"/>
  <c r="N166" i="3"/>
  <c r="O166" i="3"/>
  <c r="Q166" i="3" s="1" a="1"/>
  <c r="Q166" i="3" s="1"/>
  <c r="K167" i="3" l="1"/>
  <c r="N167" i="3" s="1"/>
  <c r="L167" i="3"/>
  <c r="D167" i="3"/>
  <c r="P166" i="3"/>
  <c r="R166" i="3" s="1"/>
  <c r="S166" i="3" l="1"/>
  <c r="T166" i="3" s="1"/>
  <c r="U166" i="3" s="1"/>
  <c r="G167" i="3"/>
  <c r="O167" i="3"/>
  <c r="B168" i="3"/>
  <c r="V166" i="3" l="1"/>
  <c r="W166" i="3" s="1"/>
  <c r="P167" i="3"/>
  <c r="S167" i="3" s="1"/>
  <c r="Q167" i="3" a="1"/>
  <c r="Q167" i="3" s="1"/>
  <c r="L168" i="3"/>
  <c r="D168" i="3"/>
  <c r="K168" i="3"/>
  <c r="V167" i="3" l="1"/>
  <c r="W167" i="3" s="1"/>
  <c r="R167" i="3"/>
  <c r="T167" i="3"/>
  <c r="U167" i="3" s="1"/>
  <c r="N168" i="3"/>
  <c r="O168" i="3"/>
  <c r="Q168" i="3" s="1" a="1"/>
  <c r="Q168" i="3" s="1"/>
  <c r="G168" i="3"/>
  <c r="P168" i="3" l="1"/>
  <c r="R168" i="3" s="1"/>
  <c r="B169" i="3"/>
  <c r="S168" i="3" l="1"/>
  <c r="T168" i="3" s="1"/>
  <c r="U168" i="3" s="1"/>
  <c r="L169" i="3"/>
  <c r="K169" i="3"/>
  <c r="D169" i="3"/>
  <c r="V168" i="3" l="1"/>
  <c r="W168" i="3" s="1"/>
  <c r="N169" i="3"/>
  <c r="O169" i="3"/>
  <c r="Q169" i="3" s="1" a="1"/>
  <c r="Q169" i="3" s="1"/>
  <c r="G169" i="3"/>
  <c r="P169" i="3" l="1"/>
  <c r="R169" i="3" s="1"/>
  <c r="B170" i="3"/>
  <c r="S169" i="3" l="1"/>
  <c r="T169" i="3" s="1"/>
  <c r="U169" i="3" s="1"/>
  <c r="L170" i="3"/>
  <c r="K170" i="3"/>
  <c r="D170" i="3"/>
  <c r="V169" i="3" l="1"/>
  <c r="W169" i="3" s="1"/>
  <c r="G170" i="3"/>
  <c r="B171" i="3" s="1"/>
  <c r="N170" i="3"/>
  <c r="O170" i="3"/>
  <c r="Q170" i="3" s="1" a="1"/>
  <c r="Q170" i="3" s="1"/>
  <c r="D171" i="3" l="1"/>
  <c r="L171" i="3"/>
  <c r="K171" i="3"/>
  <c r="N171" i="3" s="1"/>
  <c r="P170" i="3"/>
  <c r="S170" i="3" s="1"/>
  <c r="G171" i="3" l="1"/>
  <c r="R170" i="3"/>
  <c r="O171" i="3"/>
  <c r="T170" i="3"/>
  <c r="U170" i="3" s="1"/>
  <c r="V170" i="3"/>
  <c r="B172" i="3"/>
  <c r="P171" i="3" l="1"/>
  <c r="S171" i="3" s="1"/>
  <c r="V171" i="3" s="1"/>
  <c r="Q171" i="3" a="1"/>
  <c r="Q171" i="3" s="1"/>
  <c r="L172" i="3"/>
  <c r="W170" i="3"/>
  <c r="K172" i="3"/>
  <c r="D172" i="3"/>
  <c r="T171" i="3" l="1"/>
  <c r="U171" i="3" s="1"/>
  <c r="R171" i="3"/>
  <c r="W171" i="3"/>
  <c r="N172" i="3"/>
  <c r="O172" i="3"/>
  <c r="Q172" i="3" s="1" a="1"/>
  <c r="Q172" i="3" s="1"/>
  <c r="G172" i="3"/>
  <c r="P172" i="3" l="1"/>
  <c r="R172" i="3" s="1"/>
  <c r="B173" i="3"/>
  <c r="S172" i="3" l="1"/>
  <c r="T172" i="3" s="1"/>
  <c r="U172" i="3" s="1"/>
  <c r="L173" i="3"/>
  <c r="K173" i="3"/>
  <c r="D173" i="3"/>
  <c r="V172" i="3" l="1"/>
  <c r="W172" i="3" s="1"/>
  <c r="G173" i="3"/>
  <c r="B174" i="3" s="1"/>
  <c r="N173" i="3"/>
  <c r="O173" i="3"/>
  <c r="Q173" i="3" s="1" a="1"/>
  <c r="Q173" i="3" s="1"/>
  <c r="K174" i="3" l="1"/>
  <c r="N174" i="3" s="1"/>
  <c r="L174" i="3"/>
  <c r="D174" i="3"/>
  <c r="P173" i="3"/>
  <c r="S173" i="3" s="1"/>
  <c r="R173" i="3" l="1"/>
  <c r="G174" i="3"/>
  <c r="B175" i="3" s="1"/>
  <c r="D175" i="3" s="1"/>
  <c r="O174" i="3"/>
  <c r="Q174" i="3" s="1" a="1"/>
  <c r="Q174" i="3" s="1"/>
  <c r="T173" i="3"/>
  <c r="U173" i="3" s="1"/>
  <c r="V173" i="3"/>
  <c r="P174" i="3" l="1"/>
  <c r="S174" i="3" s="1"/>
  <c r="V174" i="3" s="1"/>
  <c r="L175" i="3"/>
  <c r="K175" i="3"/>
  <c r="N175" i="3" s="1"/>
  <c r="W173" i="3"/>
  <c r="B176" i="3"/>
  <c r="T174" i="3" l="1"/>
  <c r="U174" i="3" s="1"/>
  <c r="R174" i="3"/>
  <c r="G175" i="3"/>
  <c r="O175" i="3"/>
  <c r="Q175" i="3" s="1" a="1"/>
  <c r="Q175" i="3" s="1"/>
  <c r="L176" i="3"/>
  <c r="W174" i="3"/>
  <c r="K176" i="3"/>
  <c r="D176" i="3"/>
  <c r="P175" i="3" l="1"/>
  <c r="R175" i="3" s="1"/>
  <c r="N176" i="3"/>
  <c r="O176" i="3"/>
  <c r="Q176" i="3" s="1" a="1"/>
  <c r="Q176" i="3" s="1"/>
  <c r="G176" i="3"/>
  <c r="S175" i="3" l="1"/>
  <c r="V175" i="3" s="1"/>
  <c r="W175" i="3" s="1"/>
  <c r="P176" i="3"/>
  <c r="R176" i="3" s="1"/>
  <c r="B177" i="3"/>
  <c r="T175" i="3" l="1"/>
  <c r="U175" i="3" s="1"/>
  <c r="S176" i="3"/>
  <c r="V176" i="3" s="1"/>
  <c r="L177" i="3"/>
  <c r="D177" i="3"/>
  <c r="K177" i="3"/>
  <c r="T176" i="3" l="1"/>
  <c r="U176" i="3" s="1"/>
  <c r="W176" i="3"/>
  <c r="N177" i="3"/>
  <c r="O177" i="3"/>
  <c r="Q177" i="3" s="1" a="1"/>
  <c r="Q177" i="3" s="1"/>
  <c r="G177" i="3"/>
  <c r="P177" i="3" l="1"/>
  <c r="R177" i="3" s="1"/>
  <c r="B178" i="3"/>
  <c r="S177" i="3" l="1"/>
  <c r="T177" i="3" s="1"/>
  <c r="U177" i="3" s="1"/>
  <c r="L178" i="3"/>
  <c r="D178" i="3"/>
  <c r="K178" i="3"/>
  <c r="V177" i="3" l="1"/>
  <c r="W177" i="3" s="1"/>
  <c r="N178" i="3"/>
  <c r="O178" i="3"/>
  <c r="Q178" i="3" s="1" a="1"/>
  <c r="Q178" i="3" s="1"/>
  <c r="G178" i="3"/>
  <c r="P178" i="3" l="1"/>
  <c r="R178" i="3" s="1"/>
  <c r="B179" i="3"/>
  <c r="S178" i="3" l="1"/>
  <c r="T178" i="3" s="1"/>
  <c r="U178" i="3" s="1"/>
  <c r="L179" i="3"/>
  <c r="D179" i="3"/>
  <c r="K179" i="3"/>
  <c r="V178" i="3" l="1"/>
  <c r="W178" i="3" s="1"/>
  <c r="N179" i="3"/>
  <c r="O179" i="3"/>
  <c r="Q179" i="3" s="1" a="1"/>
  <c r="Q179" i="3" s="1"/>
  <c r="G179" i="3"/>
  <c r="P179" i="3" l="1"/>
  <c r="R179" i="3" s="1"/>
  <c r="B180" i="3"/>
  <c r="S179" i="3" l="1"/>
  <c r="T179" i="3" s="1"/>
  <c r="U179" i="3" s="1"/>
  <c r="L180" i="3"/>
  <c r="K180" i="3"/>
  <c r="D180" i="3"/>
  <c r="V179" i="3" l="1"/>
  <c r="W179" i="3" s="1"/>
  <c r="N180" i="3"/>
  <c r="O180" i="3"/>
  <c r="Q180" i="3" s="1" a="1"/>
  <c r="Q180" i="3" s="1"/>
  <c r="G180" i="3"/>
  <c r="P180" i="3" l="1"/>
  <c r="R180" i="3" s="1"/>
  <c r="B181" i="3"/>
  <c r="S180" i="3" l="1"/>
  <c r="T180" i="3" s="1"/>
  <c r="U180" i="3" s="1"/>
  <c r="L181" i="3"/>
  <c r="D181" i="3"/>
  <c r="K181" i="3"/>
  <c r="V180" i="3" l="1"/>
  <c r="W180" i="3" s="1"/>
  <c r="N181" i="3"/>
  <c r="O181" i="3"/>
  <c r="Q181" i="3" s="1" a="1"/>
  <c r="Q181" i="3" s="1"/>
  <c r="G181" i="3"/>
  <c r="P181" i="3" l="1"/>
  <c r="R181" i="3" s="1"/>
  <c r="B182" i="3"/>
  <c r="S181" i="3" l="1"/>
  <c r="T181" i="3" s="1"/>
  <c r="U181" i="3" s="1"/>
  <c r="L182" i="3"/>
  <c r="K182" i="3"/>
  <c r="D182" i="3"/>
  <c r="V181" i="3" l="1"/>
  <c r="W181" i="3" s="1"/>
  <c r="G182" i="3"/>
  <c r="B183" i="3" s="1"/>
  <c r="N182" i="3"/>
  <c r="O182" i="3"/>
  <c r="Q182" i="3" s="1" a="1"/>
  <c r="Q182" i="3" s="1"/>
  <c r="K183" i="3" l="1"/>
  <c r="N183" i="3" s="1"/>
  <c r="L183" i="3"/>
  <c r="P182" i="3"/>
  <c r="R182" i="3" s="1"/>
  <c r="D183" i="3"/>
  <c r="S182" i="3" l="1"/>
  <c r="T182" i="3" s="1"/>
  <c r="U182" i="3" s="1"/>
  <c r="G183" i="3"/>
  <c r="O183" i="3"/>
  <c r="Q183" i="3" s="1" a="1"/>
  <c r="Q183" i="3" s="1"/>
  <c r="B184" i="3"/>
  <c r="V182" i="3" l="1"/>
  <c r="W182" i="3" s="1"/>
  <c r="P183" i="3"/>
  <c r="R183" i="3" s="1"/>
  <c r="L184" i="3"/>
  <c r="K184" i="3"/>
  <c r="D184" i="3"/>
  <c r="S183" i="3" l="1"/>
  <c r="G184" i="3"/>
  <c r="B185" i="3" s="1"/>
  <c r="N184" i="3"/>
  <c r="O184" i="3"/>
  <c r="Q184" i="3" s="1" a="1"/>
  <c r="Q184" i="3" s="1"/>
  <c r="V183" i="3" l="1"/>
  <c r="W183" i="3" s="1"/>
  <c r="T183" i="3"/>
  <c r="U183" i="3" s="1"/>
  <c r="K185" i="3"/>
  <c r="O185" i="3" s="1"/>
  <c r="Q185" i="3" s="1" a="1"/>
  <c r="Q185" i="3" s="1"/>
  <c r="L185" i="3"/>
  <c r="D185" i="3"/>
  <c r="P184" i="3"/>
  <c r="R184" i="3" s="1"/>
  <c r="G185" i="3" l="1"/>
  <c r="B186" i="3" s="1"/>
  <c r="D186" i="3" s="1"/>
  <c r="N185" i="3"/>
  <c r="S184" i="3"/>
  <c r="T184" i="3" s="1"/>
  <c r="U184" i="3" s="1"/>
  <c r="P185" i="3"/>
  <c r="R185" i="3" s="1"/>
  <c r="L186" i="3" l="1"/>
  <c r="V184" i="3"/>
  <c r="W184" i="3" s="1"/>
  <c r="K186" i="3"/>
  <c r="O186" i="3" s="1"/>
  <c r="Q186" i="3" s="1" a="1"/>
  <c r="Q186" i="3" s="1"/>
  <c r="S185" i="3"/>
  <c r="B187" i="3"/>
  <c r="V185" i="3" l="1"/>
  <c r="W185" i="3" s="1"/>
  <c r="P186" i="3"/>
  <c r="R186" i="3" s="1"/>
  <c r="G186" i="3"/>
  <c r="N186" i="3"/>
  <c r="T185" i="3"/>
  <c r="U185" i="3" s="1"/>
  <c r="L187" i="3"/>
  <c r="D187" i="3"/>
  <c r="K187" i="3"/>
  <c r="S186" i="3" l="1"/>
  <c r="T186" i="3" s="1"/>
  <c r="U186" i="3" s="1"/>
  <c r="G187" i="3"/>
  <c r="N187" i="3"/>
  <c r="O187" i="3"/>
  <c r="Q187" i="3" s="1" a="1"/>
  <c r="Q187" i="3" s="1"/>
  <c r="B188" i="3"/>
  <c r="V186" i="3" l="1"/>
  <c r="W186" i="3" s="1"/>
  <c r="L188" i="3"/>
  <c r="P187" i="3"/>
  <c r="S187" i="3" s="1"/>
  <c r="D188" i="3"/>
  <c r="K188" i="3"/>
  <c r="R187" i="3" l="1"/>
  <c r="T187" i="3"/>
  <c r="U187" i="3" s="1"/>
  <c r="V187" i="3"/>
  <c r="N188" i="3"/>
  <c r="O188" i="3"/>
  <c r="Q188" i="3" s="1" a="1"/>
  <c r="Q188" i="3" s="1"/>
  <c r="G188" i="3"/>
  <c r="P188" i="3" l="1"/>
  <c r="R188" i="3" s="1"/>
  <c r="W187" i="3"/>
  <c r="B189" i="3"/>
  <c r="S188" i="3" l="1"/>
  <c r="V188" i="3" s="1"/>
  <c r="L189" i="3"/>
  <c r="D189" i="3"/>
  <c r="K189" i="3"/>
  <c r="T188" i="3" l="1"/>
  <c r="U188" i="3" s="1"/>
  <c r="W188" i="3"/>
  <c r="N189" i="3"/>
  <c r="O189" i="3"/>
  <c r="Q189" i="3" s="1" a="1"/>
  <c r="Q189" i="3" s="1"/>
  <c r="G189" i="3"/>
  <c r="P189" i="3" l="1"/>
  <c r="R189" i="3" s="1"/>
  <c r="B190" i="3"/>
  <c r="S189" i="3" l="1"/>
  <c r="T189" i="3" s="1"/>
  <c r="U189" i="3" s="1"/>
  <c r="L190" i="3"/>
  <c r="K190" i="3"/>
  <c r="D190" i="3"/>
  <c r="V189" i="3" l="1"/>
  <c r="W189" i="3" s="1"/>
  <c r="G190" i="3"/>
  <c r="B191" i="3" s="1"/>
  <c r="N190" i="3"/>
  <c r="O190" i="3"/>
  <c r="Q190" i="3" s="1" a="1"/>
  <c r="Q190" i="3" s="1"/>
  <c r="D191" i="3" l="1"/>
  <c r="L191" i="3"/>
  <c r="K191" i="3"/>
  <c r="O191" i="3" s="1"/>
  <c r="Q191" i="3" s="1" a="1"/>
  <c r="Q191" i="3" s="1"/>
  <c r="P190" i="3"/>
  <c r="S190" i="3" s="1"/>
  <c r="R190" i="3" l="1"/>
  <c r="G191" i="3"/>
  <c r="N191" i="3"/>
  <c r="P191" i="3"/>
  <c r="R191" i="3" s="1"/>
  <c r="T190" i="3"/>
  <c r="U190" i="3" s="1"/>
  <c r="V190" i="3"/>
  <c r="B192" i="3"/>
  <c r="S191" i="3" l="1"/>
  <c r="T191" i="3" s="1"/>
  <c r="U191" i="3" s="1"/>
  <c r="L192" i="3"/>
  <c r="W190" i="3"/>
  <c r="K192" i="3"/>
  <c r="D192" i="3"/>
  <c r="V191" i="3" l="1"/>
  <c r="W191" i="3" s="1"/>
  <c r="G192" i="3"/>
  <c r="B193" i="3" s="1"/>
  <c r="N192" i="3"/>
  <c r="O192" i="3"/>
  <c r="Q192" i="3" s="1" a="1"/>
  <c r="Q192" i="3" s="1"/>
  <c r="K193" i="3" l="1"/>
  <c r="N193" i="3" s="1"/>
  <c r="L193" i="3"/>
  <c r="P192" i="3"/>
  <c r="R192" i="3" s="1"/>
  <c r="D193" i="3"/>
  <c r="S192" i="3" l="1"/>
  <c r="T192" i="3" s="1"/>
  <c r="U192" i="3" s="1"/>
  <c r="G193" i="3"/>
  <c r="O193" i="3"/>
  <c r="B194" i="3"/>
  <c r="V192" i="3" l="1"/>
  <c r="W192" i="3" s="1"/>
  <c r="P193" i="3"/>
  <c r="S193" i="3" s="1"/>
  <c r="Q193" i="3" a="1"/>
  <c r="Q193" i="3" s="1"/>
  <c r="L194" i="3"/>
  <c r="D194" i="3"/>
  <c r="K194" i="3"/>
  <c r="V193" i="3" l="1"/>
  <c r="W193" i="3" s="1"/>
  <c r="R193" i="3"/>
  <c r="T193" i="3"/>
  <c r="U193" i="3" s="1"/>
  <c r="G194" i="3"/>
  <c r="N194" i="3"/>
  <c r="O194" i="3"/>
  <c r="Q194" i="3" s="1" a="1"/>
  <c r="Q194" i="3" s="1"/>
  <c r="B195" i="3"/>
  <c r="L195" i="3" l="1"/>
  <c r="P194" i="3"/>
  <c r="S194" i="3" s="1"/>
  <c r="V194" i="3" s="1"/>
  <c r="W194" i="3" s="1"/>
  <c r="D195" i="3"/>
  <c r="K195" i="3"/>
  <c r="R194" i="3" l="1"/>
  <c r="T194" i="3"/>
  <c r="U194" i="3" s="1"/>
  <c r="G195" i="3"/>
  <c r="N195" i="3"/>
  <c r="O195" i="3"/>
  <c r="Q195" i="3" s="1" a="1"/>
  <c r="Q195" i="3" s="1"/>
  <c r="B196" i="3"/>
  <c r="L196" i="3" l="1"/>
  <c r="P195" i="3"/>
  <c r="R195" i="3" s="1"/>
  <c r="D196" i="3"/>
  <c r="K196" i="3"/>
  <c r="S195" i="3" l="1"/>
  <c r="V195" i="3" s="1"/>
  <c r="W195" i="3" s="1"/>
  <c r="G196" i="3"/>
  <c r="B197" i="3" s="1"/>
  <c r="N196" i="3"/>
  <c r="O196" i="3"/>
  <c r="Q196" i="3" s="1" a="1"/>
  <c r="Q196" i="3" s="1"/>
  <c r="T195" i="3" l="1"/>
  <c r="U195" i="3" s="1"/>
  <c r="D197" i="3"/>
  <c r="L197" i="3"/>
  <c r="P196" i="3"/>
  <c r="R196" i="3" s="1"/>
  <c r="K197" i="3"/>
  <c r="B198" i="3"/>
  <c r="G197" i="3" l="1"/>
  <c r="S196" i="3"/>
  <c r="T196" i="3" s="1"/>
  <c r="U196" i="3" s="1"/>
  <c r="L198" i="3"/>
  <c r="O197" i="3"/>
  <c r="Q197" i="3" s="1" a="1"/>
  <c r="Q197" i="3" s="1"/>
  <c r="N197" i="3"/>
  <c r="D198" i="3"/>
  <c r="K198" i="3"/>
  <c r="V196" i="3" l="1"/>
  <c r="W196" i="3" s="1"/>
  <c r="P197" i="3"/>
  <c r="S197" i="3" s="1"/>
  <c r="G198" i="3"/>
  <c r="N198" i="3"/>
  <c r="O198" i="3"/>
  <c r="Q198" i="3" s="1" a="1"/>
  <c r="Q198" i="3" s="1"/>
  <c r="B199" i="3"/>
  <c r="V197" i="3" l="1"/>
  <c r="W197" i="3" s="1"/>
  <c r="R197" i="3"/>
  <c r="L199" i="3"/>
  <c r="P198" i="3"/>
  <c r="R198" i="3" s="1"/>
  <c r="T197" i="3"/>
  <c r="U197" i="3" s="1"/>
  <c r="K199" i="3"/>
  <c r="D199" i="3"/>
  <c r="S198" i="3" l="1"/>
  <c r="V198" i="3" s="1"/>
  <c r="N199" i="3"/>
  <c r="O199" i="3"/>
  <c r="Q199" i="3" s="1" a="1"/>
  <c r="Q199" i="3" s="1"/>
  <c r="G199" i="3"/>
  <c r="T198" i="3" l="1"/>
  <c r="U198" i="3" s="1"/>
  <c r="P199" i="3"/>
  <c r="R199" i="3" s="1"/>
  <c r="W198" i="3"/>
  <c r="B200" i="3"/>
  <c r="K200" i="3" s="1"/>
  <c r="S199" i="3" l="1"/>
  <c r="T199" i="3" s="1"/>
  <c r="U199" i="3" s="1"/>
  <c r="L200" i="3"/>
  <c r="D200" i="3"/>
  <c r="V199" i="3" l="1"/>
  <c r="W199" i="3" s="1"/>
  <c r="G200" i="3"/>
  <c r="N200" i="3"/>
  <c r="O200" i="3"/>
  <c r="Q200" i="3" s="1" a="1"/>
  <c r="Q200" i="3" s="1"/>
  <c r="B201" i="3"/>
  <c r="L201" i="3" l="1"/>
  <c r="P200" i="3"/>
  <c r="R200" i="3" s="1"/>
  <c r="D201" i="3"/>
  <c r="K201" i="3"/>
  <c r="S200" i="3" l="1"/>
  <c r="V200" i="3" s="1"/>
  <c r="N201" i="3"/>
  <c r="O201" i="3"/>
  <c r="Q201" i="3" s="1" a="1"/>
  <c r="Q201" i="3" s="1"/>
  <c r="G201" i="3"/>
  <c r="T200" i="3" l="1"/>
  <c r="U200" i="3" s="1"/>
  <c r="P201" i="3"/>
  <c r="R201" i="3" s="1"/>
  <c r="W200" i="3"/>
  <c r="B202" i="3"/>
  <c r="S201" i="3" l="1"/>
  <c r="T201" i="3" s="1"/>
  <c r="U201" i="3" s="1"/>
  <c r="L202" i="3"/>
  <c r="K202" i="3"/>
  <c r="D202" i="3"/>
  <c r="V201" i="3" l="1"/>
  <c r="W201" i="3" s="1"/>
  <c r="G202" i="3"/>
  <c r="B203" i="3" s="1"/>
  <c r="N202" i="3"/>
  <c r="O202" i="3"/>
  <c r="Q202" i="3" s="1" a="1"/>
  <c r="Q202" i="3" s="1"/>
  <c r="D203" i="3" l="1"/>
  <c r="L203" i="3"/>
  <c r="K203" i="3"/>
  <c r="N203" i="3" s="1"/>
  <c r="P202" i="3"/>
  <c r="R202" i="3" l="1"/>
  <c r="S202" i="3"/>
  <c r="V202" i="3" s="1"/>
  <c r="G203" i="3"/>
  <c r="O203" i="3"/>
  <c r="B204" i="3"/>
  <c r="T202" i="3" l="1"/>
  <c r="U202" i="3" s="1"/>
  <c r="P203" i="3"/>
  <c r="S203" i="3" s="1"/>
  <c r="V203" i="3" s="1"/>
  <c r="Q203" i="3" a="1"/>
  <c r="Q203" i="3" s="1"/>
  <c r="L204" i="3"/>
  <c r="W202" i="3"/>
  <c r="D204" i="3"/>
  <c r="K204" i="3"/>
  <c r="R203" i="3" l="1"/>
  <c r="T203" i="3"/>
  <c r="U203" i="3" s="1"/>
  <c r="W203" i="3"/>
  <c r="G204" i="3"/>
  <c r="N204" i="3"/>
  <c r="O204" i="3"/>
  <c r="Q204" i="3" s="1" a="1"/>
  <c r="Q204" i="3" s="1"/>
  <c r="B205" i="3"/>
  <c r="L205" i="3" l="1"/>
  <c r="P204" i="3"/>
  <c r="D205" i="3"/>
  <c r="K205" i="3"/>
  <c r="S204" i="3" l="1"/>
  <c r="T204" i="3" s="1"/>
  <c r="U204" i="3" s="1"/>
  <c r="R204" i="3"/>
  <c r="N205" i="3"/>
  <c r="O205" i="3"/>
  <c r="Q205" i="3" s="1" a="1"/>
  <c r="Q205" i="3" s="1"/>
  <c r="G205" i="3"/>
  <c r="V204" i="3" l="1"/>
  <c r="W204" i="3" s="1"/>
  <c r="P205" i="3"/>
  <c r="B206" i="3"/>
  <c r="R205" i="3" l="1"/>
  <c r="S205" i="3"/>
  <c r="V205" i="3" s="1"/>
  <c r="L206" i="3"/>
  <c r="D206" i="3"/>
  <c r="K206" i="3"/>
  <c r="T205" i="3" l="1"/>
  <c r="U205" i="3" s="1"/>
  <c r="W205" i="3"/>
  <c r="G206" i="3"/>
  <c r="N206" i="3"/>
  <c r="O206" i="3"/>
  <c r="Q206" i="3" s="1" a="1"/>
  <c r="Q206" i="3" s="1"/>
  <c r="B207" i="3"/>
  <c r="L207" i="3" l="1"/>
  <c r="P206" i="3"/>
  <c r="R206" i="3" s="1"/>
  <c r="D207" i="3"/>
  <c r="K207" i="3"/>
  <c r="S206" i="3" l="1"/>
  <c r="V206" i="3" s="1"/>
  <c r="N207" i="3"/>
  <c r="O207" i="3"/>
  <c r="Q207" i="3" s="1" a="1"/>
  <c r="Q207" i="3" s="1"/>
  <c r="G207" i="3"/>
  <c r="T206" i="3" l="1"/>
  <c r="U206" i="3" s="1"/>
  <c r="P207" i="3"/>
  <c r="R207" i="3" s="1"/>
  <c r="W206" i="3"/>
  <c r="B208" i="3"/>
  <c r="S207" i="3" l="1"/>
  <c r="T207" i="3" s="1"/>
  <c r="U207" i="3" s="1"/>
  <c r="L208" i="3"/>
  <c r="K208" i="3"/>
  <c r="D208" i="3"/>
  <c r="V207" i="3" l="1"/>
  <c r="W207" i="3" s="1"/>
  <c r="G208" i="3"/>
  <c r="B209" i="3" s="1"/>
  <c r="N208" i="3"/>
  <c r="O208" i="3"/>
  <c r="Q208" i="3" s="1" a="1"/>
  <c r="Q208" i="3" s="1"/>
  <c r="D209" i="3" l="1"/>
  <c r="L209" i="3"/>
  <c r="K209" i="3"/>
  <c r="N209" i="3" s="1"/>
  <c r="P208" i="3"/>
  <c r="S208" i="3" s="1"/>
  <c r="G209" i="3" l="1"/>
  <c r="R208" i="3"/>
  <c r="O209" i="3"/>
  <c r="T208" i="3"/>
  <c r="U208" i="3" s="1"/>
  <c r="V208" i="3"/>
  <c r="B210" i="3"/>
  <c r="P209" i="3" l="1"/>
  <c r="S209" i="3" s="1"/>
  <c r="V209" i="3" s="1"/>
  <c r="Q209" i="3" a="1"/>
  <c r="Q209" i="3" s="1"/>
  <c r="L210" i="3"/>
  <c r="W208" i="3"/>
  <c r="K210" i="3"/>
  <c r="D210" i="3"/>
  <c r="R209" i="3" l="1"/>
  <c r="T209" i="3"/>
  <c r="U209" i="3" s="1"/>
  <c r="W209" i="3"/>
  <c r="G210" i="3"/>
  <c r="B211" i="3" s="1"/>
  <c r="N210" i="3"/>
  <c r="O210" i="3"/>
  <c r="Q210" i="3" s="1" a="1"/>
  <c r="Q210" i="3" s="1"/>
  <c r="D211" i="3" l="1"/>
  <c r="L211" i="3"/>
  <c r="K211" i="3"/>
  <c r="N211" i="3" s="1"/>
  <c r="P210" i="3"/>
  <c r="S210" i="3" s="1"/>
  <c r="G211" i="3" l="1"/>
  <c r="R210" i="3"/>
  <c r="O211" i="3"/>
  <c r="T210" i="3"/>
  <c r="U210" i="3" s="1"/>
  <c r="V210" i="3"/>
  <c r="B212" i="3"/>
  <c r="P211" i="3" l="1"/>
  <c r="S211" i="3" s="1"/>
  <c r="Q211" i="3" a="1"/>
  <c r="Q211" i="3" s="1"/>
  <c r="R211" i="3" s="1"/>
  <c r="L212" i="3"/>
  <c r="W210" i="3"/>
  <c r="K212" i="3"/>
  <c r="D212" i="3"/>
  <c r="T211" i="3" l="1"/>
  <c r="U211" i="3" s="1"/>
  <c r="V211" i="3"/>
  <c r="W211" i="3" s="1"/>
  <c r="G212" i="3"/>
  <c r="B213" i="3" s="1"/>
  <c r="N212" i="3"/>
  <c r="O212" i="3"/>
  <c r="Q212" i="3" s="1" a="1"/>
  <c r="Q212" i="3" s="1"/>
  <c r="K213" i="3" l="1"/>
  <c r="O213" i="3" s="1"/>
  <c r="Q213" i="3" s="1" a="1"/>
  <c r="Q213" i="3" s="1"/>
  <c r="L213" i="3"/>
  <c r="P212" i="3"/>
  <c r="R212" i="3" s="1"/>
  <c r="D213" i="3"/>
  <c r="G213" i="3" l="1"/>
  <c r="S212" i="3"/>
  <c r="T212" i="3" s="1"/>
  <c r="U212" i="3" s="1"/>
  <c r="N213" i="3"/>
  <c r="P213" i="3"/>
  <c r="R213" i="3" s="1"/>
  <c r="B214" i="3"/>
  <c r="V212" i="3" l="1"/>
  <c r="W212" i="3" s="1"/>
  <c r="S213" i="3"/>
  <c r="T213" i="3" s="1"/>
  <c r="U213" i="3" s="1"/>
  <c r="L214" i="3"/>
  <c r="K214" i="3"/>
  <c r="D214" i="3"/>
  <c r="V213" i="3" l="1"/>
  <c r="W213" i="3" s="1"/>
  <c r="G214" i="3"/>
  <c r="B215" i="3" s="1"/>
  <c r="N214" i="3"/>
  <c r="O214" i="3"/>
  <c r="Q214" i="3" s="1" a="1"/>
  <c r="Q214" i="3" s="1"/>
  <c r="D215" i="3" l="1"/>
  <c r="L215" i="3"/>
  <c r="K215" i="3"/>
  <c r="N215" i="3" s="1"/>
  <c r="P214" i="3"/>
  <c r="R214" i="3" s="1"/>
  <c r="S214" i="3" l="1"/>
  <c r="V214" i="3" s="1"/>
  <c r="G215" i="3"/>
  <c r="O215" i="3"/>
  <c r="B216" i="3"/>
  <c r="T214" i="3" l="1"/>
  <c r="U214" i="3" s="1"/>
  <c r="P215" i="3"/>
  <c r="S215" i="3" s="1"/>
  <c r="V215" i="3" s="1"/>
  <c r="Q215" i="3" a="1"/>
  <c r="Q215" i="3" s="1"/>
  <c r="L216" i="3"/>
  <c r="W214" i="3"/>
  <c r="K216" i="3"/>
  <c r="D216" i="3"/>
  <c r="R215" i="3" l="1"/>
  <c r="T215" i="3"/>
  <c r="U215" i="3" s="1"/>
  <c r="W215" i="3"/>
  <c r="N216" i="3"/>
  <c r="O216" i="3"/>
  <c r="Q216" i="3" s="1" a="1"/>
  <c r="Q216" i="3" s="1"/>
  <c r="G216" i="3"/>
  <c r="P216" i="3" l="1"/>
  <c r="R216" i="3" s="1"/>
  <c r="B217" i="3"/>
  <c r="S216" i="3" l="1"/>
  <c r="T216" i="3" s="1"/>
  <c r="U216" i="3" s="1"/>
  <c r="L217" i="3"/>
  <c r="D217" i="3"/>
  <c r="K217" i="3"/>
  <c r="V216" i="3" l="1"/>
  <c r="W216" i="3" s="1"/>
  <c r="G217" i="3"/>
  <c r="N217" i="3"/>
  <c r="O217" i="3"/>
  <c r="Q217" i="3" s="1" a="1"/>
  <c r="Q217" i="3" s="1"/>
  <c r="B218" i="3"/>
  <c r="L218" i="3" l="1"/>
  <c r="P217" i="3"/>
  <c r="S217" i="3" s="1"/>
  <c r="D218" i="3"/>
  <c r="K218" i="3"/>
  <c r="R217" i="3" l="1"/>
  <c r="T217" i="3"/>
  <c r="U217" i="3" s="1"/>
  <c r="V217" i="3"/>
  <c r="N218" i="3"/>
  <c r="O218" i="3"/>
  <c r="Q218" i="3" s="1" a="1"/>
  <c r="Q218" i="3" s="1"/>
  <c r="G218" i="3"/>
  <c r="P218" i="3" l="1"/>
  <c r="R218" i="3" s="1"/>
  <c r="W217" i="3"/>
  <c r="B219" i="3"/>
  <c r="S218" i="3" l="1"/>
  <c r="T218" i="3" s="1"/>
  <c r="U218" i="3" s="1"/>
  <c r="L219" i="3"/>
  <c r="K219" i="3"/>
  <c r="D219" i="3"/>
  <c r="V218" i="3" l="1"/>
  <c r="W218" i="3" s="1"/>
  <c r="G219" i="3"/>
  <c r="B220" i="3" s="1"/>
  <c r="N219" i="3"/>
  <c r="O219" i="3"/>
  <c r="Q219" i="3" s="1" a="1"/>
  <c r="Q219" i="3" s="1"/>
  <c r="D220" i="3" l="1"/>
  <c r="L220" i="3"/>
  <c r="K220" i="3"/>
  <c r="O220" i="3" s="1"/>
  <c r="Q220" i="3" s="1" a="1"/>
  <c r="Q220" i="3" s="1"/>
  <c r="P219" i="3"/>
  <c r="S219" i="3" s="1"/>
  <c r="R219" i="3" l="1"/>
  <c r="G220" i="3"/>
  <c r="N220" i="3"/>
  <c r="P220" i="3"/>
  <c r="R220" i="3" s="1"/>
  <c r="T219" i="3"/>
  <c r="U219" i="3" s="1"/>
  <c r="V219" i="3"/>
  <c r="B221" i="3"/>
  <c r="S220" i="3" l="1"/>
  <c r="T220" i="3" s="1"/>
  <c r="U220" i="3" s="1"/>
  <c r="L221" i="3"/>
  <c r="W219" i="3"/>
  <c r="K221" i="3"/>
  <c r="D221" i="3"/>
  <c r="V220" i="3" l="1"/>
  <c r="W220" i="3" s="1"/>
  <c r="N221" i="3"/>
  <c r="O221" i="3"/>
  <c r="Q221" i="3" s="1" a="1"/>
  <c r="Q221" i="3" s="1"/>
  <c r="G221" i="3"/>
  <c r="P221" i="3" l="1"/>
  <c r="R221" i="3" s="1"/>
  <c r="B222" i="3"/>
  <c r="S221" i="3" l="1"/>
  <c r="T221" i="3" s="1"/>
  <c r="U221" i="3" s="1"/>
  <c r="L222" i="3"/>
  <c r="K222" i="3"/>
  <c r="D222" i="3"/>
  <c r="V221" i="3" l="1"/>
  <c r="W221" i="3" s="1"/>
  <c r="G222" i="3"/>
  <c r="B223" i="3" s="1"/>
  <c r="N222" i="3"/>
  <c r="O222" i="3"/>
  <c r="Q222" i="3" s="1" a="1"/>
  <c r="Q222" i="3" s="1"/>
  <c r="K223" i="3" l="1"/>
  <c r="N223" i="3" s="1"/>
  <c r="L223" i="3"/>
  <c r="D223" i="3"/>
  <c r="P222" i="3"/>
  <c r="S222" i="3" s="1"/>
  <c r="B224" i="3"/>
  <c r="O223" i="3" l="1"/>
  <c r="Q223" i="3" s="1" a="1"/>
  <c r="Q223" i="3" s="1"/>
  <c r="G223" i="3"/>
  <c r="R222" i="3"/>
  <c r="L224" i="3"/>
  <c r="T222" i="3"/>
  <c r="U222" i="3" s="1"/>
  <c r="V222" i="3"/>
  <c r="K224" i="3"/>
  <c r="D224" i="3"/>
  <c r="P223" i="3" l="1"/>
  <c r="S223" i="3" s="1"/>
  <c r="V223" i="3" s="1"/>
  <c r="W222" i="3"/>
  <c r="N224" i="3"/>
  <c r="O224" i="3"/>
  <c r="Q224" i="3" s="1" a="1"/>
  <c r="Q224" i="3" s="1"/>
  <c r="G224" i="3"/>
  <c r="R223" i="3" l="1"/>
  <c r="T223" i="3"/>
  <c r="U223" i="3" s="1"/>
  <c r="P224" i="3"/>
  <c r="R224" i="3" s="1"/>
  <c r="W223" i="3"/>
  <c r="B225" i="3"/>
  <c r="S224" i="3" l="1"/>
  <c r="V224" i="3" s="1"/>
  <c r="L225" i="3"/>
  <c r="D225" i="3"/>
  <c r="K225" i="3"/>
  <c r="T224" i="3" l="1"/>
  <c r="U224" i="3" s="1"/>
  <c r="W224" i="3"/>
  <c r="N225" i="3"/>
  <c r="O225" i="3"/>
  <c r="Q225" i="3" s="1" a="1"/>
  <c r="Q225" i="3" s="1"/>
  <c r="G225" i="3"/>
  <c r="P225" i="3" l="1"/>
  <c r="R225" i="3" s="1"/>
  <c r="B226" i="3"/>
  <c r="S225" i="3" l="1"/>
  <c r="T225" i="3" s="1"/>
  <c r="U225" i="3" s="1"/>
  <c r="L226" i="3"/>
  <c r="K226" i="3"/>
  <c r="D226" i="3"/>
  <c r="V225" i="3" l="1"/>
  <c r="W225" i="3" s="1"/>
  <c r="N226" i="3"/>
  <c r="O226" i="3"/>
  <c r="Q226" i="3" s="1" a="1"/>
  <c r="Q226" i="3" s="1"/>
  <c r="G226" i="3"/>
  <c r="P226" i="3" l="1"/>
  <c r="R226" i="3" s="1"/>
  <c r="B227" i="3"/>
  <c r="S226" i="3" l="1"/>
  <c r="T226" i="3" s="1"/>
  <c r="U226" i="3" s="1"/>
  <c r="L227" i="3"/>
  <c r="K227" i="3"/>
  <c r="D227" i="3"/>
  <c r="V226" i="3" l="1"/>
  <c r="W226" i="3" s="1"/>
  <c r="N227" i="3"/>
  <c r="O227" i="3"/>
  <c r="Q227" i="3" s="1" a="1"/>
  <c r="Q227" i="3" s="1"/>
  <c r="G227" i="3"/>
  <c r="P227" i="3" l="1"/>
  <c r="R227" i="3" s="1"/>
  <c r="B228" i="3"/>
  <c r="S227" i="3" l="1"/>
  <c r="T227" i="3" s="1"/>
  <c r="U227" i="3" s="1"/>
  <c r="L228" i="3"/>
  <c r="D228" i="3"/>
  <c r="K228" i="3"/>
  <c r="V227" i="3" l="1"/>
  <c r="W227" i="3" s="1"/>
  <c r="N228" i="3"/>
  <c r="O228" i="3"/>
  <c r="Q228" i="3" s="1" a="1"/>
  <c r="Q228" i="3" s="1"/>
  <c r="G228" i="3"/>
  <c r="P228" i="3" l="1"/>
  <c r="R228" i="3" s="1"/>
  <c r="B229" i="3"/>
  <c r="S228" i="3" l="1"/>
  <c r="T228" i="3" s="1"/>
  <c r="U228" i="3" s="1"/>
  <c r="L229" i="3"/>
  <c r="D229" i="3"/>
  <c r="K229" i="3"/>
  <c r="V228" i="3" l="1"/>
  <c r="W228" i="3" s="1"/>
  <c r="G229" i="3"/>
  <c r="N229" i="3"/>
  <c r="O229" i="3"/>
  <c r="Q229" i="3" s="1" a="1"/>
  <c r="Q229" i="3" s="1"/>
  <c r="B230" i="3"/>
  <c r="L230" i="3" l="1"/>
  <c r="P229" i="3"/>
  <c r="R229" i="3" s="1"/>
  <c r="K230" i="3"/>
  <c r="D230" i="3"/>
  <c r="S229" i="3" l="1"/>
  <c r="T229" i="3" s="1"/>
  <c r="U229" i="3" s="1"/>
  <c r="G230" i="3"/>
  <c r="B231" i="3" s="1"/>
  <c r="N230" i="3"/>
  <c r="O230" i="3"/>
  <c r="Q230" i="3" s="1" a="1"/>
  <c r="Q230" i="3" s="1"/>
  <c r="V229" i="3" l="1"/>
  <c r="K231" i="3"/>
  <c r="O231" i="3" s="1"/>
  <c r="Q231" i="3" s="1" a="1"/>
  <c r="Q231" i="3" s="1"/>
  <c r="L231" i="3"/>
  <c r="D231" i="3"/>
  <c r="P230" i="3"/>
  <c r="R230" i="3" s="1"/>
  <c r="W229" i="3"/>
  <c r="G231" i="3" l="1"/>
  <c r="N231" i="3"/>
  <c r="S230" i="3"/>
  <c r="T230" i="3" s="1"/>
  <c r="U230" i="3" s="1"/>
  <c r="P231" i="3"/>
  <c r="B232" i="3"/>
  <c r="V230" i="3" l="1"/>
  <c r="W230" i="3" s="1"/>
  <c r="S231" i="3"/>
  <c r="T231" i="3" s="1"/>
  <c r="U231" i="3" s="1"/>
  <c r="L232" i="3"/>
  <c r="R231" i="3"/>
  <c r="K232" i="3"/>
  <c r="D232" i="3"/>
  <c r="V231" i="3" l="1"/>
  <c r="W231" i="3" s="1"/>
  <c r="G232" i="3"/>
  <c r="B233" i="3" s="1"/>
  <c r="N232" i="3"/>
  <c r="O232" i="3"/>
  <c r="Q232" i="3" s="1" a="1"/>
  <c r="Q232" i="3" s="1"/>
  <c r="K233" i="3" l="1"/>
  <c r="L233" i="3"/>
  <c r="D233" i="3"/>
  <c r="P232" i="3"/>
  <c r="S232" i="3" s="1"/>
  <c r="G233" i="3" l="1"/>
  <c r="B234" i="3" s="1"/>
  <c r="L234" i="3" s="1"/>
  <c r="N233" i="3"/>
  <c r="O233" i="3"/>
  <c r="Q233" i="3" s="1" a="1"/>
  <c r="Q233" i="3" s="1"/>
  <c r="R232" i="3"/>
  <c r="T232" i="3"/>
  <c r="U232" i="3" s="1"/>
  <c r="V232" i="3"/>
  <c r="D234" i="3" l="1"/>
  <c r="K234" i="3"/>
  <c r="N234" i="3" s="1"/>
  <c r="P233" i="3"/>
  <c r="S233" i="3" s="1"/>
  <c r="T233" i="3" s="1"/>
  <c r="U233" i="3" s="1"/>
  <c r="W232" i="3"/>
  <c r="O234" i="3" l="1"/>
  <c r="Q234" i="3" s="1" a="1"/>
  <c r="Q234" i="3" s="1"/>
  <c r="G234" i="3"/>
  <c r="B235" i="3" s="1"/>
  <c r="D235" i="3" s="1"/>
  <c r="V233" i="3"/>
  <c r="W233" i="3" s="1"/>
  <c r="R233" i="3"/>
  <c r="P234" i="3" l="1"/>
  <c r="S234" i="3" s="1"/>
  <c r="T234" i="3" s="1"/>
  <c r="U234" i="3" s="1"/>
  <c r="K235" i="3"/>
  <c r="N235" i="3" s="1"/>
  <c r="B236" i="3"/>
  <c r="D236" i="3" s="1"/>
  <c r="L235" i="3"/>
  <c r="V234" i="3" l="1"/>
  <c r="W234" i="3" s="1"/>
  <c r="R234" i="3"/>
  <c r="O235" i="3"/>
  <c r="Q235" i="3" s="1" a="1"/>
  <c r="Q235" i="3" s="1"/>
  <c r="G235" i="3"/>
  <c r="L236" i="3"/>
  <c r="K236" i="3"/>
  <c r="G236" i="3" s="1"/>
  <c r="P235" i="3" l="1"/>
  <c r="S235" i="3" s="1"/>
  <c r="T235" i="3" s="1"/>
  <c r="U235" i="3" s="1"/>
  <c r="O236" i="3"/>
  <c r="Q236" i="3" s="1" a="1"/>
  <c r="Q236" i="3" s="1"/>
  <c r="N236" i="3"/>
  <c r="B237" i="3"/>
  <c r="R235" i="3" l="1"/>
  <c r="V235" i="3"/>
  <c r="W235" i="3" s="1"/>
  <c r="P236" i="3"/>
  <c r="S236" i="3" s="1"/>
  <c r="T236" i="3" s="1"/>
  <c r="U236" i="3" s="1"/>
  <c r="L237" i="3"/>
  <c r="D237" i="3"/>
  <c r="K237" i="3"/>
  <c r="R236" i="3" l="1"/>
  <c r="V236" i="3"/>
  <c r="W236" i="3" s="1"/>
  <c r="N237" i="3"/>
  <c r="O237" i="3"/>
  <c r="Q237" i="3" s="1" a="1"/>
  <c r="Q237" i="3" s="1"/>
  <c r="G237" i="3"/>
  <c r="P237" i="3" l="1"/>
  <c r="R237" i="3" s="1"/>
  <c r="B238" i="3"/>
  <c r="S237" i="3" l="1"/>
  <c r="T237" i="3" s="1"/>
  <c r="U237" i="3" s="1"/>
  <c r="L238" i="3"/>
  <c r="D238" i="3"/>
  <c r="K238" i="3"/>
  <c r="V237" i="3" l="1"/>
  <c r="W237" i="3" s="1"/>
  <c r="G238" i="3"/>
  <c r="N238" i="3"/>
  <c r="O238" i="3"/>
  <c r="Q238" i="3" s="1" a="1"/>
  <c r="Q238" i="3" s="1"/>
  <c r="B239" i="3"/>
  <c r="L239" i="3" l="1"/>
  <c r="P238" i="3"/>
  <c r="R238" i="3" s="1"/>
  <c r="D239" i="3"/>
  <c r="K239" i="3"/>
  <c r="S238" i="3" l="1"/>
  <c r="V238" i="3" s="1"/>
  <c r="N239" i="3"/>
  <c r="O239" i="3"/>
  <c r="Q239" i="3" s="1" a="1"/>
  <c r="Q239" i="3" s="1"/>
  <c r="G239" i="3"/>
  <c r="T238" i="3" l="1"/>
  <c r="U238" i="3" s="1"/>
  <c r="P239" i="3"/>
  <c r="R239" i="3" s="1"/>
  <c r="W238" i="3"/>
  <c r="B240" i="3"/>
  <c r="S239" i="3" l="1"/>
  <c r="T239" i="3" s="1"/>
  <c r="U239" i="3" s="1"/>
  <c r="L240" i="3"/>
  <c r="D240" i="3"/>
  <c r="K240" i="3"/>
  <c r="V239" i="3" l="1"/>
  <c r="W239" i="3" s="1"/>
  <c r="N240" i="3"/>
  <c r="O240" i="3"/>
  <c r="Q240" i="3" s="1" a="1"/>
  <c r="Q240" i="3" s="1"/>
  <c r="G240" i="3"/>
  <c r="P240" i="3" l="1"/>
  <c r="R240" i="3" s="1"/>
  <c r="B241" i="3"/>
  <c r="S240" i="3" l="1"/>
  <c r="T240" i="3" s="1"/>
  <c r="U240" i="3" s="1"/>
  <c r="L241" i="3"/>
  <c r="D241" i="3"/>
  <c r="K241" i="3"/>
  <c r="V240" i="3" l="1"/>
  <c r="W240" i="3" s="1"/>
  <c r="N241" i="3"/>
  <c r="O241" i="3"/>
  <c r="Q241" i="3" s="1" a="1"/>
  <c r="Q241" i="3" s="1"/>
  <c r="G241" i="3"/>
  <c r="P241" i="3" l="1"/>
  <c r="R241" i="3" s="1"/>
  <c r="B242" i="3"/>
  <c r="S241" i="3" l="1"/>
  <c r="T241" i="3" s="1"/>
  <c r="U241" i="3" s="1"/>
  <c r="L242" i="3"/>
  <c r="K242" i="3"/>
  <c r="D242" i="3"/>
  <c r="V241" i="3" l="1"/>
  <c r="W241" i="3" s="1"/>
  <c r="G242" i="3"/>
  <c r="B243" i="3" s="1"/>
  <c r="N242" i="3"/>
  <c r="O242" i="3"/>
  <c r="Q242" i="3" s="1" a="1"/>
  <c r="Q242" i="3" s="1"/>
  <c r="K243" i="3" l="1"/>
  <c r="L243" i="3"/>
  <c r="D243" i="3"/>
  <c r="P242" i="3"/>
  <c r="R242" i="3" s="1"/>
  <c r="G243" i="3" l="1"/>
  <c r="O243" i="3"/>
  <c r="Q243" i="3" s="1" a="1"/>
  <c r="Q243" i="3" s="1"/>
  <c r="N243" i="3"/>
  <c r="S242" i="3"/>
  <c r="T242" i="3" s="1"/>
  <c r="U242" i="3" s="1"/>
  <c r="B244" i="3"/>
  <c r="V242" i="3" l="1"/>
  <c r="W242" i="3" s="1"/>
  <c r="P243" i="3"/>
  <c r="S243" i="3" s="1"/>
  <c r="T243" i="3" s="1"/>
  <c r="U243" i="3" s="1"/>
  <c r="L244" i="3"/>
  <c r="K244" i="3"/>
  <c r="D244" i="3"/>
  <c r="R243" i="3" l="1"/>
  <c r="V243" i="3"/>
  <c r="W243" i="3" s="1"/>
  <c r="N244" i="3"/>
  <c r="O244" i="3"/>
  <c r="Q244" i="3" s="1" a="1"/>
  <c r="Q244" i="3" s="1"/>
  <c r="G244" i="3"/>
  <c r="P244" i="3" l="1"/>
  <c r="R244" i="3" s="1"/>
  <c r="B245" i="3"/>
  <c r="L245" i="3" l="1"/>
  <c r="S244" i="3"/>
  <c r="T244" i="3" s="1"/>
  <c r="U244" i="3" s="1"/>
  <c r="D245" i="3"/>
  <c r="K245" i="3"/>
  <c r="V244" i="3" l="1"/>
  <c r="W244" i="3" s="1"/>
  <c r="N245" i="3"/>
  <c r="O245" i="3"/>
  <c r="Q245" i="3" s="1" a="1"/>
  <c r="Q245" i="3" s="1"/>
  <c r="G245" i="3"/>
  <c r="P245" i="3" l="1"/>
  <c r="R245" i="3" s="1"/>
  <c r="B246" i="3"/>
  <c r="S245" i="3" l="1"/>
  <c r="T245" i="3" s="1"/>
  <c r="U245" i="3" s="1"/>
  <c r="L246" i="3"/>
  <c r="D246" i="3"/>
  <c r="K246" i="3"/>
  <c r="V245" i="3" l="1"/>
  <c r="W245" i="3" s="1"/>
  <c r="N246" i="3"/>
  <c r="O246" i="3"/>
  <c r="Q246" i="3" s="1" a="1"/>
  <c r="Q246" i="3" s="1"/>
  <c r="G246" i="3"/>
  <c r="P246" i="3" l="1"/>
  <c r="R246" i="3" s="1"/>
  <c r="B247" i="3"/>
  <c r="S246" i="3" l="1"/>
  <c r="T246" i="3" s="1"/>
  <c r="U246" i="3" s="1"/>
  <c r="L247" i="3"/>
  <c r="K247" i="3"/>
  <c r="D247" i="3"/>
  <c r="V246" i="3" l="1"/>
  <c r="W246" i="3" s="1"/>
  <c r="G247" i="3"/>
  <c r="B248" i="3" s="1"/>
  <c r="N247" i="3"/>
  <c r="O247" i="3"/>
  <c r="Q247" i="3" s="1" a="1"/>
  <c r="Q247" i="3" s="1"/>
  <c r="D248" i="3" l="1"/>
  <c r="L248" i="3"/>
  <c r="K248" i="3"/>
  <c r="N248" i="3" s="1"/>
  <c r="P247" i="3"/>
  <c r="R247" i="3" s="1"/>
  <c r="S247" i="3" l="1"/>
  <c r="T247" i="3" s="1"/>
  <c r="U247" i="3" s="1"/>
  <c r="O248" i="3"/>
  <c r="G248" i="3"/>
  <c r="B249" i="3" s="1"/>
  <c r="V247" i="3" l="1"/>
  <c r="W247" i="3" s="1"/>
  <c r="P248" i="3"/>
  <c r="S248" i="3" s="1"/>
  <c r="Q248" i="3" a="1"/>
  <c r="Q248" i="3" s="1"/>
  <c r="K249" i="3"/>
  <c r="N249" i="3" s="1"/>
  <c r="L249" i="3"/>
  <c r="D249" i="3"/>
  <c r="B250" i="3"/>
  <c r="V248" i="3" l="1"/>
  <c r="W248" i="3" s="1"/>
  <c r="R248" i="3"/>
  <c r="G249" i="3"/>
  <c r="O249" i="3"/>
  <c r="L250" i="3"/>
  <c r="T248" i="3"/>
  <c r="U248" i="3" s="1"/>
  <c r="K250" i="3"/>
  <c r="D250" i="3"/>
  <c r="P249" i="3" l="1"/>
  <c r="S249" i="3" s="1"/>
  <c r="V249" i="3" s="1"/>
  <c r="W249" i="3" s="1"/>
  <c r="Q249" i="3" a="1"/>
  <c r="Q249" i="3" s="1"/>
  <c r="N250" i="3"/>
  <c r="O250" i="3"/>
  <c r="Q250" i="3" s="1" a="1"/>
  <c r="Q250" i="3" s="1"/>
  <c r="G250" i="3"/>
  <c r="R249" i="3" l="1"/>
  <c r="T249" i="3"/>
  <c r="U249" i="3" s="1"/>
  <c r="P250" i="3"/>
  <c r="R250" i="3" s="1"/>
  <c r="B251" i="3"/>
  <c r="S250" i="3" l="1"/>
  <c r="T250" i="3" s="1"/>
  <c r="U250" i="3" s="1"/>
  <c r="L251" i="3"/>
  <c r="K251" i="3"/>
  <c r="D251" i="3"/>
  <c r="V250" i="3" l="1"/>
  <c r="W250" i="3" s="1"/>
  <c r="N251" i="3"/>
  <c r="O251" i="3"/>
  <c r="Q251" i="3" s="1" a="1"/>
  <c r="Q251" i="3" s="1"/>
  <c r="G251" i="3"/>
  <c r="P251" i="3" l="1"/>
  <c r="R251" i="3" s="1"/>
  <c r="B252" i="3"/>
  <c r="S251" i="3" l="1"/>
  <c r="T251" i="3" s="1"/>
  <c r="U251" i="3" s="1"/>
  <c r="L252" i="3"/>
  <c r="K252" i="3"/>
  <c r="D252" i="3"/>
  <c r="V251" i="3" l="1"/>
  <c r="W251" i="3" s="1"/>
  <c r="N252" i="3"/>
  <c r="O252" i="3"/>
  <c r="Q252" i="3" s="1" a="1"/>
  <c r="Q252" i="3" s="1"/>
  <c r="G252" i="3"/>
  <c r="P252" i="3" l="1"/>
  <c r="R252" i="3" s="1"/>
  <c r="B253" i="3"/>
  <c r="S252" i="3" l="1"/>
  <c r="T252" i="3" s="1"/>
  <c r="U252" i="3" s="1"/>
  <c r="L253" i="3"/>
  <c r="D253" i="3"/>
  <c r="K253" i="3"/>
  <c r="V252" i="3" l="1"/>
  <c r="W252" i="3" s="1"/>
  <c r="N253" i="3"/>
  <c r="O253" i="3"/>
  <c r="Q253" i="3" s="1" a="1"/>
  <c r="Q253" i="3" s="1"/>
  <c r="G253" i="3"/>
  <c r="P253" i="3" l="1"/>
  <c r="R253" i="3" s="1"/>
  <c r="B254" i="3"/>
  <c r="S253" i="3" l="1"/>
  <c r="T253" i="3" s="1"/>
  <c r="U253" i="3" s="1"/>
  <c r="L254" i="3"/>
  <c r="K254" i="3"/>
  <c r="D254" i="3"/>
  <c r="V253" i="3" l="1"/>
  <c r="W253" i="3" s="1"/>
  <c r="G254" i="3"/>
  <c r="B255" i="3" s="1"/>
  <c r="N254" i="3"/>
  <c r="O254" i="3"/>
  <c r="Q254" i="3" s="1" a="1"/>
  <c r="Q254" i="3" s="1"/>
  <c r="D255" i="3" l="1"/>
  <c r="L255" i="3"/>
  <c r="P254" i="3"/>
  <c r="R254" i="3" s="1"/>
  <c r="K255" i="3"/>
  <c r="B256" i="3"/>
  <c r="G255" i="3" l="1"/>
  <c r="S254" i="3"/>
  <c r="T254" i="3" s="1"/>
  <c r="U254" i="3" s="1"/>
  <c r="L256" i="3"/>
  <c r="O255" i="3"/>
  <c r="N255" i="3"/>
  <c r="K256" i="3"/>
  <c r="D256" i="3"/>
  <c r="V254" i="3" l="1"/>
  <c r="W254" i="3" s="1"/>
  <c r="P255" i="3"/>
  <c r="S255" i="3" s="1"/>
  <c r="Q255" i="3" a="1"/>
  <c r="Q255" i="3" s="1"/>
  <c r="N256" i="3"/>
  <c r="O256" i="3"/>
  <c r="Q256" i="3" s="1" a="1"/>
  <c r="Q256" i="3" s="1"/>
  <c r="G256" i="3"/>
  <c r="V255" i="3" l="1"/>
  <c r="W255" i="3" s="1"/>
  <c r="T255" i="3"/>
  <c r="U255" i="3" s="1"/>
  <c r="R255" i="3"/>
  <c r="P256" i="3"/>
  <c r="R256" i="3" s="1"/>
  <c r="B257" i="3"/>
  <c r="S256" i="3" l="1"/>
  <c r="T256" i="3" s="1"/>
  <c r="U256" i="3" s="1"/>
  <c r="L257" i="3"/>
  <c r="K257" i="3"/>
  <c r="D257" i="3"/>
  <c r="V256" i="3" l="1"/>
  <c r="W256" i="3" s="1"/>
  <c r="N257" i="3"/>
  <c r="O257" i="3"/>
  <c r="Q257" i="3" s="1" a="1"/>
  <c r="Q257" i="3" s="1"/>
  <c r="G257" i="3"/>
  <c r="P257" i="3" l="1"/>
  <c r="R257" i="3" s="1"/>
  <c r="B258" i="3"/>
  <c r="S257" i="3" l="1"/>
  <c r="T257" i="3" s="1"/>
  <c r="U257" i="3" s="1"/>
  <c r="L258" i="3"/>
  <c r="K258" i="3"/>
  <c r="D258" i="3"/>
  <c r="V257" i="3" l="1"/>
  <c r="W257" i="3" s="1"/>
  <c r="N258" i="3"/>
  <c r="O258" i="3"/>
  <c r="Q258" i="3" s="1" a="1"/>
  <c r="Q258" i="3" s="1"/>
  <c r="G258" i="3"/>
  <c r="P258" i="3" l="1"/>
  <c r="R258" i="3" s="1"/>
  <c r="B259" i="3"/>
  <c r="S258" i="3" l="1"/>
  <c r="T258" i="3" s="1"/>
  <c r="U258" i="3" s="1"/>
  <c r="L259" i="3"/>
  <c r="D259" i="3"/>
  <c r="K259" i="3"/>
  <c r="V258" i="3" l="1"/>
  <c r="W258" i="3" s="1"/>
  <c r="N259" i="3"/>
  <c r="O259" i="3"/>
  <c r="Q259" i="3" s="1" a="1"/>
  <c r="Q259" i="3" s="1"/>
  <c r="G259" i="3"/>
  <c r="P259" i="3" l="1"/>
  <c r="R259" i="3" s="1"/>
  <c r="B260" i="3"/>
  <c r="S259" i="3" l="1"/>
  <c r="T259" i="3" s="1"/>
  <c r="U259" i="3" s="1"/>
  <c r="L260" i="3"/>
  <c r="D260" i="3"/>
  <c r="K260" i="3"/>
  <c r="V259" i="3" l="1"/>
  <c r="W259" i="3" s="1"/>
  <c r="G260" i="3"/>
  <c r="N260" i="3"/>
  <c r="O260" i="3"/>
  <c r="Q260" i="3" s="1" a="1"/>
  <c r="Q260" i="3" s="1"/>
  <c r="B261" i="3"/>
  <c r="L261" i="3" l="1"/>
  <c r="P260" i="3"/>
  <c r="S260" i="3" s="1"/>
  <c r="V260" i="3" s="1"/>
  <c r="D261" i="3"/>
  <c r="K261" i="3"/>
  <c r="R260" i="3" l="1"/>
  <c r="T260" i="3"/>
  <c r="U260" i="3" s="1"/>
  <c r="W260" i="3"/>
  <c r="N261" i="3"/>
  <c r="O261" i="3"/>
  <c r="Q261" i="3" s="1" a="1"/>
  <c r="Q261" i="3" s="1"/>
  <c r="G261" i="3"/>
  <c r="P261" i="3" l="1"/>
  <c r="R261" i="3" s="1"/>
  <c r="B262" i="3"/>
  <c r="S261" i="3" l="1"/>
  <c r="T261" i="3" s="1"/>
  <c r="U261" i="3" s="1"/>
  <c r="L262" i="3"/>
  <c r="D262" i="3"/>
  <c r="K262" i="3"/>
  <c r="V261" i="3" l="1"/>
  <c r="W261" i="3" s="1"/>
  <c r="N262" i="3"/>
  <c r="O262" i="3"/>
  <c r="Q262" i="3" s="1" a="1"/>
  <c r="Q262" i="3" s="1"/>
  <c r="G262" i="3"/>
  <c r="P262" i="3" l="1"/>
  <c r="R262" i="3" s="1"/>
  <c r="B263" i="3"/>
  <c r="S262" i="3" l="1"/>
  <c r="T262" i="3" s="1"/>
  <c r="U262" i="3" s="1"/>
  <c r="L263" i="3"/>
  <c r="D263" i="3"/>
  <c r="K263" i="3"/>
  <c r="V262" i="3" l="1"/>
  <c r="W262" i="3" s="1"/>
  <c r="N263" i="3"/>
  <c r="O263" i="3"/>
  <c r="Q263" i="3" s="1" a="1"/>
  <c r="Q263" i="3" s="1"/>
  <c r="G263" i="3"/>
  <c r="P263" i="3" l="1"/>
  <c r="R263" i="3" s="1"/>
  <c r="B264" i="3"/>
  <c r="S263" i="3" l="1"/>
  <c r="T263" i="3" s="1"/>
  <c r="U263" i="3" s="1"/>
  <c r="L264" i="3"/>
  <c r="K264" i="3"/>
  <c r="D264" i="3"/>
  <c r="V263" i="3" l="1"/>
  <c r="W263" i="3" s="1"/>
  <c r="N264" i="3"/>
  <c r="O264" i="3"/>
  <c r="Q264" i="3" s="1" a="1"/>
  <c r="Q264" i="3" s="1"/>
  <c r="G264" i="3"/>
  <c r="P264" i="3" l="1"/>
  <c r="R264" i="3" s="1"/>
  <c r="B265" i="3"/>
  <c r="S264" i="3" l="1"/>
  <c r="T264" i="3" s="1"/>
  <c r="U264" i="3" s="1"/>
  <c r="L265" i="3"/>
  <c r="D265" i="3"/>
  <c r="K265" i="3"/>
  <c r="V264" i="3" l="1"/>
  <c r="W264" i="3" s="1"/>
  <c r="N265" i="3"/>
  <c r="O265" i="3"/>
  <c r="Q265" i="3" s="1" a="1"/>
  <c r="Q265" i="3" s="1"/>
  <c r="G265" i="3"/>
  <c r="P265" i="3" l="1"/>
  <c r="R265" i="3" s="1"/>
  <c r="B266" i="3"/>
  <c r="S265" i="3" l="1"/>
  <c r="T265" i="3" s="1"/>
  <c r="U265" i="3" s="1"/>
  <c r="L266" i="3"/>
  <c r="D266" i="3"/>
  <c r="K266" i="3"/>
  <c r="V265" i="3" l="1"/>
  <c r="W265" i="3" s="1"/>
  <c r="N266" i="3"/>
  <c r="O266" i="3"/>
  <c r="Q266" i="3" s="1" a="1"/>
  <c r="Q266" i="3" s="1"/>
  <c r="G266" i="3"/>
  <c r="P266" i="3" l="1"/>
  <c r="R266" i="3" s="1"/>
  <c r="B267" i="3"/>
  <c r="S266" i="3" l="1"/>
  <c r="T266" i="3" s="1"/>
  <c r="U266" i="3" s="1"/>
  <c r="L267" i="3"/>
  <c r="K267" i="3"/>
  <c r="D267" i="3"/>
  <c r="V266" i="3" l="1"/>
  <c r="W266" i="3" s="1"/>
  <c r="G267" i="3"/>
  <c r="B268" i="3" s="1"/>
  <c r="N267" i="3"/>
  <c r="O267" i="3"/>
  <c r="Q267" i="3" s="1" a="1"/>
  <c r="Q267" i="3" s="1"/>
  <c r="D268" i="3" l="1"/>
  <c r="L268" i="3"/>
  <c r="P267" i="3"/>
  <c r="R267" i="3" s="1"/>
  <c r="K268" i="3"/>
  <c r="N268" i="3" s="1"/>
  <c r="S267" i="3" l="1"/>
  <c r="T267" i="3" s="1"/>
  <c r="U267" i="3" s="1"/>
  <c r="G268" i="3"/>
  <c r="O268" i="3"/>
  <c r="Q268" i="3" s="1" a="1"/>
  <c r="Q268" i="3" s="1"/>
  <c r="B269" i="3"/>
  <c r="V267" i="3" l="1"/>
  <c r="W267" i="3" s="1"/>
  <c r="L269" i="3"/>
  <c r="P268" i="3"/>
  <c r="K269" i="3"/>
  <c r="D269" i="3"/>
  <c r="R268" i="3" l="1"/>
  <c r="S268" i="3"/>
  <c r="N269" i="3"/>
  <c r="O269" i="3"/>
  <c r="Q269" i="3" s="1" a="1"/>
  <c r="Q269" i="3" s="1"/>
  <c r="G269" i="3"/>
  <c r="P269" i="3" l="1"/>
  <c r="R269" i="3" s="1"/>
  <c r="T268" i="3"/>
  <c r="U268" i="3" s="1"/>
  <c r="V268" i="3"/>
  <c r="W268" i="3" s="1"/>
  <c r="B270" i="3"/>
  <c r="S269" i="3" l="1"/>
  <c r="T269" i="3" s="1"/>
  <c r="U269" i="3" s="1"/>
  <c r="L270" i="3"/>
  <c r="K270" i="3"/>
  <c r="D270" i="3"/>
  <c r="V269" i="3" l="1"/>
  <c r="W269" i="3" s="1"/>
  <c r="N270" i="3"/>
  <c r="O270" i="3"/>
  <c r="Q270" i="3" s="1" a="1"/>
  <c r="Q270" i="3" s="1"/>
  <c r="G270" i="3"/>
  <c r="P270" i="3" l="1"/>
  <c r="R270" i="3" s="1"/>
  <c r="B271" i="3"/>
  <c r="S270" i="3" l="1"/>
  <c r="T270" i="3" s="1"/>
  <c r="U270" i="3" s="1"/>
  <c r="L271" i="3"/>
  <c r="D271" i="3"/>
  <c r="K271" i="3"/>
  <c r="V270" i="3" l="1"/>
  <c r="W270" i="3" s="1"/>
  <c r="N271" i="3"/>
  <c r="O271" i="3"/>
  <c r="Q271" i="3" s="1" a="1"/>
  <c r="Q271" i="3" s="1"/>
  <c r="G271" i="3"/>
  <c r="P271" i="3" l="1"/>
  <c r="R271" i="3" s="1"/>
  <c r="B272" i="3"/>
  <c r="S271" i="3" l="1"/>
  <c r="T271" i="3" s="1"/>
  <c r="U271" i="3" s="1"/>
  <c r="L272" i="3"/>
  <c r="K272" i="3"/>
  <c r="D272" i="3"/>
  <c r="V271" i="3" l="1"/>
  <c r="W271" i="3" s="1"/>
  <c r="N272" i="3"/>
  <c r="O272" i="3"/>
  <c r="Q272" i="3" s="1" a="1"/>
  <c r="Q272" i="3" s="1"/>
  <c r="G272" i="3"/>
  <c r="P272" i="3" l="1"/>
  <c r="R272" i="3" s="1"/>
  <c r="B273" i="3"/>
  <c r="S272" i="3" l="1"/>
  <c r="T272" i="3" s="1"/>
  <c r="U272" i="3" s="1"/>
  <c r="L273" i="3"/>
  <c r="K273" i="3"/>
  <c r="D273" i="3"/>
  <c r="V272" i="3" l="1"/>
  <c r="W272" i="3" s="1"/>
  <c r="G273" i="3"/>
  <c r="B274" i="3" s="1"/>
  <c r="N273" i="3"/>
  <c r="O273" i="3"/>
  <c r="Q273" i="3" s="1" a="1"/>
  <c r="Q273" i="3" s="1"/>
  <c r="D274" i="3" l="1"/>
  <c r="L274" i="3"/>
  <c r="K274" i="3"/>
  <c r="N274" i="3" s="1"/>
  <c r="P273" i="3"/>
  <c r="R273" i="3" s="1"/>
  <c r="G274" i="3" l="1"/>
  <c r="S273" i="3"/>
  <c r="T273" i="3" s="1"/>
  <c r="U273" i="3" s="1"/>
  <c r="O274" i="3"/>
  <c r="B275" i="3"/>
  <c r="V273" i="3" l="1"/>
  <c r="W273" i="3" s="1"/>
  <c r="P274" i="3"/>
  <c r="S274" i="3" s="1"/>
  <c r="Q274" i="3" a="1"/>
  <c r="Q274" i="3" s="1"/>
  <c r="L275" i="3"/>
  <c r="K275" i="3"/>
  <c r="D275" i="3"/>
  <c r="R274" i="3" l="1"/>
  <c r="T274" i="3"/>
  <c r="U274" i="3" s="1"/>
  <c r="V274" i="3"/>
  <c r="W274" i="3" s="1"/>
  <c r="N275" i="3"/>
  <c r="O275" i="3"/>
  <c r="Q275" i="3" s="1" a="1"/>
  <c r="Q275" i="3" s="1"/>
  <c r="G275" i="3"/>
  <c r="P275" i="3" l="1"/>
  <c r="R275" i="3" s="1"/>
  <c r="B276" i="3"/>
  <c r="S275" i="3" l="1"/>
  <c r="T275" i="3" s="1"/>
  <c r="U275" i="3" s="1"/>
  <c r="L276" i="3"/>
  <c r="K276" i="3"/>
  <c r="D276" i="3"/>
  <c r="V275" i="3" l="1"/>
  <c r="W275" i="3" s="1"/>
  <c r="G276" i="3"/>
  <c r="B277" i="3" s="1"/>
  <c r="N276" i="3"/>
  <c r="O276" i="3"/>
  <c r="Q276" i="3" s="1" a="1"/>
  <c r="Q276" i="3" s="1"/>
  <c r="D277" i="3" l="1"/>
  <c r="L277" i="3"/>
  <c r="K277" i="3"/>
  <c r="N277" i="3" s="1"/>
  <c r="P276" i="3"/>
  <c r="R276" i="3" s="1"/>
  <c r="S276" i="3" l="1"/>
  <c r="V276" i="3" s="1"/>
  <c r="G277" i="3"/>
  <c r="O277" i="3"/>
  <c r="B278" i="3"/>
  <c r="T276" i="3" l="1"/>
  <c r="U276" i="3" s="1"/>
  <c r="P277" i="3"/>
  <c r="S277" i="3" s="1"/>
  <c r="V277" i="3" s="1"/>
  <c r="Q277" i="3" a="1"/>
  <c r="Q277" i="3" s="1"/>
  <c r="L278" i="3"/>
  <c r="W276" i="3"/>
  <c r="K278" i="3"/>
  <c r="D278" i="3"/>
  <c r="R277" i="3" l="1"/>
  <c r="T277" i="3"/>
  <c r="U277" i="3" s="1"/>
  <c r="W277" i="3"/>
  <c r="N278" i="3"/>
  <c r="O278" i="3"/>
  <c r="Q278" i="3" s="1" a="1"/>
  <c r="Q278" i="3" s="1"/>
  <c r="G278" i="3"/>
  <c r="P278" i="3" l="1"/>
  <c r="R278" i="3" s="1"/>
  <c r="B279" i="3"/>
  <c r="S278" i="3" l="1"/>
  <c r="T278" i="3" s="1"/>
  <c r="U278" i="3" s="1"/>
  <c r="L279" i="3"/>
  <c r="K279" i="3"/>
  <c r="D279" i="3"/>
  <c r="V278" i="3" l="1"/>
  <c r="W278" i="3" s="1"/>
  <c r="G279" i="3"/>
  <c r="B280" i="3" s="1"/>
  <c r="N279" i="3"/>
  <c r="O279" i="3"/>
  <c r="Q279" i="3" s="1" a="1"/>
  <c r="Q279" i="3" s="1"/>
  <c r="D280" i="3" l="1"/>
  <c r="L280" i="3"/>
  <c r="K280" i="3"/>
  <c r="N280" i="3" s="1"/>
  <c r="P279" i="3"/>
  <c r="S279" i="3" s="1"/>
  <c r="R279" i="3" l="1"/>
  <c r="G280" i="3"/>
  <c r="O280" i="3"/>
  <c r="T279" i="3"/>
  <c r="U279" i="3" s="1"/>
  <c r="V279" i="3"/>
  <c r="B281" i="3"/>
  <c r="P280" i="3" l="1"/>
  <c r="S280" i="3" s="1"/>
  <c r="V280" i="3" s="1"/>
  <c r="Q280" i="3" a="1"/>
  <c r="Q280" i="3" s="1"/>
  <c r="L281" i="3"/>
  <c r="W279" i="3"/>
  <c r="K281" i="3"/>
  <c r="D281" i="3"/>
  <c r="R280" i="3" l="1"/>
  <c r="T280" i="3"/>
  <c r="U280" i="3" s="1"/>
  <c r="W280" i="3"/>
  <c r="N281" i="3"/>
  <c r="O281" i="3"/>
  <c r="Q281" i="3" s="1" a="1"/>
  <c r="Q281" i="3" s="1"/>
  <c r="G281" i="3"/>
  <c r="P281" i="3" l="1"/>
  <c r="R281" i="3" s="1"/>
  <c r="B282" i="3"/>
  <c r="S281" i="3" l="1"/>
  <c r="T281" i="3" s="1"/>
  <c r="U281" i="3" s="1"/>
  <c r="L282" i="3"/>
  <c r="D282" i="3"/>
  <c r="K282" i="3"/>
  <c r="V281" i="3" l="1"/>
  <c r="W281" i="3" s="1"/>
  <c r="G282" i="3"/>
  <c r="B283" i="3" s="1"/>
  <c r="N282" i="3"/>
  <c r="O282" i="3"/>
  <c r="Q282" i="3" s="1" a="1"/>
  <c r="Q282" i="3" s="1"/>
  <c r="D283" i="3" l="1"/>
  <c r="L283" i="3"/>
  <c r="K283" i="3"/>
  <c r="N283" i="3" s="1"/>
  <c r="P282" i="3"/>
  <c r="S282" i="3" s="1"/>
  <c r="B284" i="3"/>
  <c r="R282" i="3" l="1"/>
  <c r="L284" i="3"/>
  <c r="G283" i="3"/>
  <c r="O283" i="3"/>
  <c r="Q283" i="3" s="1" a="1"/>
  <c r="Q283" i="3" s="1"/>
  <c r="T282" i="3"/>
  <c r="U282" i="3" s="1"/>
  <c r="V282" i="3"/>
  <c r="D284" i="3"/>
  <c r="K284" i="3"/>
  <c r="P283" i="3" l="1"/>
  <c r="S283" i="3" s="1"/>
  <c r="V283" i="3" s="1"/>
  <c r="W282" i="3"/>
  <c r="N284" i="3"/>
  <c r="O284" i="3"/>
  <c r="Q284" i="3" s="1" a="1"/>
  <c r="Q284" i="3" s="1"/>
  <c r="G284" i="3"/>
  <c r="R283" i="3" l="1"/>
  <c r="P284" i="3"/>
  <c r="R284" i="3" s="1"/>
  <c r="T283" i="3"/>
  <c r="U283" i="3" s="1"/>
  <c r="W283" i="3"/>
  <c r="B285" i="3"/>
  <c r="S284" i="3" l="1"/>
  <c r="T284" i="3" s="1"/>
  <c r="U284" i="3" s="1"/>
  <c r="L285" i="3"/>
  <c r="K285" i="3"/>
  <c r="D285" i="3"/>
  <c r="V284" i="3" l="1"/>
  <c r="W284" i="3" s="1"/>
  <c r="G285" i="3"/>
  <c r="B286" i="3" s="1"/>
  <c r="N285" i="3"/>
  <c r="O285" i="3"/>
  <c r="Q285" i="3" s="1" a="1"/>
  <c r="Q285" i="3" s="1"/>
  <c r="K286" i="3" l="1"/>
  <c r="L286" i="3"/>
  <c r="D286" i="3"/>
  <c r="P285" i="3"/>
  <c r="S285" i="3" s="1"/>
  <c r="G286" i="3" l="1"/>
  <c r="O286" i="3"/>
  <c r="Q286" i="3" s="1" a="1"/>
  <c r="Q286" i="3" s="1"/>
  <c r="N286" i="3"/>
  <c r="R285" i="3"/>
  <c r="T285" i="3"/>
  <c r="U285" i="3" s="1"/>
  <c r="V285" i="3"/>
  <c r="B287" i="3"/>
  <c r="P286" i="3" l="1"/>
  <c r="S286" i="3" s="1"/>
  <c r="T286" i="3" s="1"/>
  <c r="U286" i="3" s="1"/>
  <c r="L287" i="3"/>
  <c r="W285" i="3"/>
  <c r="K287" i="3"/>
  <c r="D287" i="3"/>
  <c r="R286" i="3" l="1"/>
  <c r="V286" i="3"/>
  <c r="W286" i="3" s="1"/>
  <c r="N287" i="3"/>
  <c r="O287" i="3"/>
  <c r="Q287" i="3" s="1" a="1"/>
  <c r="Q287" i="3" s="1"/>
  <c r="G287" i="3"/>
  <c r="P287" i="3" l="1"/>
  <c r="R287" i="3" s="1"/>
  <c r="B288" i="3"/>
  <c r="S287" i="3" l="1"/>
  <c r="T287" i="3" s="1"/>
  <c r="U287" i="3" s="1"/>
  <c r="L288" i="3"/>
  <c r="D288" i="3"/>
  <c r="K288" i="3"/>
  <c r="V287" i="3" l="1"/>
  <c r="W287" i="3" s="1"/>
  <c r="N288" i="3"/>
  <c r="O288" i="3"/>
  <c r="Q288" i="3" s="1" a="1"/>
  <c r="Q288" i="3" s="1"/>
  <c r="G288" i="3"/>
  <c r="P288" i="3" l="1"/>
  <c r="R288" i="3" s="1"/>
  <c r="B289" i="3"/>
  <c r="S288" i="3" l="1"/>
  <c r="T288" i="3" s="1"/>
  <c r="U288" i="3" s="1"/>
  <c r="K289" i="3"/>
  <c r="D289" i="3"/>
  <c r="V288" i="3" l="1"/>
  <c r="W288" i="3" s="1"/>
  <c r="N289" i="3"/>
  <c r="O289" i="3"/>
  <c r="Q289" i="3" s="1" a="1"/>
  <c r="Q289" i="3" s="1"/>
  <c r="G289" i="3"/>
  <c r="P289" i="3" l="1"/>
  <c r="R289" i="3" s="1"/>
  <c r="B290" i="3"/>
  <c r="L289" i="3" l="1"/>
  <c r="K290" i="3"/>
  <c r="D290" i="3"/>
  <c r="S289" i="3" l="1"/>
  <c r="N290" i="3"/>
  <c r="O290" i="3"/>
  <c r="Q290" i="3" s="1" a="1"/>
  <c r="Q290" i="3" s="1"/>
  <c r="G290" i="3"/>
  <c r="V289" i="3" l="1"/>
  <c r="W289" i="3" s="1"/>
  <c r="T289" i="3"/>
  <c r="U289" i="3" s="1"/>
  <c r="P290" i="3"/>
  <c r="R290" i="3" s="1"/>
  <c r="B291" i="3"/>
  <c r="L290" i="3" l="1"/>
  <c r="K291" i="3"/>
  <c r="D291" i="3"/>
  <c r="S290" i="3" l="1"/>
  <c r="N291" i="3"/>
  <c r="O291" i="3"/>
  <c r="Q291" i="3" s="1" a="1"/>
  <c r="Q291" i="3" s="1"/>
  <c r="G291" i="3"/>
  <c r="V290" i="3" l="1"/>
  <c r="W290" i="3" s="1"/>
  <c r="T290" i="3"/>
  <c r="U290" i="3" s="1"/>
  <c r="P291" i="3"/>
  <c r="R291" i="3" s="1"/>
  <c r="B292" i="3"/>
  <c r="L291" i="3" l="1"/>
  <c r="D292" i="3"/>
  <c r="K292" i="3"/>
  <c r="S291" i="3" l="1"/>
  <c r="N292" i="3"/>
  <c r="O292" i="3"/>
  <c r="Q292" i="3" s="1" a="1"/>
  <c r="Q292" i="3" s="1"/>
  <c r="G292" i="3"/>
  <c r="V291" i="3" l="1"/>
  <c r="W291" i="3" s="1"/>
  <c r="T291" i="3"/>
  <c r="U291" i="3" s="1"/>
  <c r="P292" i="3"/>
  <c r="R292" i="3" s="1"/>
  <c r="B293" i="3"/>
  <c r="L292" i="3" l="1"/>
  <c r="K293" i="3"/>
  <c r="D293" i="3"/>
  <c r="S292" i="3" l="1"/>
  <c r="N293" i="3"/>
  <c r="O293" i="3"/>
  <c r="Q293" i="3" s="1" a="1"/>
  <c r="Q293" i="3" s="1"/>
  <c r="G293" i="3"/>
  <c r="V292" i="3" l="1"/>
  <c r="W292" i="3" s="1"/>
  <c r="T292" i="3"/>
  <c r="U292" i="3" s="1"/>
  <c r="P293" i="3"/>
  <c r="R293" i="3" s="1"/>
  <c r="B294" i="3"/>
  <c r="L293" i="3" l="1"/>
  <c r="D294" i="3"/>
  <c r="K294" i="3"/>
  <c r="S293" i="3" l="1"/>
  <c r="G294" i="3"/>
  <c r="N294" i="3"/>
  <c r="O294" i="3"/>
  <c r="Q294" i="3" s="1" a="1"/>
  <c r="Q294" i="3" s="1"/>
  <c r="B295" i="3"/>
  <c r="L294" i="3" l="1"/>
  <c r="T293" i="3"/>
  <c r="U293" i="3" s="1"/>
  <c r="V293" i="3"/>
  <c r="W293" i="3" s="1"/>
  <c r="P294" i="3"/>
  <c r="R294" i="3" s="1"/>
  <c r="D295" i="3"/>
  <c r="K295" i="3"/>
  <c r="S294" i="3" l="1"/>
  <c r="V294" i="3" s="1"/>
  <c r="W294" i="3" s="1"/>
  <c r="G295" i="3"/>
  <c r="N295" i="3"/>
  <c r="O295" i="3"/>
  <c r="Q295" i="3" s="1" a="1"/>
  <c r="Q295" i="3" s="1"/>
  <c r="B296" i="3"/>
  <c r="H2" i="7" s="1"/>
  <c r="K2" i="7" s="1"/>
  <c r="T294" i="3" l="1"/>
  <c r="U294" i="3" s="1"/>
  <c r="L295" i="3"/>
  <c r="P295" i="3"/>
  <c r="R295" i="3" s="1"/>
  <c r="D296" i="3"/>
  <c r="K296" i="3"/>
  <c r="S295" i="3" l="1"/>
  <c r="V295" i="3" s="1"/>
  <c r="W295" i="3" s="1"/>
  <c r="L296" i="3"/>
  <c r="N296" i="3"/>
  <c r="O296" i="3"/>
  <c r="Q296" i="3" s="1" a="1"/>
  <c r="Q296" i="3" s="1"/>
  <c r="G296" i="3"/>
  <c r="T295" i="3" l="1"/>
  <c r="U295" i="3" s="1"/>
  <c r="P296" i="3"/>
  <c r="R296" i="3" s="1"/>
  <c r="B297" i="3"/>
  <c r="S296" i="3" l="1"/>
  <c r="T296" i="3" s="1"/>
  <c r="U296" i="3" s="1"/>
  <c r="L297" i="3"/>
  <c r="K297" i="3"/>
  <c r="D297" i="3"/>
  <c r="V296" i="3" l="1"/>
  <c r="W296" i="3" s="1"/>
  <c r="G297" i="3"/>
  <c r="B298" i="3" s="1"/>
  <c r="N297" i="3"/>
  <c r="O297" i="3"/>
  <c r="Q297" i="3" s="1" a="1"/>
  <c r="Q297" i="3" s="1"/>
  <c r="L298" i="3" l="1"/>
  <c r="P297" i="3"/>
  <c r="R297" i="3" s="1"/>
  <c r="K298" i="3"/>
  <c r="D298" i="3"/>
  <c r="S297" i="3" l="1"/>
  <c r="T297" i="3" s="1"/>
  <c r="U297" i="3" s="1"/>
  <c r="G298" i="3"/>
  <c r="B299" i="3" s="1"/>
  <c r="O298" i="3"/>
  <c r="Q298" i="3" s="1" a="1"/>
  <c r="Q298" i="3" s="1"/>
  <c r="N298" i="3"/>
  <c r="V297" i="3" l="1"/>
  <c r="W297" i="3" s="1"/>
  <c r="L299" i="3"/>
  <c r="D299" i="3"/>
  <c r="K299" i="3"/>
  <c r="O299" i="3" s="1"/>
  <c r="P298" i="3"/>
  <c r="S298" i="3" s="1"/>
  <c r="B300" i="3"/>
  <c r="V298" i="3" l="1"/>
  <c r="W298" i="3" s="1"/>
  <c r="N299" i="3"/>
  <c r="G299" i="3"/>
  <c r="R298" i="3"/>
  <c r="P299" i="3"/>
  <c r="S299" i="3" s="1"/>
  <c r="Q299" i="3" a="1"/>
  <c r="Q299" i="3" s="1"/>
  <c r="L300" i="3"/>
  <c r="T298" i="3"/>
  <c r="U298" i="3" s="1"/>
  <c r="D300" i="3"/>
  <c r="K300" i="3"/>
  <c r="R299" i="3" l="1"/>
  <c r="V299" i="3"/>
  <c r="W299" i="3" s="1"/>
  <c r="T299" i="3"/>
  <c r="U299" i="3" s="1"/>
  <c r="N300" i="3"/>
  <c r="O300" i="3"/>
  <c r="Q300" i="3" s="1" a="1"/>
  <c r="Q300" i="3" s="1"/>
  <c r="G300" i="3"/>
  <c r="P300" i="3" l="1"/>
  <c r="R300" i="3" s="1"/>
  <c r="B301" i="3"/>
  <c r="L301" i="3" l="1"/>
  <c r="S300" i="3"/>
  <c r="B302" i="3"/>
  <c r="K301" i="3"/>
  <c r="D301" i="3"/>
  <c r="L302" i="3" l="1"/>
  <c r="T300" i="3"/>
  <c r="U300" i="3" s="1"/>
  <c r="V300" i="3"/>
  <c r="N301" i="3"/>
  <c r="O301" i="3"/>
  <c r="Q301" i="3" s="1" a="1"/>
  <c r="Q301" i="3" s="1"/>
  <c r="G301" i="3"/>
  <c r="P301" i="3" l="1"/>
  <c r="R301" i="3" s="1"/>
  <c r="W300" i="3"/>
  <c r="S301" i="3" l="1"/>
  <c r="D302" i="3"/>
  <c r="K302" i="3"/>
  <c r="T301" i="3" l="1"/>
  <c r="U301" i="3" s="1"/>
  <c r="V301" i="3"/>
  <c r="N302" i="3"/>
  <c r="O302" i="3"/>
  <c r="Q302" i="3" s="1" a="1"/>
  <c r="Q302" i="3" s="1"/>
  <c r="G302" i="3"/>
  <c r="P302" i="3" l="1"/>
  <c r="S302" i="3" s="1"/>
  <c r="V302" i="3" s="1"/>
  <c r="W301" i="3"/>
  <c r="B303" i="3"/>
  <c r="T302" i="3" l="1"/>
  <c r="U302" i="3" s="1"/>
  <c r="L303" i="3"/>
  <c r="R302" i="3"/>
  <c r="W302" i="3"/>
  <c r="D303" i="3"/>
  <c r="K303" i="3"/>
  <c r="G303" i="3" l="1"/>
  <c r="B304" i="3" s="1"/>
  <c r="N303" i="3"/>
  <c r="O303" i="3"/>
  <c r="Q303" i="3" s="1" a="1"/>
  <c r="Q303" i="3" s="1"/>
  <c r="L304" i="3" l="1"/>
  <c r="P303" i="3"/>
  <c r="S303" i="3" s="1"/>
  <c r="V303" i="3" s="1"/>
  <c r="W303" i="3" s="1"/>
  <c r="K304" i="3"/>
  <c r="D304" i="3"/>
  <c r="B305" i="3"/>
  <c r="R303" i="3" l="1"/>
  <c r="L305" i="3"/>
  <c r="G304" i="3"/>
  <c r="T303" i="3"/>
  <c r="U303" i="3" s="1"/>
  <c r="N304" i="3"/>
  <c r="O304" i="3"/>
  <c r="Q304" i="3" s="1" a="1"/>
  <c r="Q304" i="3" s="1"/>
  <c r="D305" i="3"/>
  <c r="K305" i="3"/>
  <c r="P304" i="3" l="1"/>
  <c r="S304" i="3" s="1"/>
  <c r="V304" i="3" s="1"/>
  <c r="W304" i="3" s="1"/>
  <c r="N305" i="3"/>
  <c r="O305" i="3"/>
  <c r="Q305" i="3" s="1" a="1"/>
  <c r="Q305" i="3" s="1"/>
  <c r="G305" i="3"/>
  <c r="R304" i="3" l="1"/>
  <c r="P305" i="3"/>
  <c r="S305" i="3" s="1"/>
  <c r="V305" i="3" s="1"/>
  <c r="W305" i="3" s="1"/>
  <c r="T304" i="3"/>
  <c r="U304" i="3" s="1"/>
  <c r="B306" i="3"/>
  <c r="R305" i="3" l="1"/>
  <c r="L306" i="3"/>
  <c r="T305" i="3"/>
  <c r="U305" i="3" s="1"/>
  <c r="K306" i="3"/>
  <c r="D306" i="3"/>
  <c r="N306" i="3" l="1"/>
  <c r="O306" i="3"/>
  <c r="Q306" i="3" s="1" a="1"/>
  <c r="Q306" i="3" s="1"/>
  <c r="G306" i="3"/>
  <c r="P306" i="3" l="1"/>
  <c r="S306" i="3" s="1"/>
  <c r="V306" i="3" s="1"/>
  <c r="W306" i="3" s="1"/>
  <c r="B307" i="3"/>
  <c r="T306" i="3" l="1"/>
  <c r="U306" i="3" s="1"/>
  <c r="L307" i="3"/>
  <c r="R306" i="3"/>
  <c r="K307" i="3"/>
  <c r="D307" i="3"/>
  <c r="N307" i="3" l="1"/>
  <c r="O307" i="3"/>
  <c r="Q307" i="3" s="1" a="1"/>
  <c r="Q307" i="3" s="1"/>
  <c r="G307" i="3"/>
  <c r="B308" i="3" s="1"/>
  <c r="L308" i="3" l="1"/>
  <c r="P307" i="3"/>
  <c r="S307" i="3" s="1"/>
  <c r="V307" i="3" s="1"/>
  <c r="W307" i="3" s="1"/>
  <c r="K308" i="3"/>
  <c r="D308" i="3"/>
  <c r="T307" i="3" l="1"/>
  <c r="U307" i="3" s="1"/>
  <c r="R307" i="3"/>
  <c r="N308" i="3"/>
  <c r="O308" i="3"/>
  <c r="Q308" i="3" s="1" a="1"/>
  <c r="Q308" i="3" s="1"/>
  <c r="G308" i="3"/>
  <c r="B309" i="3" s="1"/>
  <c r="K309" i="3" l="1"/>
  <c r="N309" i="3" s="1"/>
  <c r="L309" i="3"/>
  <c r="P308" i="3"/>
  <c r="S308" i="3" s="1"/>
  <c r="V308" i="3" s="1"/>
  <c r="W308" i="3" s="1"/>
  <c r="D309" i="3"/>
  <c r="B310" i="3"/>
  <c r="G309" i="3" l="1"/>
  <c r="O309" i="3"/>
  <c r="Q309" i="3" s="1" a="1"/>
  <c r="Q309" i="3" s="1"/>
  <c r="R308" i="3"/>
  <c r="L310" i="3"/>
  <c r="T308" i="3"/>
  <c r="U308" i="3" s="1"/>
  <c r="D310" i="3"/>
  <c r="K310" i="3"/>
  <c r="P309" i="3" l="1"/>
  <c r="S309" i="3" s="1"/>
  <c r="V309" i="3" s="1"/>
  <c r="W309" i="3" s="1"/>
  <c r="G310" i="3"/>
  <c r="N310" i="3"/>
  <c r="O310" i="3"/>
  <c r="Q310" i="3" s="1" a="1"/>
  <c r="Q310" i="3" s="1"/>
  <c r="B311" i="3"/>
  <c r="T309" i="3" l="1"/>
  <c r="U309" i="3" s="1"/>
  <c r="R309" i="3"/>
  <c r="L311" i="3"/>
  <c r="P310" i="3"/>
  <c r="S310" i="3" s="1"/>
  <c r="V310" i="3" s="1"/>
  <c r="W310" i="3" s="1"/>
  <c r="D311" i="3"/>
  <c r="K311" i="3"/>
  <c r="R310" i="3" l="1"/>
  <c r="T310" i="3"/>
  <c r="U310" i="3" s="1"/>
  <c r="G311" i="3"/>
  <c r="N311" i="3"/>
  <c r="O311" i="3"/>
  <c r="Q311" i="3" s="1" a="1"/>
  <c r="Q311" i="3" s="1"/>
  <c r="B312" i="3"/>
  <c r="L312" i="3" l="1"/>
  <c r="P311" i="3"/>
  <c r="S311" i="3" s="1"/>
  <c r="V311" i="3" s="1"/>
  <c r="W311" i="3" s="1"/>
  <c r="K312" i="3"/>
  <c r="D312" i="3"/>
  <c r="T311" i="3" l="1"/>
  <c r="U311" i="3" s="1"/>
  <c r="R311" i="3"/>
  <c r="G312" i="3"/>
  <c r="N312" i="3"/>
  <c r="O312" i="3"/>
  <c r="Q312" i="3" s="1" a="1"/>
  <c r="Q312" i="3" s="1"/>
  <c r="B313" i="3"/>
  <c r="L313" i="3" l="1"/>
  <c r="P312" i="3"/>
  <c r="S312" i="3" s="1"/>
  <c r="V312" i="3" s="1"/>
  <c r="W312" i="3" s="1"/>
  <c r="D313" i="3"/>
  <c r="K313" i="3"/>
  <c r="G313" i="3" l="1"/>
  <c r="B314" i="3" s="1"/>
  <c r="L314" i="3" s="1"/>
  <c r="T312" i="3"/>
  <c r="U312" i="3" s="1"/>
  <c r="R312" i="3"/>
  <c r="O313" i="3"/>
  <c r="Q313" i="3" s="1" a="1"/>
  <c r="Q313" i="3" s="1"/>
  <c r="N313" i="3"/>
  <c r="K314" i="3" l="1"/>
  <c r="N314" i="3" s="1"/>
  <c r="D314" i="3"/>
  <c r="P313" i="3"/>
  <c r="S313" i="3" s="1"/>
  <c r="V313" i="3" s="1"/>
  <c r="W313" i="3" s="1"/>
  <c r="B315" i="3"/>
  <c r="G314" i="3" l="1"/>
  <c r="O314" i="3"/>
  <c r="Q314" i="3" s="1" a="1"/>
  <c r="Q314" i="3" s="1"/>
  <c r="R313" i="3"/>
  <c r="L315" i="3"/>
  <c r="T313" i="3"/>
  <c r="U313" i="3" s="1"/>
  <c r="D315" i="3"/>
  <c r="K315" i="3"/>
  <c r="P314" i="3" l="1"/>
  <c r="S314" i="3" s="1"/>
  <c r="V314" i="3" s="1"/>
  <c r="W314" i="3" s="1"/>
  <c r="N315" i="3"/>
  <c r="O315" i="3"/>
  <c r="Q315" i="3" s="1" a="1"/>
  <c r="Q315" i="3" s="1"/>
  <c r="G315" i="3"/>
  <c r="R314" i="3" l="1"/>
  <c r="T314" i="3"/>
  <c r="U314" i="3" s="1"/>
  <c r="P315" i="3"/>
  <c r="S315" i="3" s="1"/>
  <c r="V315" i="3" s="1"/>
  <c r="W315" i="3" s="1"/>
  <c r="B316" i="3"/>
  <c r="R315" i="3" l="1"/>
  <c r="L316" i="3"/>
  <c r="T315" i="3"/>
  <c r="U315" i="3" s="1"/>
  <c r="K316" i="3"/>
  <c r="D316" i="3"/>
  <c r="N316" i="3" l="1"/>
  <c r="O316" i="3"/>
  <c r="Q316" i="3" s="1" a="1"/>
  <c r="Q316" i="3" s="1"/>
  <c r="G316" i="3"/>
  <c r="B317" i="3" s="1"/>
  <c r="L317" i="3" l="1"/>
  <c r="P316" i="3"/>
  <c r="S316" i="3" s="1"/>
  <c r="V316" i="3" s="1"/>
  <c r="W316" i="3" s="1"/>
  <c r="K317" i="3"/>
  <c r="D317" i="3"/>
  <c r="T316" i="3" l="1"/>
  <c r="U316" i="3" s="1"/>
  <c r="R316" i="3"/>
  <c r="G317" i="3"/>
  <c r="N317" i="3"/>
  <c r="O317" i="3"/>
  <c r="Q317" i="3" s="1" a="1"/>
  <c r="Q317" i="3" s="1"/>
  <c r="B318" i="3"/>
  <c r="L318" i="3" l="1"/>
  <c r="P317" i="3"/>
  <c r="S317" i="3" s="1"/>
  <c r="V317" i="3" s="1"/>
  <c r="W317" i="3" s="1"/>
  <c r="D318" i="3"/>
  <c r="K318" i="3"/>
  <c r="R317" i="3" l="1"/>
  <c r="T317" i="3"/>
  <c r="U317" i="3" s="1"/>
  <c r="N318" i="3"/>
  <c r="O318" i="3"/>
  <c r="Q318" i="3" s="1" a="1"/>
  <c r="Q318" i="3" s="1"/>
  <c r="G318" i="3"/>
  <c r="P318" i="3" l="1"/>
  <c r="S318" i="3" s="1"/>
  <c r="V318" i="3" s="1"/>
  <c r="W318" i="3" s="1"/>
  <c r="B319" i="3"/>
  <c r="T318" i="3" l="1"/>
  <c r="U318" i="3" s="1"/>
  <c r="L319" i="3"/>
  <c r="R318" i="3"/>
  <c r="K319" i="3"/>
  <c r="D319" i="3"/>
  <c r="N319" i="3" l="1"/>
  <c r="O319" i="3"/>
  <c r="Q319" i="3" s="1" a="1"/>
  <c r="Q319" i="3" s="1"/>
  <c r="G319" i="3"/>
  <c r="P319" i="3" l="1"/>
  <c r="S319" i="3" s="1"/>
  <c r="V319" i="3" s="1"/>
  <c r="W319" i="3" s="1"/>
  <c r="B320" i="3"/>
  <c r="T319" i="3" l="1"/>
  <c r="U319" i="3" s="1"/>
  <c r="L320" i="3"/>
  <c r="R319" i="3"/>
  <c r="D320" i="3"/>
  <c r="K320" i="3"/>
  <c r="N320" i="3" l="1"/>
  <c r="O320" i="3"/>
  <c r="Q320" i="3" s="1" a="1"/>
  <c r="Q320" i="3" s="1"/>
  <c r="G320" i="3"/>
  <c r="P320" i="3" l="1"/>
  <c r="S320" i="3" s="1"/>
  <c r="V320" i="3" s="1"/>
  <c r="W320" i="3" s="1"/>
  <c r="B321" i="3"/>
  <c r="T320" i="3" l="1"/>
  <c r="U320" i="3" s="1"/>
  <c r="L321" i="3"/>
  <c r="R320" i="3"/>
  <c r="K321" i="3"/>
  <c r="D321" i="3"/>
  <c r="N321" i="3" l="1"/>
  <c r="O321" i="3"/>
  <c r="Q321" i="3" s="1" a="1"/>
  <c r="Q321" i="3" s="1"/>
  <c r="G321" i="3"/>
  <c r="P321" i="3" l="1"/>
  <c r="S321" i="3" s="1"/>
  <c r="V321" i="3" s="1"/>
  <c r="W321" i="3" s="1"/>
  <c r="B322" i="3"/>
  <c r="T321" i="3" l="1"/>
  <c r="U321" i="3" s="1"/>
  <c r="L322" i="3"/>
  <c r="R321" i="3"/>
  <c r="K322" i="3"/>
  <c r="D322" i="3"/>
  <c r="N322" i="3" l="1"/>
  <c r="O322" i="3"/>
  <c r="Q322" i="3" s="1" a="1"/>
  <c r="Q322" i="3" s="1"/>
  <c r="G322" i="3"/>
  <c r="B323" i="3" s="1"/>
  <c r="L323" i="3" l="1"/>
  <c r="P322" i="3"/>
  <c r="S322" i="3" s="1"/>
  <c r="V322" i="3" s="1"/>
  <c r="W322" i="3" s="1"/>
  <c r="K323" i="3"/>
  <c r="N323" i="3" s="1"/>
  <c r="D323" i="3"/>
  <c r="T322" i="3" l="1"/>
  <c r="U322" i="3" s="1"/>
  <c r="R322" i="3"/>
  <c r="G323" i="3"/>
  <c r="O323" i="3"/>
  <c r="Q323" i="3" s="1" a="1"/>
  <c r="Q323" i="3" s="1"/>
  <c r="B324" i="3"/>
  <c r="L324" i="3" l="1"/>
  <c r="P323" i="3"/>
  <c r="S323" i="3" s="1"/>
  <c r="V323" i="3" s="1"/>
  <c r="K324" i="3"/>
  <c r="D324" i="3"/>
  <c r="R323" i="3" l="1"/>
  <c r="T323" i="3"/>
  <c r="U323" i="3" s="1"/>
  <c r="W323" i="3"/>
  <c r="G324" i="3"/>
  <c r="B325" i="3" s="1"/>
  <c r="N324" i="3"/>
  <c r="O324" i="3"/>
  <c r="Q324" i="3" s="1" a="1"/>
  <c r="Q324" i="3" s="1"/>
  <c r="L325" i="3" l="1"/>
  <c r="P324" i="3"/>
  <c r="S324" i="3" s="1"/>
  <c r="V324" i="3" s="1"/>
  <c r="W324" i="3" s="1"/>
  <c r="D325" i="3"/>
  <c r="K325" i="3"/>
  <c r="O325" i="3" s="1"/>
  <c r="Q325" i="3" s="1" a="1"/>
  <c r="Q325" i="3" s="1"/>
  <c r="R324" i="3" l="1"/>
  <c r="T324" i="3"/>
  <c r="U324" i="3" s="1"/>
  <c r="P325" i="3"/>
  <c r="S325" i="3" s="1"/>
  <c r="V325" i="3" s="1"/>
  <c r="W325" i="3" s="1"/>
  <c r="G325" i="3"/>
  <c r="N325" i="3"/>
  <c r="B326" i="3"/>
  <c r="L326" i="3" l="1"/>
  <c r="R325" i="3"/>
  <c r="T325" i="3"/>
  <c r="U325" i="3" s="1"/>
  <c r="K326" i="3"/>
  <c r="D326" i="3"/>
  <c r="N326" i="3" l="1"/>
  <c r="O326" i="3"/>
  <c r="Q326" i="3" s="1" a="1"/>
  <c r="Q326" i="3" s="1"/>
  <c r="G326" i="3"/>
  <c r="P326" i="3" l="1"/>
  <c r="S326" i="3" s="1"/>
  <c r="V326" i="3" s="1"/>
  <c r="W326" i="3" s="1"/>
  <c r="B327" i="3"/>
  <c r="T326" i="3" l="1"/>
  <c r="U326" i="3" s="1"/>
  <c r="L327" i="3"/>
  <c r="R326" i="3"/>
  <c r="K327" i="3"/>
  <c r="D327" i="3"/>
  <c r="G327" i="3" l="1"/>
  <c r="B328" i="3" s="1"/>
  <c r="N327" i="3"/>
  <c r="O327" i="3"/>
  <c r="Q327" i="3" s="1" a="1"/>
  <c r="Q327" i="3" s="1"/>
  <c r="L328" i="3" l="1"/>
  <c r="P327" i="3"/>
  <c r="S327" i="3" s="1"/>
  <c r="V327" i="3" s="1"/>
  <c r="W327" i="3" s="1"/>
  <c r="D328" i="3"/>
  <c r="K328" i="3"/>
  <c r="G328" i="3" l="1"/>
  <c r="B329" i="3" s="1"/>
  <c r="L329" i="3" s="1"/>
  <c r="R327" i="3"/>
  <c r="T327" i="3"/>
  <c r="U327" i="3" s="1"/>
  <c r="O328" i="3"/>
  <c r="Q328" i="3" s="1" a="1"/>
  <c r="Q328" i="3" s="1"/>
  <c r="N328" i="3"/>
  <c r="D329" i="3" l="1"/>
  <c r="K329" i="3"/>
  <c r="N329" i="3" s="1"/>
  <c r="P328" i="3"/>
  <c r="S328" i="3" s="1"/>
  <c r="V328" i="3" s="1"/>
  <c r="W328" i="3" s="1"/>
  <c r="B330" i="3"/>
  <c r="G329" i="3" l="1"/>
  <c r="O329" i="3"/>
  <c r="Q329" i="3" s="1" a="1"/>
  <c r="Q329" i="3" s="1"/>
  <c r="T328" i="3"/>
  <c r="U328" i="3" s="1"/>
  <c r="L330" i="3"/>
  <c r="R328" i="3"/>
  <c r="K330" i="3"/>
  <c r="D330" i="3"/>
  <c r="P329" i="3" l="1"/>
  <c r="S329" i="3" s="1"/>
  <c r="V329" i="3" s="1"/>
  <c r="W329" i="3" s="1"/>
  <c r="G330" i="3"/>
  <c r="B331" i="3" s="1"/>
  <c r="N330" i="3"/>
  <c r="O330" i="3"/>
  <c r="Q330" i="3" s="1" a="1"/>
  <c r="Q330" i="3" s="1"/>
  <c r="T329" i="3" l="1"/>
  <c r="U329" i="3" s="1"/>
  <c r="R329" i="3"/>
  <c r="L331" i="3"/>
  <c r="P330" i="3"/>
  <c r="S330" i="3" s="1"/>
  <c r="V330" i="3" s="1"/>
  <c r="W330" i="3" s="1"/>
  <c r="K331" i="3"/>
  <c r="O331" i="3" s="1"/>
  <c r="Q331" i="3" s="1" a="1"/>
  <c r="Q331" i="3" s="1"/>
  <c r="D331" i="3"/>
  <c r="T330" i="3" l="1"/>
  <c r="U330" i="3" s="1"/>
  <c r="R330" i="3"/>
  <c r="P331" i="3"/>
  <c r="S331" i="3" s="1"/>
  <c r="V331" i="3" s="1"/>
  <c r="W331" i="3" s="1"/>
  <c r="N331" i="3"/>
  <c r="G331" i="3"/>
  <c r="B332" i="3"/>
  <c r="L332" i="3" l="1"/>
  <c r="R331" i="3"/>
  <c r="T331" i="3"/>
  <c r="U331" i="3" s="1"/>
  <c r="D332" i="3"/>
  <c r="K332" i="3"/>
  <c r="N332" i="3" l="1"/>
  <c r="O332" i="3"/>
  <c r="Q332" i="3" s="1" a="1"/>
  <c r="Q332" i="3" s="1"/>
  <c r="G332" i="3"/>
  <c r="P332" i="3" l="1"/>
  <c r="S332" i="3" s="1"/>
  <c r="V332" i="3" s="1"/>
  <c r="W332" i="3" s="1"/>
  <c r="B333" i="3"/>
  <c r="R332" i="3" l="1"/>
  <c r="L333" i="3"/>
  <c r="T332" i="3"/>
  <c r="U332" i="3" s="1"/>
  <c r="K333" i="3"/>
  <c r="D333" i="3"/>
  <c r="G333" i="3" l="1"/>
  <c r="B334" i="3" s="1"/>
  <c r="N333" i="3"/>
  <c r="O333" i="3"/>
  <c r="Q333" i="3" s="1" a="1"/>
  <c r="Q333" i="3" s="1"/>
  <c r="L334" i="3" l="1"/>
  <c r="P333" i="3"/>
  <c r="S333" i="3" s="1"/>
  <c r="V333" i="3" s="1"/>
  <c r="W333" i="3" s="1"/>
  <c r="K334" i="3"/>
  <c r="N334" i="3" s="1"/>
  <c r="D334" i="3"/>
  <c r="T333" i="3" l="1"/>
  <c r="U333" i="3" s="1"/>
  <c r="R333" i="3"/>
  <c r="G334" i="3"/>
  <c r="O334" i="3"/>
  <c r="Q334" i="3" s="1" a="1"/>
  <c r="Q334" i="3" s="1"/>
  <c r="B335" i="3"/>
  <c r="L335" i="3" l="1"/>
  <c r="P334" i="3"/>
  <c r="S334" i="3" s="1"/>
  <c r="T334" i="3" s="1"/>
  <c r="U334" i="3" s="1"/>
  <c r="D335" i="3"/>
  <c r="K335" i="3"/>
  <c r="V334" i="3" l="1"/>
  <c r="W334" i="3" s="1"/>
  <c r="R334" i="3"/>
  <c r="G335" i="3"/>
  <c r="N335" i="3"/>
  <c r="O335" i="3"/>
  <c r="Q335" i="3" s="1" a="1"/>
  <c r="Q335" i="3" s="1"/>
  <c r="B336" i="3"/>
  <c r="L336" i="3" l="1"/>
  <c r="P335" i="3"/>
  <c r="S335" i="3" s="1"/>
  <c r="V335" i="3" s="1"/>
  <c r="W335" i="3" s="1"/>
  <c r="K336" i="3"/>
  <c r="D336" i="3"/>
  <c r="R335" i="3" l="1"/>
  <c r="T335" i="3"/>
  <c r="U335" i="3" s="1"/>
  <c r="N336" i="3"/>
  <c r="O336" i="3"/>
  <c r="Q336" i="3" s="1" a="1"/>
  <c r="Q336" i="3" s="1"/>
  <c r="G336" i="3"/>
  <c r="P336" i="3" l="1"/>
  <c r="S336" i="3" s="1"/>
  <c r="V336" i="3" s="1"/>
  <c r="W336" i="3" s="1"/>
  <c r="B337" i="3"/>
  <c r="T336" i="3" l="1"/>
  <c r="U336" i="3" s="1"/>
  <c r="L337" i="3"/>
  <c r="R336" i="3"/>
  <c r="D337" i="3"/>
  <c r="K337" i="3"/>
  <c r="N337" i="3" l="1"/>
  <c r="O337" i="3"/>
  <c r="Q337" i="3" s="1" a="1"/>
  <c r="Q337" i="3" s="1"/>
  <c r="G337" i="3"/>
  <c r="P337" i="3" l="1"/>
  <c r="S337" i="3" s="1"/>
  <c r="V337" i="3" s="1"/>
  <c r="W337" i="3" s="1"/>
  <c r="B338" i="3"/>
  <c r="R337" i="3" l="1"/>
  <c r="L338" i="3"/>
  <c r="T337" i="3"/>
  <c r="U337" i="3" s="1"/>
  <c r="K338" i="3"/>
  <c r="D338" i="3"/>
  <c r="G338" i="3" l="1"/>
  <c r="B339" i="3" s="1"/>
  <c r="N338" i="3"/>
  <c r="O338" i="3"/>
  <c r="Q338" i="3" s="1" a="1"/>
  <c r="Q338" i="3" s="1"/>
  <c r="L339" i="3" l="1"/>
  <c r="P338" i="3"/>
  <c r="S338" i="3" s="1"/>
  <c r="V338" i="3" s="1"/>
  <c r="W338" i="3" s="1"/>
  <c r="K339" i="3"/>
  <c r="D339" i="3"/>
  <c r="B340" i="3"/>
  <c r="T338" i="3" l="1"/>
  <c r="U338" i="3" s="1"/>
  <c r="L340" i="3"/>
  <c r="G339" i="3"/>
  <c r="R338" i="3"/>
  <c r="O339" i="3"/>
  <c r="Q339" i="3" s="1" a="1"/>
  <c r="Q339" i="3" s="1"/>
  <c r="N339" i="3"/>
  <c r="D340" i="3"/>
  <c r="K340" i="3"/>
  <c r="P339" i="3" l="1"/>
  <c r="S339" i="3" s="1"/>
  <c r="V339" i="3" s="1"/>
  <c r="W339" i="3" s="1"/>
  <c r="N340" i="3"/>
  <c r="O340" i="3"/>
  <c r="Q340" i="3" s="1" a="1"/>
  <c r="Q340" i="3" s="1"/>
  <c r="G340" i="3"/>
  <c r="T339" i="3" l="1"/>
  <c r="U339" i="3" s="1"/>
  <c r="R339" i="3"/>
  <c r="P340" i="3"/>
  <c r="S340" i="3" s="1"/>
  <c r="V340" i="3" s="1"/>
  <c r="W340" i="3" s="1"/>
  <c r="B341" i="3"/>
  <c r="R340" i="3" l="1"/>
  <c r="L341" i="3"/>
  <c r="T340" i="3"/>
  <c r="U340" i="3" s="1"/>
  <c r="K341" i="3"/>
  <c r="D341" i="3"/>
  <c r="N341" i="3" l="1"/>
  <c r="O341" i="3"/>
  <c r="Q341" i="3" s="1" a="1"/>
  <c r="Q341" i="3" s="1"/>
  <c r="G341" i="3"/>
  <c r="P341" i="3" l="1"/>
  <c r="S341" i="3" s="1"/>
  <c r="V341" i="3" s="1"/>
  <c r="W341" i="3" s="1"/>
  <c r="B342" i="3"/>
  <c r="T341" i="3" l="1"/>
  <c r="U341" i="3" s="1"/>
  <c r="L342" i="3"/>
  <c r="R341" i="3"/>
  <c r="D342" i="3"/>
  <c r="K342" i="3"/>
  <c r="N342" i="3" l="1"/>
  <c r="O342" i="3"/>
  <c r="Q342" i="3" s="1" a="1"/>
  <c r="Q342" i="3" s="1"/>
  <c r="G342" i="3"/>
  <c r="P342" i="3" l="1"/>
  <c r="S342" i="3" s="1"/>
  <c r="V342" i="3" s="1"/>
  <c r="W342" i="3" s="1"/>
  <c r="B343" i="3"/>
  <c r="R342" i="3" l="1"/>
  <c r="L343" i="3"/>
  <c r="T342" i="3"/>
  <c r="U342" i="3" s="1"/>
  <c r="K343" i="3"/>
  <c r="D343" i="3"/>
  <c r="N343" i="3" l="1"/>
  <c r="O343" i="3"/>
  <c r="Q343" i="3" s="1" a="1"/>
  <c r="Q343" i="3" s="1"/>
  <c r="G343" i="3"/>
  <c r="P343" i="3" l="1"/>
  <c r="S343" i="3" s="1"/>
  <c r="V343" i="3" s="1"/>
  <c r="W343" i="3" s="1"/>
  <c r="B344" i="3"/>
  <c r="T343" i="3" l="1"/>
  <c r="U343" i="3" s="1"/>
  <c r="L344" i="3"/>
  <c r="R343" i="3"/>
  <c r="D344" i="3"/>
  <c r="K344" i="3"/>
  <c r="N344" i="3" l="1"/>
  <c r="O344" i="3"/>
  <c r="Q344" i="3" s="1" a="1"/>
  <c r="Q344" i="3" s="1"/>
  <c r="G344" i="3"/>
  <c r="P344" i="3" l="1"/>
  <c r="S344" i="3" s="1"/>
  <c r="V344" i="3" s="1"/>
  <c r="W344" i="3" s="1"/>
  <c r="B345" i="3"/>
  <c r="R344" i="3" l="1"/>
  <c r="L345" i="3"/>
  <c r="T344" i="3"/>
  <c r="U344" i="3" s="1"/>
  <c r="D345" i="3"/>
  <c r="K345" i="3"/>
  <c r="G345" i="3" l="1"/>
  <c r="B346" i="3" s="1"/>
  <c r="N345" i="3"/>
  <c r="O345" i="3"/>
  <c r="Q345" i="3" s="1" a="1"/>
  <c r="Q345" i="3" s="1"/>
  <c r="L346" i="3" l="1"/>
  <c r="P345" i="3"/>
  <c r="S345" i="3" s="1"/>
  <c r="V345" i="3" s="1"/>
  <c r="W345" i="3" s="1"/>
  <c r="D346" i="3"/>
  <c r="K346" i="3"/>
  <c r="O346" i="3" s="1"/>
  <c r="Q346" i="3" s="1" a="1"/>
  <c r="Q346" i="3" s="1"/>
  <c r="R345" i="3" l="1"/>
  <c r="T345" i="3"/>
  <c r="U345" i="3" s="1"/>
  <c r="P346" i="3"/>
  <c r="S346" i="3" s="1"/>
  <c r="V346" i="3" s="1"/>
  <c r="W346" i="3" s="1"/>
  <c r="G346" i="3"/>
  <c r="B347" i="3" s="1"/>
  <c r="N346" i="3"/>
  <c r="L347" i="3" l="1"/>
  <c r="T346" i="3"/>
  <c r="U346" i="3" s="1"/>
  <c r="R346" i="3"/>
  <c r="D347" i="3"/>
  <c r="K347" i="3"/>
  <c r="B348" i="3"/>
  <c r="L348" i="3" l="1"/>
  <c r="N347" i="3"/>
  <c r="O347" i="3"/>
  <c r="Q347" i="3" s="1" a="1"/>
  <c r="Q347" i="3" s="1"/>
  <c r="G347" i="3"/>
  <c r="K348" i="3"/>
  <c r="D348" i="3"/>
  <c r="P347" i="3" l="1"/>
  <c r="S347" i="3" s="1"/>
  <c r="V347" i="3" s="1"/>
  <c r="W347" i="3" s="1"/>
  <c r="G348" i="3"/>
  <c r="B349" i="3" s="1"/>
  <c r="N348" i="3"/>
  <c r="O348" i="3"/>
  <c r="Q348" i="3" s="1" a="1"/>
  <c r="Q348" i="3" s="1"/>
  <c r="R347" i="3" l="1"/>
  <c r="L349" i="3"/>
  <c r="P348" i="3"/>
  <c r="S348" i="3" s="1"/>
  <c r="V348" i="3" s="1"/>
  <c r="W348" i="3" s="1"/>
  <c r="T347" i="3"/>
  <c r="U347" i="3" s="1"/>
  <c r="D349" i="3"/>
  <c r="K349" i="3"/>
  <c r="N349" i="3" s="1"/>
  <c r="T348" i="3" l="1"/>
  <c r="U348" i="3" s="1"/>
  <c r="R348" i="3"/>
  <c r="G349" i="3"/>
  <c r="B350" i="3" s="1"/>
  <c r="O349" i="3"/>
  <c r="Q349" i="3" s="1" a="1"/>
  <c r="Q349" i="3" s="1"/>
  <c r="L350" i="3" l="1"/>
  <c r="P349" i="3"/>
  <c r="S349" i="3" s="1"/>
  <c r="V349" i="3" s="1"/>
  <c r="D350" i="3"/>
  <c r="K350" i="3"/>
  <c r="B351" i="3"/>
  <c r="T349" i="3" l="1"/>
  <c r="U349" i="3" s="1"/>
  <c r="L351" i="3"/>
  <c r="R349" i="3"/>
  <c r="W349" i="3"/>
  <c r="N350" i="3"/>
  <c r="O350" i="3"/>
  <c r="Q350" i="3" s="1" a="1"/>
  <c r="Q350" i="3" s="1"/>
  <c r="G350" i="3"/>
  <c r="D351" i="3"/>
  <c r="K351" i="3"/>
  <c r="P350" i="3" l="1"/>
  <c r="S350" i="3" s="1"/>
  <c r="V350" i="3" s="1"/>
  <c r="W350" i="3" s="1"/>
  <c r="G351" i="3"/>
  <c r="B352" i="3" s="1"/>
  <c r="N351" i="3"/>
  <c r="O351" i="3"/>
  <c r="Q351" i="3" s="1" a="1"/>
  <c r="Q351" i="3" s="1"/>
  <c r="R350" i="3" l="1"/>
  <c r="L352" i="3"/>
  <c r="P351" i="3"/>
  <c r="S351" i="3" s="1"/>
  <c r="V351" i="3" s="1"/>
  <c r="W351" i="3" s="1"/>
  <c r="T350" i="3"/>
  <c r="U350" i="3" s="1"/>
  <c r="K352" i="3"/>
  <c r="N352" i="3" s="1"/>
  <c r="D352" i="3"/>
  <c r="T351" i="3" l="1"/>
  <c r="U351" i="3" s="1"/>
  <c r="O352" i="3"/>
  <c r="G352" i="3"/>
  <c r="B353" i="3" s="1"/>
  <c r="R351" i="3"/>
  <c r="P352" i="3" l="1"/>
  <c r="S352" i="3" s="1"/>
  <c r="V352" i="3" s="1"/>
  <c r="W352" i="3" s="1"/>
  <c r="Q352" i="3" a="1"/>
  <c r="Q352" i="3" s="1"/>
  <c r="L353" i="3"/>
  <c r="K353" i="3"/>
  <c r="O353" i="3" s="1"/>
  <c r="D353" i="3"/>
  <c r="B354" i="3"/>
  <c r="T352" i="3" l="1"/>
  <c r="U352" i="3" s="1"/>
  <c r="P353" i="3"/>
  <c r="S353" i="3" s="1"/>
  <c r="V353" i="3" s="1"/>
  <c r="W353" i="3" s="1"/>
  <c r="Q353" i="3" a="1"/>
  <c r="Q353" i="3" s="1"/>
  <c r="L354" i="3"/>
  <c r="G353" i="3"/>
  <c r="N353" i="3"/>
  <c r="R352" i="3"/>
  <c r="K354" i="3"/>
  <c r="D354" i="3"/>
  <c r="T353" i="3" l="1"/>
  <c r="U353" i="3" s="1"/>
  <c r="R353" i="3"/>
  <c r="N354" i="3"/>
  <c r="O354" i="3"/>
  <c r="Q354" i="3" s="1" a="1"/>
  <c r="Q354" i="3" s="1"/>
  <c r="G354" i="3"/>
  <c r="P354" i="3" l="1"/>
  <c r="S354" i="3" s="1"/>
  <c r="V354" i="3" s="1"/>
  <c r="W354" i="3" s="1"/>
  <c r="B355" i="3"/>
  <c r="R354" i="3" l="1"/>
  <c r="L355" i="3"/>
  <c r="T354" i="3"/>
  <c r="U354" i="3" s="1"/>
  <c r="D355" i="3"/>
  <c r="K355" i="3"/>
  <c r="N355" i="3" l="1"/>
  <c r="O355" i="3"/>
  <c r="Q355" i="3" s="1" a="1"/>
  <c r="Q355" i="3" s="1"/>
  <c r="G355" i="3"/>
  <c r="P355" i="3" l="1"/>
  <c r="S355" i="3" s="1"/>
  <c r="V355" i="3" s="1"/>
  <c r="W355" i="3" s="1"/>
  <c r="B356" i="3"/>
  <c r="R355" i="3" l="1"/>
  <c r="L356" i="3"/>
  <c r="T355" i="3"/>
  <c r="U355" i="3" s="1"/>
  <c r="D356" i="3"/>
  <c r="K356" i="3"/>
  <c r="N356" i="3" l="1"/>
  <c r="O356" i="3"/>
  <c r="Q356" i="3" s="1" a="1"/>
  <c r="Q356" i="3" s="1"/>
  <c r="G356" i="3"/>
  <c r="P356" i="3" l="1"/>
  <c r="S356" i="3" s="1"/>
  <c r="V356" i="3" s="1"/>
  <c r="W356" i="3" s="1"/>
  <c r="B357" i="3"/>
  <c r="T356" i="3" l="1"/>
  <c r="U356" i="3" s="1"/>
  <c r="L357" i="3"/>
  <c r="R356" i="3"/>
  <c r="K357" i="3"/>
  <c r="D357" i="3"/>
  <c r="G357" i="3" l="1"/>
  <c r="B358" i="3" s="1"/>
  <c r="N357" i="3"/>
  <c r="O357" i="3"/>
  <c r="Q357" i="3" s="1" a="1"/>
  <c r="Q357" i="3" s="1"/>
  <c r="L358" i="3" l="1"/>
  <c r="P357" i="3"/>
  <c r="S357" i="3" s="1"/>
  <c r="V357" i="3" s="1"/>
  <c r="W357" i="3" s="1"/>
  <c r="K358" i="3"/>
  <c r="N358" i="3" s="1"/>
  <c r="D358" i="3"/>
  <c r="B359" i="3"/>
  <c r="T357" i="3" l="1"/>
  <c r="U357" i="3" s="1"/>
  <c r="L359" i="3"/>
  <c r="O358" i="3"/>
  <c r="R357" i="3"/>
  <c r="G358" i="3"/>
  <c r="K359" i="3"/>
  <c r="D359" i="3"/>
  <c r="P358" i="3" l="1"/>
  <c r="S358" i="3" s="1"/>
  <c r="V358" i="3" s="1"/>
  <c r="W358" i="3" s="1"/>
  <c r="Q358" i="3" a="1"/>
  <c r="Q358" i="3" s="1"/>
  <c r="N359" i="3"/>
  <c r="O359" i="3"/>
  <c r="Q359" i="3" s="1" a="1"/>
  <c r="Q359" i="3" s="1"/>
  <c r="G359" i="3"/>
  <c r="R358" i="3" l="1"/>
  <c r="T358" i="3"/>
  <c r="U358" i="3" s="1"/>
  <c r="P359" i="3"/>
  <c r="S359" i="3" s="1"/>
  <c r="V359" i="3" s="1"/>
  <c r="W359" i="3" s="1"/>
  <c r="B360" i="3"/>
  <c r="T359" i="3" l="1"/>
  <c r="U359" i="3" s="1"/>
  <c r="L360" i="3"/>
  <c r="R359" i="3"/>
  <c r="K360" i="3"/>
  <c r="D360" i="3"/>
  <c r="N360" i="3" l="1"/>
  <c r="O360" i="3"/>
  <c r="Q360" i="3" s="1" a="1"/>
  <c r="Q360" i="3" s="1"/>
  <c r="G360" i="3"/>
  <c r="B361" i="3" s="1"/>
  <c r="L361" i="3" l="1"/>
  <c r="P360" i="3"/>
  <c r="S360" i="3" s="1"/>
  <c r="V360" i="3" s="1"/>
  <c r="W360" i="3" s="1"/>
  <c r="D361" i="3"/>
  <c r="K361" i="3"/>
  <c r="R360" i="3" l="1"/>
  <c r="T360" i="3"/>
  <c r="U360" i="3" s="1"/>
  <c r="G361" i="3"/>
  <c r="N361" i="3"/>
  <c r="O361" i="3"/>
  <c r="Q361" i="3" s="1" a="1"/>
  <c r="Q361" i="3" s="1"/>
  <c r="B362" i="3"/>
  <c r="L362" i="3" l="1"/>
  <c r="P361" i="3"/>
  <c r="S361" i="3" s="1"/>
  <c r="V361" i="3" s="1"/>
  <c r="W361" i="3" s="1"/>
  <c r="K362" i="3"/>
  <c r="D362" i="3"/>
  <c r="R361" i="3" l="1"/>
  <c r="T361" i="3"/>
  <c r="U361" i="3" s="1"/>
  <c r="G362" i="3"/>
  <c r="B363" i="3" s="1"/>
  <c r="N362" i="3"/>
  <c r="O362" i="3"/>
  <c r="Q362" i="3" s="1" a="1"/>
  <c r="Q362" i="3" s="1"/>
  <c r="L363" i="3" l="1"/>
  <c r="P362" i="3"/>
  <c r="S362" i="3" s="1"/>
  <c r="V362" i="3" s="1"/>
  <c r="W362" i="3" s="1"/>
  <c r="D363" i="3"/>
  <c r="K363" i="3"/>
  <c r="N363" i="3" s="1"/>
  <c r="R362" i="3" l="1"/>
  <c r="T362" i="3"/>
  <c r="U362" i="3" s="1"/>
  <c r="O363" i="3"/>
  <c r="Q363" i="3" s="1" a="1"/>
  <c r="Q363" i="3" s="1"/>
  <c r="G363" i="3"/>
  <c r="B364" i="3" s="1"/>
  <c r="L364" i="3" l="1"/>
  <c r="P363" i="3"/>
  <c r="S363" i="3" s="1"/>
  <c r="V363" i="3" s="1"/>
  <c r="D364" i="3"/>
  <c r="K364" i="3"/>
  <c r="B365" i="3"/>
  <c r="G364" i="3" l="1"/>
  <c r="T363" i="3"/>
  <c r="U363" i="3" s="1"/>
  <c r="L365" i="3"/>
  <c r="R363" i="3"/>
  <c r="W363" i="3"/>
  <c r="O364" i="3"/>
  <c r="Q364" i="3" s="1" a="1"/>
  <c r="Q364" i="3" s="1"/>
  <c r="N364" i="3"/>
  <c r="K365" i="3"/>
  <c r="D365" i="3"/>
  <c r="P364" i="3" l="1"/>
  <c r="S364" i="3" s="1"/>
  <c r="V364" i="3" s="1"/>
  <c r="W364" i="3" s="1"/>
  <c r="G365" i="3"/>
  <c r="B366" i="3" s="1"/>
  <c r="N365" i="3"/>
  <c r="O365" i="3"/>
  <c r="Q365" i="3" s="1" a="1"/>
  <c r="Q365" i="3" s="1"/>
  <c r="R364" i="3" l="1"/>
  <c r="L366" i="3"/>
  <c r="P365" i="3"/>
  <c r="S365" i="3" s="1"/>
  <c r="V365" i="3" s="1"/>
  <c r="W365" i="3" s="1"/>
  <c r="T364" i="3"/>
  <c r="U364" i="3" s="1"/>
  <c r="K366" i="3"/>
  <c r="N366" i="3" s="1"/>
  <c r="D366" i="3"/>
  <c r="R365" i="3" l="1"/>
  <c r="T365" i="3"/>
  <c r="U365" i="3" s="1"/>
  <c r="G366" i="3"/>
  <c r="O366" i="3"/>
  <c r="Q366" i="3" s="1" a="1"/>
  <c r="Q366" i="3" s="1"/>
  <c r="B367" i="3"/>
  <c r="L367" i="3" l="1"/>
  <c r="P366" i="3"/>
  <c r="S366" i="3" s="1"/>
  <c r="V366" i="3" s="1"/>
  <c r="D367" i="3"/>
  <c r="K367" i="3"/>
  <c r="T366" i="3" l="1"/>
  <c r="U366" i="3" s="1"/>
  <c r="R366" i="3"/>
  <c r="W366" i="3"/>
  <c r="N367" i="3"/>
  <c r="O367" i="3"/>
  <c r="Q367" i="3" s="1" a="1"/>
  <c r="Q367" i="3" s="1"/>
  <c r="G367" i="3"/>
  <c r="P367" i="3" l="1"/>
  <c r="S367" i="3" s="1"/>
  <c r="V367" i="3" s="1"/>
  <c r="W367" i="3" s="1"/>
  <c r="B368" i="3"/>
  <c r="T367" i="3" l="1"/>
  <c r="U367" i="3" s="1"/>
  <c r="L368" i="3"/>
  <c r="R367" i="3"/>
  <c r="K368" i="3"/>
  <c r="D368" i="3"/>
  <c r="G368" i="3" l="1"/>
  <c r="B369" i="3" s="1"/>
  <c r="N368" i="3"/>
  <c r="O368" i="3"/>
  <c r="Q368" i="3" s="1" a="1"/>
  <c r="Q368" i="3" s="1"/>
  <c r="L369" i="3" l="1"/>
  <c r="P368" i="3"/>
  <c r="S368" i="3" s="1"/>
  <c r="V368" i="3" s="1"/>
  <c r="W368" i="3" s="1"/>
  <c r="K369" i="3"/>
  <c r="N369" i="3" s="1"/>
  <c r="D369" i="3"/>
  <c r="T368" i="3" l="1"/>
  <c r="U368" i="3" s="1"/>
  <c r="G369" i="3"/>
  <c r="O369" i="3"/>
  <c r="R368" i="3"/>
  <c r="B370" i="3"/>
  <c r="P369" i="3" l="1"/>
  <c r="S369" i="3" s="1"/>
  <c r="V369" i="3" s="1"/>
  <c r="W369" i="3" s="1"/>
  <c r="Q369" i="3" a="1"/>
  <c r="Q369" i="3" s="1"/>
  <c r="L370" i="3"/>
  <c r="D370" i="3"/>
  <c r="K370" i="3"/>
  <c r="R369" i="3" l="1"/>
  <c r="T369" i="3"/>
  <c r="U369" i="3" s="1"/>
  <c r="N370" i="3"/>
  <c r="O370" i="3"/>
  <c r="Q370" i="3" s="1" a="1"/>
  <c r="Q370" i="3" s="1"/>
  <c r="G370" i="3"/>
  <c r="P370" i="3" l="1"/>
  <c r="S370" i="3" s="1"/>
  <c r="V370" i="3" s="1"/>
  <c r="W370" i="3" s="1"/>
  <c r="B371" i="3"/>
  <c r="R370" i="3" l="1"/>
  <c r="L371" i="3"/>
  <c r="T370" i="3"/>
  <c r="U370" i="3" s="1"/>
  <c r="K371" i="3"/>
  <c r="D371" i="3"/>
  <c r="N371" i="3" l="1"/>
  <c r="O371" i="3"/>
  <c r="Q371" i="3" s="1" a="1"/>
  <c r="Q371" i="3" s="1"/>
  <c r="G371" i="3"/>
  <c r="P371" i="3" l="1"/>
  <c r="S371" i="3" s="1"/>
  <c r="V371" i="3" s="1"/>
  <c r="W371" i="3" s="1"/>
  <c r="B372" i="3"/>
  <c r="T371" i="3" l="1"/>
  <c r="U371" i="3" s="1"/>
  <c r="L372" i="3"/>
  <c r="R371" i="3"/>
  <c r="K372" i="3"/>
  <c r="D372" i="3"/>
  <c r="N372" i="3" l="1"/>
  <c r="O372" i="3"/>
  <c r="Q372" i="3" s="1" a="1"/>
  <c r="Q372" i="3" s="1"/>
  <c r="G372" i="3"/>
  <c r="P372" i="3" l="1"/>
  <c r="S372" i="3" s="1"/>
  <c r="V372" i="3" s="1"/>
  <c r="W372" i="3" s="1"/>
  <c r="B373" i="3"/>
  <c r="R372" i="3" l="1"/>
  <c r="L373" i="3"/>
  <c r="T372" i="3"/>
  <c r="U372" i="3" s="1"/>
  <c r="D373" i="3"/>
  <c r="K373" i="3"/>
  <c r="N373" i="3" l="1"/>
  <c r="O373" i="3"/>
  <c r="Q373" i="3" s="1" a="1"/>
  <c r="Q373" i="3" s="1"/>
  <c r="G373" i="3"/>
  <c r="P373" i="3" l="1"/>
  <c r="S373" i="3" s="1"/>
  <c r="V373" i="3" s="1"/>
  <c r="W373" i="3" s="1"/>
  <c r="B374" i="3"/>
  <c r="T373" i="3" l="1"/>
  <c r="U373" i="3" s="1"/>
  <c r="L374" i="3"/>
  <c r="R373" i="3"/>
  <c r="K374" i="3"/>
  <c r="D374" i="3"/>
  <c r="N374" i="3" l="1"/>
  <c r="O374" i="3"/>
  <c r="Q374" i="3" s="1" a="1"/>
  <c r="Q374" i="3" s="1"/>
  <c r="G374" i="3"/>
  <c r="B375" i="3" s="1"/>
  <c r="L375" i="3" l="1"/>
  <c r="P374" i="3"/>
  <c r="S374" i="3" s="1"/>
  <c r="V374" i="3" s="1"/>
  <c r="W374" i="3" s="1"/>
  <c r="D375" i="3"/>
  <c r="K375" i="3"/>
  <c r="R374" i="3" l="1"/>
  <c r="T374" i="3"/>
  <c r="U374" i="3" s="1"/>
  <c r="G375" i="3"/>
  <c r="N375" i="3"/>
  <c r="O375" i="3"/>
  <c r="Q375" i="3" s="1" a="1"/>
  <c r="Q375" i="3" s="1"/>
  <c r="B376" i="3"/>
  <c r="L376" i="3" l="1"/>
  <c r="P375" i="3"/>
  <c r="S375" i="3" s="1"/>
  <c r="V375" i="3" s="1"/>
  <c r="W375" i="3" s="1"/>
  <c r="K376" i="3"/>
  <c r="D376" i="3"/>
  <c r="R375" i="3" l="1"/>
  <c r="T375" i="3"/>
  <c r="U375" i="3" s="1"/>
  <c r="N376" i="3"/>
  <c r="O376" i="3"/>
  <c r="Q376" i="3" s="1" a="1"/>
  <c r="Q376" i="3" s="1"/>
  <c r="G376" i="3"/>
  <c r="P376" i="3" l="1"/>
  <c r="S376" i="3" s="1"/>
  <c r="V376" i="3" s="1"/>
  <c r="W376" i="3" s="1"/>
  <c r="B377" i="3"/>
  <c r="R376" i="3" l="1"/>
  <c r="L377" i="3"/>
  <c r="T376" i="3"/>
  <c r="U376" i="3" s="1"/>
  <c r="D377" i="3"/>
  <c r="K377" i="3"/>
  <c r="N377" i="3" l="1"/>
  <c r="O377" i="3"/>
  <c r="Q377" i="3" s="1" a="1"/>
  <c r="Q377" i="3" s="1"/>
  <c r="G377" i="3"/>
  <c r="P377" i="3" l="1"/>
  <c r="S377" i="3" s="1"/>
  <c r="V377" i="3" s="1"/>
  <c r="W377" i="3" s="1"/>
  <c r="B378" i="3"/>
  <c r="T377" i="3" l="1"/>
  <c r="U377" i="3" s="1"/>
  <c r="L378" i="3"/>
  <c r="R377" i="3"/>
  <c r="K378" i="3"/>
  <c r="D378" i="3"/>
  <c r="N378" i="3" l="1"/>
  <c r="O378" i="3"/>
  <c r="Q378" i="3" s="1" a="1"/>
  <c r="Q378" i="3" s="1"/>
  <c r="G378" i="3"/>
  <c r="P378" i="3" l="1"/>
  <c r="S378" i="3" s="1"/>
  <c r="V378" i="3" s="1"/>
  <c r="W378" i="3" s="1"/>
  <c r="B379" i="3"/>
  <c r="R378" i="3" l="1"/>
  <c r="L379" i="3"/>
  <c r="T378" i="3"/>
  <c r="U378" i="3" s="1"/>
  <c r="D379" i="3"/>
  <c r="K379" i="3"/>
  <c r="N379" i="3" l="1"/>
  <c r="O379" i="3"/>
  <c r="Q379" i="3" s="1" a="1"/>
  <c r="Q379" i="3" s="1"/>
  <c r="G379" i="3"/>
  <c r="P379" i="3" l="1"/>
  <c r="S379" i="3" s="1"/>
  <c r="V379" i="3" s="1"/>
  <c r="W379" i="3" s="1"/>
  <c r="B380" i="3"/>
  <c r="T379" i="3" l="1"/>
  <c r="U379" i="3" s="1"/>
  <c r="L380" i="3"/>
  <c r="R379" i="3"/>
  <c r="K380" i="3"/>
  <c r="D380" i="3"/>
  <c r="N380" i="3" l="1"/>
  <c r="O380" i="3"/>
  <c r="Q380" i="3" s="1" a="1"/>
  <c r="Q380" i="3" s="1"/>
  <c r="G380" i="3"/>
  <c r="B381" i="3" s="1"/>
  <c r="L381" i="3" l="1"/>
  <c r="P380" i="3"/>
  <c r="S380" i="3" s="1"/>
  <c r="V380" i="3" s="1"/>
  <c r="W380" i="3" s="1"/>
  <c r="D381" i="3"/>
  <c r="K381" i="3"/>
  <c r="T380" i="3" l="1"/>
  <c r="U380" i="3" s="1"/>
  <c r="R380" i="3"/>
  <c r="G381" i="3"/>
  <c r="B382" i="3" s="1"/>
  <c r="N381" i="3"/>
  <c r="O381" i="3"/>
  <c r="Q381" i="3" s="1" a="1"/>
  <c r="Q381" i="3" s="1"/>
  <c r="L382" i="3" l="1"/>
  <c r="P381" i="3"/>
  <c r="S381" i="3" s="1"/>
  <c r="V381" i="3" s="1"/>
  <c r="W381" i="3" s="1"/>
  <c r="K382" i="3"/>
  <c r="N382" i="3" s="1"/>
  <c r="D382" i="3"/>
  <c r="R381" i="3" l="1"/>
  <c r="G382" i="3"/>
  <c r="O382" i="3"/>
  <c r="Q382" i="3" s="1" a="1"/>
  <c r="Q382" i="3" s="1"/>
  <c r="T381" i="3"/>
  <c r="U381" i="3" s="1"/>
  <c r="B383" i="3"/>
  <c r="L383" i="3" l="1"/>
  <c r="P382" i="3"/>
  <c r="S382" i="3" s="1"/>
  <c r="V382" i="3" s="1"/>
  <c r="W382" i="3" s="1"/>
  <c r="D383" i="3"/>
  <c r="K383" i="3"/>
  <c r="T382" i="3" l="1"/>
  <c r="U382" i="3" s="1"/>
  <c r="R382" i="3"/>
  <c r="N383" i="3"/>
  <c r="O383" i="3"/>
  <c r="Q383" i="3" s="1" a="1"/>
  <c r="Q383" i="3" s="1"/>
  <c r="G383" i="3"/>
  <c r="P383" i="3" l="1"/>
  <c r="S383" i="3" s="1"/>
  <c r="V383" i="3" s="1"/>
  <c r="W383" i="3" s="1"/>
  <c r="B384" i="3"/>
  <c r="T383" i="3" l="1"/>
  <c r="U383" i="3" s="1"/>
  <c r="L384" i="3"/>
  <c r="R383" i="3"/>
  <c r="D384" i="3"/>
  <c r="K384" i="3"/>
  <c r="N384" i="3" l="1"/>
  <c r="O384" i="3"/>
  <c r="Q384" i="3" s="1" a="1"/>
  <c r="Q384" i="3" s="1"/>
  <c r="G384" i="3"/>
  <c r="P384" i="3" l="1"/>
  <c r="S384" i="3" s="1"/>
  <c r="V384" i="3" s="1"/>
  <c r="W384" i="3" s="1"/>
  <c r="B385" i="3"/>
  <c r="R384" i="3" l="1"/>
  <c r="L385" i="3"/>
  <c r="T384" i="3"/>
  <c r="U384" i="3" s="1"/>
  <c r="K385" i="3"/>
  <c r="D385" i="3"/>
  <c r="N385" i="3" l="1"/>
  <c r="O385" i="3"/>
  <c r="Q385" i="3" s="1" a="1"/>
  <c r="Q385" i="3" s="1"/>
  <c r="G385" i="3"/>
  <c r="P385" i="3" l="1"/>
  <c r="S385" i="3" s="1"/>
  <c r="V385" i="3" s="1"/>
  <c r="W385" i="3" s="1"/>
  <c r="B386" i="3"/>
  <c r="R385" i="3" l="1"/>
  <c r="L386" i="3"/>
  <c r="T385" i="3"/>
  <c r="U385" i="3" s="1"/>
  <c r="D386" i="3"/>
  <c r="K386" i="3"/>
  <c r="N386" i="3" l="1"/>
  <c r="O386" i="3"/>
  <c r="Q386" i="3" s="1" a="1"/>
  <c r="Q386" i="3" s="1"/>
  <c r="G386" i="3"/>
  <c r="P386" i="3" l="1"/>
  <c r="S386" i="3" s="1"/>
  <c r="V386" i="3" s="1"/>
  <c r="W386" i="3" s="1"/>
  <c r="B387" i="3"/>
  <c r="R386" i="3" l="1"/>
  <c r="L387" i="3"/>
  <c r="T386" i="3"/>
  <c r="U386" i="3" s="1"/>
  <c r="K387" i="3"/>
  <c r="D387" i="3"/>
  <c r="N387" i="3" l="1"/>
  <c r="O387" i="3"/>
  <c r="Q387" i="3" s="1" a="1"/>
  <c r="Q387" i="3" s="1"/>
  <c r="G387" i="3"/>
  <c r="P387" i="3" l="1"/>
  <c r="S387" i="3" s="1"/>
  <c r="V387" i="3" s="1"/>
  <c r="W387" i="3" s="1"/>
  <c r="B388" i="3"/>
  <c r="R387" i="3" l="1"/>
  <c r="L388" i="3"/>
  <c r="T387" i="3"/>
  <c r="U387" i="3" s="1"/>
  <c r="K388" i="3"/>
  <c r="D388" i="3"/>
  <c r="N388" i="3" l="1"/>
  <c r="O388" i="3"/>
  <c r="Q388" i="3" s="1" a="1"/>
  <c r="Q388" i="3" s="1"/>
  <c r="G388" i="3"/>
  <c r="P388" i="3" l="1"/>
  <c r="S388" i="3" s="1"/>
  <c r="V388" i="3" s="1"/>
  <c r="W388" i="3" s="1"/>
  <c r="B389" i="3"/>
  <c r="R388" i="3" l="1"/>
  <c r="L389" i="3"/>
  <c r="T388" i="3"/>
  <c r="U388" i="3" s="1"/>
  <c r="D389" i="3"/>
  <c r="K389" i="3"/>
  <c r="N389" i="3" l="1"/>
  <c r="O389" i="3"/>
  <c r="Q389" i="3" s="1" a="1"/>
  <c r="Q389" i="3" s="1"/>
  <c r="G389" i="3"/>
  <c r="P389" i="3" l="1"/>
  <c r="S389" i="3" s="1"/>
  <c r="V389" i="3" s="1"/>
  <c r="W389" i="3" s="1"/>
  <c r="B390" i="3"/>
  <c r="T389" i="3" l="1"/>
  <c r="U389" i="3" s="1"/>
  <c r="L390" i="3"/>
  <c r="R389" i="3"/>
  <c r="K390" i="3"/>
  <c r="D390" i="3"/>
  <c r="G390" i="3" l="1"/>
  <c r="B391" i="3" s="1"/>
  <c r="N390" i="3"/>
  <c r="O390" i="3"/>
  <c r="Q390" i="3" s="1" a="1"/>
  <c r="Q390" i="3" s="1"/>
  <c r="L391" i="3" l="1"/>
  <c r="P390" i="3"/>
  <c r="S390" i="3" s="1"/>
  <c r="V390" i="3" s="1"/>
  <c r="W390" i="3" s="1"/>
  <c r="K391" i="3"/>
  <c r="N391" i="3" s="1"/>
  <c r="D391" i="3"/>
  <c r="T390" i="3" l="1"/>
  <c r="U390" i="3" s="1"/>
  <c r="O391" i="3"/>
  <c r="G391" i="3"/>
  <c r="R390" i="3"/>
  <c r="B392" i="3"/>
  <c r="P391" i="3" l="1"/>
  <c r="S391" i="3" s="1"/>
  <c r="V391" i="3" s="1"/>
  <c r="W391" i="3" s="1"/>
  <c r="Q391" i="3" a="1"/>
  <c r="Q391" i="3" s="1"/>
  <c r="L392" i="3"/>
  <c r="D392" i="3"/>
  <c r="K392" i="3"/>
  <c r="R391" i="3" l="1"/>
  <c r="T391" i="3"/>
  <c r="U391" i="3" s="1"/>
  <c r="N392" i="3"/>
  <c r="O392" i="3"/>
  <c r="Q392" i="3" s="1" a="1"/>
  <c r="Q392" i="3" s="1"/>
  <c r="G392" i="3"/>
  <c r="P392" i="3" l="1"/>
  <c r="S392" i="3" s="1"/>
  <c r="V392" i="3" s="1"/>
  <c r="W392" i="3" s="1"/>
  <c r="B393" i="3"/>
  <c r="T392" i="3" l="1"/>
  <c r="U392" i="3" s="1"/>
  <c r="L393" i="3"/>
  <c r="R392" i="3"/>
  <c r="K393" i="3"/>
  <c r="D393" i="3"/>
  <c r="G393" i="3" l="1"/>
  <c r="B394" i="3" s="1"/>
  <c r="N393" i="3"/>
  <c r="O393" i="3"/>
  <c r="Q393" i="3" s="1" a="1"/>
  <c r="Q393" i="3" s="1"/>
  <c r="L394" i="3" l="1"/>
  <c r="P393" i="3"/>
  <c r="S393" i="3" s="1"/>
  <c r="V393" i="3" s="1"/>
  <c r="W393" i="3" s="1"/>
  <c r="K394" i="3"/>
  <c r="O394" i="3" s="1"/>
  <c r="Q394" i="3" s="1" a="1"/>
  <c r="Q394" i="3" s="1"/>
  <c r="D394" i="3"/>
  <c r="T393" i="3" l="1"/>
  <c r="U393" i="3" s="1"/>
  <c r="P394" i="3"/>
  <c r="S394" i="3" s="1"/>
  <c r="V394" i="3" s="1"/>
  <c r="W394" i="3" s="1"/>
  <c r="G394" i="3"/>
  <c r="R393" i="3"/>
  <c r="N394" i="3"/>
  <c r="B395" i="3"/>
  <c r="L395" i="3" l="1"/>
  <c r="R394" i="3"/>
  <c r="T394" i="3"/>
  <c r="U394" i="3" s="1"/>
  <c r="K395" i="3"/>
  <c r="D395" i="3"/>
  <c r="G395" i="3" l="1"/>
  <c r="B396" i="3" s="1"/>
  <c r="N395" i="3"/>
  <c r="O395" i="3"/>
  <c r="Q395" i="3" s="1" a="1"/>
  <c r="Q395" i="3" s="1"/>
  <c r="L396" i="3" l="1"/>
  <c r="P395" i="3"/>
  <c r="S395" i="3" s="1"/>
  <c r="V395" i="3" s="1"/>
  <c r="W395" i="3" s="1"/>
  <c r="D396" i="3"/>
  <c r="K396" i="3"/>
  <c r="O396" i="3" s="1"/>
  <c r="Q396" i="3" s="1" a="1"/>
  <c r="Q396" i="3" s="1"/>
  <c r="T395" i="3" l="1"/>
  <c r="U395" i="3" s="1"/>
  <c r="R395" i="3"/>
  <c r="P396" i="3"/>
  <c r="S396" i="3" s="1"/>
  <c r="V396" i="3" s="1"/>
  <c r="W396" i="3" s="1"/>
  <c r="N396" i="3"/>
  <c r="G396" i="3"/>
  <c r="B397" i="3"/>
  <c r="L397" i="3" l="1"/>
  <c r="R396" i="3"/>
  <c r="T396" i="3"/>
  <c r="U396" i="3" s="1"/>
  <c r="D397" i="3"/>
  <c r="K397" i="3"/>
  <c r="N397" i="3" l="1"/>
  <c r="O397" i="3"/>
  <c r="Q397" i="3" s="1" a="1"/>
  <c r="Q397" i="3" s="1"/>
  <c r="G397" i="3"/>
  <c r="P397" i="3" l="1"/>
  <c r="S397" i="3" s="1"/>
  <c r="V397" i="3" s="1"/>
  <c r="W397" i="3" s="1"/>
  <c r="B398" i="3"/>
  <c r="R397" i="3" l="1"/>
  <c r="L398" i="3"/>
  <c r="T397" i="3"/>
  <c r="U397" i="3" s="1"/>
  <c r="K398" i="3"/>
  <c r="D398" i="3"/>
  <c r="G398" i="3" l="1"/>
  <c r="B399" i="3" s="1"/>
  <c r="N398" i="3"/>
  <c r="O398" i="3"/>
  <c r="Q398" i="3" s="1" a="1"/>
  <c r="Q398" i="3" s="1"/>
  <c r="L399" i="3" l="1"/>
  <c r="P398" i="3"/>
  <c r="S398" i="3" s="1"/>
  <c r="V398" i="3" s="1"/>
  <c r="W398" i="3" s="1"/>
  <c r="D399" i="3"/>
  <c r="K399" i="3"/>
  <c r="N399" i="3" s="1"/>
  <c r="T398" i="3" l="1"/>
  <c r="U398" i="3" s="1"/>
  <c r="R398" i="3"/>
  <c r="G399" i="3"/>
  <c r="O399" i="3"/>
  <c r="Q399" i="3" s="1" a="1"/>
  <c r="Q399" i="3" s="1"/>
  <c r="B400" i="3"/>
  <c r="L400" i="3" l="1"/>
  <c r="P399" i="3"/>
  <c r="S399" i="3" s="1"/>
  <c r="V399" i="3" s="1"/>
  <c r="D400" i="3"/>
  <c r="K400" i="3"/>
  <c r="T399" i="3" l="1"/>
  <c r="U399" i="3" s="1"/>
  <c r="R399" i="3"/>
  <c r="W399" i="3"/>
  <c r="N400" i="3"/>
  <c r="O400" i="3"/>
  <c r="Q400" i="3" s="1" a="1"/>
  <c r="Q400" i="3" s="1"/>
  <c r="G400" i="3"/>
  <c r="P400" i="3" l="1"/>
  <c r="S400" i="3" s="1"/>
  <c r="V400" i="3" s="1"/>
  <c r="W400" i="3" s="1"/>
  <c r="B401" i="3"/>
  <c r="R400" i="3" l="1"/>
  <c r="L401" i="3"/>
  <c r="T400" i="3"/>
  <c r="U400" i="3" s="1"/>
  <c r="D401" i="3"/>
  <c r="K401" i="3"/>
  <c r="N401" i="3" l="1"/>
  <c r="O401" i="3"/>
  <c r="Q401" i="3" s="1" a="1"/>
  <c r="Q401" i="3" s="1"/>
  <c r="G401" i="3"/>
  <c r="P401" i="3" l="1"/>
  <c r="S401" i="3" s="1"/>
  <c r="V401" i="3" s="1"/>
  <c r="W401" i="3" s="1"/>
  <c r="B402" i="3"/>
  <c r="T401" i="3" l="1"/>
  <c r="U401" i="3" s="1"/>
  <c r="L402" i="3"/>
  <c r="R401" i="3"/>
  <c r="K402" i="3"/>
  <c r="D402" i="3"/>
  <c r="N402" i="3" l="1"/>
  <c r="O402" i="3"/>
  <c r="Q402" i="3" s="1" a="1"/>
  <c r="Q402" i="3" s="1"/>
  <c r="G402" i="3"/>
  <c r="P402" i="3" l="1"/>
  <c r="S402" i="3" s="1"/>
  <c r="V402" i="3" s="1"/>
  <c r="W402" i="3" s="1"/>
  <c r="B403" i="3"/>
  <c r="T402" i="3" l="1"/>
  <c r="U402" i="3" s="1"/>
  <c r="L403" i="3"/>
  <c r="R402" i="3"/>
  <c r="K403" i="3"/>
  <c r="D403" i="3"/>
  <c r="N403" i="3" l="1"/>
  <c r="O403" i="3"/>
  <c r="Q403" i="3" s="1" a="1"/>
  <c r="Q403" i="3" s="1"/>
  <c r="G403" i="3"/>
  <c r="P403" i="3" l="1"/>
  <c r="S403" i="3" s="1"/>
  <c r="V403" i="3" s="1"/>
  <c r="W403" i="3" s="1"/>
  <c r="B404" i="3"/>
  <c r="T403" i="3" l="1"/>
  <c r="U403" i="3" s="1"/>
  <c r="L404" i="3"/>
  <c r="R403" i="3"/>
  <c r="D404" i="3"/>
  <c r="K404" i="3"/>
  <c r="G404" i="3" l="1"/>
  <c r="N404" i="3"/>
  <c r="O404" i="3"/>
  <c r="Q404" i="3" s="1" a="1"/>
  <c r="Q404" i="3" s="1"/>
  <c r="B405" i="3"/>
  <c r="L405" i="3" l="1"/>
  <c r="P404" i="3"/>
  <c r="S404" i="3" s="1"/>
  <c r="V404" i="3" s="1"/>
  <c r="W404" i="3" s="1"/>
  <c r="K405" i="3"/>
  <c r="D405" i="3"/>
  <c r="R404" i="3" l="1"/>
  <c r="T404" i="3"/>
  <c r="U404" i="3" s="1"/>
  <c r="N405" i="3"/>
  <c r="O405" i="3"/>
  <c r="Q405" i="3" s="1" a="1"/>
  <c r="Q405" i="3" s="1"/>
  <c r="G405" i="3"/>
  <c r="P405" i="3" l="1"/>
  <c r="S405" i="3" s="1"/>
  <c r="V405" i="3" s="1"/>
  <c r="W405" i="3" s="1"/>
  <c r="B406" i="3"/>
  <c r="T405" i="3" l="1"/>
  <c r="U405" i="3" s="1"/>
  <c r="L406" i="3"/>
  <c r="R405" i="3"/>
  <c r="D406" i="3"/>
  <c r="K406" i="3"/>
  <c r="N406" i="3" l="1"/>
  <c r="O406" i="3"/>
  <c r="Q406" i="3" s="1" a="1"/>
  <c r="Q406" i="3" s="1"/>
  <c r="G406" i="3"/>
  <c r="P406" i="3" l="1"/>
  <c r="S406" i="3" s="1"/>
  <c r="V406" i="3" s="1"/>
  <c r="W406" i="3" s="1"/>
  <c r="B407" i="3"/>
  <c r="R406" i="3" l="1"/>
  <c r="L407" i="3"/>
  <c r="T406" i="3"/>
  <c r="U406" i="3" s="1"/>
  <c r="D407" i="3"/>
  <c r="K407" i="3"/>
  <c r="N407" i="3" l="1"/>
  <c r="O407" i="3"/>
  <c r="Q407" i="3" s="1" a="1"/>
  <c r="Q407" i="3" s="1"/>
  <c r="G407" i="3"/>
  <c r="P407" i="3" l="1"/>
  <c r="S407" i="3" s="1"/>
  <c r="V407" i="3" s="1"/>
  <c r="W407" i="3" s="1"/>
  <c r="B408" i="3"/>
  <c r="T407" i="3" l="1"/>
  <c r="U407" i="3" s="1"/>
  <c r="L408" i="3"/>
  <c r="R407" i="3"/>
  <c r="D408" i="3"/>
  <c r="K408" i="3"/>
  <c r="N408" i="3" l="1"/>
  <c r="O408" i="3"/>
  <c r="Q408" i="3" s="1" a="1"/>
  <c r="Q408" i="3" s="1"/>
  <c r="G408" i="3"/>
  <c r="P408" i="3" l="1"/>
  <c r="S408" i="3" s="1"/>
  <c r="V408" i="3" s="1"/>
  <c r="W408" i="3" s="1"/>
  <c r="B409" i="3"/>
  <c r="T408" i="3" l="1"/>
  <c r="U408" i="3" s="1"/>
  <c r="L409" i="3"/>
  <c r="R408" i="3"/>
  <c r="D409" i="3"/>
  <c r="K409" i="3"/>
  <c r="G409" i="3" l="1"/>
  <c r="N409" i="3"/>
  <c r="O409" i="3"/>
  <c r="Q409" i="3" s="1" a="1"/>
  <c r="Q409" i="3" s="1"/>
  <c r="B410" i="3"/>
  <c r="L410" i="3" l="1"/>
  <c r="P409" i="3"/>
  <c r="S409" i="3" s="1"/>
  <c r="V409" i="3" s="1"/>
  <c r="W409" i="3" s="1"/>
  <c r="K410" i="3"/>
  <c r="D410" i="3"/>
  <c r="R409" i="3" l="1"/>
  <c r="T409" i="3"/>
  <c r="U409" i="3" s="1"/>
  <c r="N410" i="3"/>
  <c r="O410" i="3"/>
  <c r="Q410" i="3" s="1" a="1"/>
  <c r="Q410" i="3" s="1"/>
  <c r="G410" i="3"/>
  <c r="P410" i="3" l="1"/>
  <c r="S410" i="3" s="1"/>
  <c r="V410" i="3" s="1"/>
  <c r="W410" i="3" s="1"/>
  <c r="B411" i="3"/>
  <c r="R410" i="3" l="1"/>
  <c r="L411" i="3"/>
  <c r="T410" i="3"/>
  <c r="U410" i="3" s="1"/>
  <c r="K411" i="3"/>
  <c r="D411" i="3"/>
  <c r="N411" i="3" l="1"/>
  <c r="O411" i="3"/>
  <c r="Q411" i="3" s="1" a="1"/>
  <c r="Q411" i="3" s="1"/>
  <c r="G411" i="3"/>
  <c r="P411" i="3" l="1"/>
  <c r="S411" i="3" s="1"/>
  <c r="V411" i="3" s="1"/>
  <c r="W411" i="3" s="1"/>
  <c r="B412" i="3"/>
  <c r="L412" i="3" l="1"/>
  <c r="T411" i="3"/>
  <c r="U411" i="3" s="1"/>
  <c r="R411" i="3"/>
  <c r="D412" i="3"/>
  <c r="K412" i="3"/>
  <c r="G412" i="3" l="1"/>
  <c r="N412" i="3"/>
  <c r="O412" i="3"/>
  <c r="Q412" i="3" s="1" a="1"/>
  <c r="Q412" i="3" s="1"/>
  <c r="B413" i="3"/>
  <c r="L413" i="3" l="1"/>
  <c r="P412" i="3"/>
  <c r="S412" i="3" s="1"/>
  <c r="V412" i="3" s="1"/>
  <c r="W412" i="3" s="1"/>
  <c r="D413" i="3"/>
  <c r="K413" i="3"/>
  <c r="R412" i="3" l="1"/>
  <c r="T412" i="3"/>
  <c r="U412" i="3" s="1"/>
  <c r="G413" i="3"/>
  <c r="N413" i="3"/>
  <c r="O413" i="3"/>
  <c r="Q413" i="3" s="1" a="1"/>
  <c r="Q413" i="3" s="1"/>
  <c r="B414" i="3"/>
  <c r="L414" i="3" l="1"/>
  <c r="P413" i="3"/>
  <c r="S413" i="3" s="1"/>
  <c r="V413" i="3" s="1"/>
  <c r="W413" i="3" s="1"/>
  <c r="K414" i="3"/>
  <c r="D414" i="3"/>
  <c r="R413" i="3" l="1"/>
  <c r="T413" i="3"/>
  <c r="U413" i="3" s="1"/>
  <c r="G414" i="3"/>
  <c r="B415" i="3" s="1"/>
  <c r="N414" i="3"/>
  <c r="O414" i="3"/>
  <c r="Q414" i="3" s="1" a="1"/>
  <c r="Q414" i="3" s="1"/>
  <c r="L415" i="3" l="1"/>
  <c r="P414" i="3"/>
  <c r="S414" i="3" s="1"/>
  <c r="V414" i="3" s="1"/>
  <c r="W414" i="3" s="1"/>
  <c r="D415" i="3"/>
  <c r="K415" i="3"/>
  <c r="G415" i="3" l="1"/>
  <c r="B416" i="3" s="1"/>
  <c r="L416" i="3" s="1"/>
  <c r="R414" i="3"/>
  <c r="T414" i="3"/>
  <c r="U414" i="3" s="1"/>
  <c r="O415" i="3"/>
  <c r="Q415" i="3" s="1" a="1"/>
  <c r="Q415" i="3" s="1"/>
  <c r="N415" i="3"/>
  <c r="D416" i="3" l="1"/>
  <c r="K416" i="3"/>
  <c r="N416" i="3" s="1"/>
  <c r="P415" i="3"/>
  <c r="S415" i="3" s="1"/>
  <c r="V415" i="3" s="1"/>
  <c r="W415" i="3" s="1"/>
  <c r="B417" i="3"/>
  <c r="O416" i="3" l="1"/>
  <c r="Q416" i="3" s="1" a="1"/>
  <c r="Q416" i="3" s="1"/>
  <c r="G416" i="3"/>
  <c r="R415" i="3"/>
  <c r="L417" i="3"/>
  <c r="T415" i="3"/>
  <c r="U415" i="3" s="1"/>
  <c r="D417" i="3"/>
  <c r="K417" i="3"/>
  <c r="P416" i="3" l="1"/>
  <c r="S416" i="3" s="1"/>
  <c r="V416" i="3" s="1"/>
  <c r="W416" i="3" s="1"/>
  <c r="G417" i="3"/>
  <c r="N417" i="3"/>
  <c r="O417" i="3"/>
  <c r="Q417" i="3" s="1" a="1"/>
  <c r="Q417" i="3" s="1"/>
  <c r="B418" i="3"/>
  <c r="T416" i="3" l="1"/>
  <c r="U416" i="3" s="1"/>
  <c r="R416" i="3"/>
  <c r="L418" i="3"/>
  <c r="P417" i="3"/>
  <c r="S417" i="3" s="1"/>
  <c r="V417" i="3" s="1"/>
  <c r="W417" i="3" s="1"/>
  <c r="K418" i="3"/>
  <c r="D418" i="3"/>
  <c r="R417" i="3" l="1"/>
  <c r="T417" i="3"/>
  <c r="U417" i="3" s="1"/>
  <c r="G418" i="3"/>
  <c r="B419" i="3" s="1"/>
  <c r="N418" i="3"/>
  <c r="O418" i="3"/>
  <c r="Q418" i="3" s="1" a="1"/>
  <c r="Q418" i="3" s="1"/>
  <c r="L419" i="3" l="1"/>
  <c r="K419" i="3"/>
  <c r="N419" i="3" s="1"/>
  <c r="P418" i="3"/>
  <c r="S418" i="3" s="1"/>
  <c r="V418" i="3" s="1"/>
  <c r="W418" i="3" s="1"/>
  <c r="D419" i="3"/>
  <c r="O419" i="3" l="1"/>
  <c r="Q419" i="3" s="1" a="1"/>
  <c r="Q419" i="3" s="1"/>
  <c r="T418" i="3"/>
  <c r="U418" i="3" s="1"/>
  <c r="G419" i="3"/>
  <c r="B420" i="3" s="1"/>
  <c r="R418" i="3"/>
  <c r="P419" i="3" l="1"/>
  <c r="S419" i="3" s="1"/>
  <c r="V419" i="3" s="1"/>
  <c r="W419" i="3" s="1"/>
  <c r="L420" i="3"/>
  <c r="K420" i="3"/>
  <c r="O420" i="3" s="1"/>
  <c r="Q420" i="3" s="1" a="1"/>
  <c r="Q420" i="3" s="1"/>
  <c r="D420" i="3"/>
  <c r="B421" i="3"/>
  <c r="R419" i="3" l="1"/>
  <c r="T419" i="3"/>
  <c r="U419" i="3" s="1"/>
  <c r="L421" i="3"/>
  <c r="N420" i="3"/>
  <c r="P420" i="3"/>
  <c r="S420" i="3" s="1"/>
  <c r="V420" i="3" s="1"/>
  <c r="W420" i="3" s="1"/>
  <c r="G420" i="3"/>
  <c r="K421" i="3"/>
  <c r="D421" i="3"/>
  <c r="R420" i="3" l="1"/>
  <c r="T420" i="3"/>
  <c r="U420" i="3" s="1"/>
  <c r="G421" i="3"/>
  <c r="B422" i="3" s="1"/>
  <c r="N421" i="3"/>
  <c r="O421" i="3"/>
  <c r="Q421" i="3" s="1" a="1"/>
  <c r="Q421" i="3" s="1"/>
  <c r="L422" i="3" l="1"/>
  <c r="P421" i="3"/>
  <c r="S421" i="3" s="1"/>
  <c r="V421" i="3" s="1"/>
  <c r="W421" i="3" s="1"/>
  <c r="K422" i="3"/>
  <c r="N422" i="3" s="1"/>
  <c r="D422" i="3"/>
  <c r="T421" i="3" l="1"/>
  <c r="U421" i="3" s="1"/>
  <c r="G422" i="3"/>
  <c r="R421" i="3"/>
  <c r="O422" i="3"/>
  <c r="Q422" i="3" s="1" a="1"/>
  <c r="Q422" i="3" s="1"/>
  <c r="B423" i="3"/>
  <c r="L423" i="3" l="1"/>
  <c r="P422" i="3"/>
  <c r="S422" i="3" s="1"/>
  <c r="V422" i="3" s="1"/>
  <c r="D423" i="3"/>
  <c r="K423" i="3"/>
  <c r="T422" i="3" l="1"/>
  <c r="U422" i="3" s="1"/>
  <c r="R422" i="3"/>
  <c r="W422" i="3"/>
  <c r="N423" i="3"/>
  <c r="O423" i="3"/>
  <c r="Q423" i="3" s="1" a="1"/>
  <c r="Q423" i="3" s="1"/>
  <c r="G423" i="3"/>
  <c r="P423" i="3" l="1"/>
  <c r="S423" i="3" s="1"/>
  <c r="V423" i="3" s="1"/>
  <c r="W423" i="3" s="1"/>
  <c r="B424" i="3"/>
  <c r="T423" i="3" l="1"/>
  <c r="U423" i="3" s="1"/>
  <c r="L424" i="3"/>
  <c r="R423" i="3"/>
  <c r="K424" i="3"/>
  <c r="D424" i="3"/>
  <c r="G424" i="3" l="1"/>
  <c r="B425" i="3" s="1"/>
  <c r="N424" i="3"/>
  <c r="O424" i="3"/>
  <c r="Q424" i="3" s="1" a="1"/>
  <c r="Q424" i="3" s="1"/>
  <c r="L425" i="3" l="1"/>
  <c r="P424" i="3"/>
  <c r="S424" i="3" s="1"/>
  <c r="V424" i="3" s="1"/>
  <c r="W424" i="3" s="1"/>
  <c r="K425" i="3"/>
  <c r="N425" i="3" s="1"/>
  <c r="D425" i="3"/>
  <c r="T424" i="3" l="1"/>
  <c r="U424" i="3" s="1"/>
  <c r="R424" i="3"/>
  <c r="G425" i="3"/>
  <c r="O425" i="3"/>
  <c r="Q425" i="3" s="1" a="1"/>
  <c r="Q425" i="3" s="1"/>
  <c r="B426" i="3"/>
  <c r="L426" i="3" l="1"/>
  <c r="P425" i="3"/>
  <c r="S425" i="3" s="1"/>
  <c r="V425" i="3" s="1"/>
  <c r="K426" i="3"/>
  <c r="D426" i="3"/>
  <c r="R425" i="3" l="1"/>
  <c r="T425" i="3"/>
  <c r="U425" i="3" s="1"/>
  <c r="W425" i="3"/>
  <c r="G426" i="3"/>
  <c r="B427" i="3" s="1"/>
  <c r="N426" i="3"/>
  <c r="O426" i="3"/>
  <c r="Q426" i="3" s="1" a="1"/>
  <c r="Q426" i="3" s="1"/>
  <c r="L427" i="3" l="1"/>
  <c r="P426" i="3"/>
  <c r="S426" i="3" s="1"/>
  <c r="V426" i="3" s="1"/>
  <c r="W426" i="3" s="1"/>
  <c r="K427" i="3"/>
  <c r="O427" i="3" s="1"/>
  <c r="Q427" i="3" s="1" a="1"/>
  <c r="Q427" i="3" s="1"/>
  <c r="D427" i="3"/>
  <c r="T426" i="3" l="1"/>
  <c r="U426" i="3" s="1"/>
  <c r="P427" i="3"/>
  <c r="S427" i="3" s="1"/>
  <c r="V427" i="3" s="1"/>
  <c r="W427" i="3" s="1"/>
  <c r="R426" i="3"/>
  <c r="G427" i="3"/>
  <c r="N427" i="3"/>
  <c r="B428" i="3"/>
  <c r="L428" i="3" l="1"/>
  <c r="R427" i="3"/>
  <c r="T427" i="3"/>
  <c r="U427" i="3" s="1"/>
  <c r="K428" i="3"/>
  <c r="D428" i="3"/>
  <c r="G428" i="3" l="1"/>
  <c r="B429" i="3" s="1"/>
  <c r="N428" i="3"/>
  <c r="O428" i="3"/>
  <c r="Q428" i="3" s="1" a="1"/>
  <c r="Q428" i="3" s="1"/>
  <c r="L429" i="3" l="1"/>
  <c r="P428" i="3"/>
  <c r="S428" i="3" s="1"/>
  <c r="V428" i="3" s="1"/>
  <c r="W428" i="3" s="1"/>
  <c r="D429" i="3"/>
  <c r="K429" i="3"/>
  <c r="G429" i="3" l="1"/>
  <c r="B430" i="3" s="1"/>
  <c r="L430" i="3" s="1"/>
  <c r="T428" i="3"/>
  <c r="U428" i="3" s="1"/>
  <c r="R428" i="3"/>
  <c r="O429" i="3"/>
  <c r="Q429" i="3" s="1" a="1"/>
  <c r="Q429" i="3" s="1"/>
  <c r="N429" i="3"/>
  <c r="D430" i="3" l="1"/>
  <c r="K430" i="3"/>
  <c r="N430" i="3" s="1"/>
  <c r="P429" i="3"/>
  <c r="S429" i="3" s="1"/>
  <c r="V429" i="3" s="1"/>
  <c r="W429" i="3" s="1"/>
  <c r="B431" i="3"/>
  <c r="O430" i="3" l="1"/>
  <c r="Q430" i="3" s="1" a="1"/>
  <c r="Q430" i="3" s="1"/>
  <c r="G430" i="3"/>
  <c r="R429" i="3"/>
  <c r="L431" i="3"/>
  <c r="T429" i="3"/>
  <c r="U429" i="3" s="1"/>
  <c r="D431" i="3"/>
  <c r="K431" i="3"/>
  <c r="P430" i="3" l="1"/>
  <c r="S430" i="3" s="1"/>
  <c r="V430" i="3" s="1"/>
  <c r="W430" i="3" s="1"/>
  <c r="G431" i="3"/>
  <c r="N431" i="3"/>
  <c r="O431" i="3"/>
  <c r="Q431" i="3" s="1" a="1"/>
  <c r="Q431" i="3" s="1"/>
  <c r="B432" i="3"/>
  <c r="R430" i="3" l="1"/>
  <c r="T430" i="3"/>
  <c r="U430" i="3" s="1"/>
  <c r="L432" i="3"/>
  <c r="P431" i="3"/>
  <c r="S431" i="3" s="1"/>
  <c r="V431" i="3" s="1"/>
  <c r="W431" i="3" s="1"/>
  <c r="K432" i="3"/>
  <c r="D432" i="3"/>
  <c r="R431" i="3" l="1"/>
  <c r="T431" i="3"/>
  <c r="U431" i="3" s="1"/>
  <c r="N432" i="3"/>
  <c r="O432" i="3"/>
  <c r="Q432" i="3" s="1" a="1"/>
  <c r="Q432" i="3" s="1"/>
  <c r="G432" i="3"/>
  <c r="P432" i="3" l="1"/>
  <c r="S432" i="3" s="1"/>
  <c r="V432" i="3" s="1"/>
  <c r="W432" i="3" s="1"/>
  <c r="B433" i="3"/>
  <c r="T432" i="3" l="1"/>
  <c r="U432" i="3" s="1"/>
  <c r="L433" i="3"/>
  <c r="R432" i="3"/>
  <c r="K433" i="3"/>
  <c r="D433" i="3"/>
  <c r="N433" i="3" l="1"/>
  <c r="O433" i="3"/>
  <c r="Q433" i="3" s="1" a="1"/>
  <c r="Q433" i="3" s="1"/>
  <c r="G433" i="3"/>
  <c r="P433" i="3" l="1"/>
  <c r="S433" i="3" s="1"/>
  <c r="V433" i="3" s="1"/>
  <c r="W433" i="3" s="1"/>
  <c r="B434" i="3"/>
  <c r="R433" i="3" l="1"/>
  <c r="L434" i="3"/>
  <c r="T433" i="3"/>
  <c r="U433" i="3" s="1"/>
  <c r="K434" i="3"/>
  <c r="D434" i="3"/>
  <c r="G434" i="3" l="1"/>
  <c r="B435" i="3" s="1"/>
  <c r="N434" i="3"/>
  <c r="O434" i="3"/>
  <c r="Q434" i="3" s="1" a="1"/>
  <c r="Q434" i="3" s="1"/>
  <c r="L435" i="3" l="1"/>
  <c r="P434" i="3"/>
  <c r="S434" i="3" s="1"/>
  <c r="V434" i="3" s="1"/>
  <c r="W434" i="3" s="1"/>
  <c r="D435" i="3"/>
  <c r="K435" i="3"/>
  <c r="N435" i="3" s="1"/>
  <c r="T434" i="3" l="1"/>
  <c r="U434" i="3" s="1"/>
  <c r="R434" i="3"/>
  <c r="G435" i="3"/>
  <c r="O435" i="3"/>
  <c r="Q435" i="3" s="1" a="1"/>
  <c r="Q435" i="3" s="1"/>
  <c r="B436" i="3"/>
  <c r="L436" i="3" l="1"/>
  <c r="P435" i="3"/>
  <c r="S435" i="3" s="1"/>
  <c r="V435" i="3" s="1"/>
  <c r="D436" i="3"/>
  <c r="K436" i="3"/>
  <c r="R435" i="3" l="1"/>
  <c r="T435" i="3"/>
  <c r="U435" i="3" s="1"/>
  <c r="W435" i="3"/>
  <c r="G436" i="3"/>
  <c r="N436" i="3"/>
  <c r="O436" i="3"/>
  <c r="Q436" i="3" s="1" a="1"/>
  <c r="Q436" i="3" s="1"/>
  <c r="B437" i="3"/>
  <c r="L437" i="3" l="1"/>
  <c r="P436" i="3"/>
  <c r="S436" i="3" s="1"/>
  <c r="V436" i="3" s="1"/>
  <c r="W436" i="3" s="1"/>
  <c r="D437" i="3"/>
  <c r="K437" i="3"/>
  <c r="R436" i="3" l="1"/>
  <c r="T436" i="3"/>
  <c r="U436" i="3" s="1"/>
  <c r="N437" i="3"/>
  <c r="O437" i="3"/>
  <c r="Q437" i="3" s="1" a="1"/>
  <c r="Q437" i="3" s="1"/>
  <c r="G437" i="3"/>
  <c r="P437" i="3" l="1"/>
  <c r="S437" i="3" s="1"/>
  <c r="V437" i="3" s="1"/>
  <c r="W437" i="3" s="1"/>
  <c r="B438" i="3"/>
  <c r="R437" i="3" l="1"/>
  <c r="L438" i="3"/>
  <c r="T437" i="3"/>
  <c r="U437" i="3" s="1"/>
  <c r="D438" i="3"/>
  <c r="K438" i="3"/>
  <c r="N438" i="3" l="1"/>
  <c r="O438" i="3"/>
  <c r="Q438" i="3" s="1" a="1"/>
  <c r="Q438" i="3" s="1"/>
  <c r="G438" i="3"/>
  <c r="P438" i="3" l="1"/>
  <c r="S438" i="3" s="1"/>
  <c r="V438" i="3" s="1"/>
  <c r="W438" i="3" s="1"/>
  <c r="B439" i="3"/>
  <c r="R438" i="3" l="1"/>
  <c r="L439" i="3"/>
  <c r="T438" i="3"/>
  <c r="U438" i="3" s="1"/>
  <c r="K439" i="3"/>
  <c r="D439" i="3"/>
  <c r="N439" i="3" l="1"/>
  <c r="O439" i="3"/>
  <c r="Q439" i="3" s="1" a="1"/>
  <c r="Q439" i="3" s="1"/>
  <c r="G439" i="3"/>
  <c r="P439" i="3" l="1"/>
  <c r="S439" i="3" s="1"/>
  <c r="V439" i="3" s="1"/>
  <c r="W439" i="3" s="1"/>
  <c r="B440" i="3"/>
  <c r="R439" i="3" l="1"/>
  <c r="L440" i="3"/>
  <c r="T439" i="3"/>
  <c r="U439" i="3" s="1"/>
  <c r="D440" i="3"/>
  <c r="K440" i="3"/>
  <c r="N440" i="3" l="1"/>
  <c r="O440" i="3"/>
  <c r="Q440" i="3" s="1" a="1"/>
  <c r="Q440" i="3" s="1"/>
  <c r="G440" i="3"/>
  <c r="P440" i="3" l="1"/>
  <c r="S440" i="3" s="1"/>
  <c r="V440" i="3" s="1"/>
  <c r="W440" i="3" s="1"/>
  <c r="B441" i="3"/>
  <c r="R440" i="3" l="1"/>
  <c r="L441" i="3"/>
  <c r="T440" i="3"/>
  <c r="U440" i="3" s="1"/>
  <c r="D441" i="3"/>
  <c r="K441" i="3"/>
  <c r="N441" i="3" l="1"/>
  <c r="O441" i="3"/>
  <c r="Q441" i="3" s="1" a="1"/>
  <c r="Q441" i="3" s="1"/>
  <c r="G441" i="3"/>
  <c r="P441" i="3" l="1"/>
  <c r="S441" i="3" s="1"/>
  <c r="V441" i="3" s="1"/>
  <c r="W441" i="3" s="1"/>
  <c r="B442" i="3"/>
  <c r="L442" i="3" l="1"/>
  <c r="T441" i="3"/>
  <c r="U441" i="3" s="1"/>
  <c r="R441" i="3"/>
  <c r="D442" i="3"/>
  <c r="K442" i="3"/>
  <c r="N442" i="3" l="1"/>
  <c r="O442" i="3"/>
  <c r="Q442" i="3" s="1" a="1"/>
  <c r="Q442" i="3" s="1"/>
  <c r="G442" i="3"/>
  <c r="P442" i="3" l="1"/>
  <c r="S442" i="3" s="1"/>
  <c r="V442" i="3" s="1"/>
  <c r="W442" i="3" s="1"/>
  <c r="B443" i="3"/>
  <c r="T442" i="3" l="1"/>
  <c r="U442" i="3" s="1"/>
  <c r="L443" i="3"/>
  <c r="R442" i="3"/>
  <c r="D443" i="3"/>
  <c r="K443" i="3"/>
  <c r="N443" i="3" l="1"/>
  <c r="O443" i="3"/>
  <c r="Q443" i="3" s="1" a="1"/>
  <c r="Q443" i="3" s="1"/>
  <c r="G443" i="3"/>
  <c r="P443" i="3" l="1"/>
  <c r="S443" i="3" s="1"/>
  <c r="V443" i="3" s="1"/>
  <c r="W443" i="3" s="1"/>
  <c r="B444" i="3"/>
  <c r="T443" i="3" l="1"/>
  <c r="U443" i="3" s="1"/>
  <c r="L444" i="3"/>
  <c r="R443" i="3"/>
  <c r="D444" i="3"/>
  <c r="K444" i="3"/>
  <c r="N444" i="3" l="1"/>
  <c r="O444" i="3"/>
  <c r="Q444" i="3" s="1" a="1"/>
  <c r="Q444" i="3" s="1"/>
  <c r="G444" i="3"/>
  <c r="P444" i="3" l="1"/>
  <c r="S444" i="3" s="1"/>
  <c r="V444" i="3" s="1"/>
  <c r="W444" i="3" s="1"/>
  <c r="B445" i="3"/>
  <c r="L445" i="3" l="1"/>
  <c r="T444" i="3"/>
  <c r="U444" i="3" s="1"/>
  <c r="R444" i="3"/>
  <c r="K445" i="3"/>
  <c r="D445" i="3"/>
  <c r="G445" i="3" l="1"/>
  <c r="B446" i="3" s="1"/>
  <c r="N445" i="3"/>
  <c r="O445" i="3"/>
  <c r="Q445" i="3" s="1" a="1"/>
  <c r="Q445" i="3" s="1"/>
  <c r="L446" i="3" l="1"/>
  <c r="P445" i="3"/>
  <c r="S445" i="3" s="1"/>
  <c r="V445" i="3" s="1"/>
  <c r="W445" i="3" s="1"/>
  <c r="D446" i="3"/>
  <c r="K446" i="3"/>
  <c r="G446" i="3" l="1"/>
  <c r="B447" i="3" s="1"/>
  <c r="L447" i="3" s="1"/>
  <c r="T445" i="3"/>
  <c r="U445" i="3" s="1"/>
  <c r="R445" i="3"/>
  <c r="O446" i="3"/>
  <c r="Q446" i="3" s="1" a="1"/>
  <c r="Q446" i="3" s="1"/>
  <c r="N446" i="3"/>
  <c r="D447" i="3" l="1"/>
  <c r="K447" i="3"/>
  <c r="O447" i="3" s="1"/>
  <c r="Q447" i="3" s="1" a="1"/>
  <c r="Q447" i="3" s="1"/>
  <c r="P446" i="3"/>
  <c r="S446" i="3" s="1"/>
  <c r="V446" i="3" s="1"/>
  <c r="W446" i="3" s="1"/>
  <c r="B448" i="3"/>
  <c r="G447" i="3" l="1"/>
  <c r="N447" i="3"/>
  <c r="P447" i="3"/>
  <c r="S447" i="3" s="1"/>
  <c r="T447" i="3" s="1"/>
  <c r="R446" i="3"/>
  <c r="L448" i="3"/>
  <c r="T446" i="3"/>
  <c r="U446" i="3" s="1"/>
  <c r="D448" i="3"/>
  <c r="K448" i="3"/>
  <c r="R447" i="3" l="1"/>
  <c r="V447" i="3"/>
  <c r="W447" i="3" s="1"/>
  <c r="U447" i="3"/>
  <c r="G448" i="3"/>
  <c r="N448" i="3"/>
  <c r="O448" i="3"/>
  <c r="Q448" i="3" s="1" a="1"/>
  <c r="Q448" i="3" s="1"/>
  <c r="B449" i="3"/>
  <c r="L449" i="3" l="1"/>
  <c r="P448" i="3"/>
  <c r="S448" i="3" s="1"/>
  <c r="V448" i="3" s="1"/>
  <c r="W448" i="3" s="1"/>
  <c r="D449" i="3"/>
  <c r="K449" i="3"/>
  <c r="R448" i="3" l="1"/>
  <c r="T448" i="3"/>
  <c r="U448" i="3" s="1"/>
  <c r="G449" i="3"/>
  <c r="N449" i="3"/>
  <c r="O449" i="3"/>
  <c r="Q449" i="3" s="1" a="1"/>
  <c r="Q449" i="3" s="1"/>
  <c r="B450" i="3"/>
  <c r="L450" i="3" l="1"/>
  <c r="P449" i="3"/>
  <c r="S449" i="3" s="1"/>
  <c r="V449" i="3" s="1"/>
  <c r="W449" i="3" s="1"/>
  <c r="K450" i="3"/>
  <c r="D450" i="3"/>
  <c r="R449" i="3" l="1"/>
  <c r="T449" i="3"/>
  <c r="U449" i="3" s="1"/>
  <c r="N450" i="3"/>
  <c r="O450" i="3"/>
  <c r="Q450" i="3" s="1" a="1"/>
  <c r="Q450" i="3" s="1"/>
  <c r="G450" i="3"/>
  <c r="P450" i="3" l="1"/>
  <c r="S450" i="3" s="1"/>
  <c r="V450" i="3" s="1"/>
  <c r="W450" i="3" s="1"/>
  <c r="B451" i="3"/>
  <c r="T450" i="3" l="1"/>
  <c r="U450" i="3" s="1"/>
  <c r="L451" i="3"/>
  <c r="R450" i="3"/>
  <c r="D451" i="3"/>
  <c r="K451" i="3"/>
  <c r="G451" i="3" l="1"/>
  <c r="N451" i="3"/>
  <c r="O451" i="3"/>
  <c r="Q451" i="3" s="1" a="1"/>
  <c r="Q451" i="3" s="1"/>
  <c r="B452" i="3"/>
  <c r="L452" i="3" l="1"/>
  <c r="P451" i="3"/>
  <c r="S451" i="3" s="1"/>
  <c r="V451" i="3" s="1"/>
  <c r="W451" i="3" s="1"/>
  <c r="D452" i="3"/>
  <c r="K452" i="3"/>
  <c r="R451" i="3" l="1"/>
  <c r="T451" i="3"/>
  <c r="U451" i="3" s="1"/>
  <c r="N452" i="3"/>
  <c r="O452" i="3"/>
  <c r="Q452" i="3" s="1" a="1"/>
  <c r="Q452" i="3" s="1"/>
  <c r="G452" i="3"/>
  <c r="P452" i="3" l="1"/>
  <c r="S452" i="3" s="1"/>
  <c r="V452" i="3" s="1"/>
  <c r="W452" i="3" s="1"/>
  <c r="B453" i="3"/>
  <c r="T452" i="3" l="1"/>
  <c r="U452" i="3" s="1"/>
  <c r="L453" i="3"/>
  <c r="R452" i="3"/>
  <c r="D453" i="3"/>
  <c r="K453" i="3"/>
  <c r="N453" i="3" l="1"/>
  <c r="O453" i="3"/>
  <c r="Q453" i="3" s="1" a="1"/>
  <c r="Q453" i="3" s="1"/>
  <c r="G453" i="3"/>
  <c r="P453" i="3" l="1"/>
  <c r="S453" i="3" s="1"/>
  <c r="V453" i="3" s="1"/>
  <c r="W453" i="3" s="1"/>
  <c r="B454" i="3"/>
  <c r="T453" i="3" l="1"/>
  <c r="U453" i="3" s="1"/>
  <c r="L454" i="3"/>
  <c r="R453" i="3"/>
  <c r="D454" i="3"/>
  <c r="K454" i="3"/>
  <c r="N454" i="3" l="1"/>
  <c r="O454" i="3"/>
  <c r="Q454" i="3" s="1" a="1"/>
  <c r="Q454" i="3" s="1"/>
  <c r="G454" i="3"/>
  <c r="P454" i="3" l="1"/>
  <c r="S454" i="3" s="1"/>
  <c r="V454" i="3" s="1"/>
  <c r="W454" i="3" s="1"/>
  <c r="B455" i="3"/>
  <c r="R454" i="3" l="1"/>
  <c r="L455" i="3"/>
  <c r="T454" i="3"/>
  <c r="U454" i="3" s="1"/>
  <c r="D455" i="3"/>
  <c r="K455" i="3"/>
  <c r="G455" i="3" l="1"/>
  <c r="N455" i="3"/>
  <c r="O455" i="3"/>
  <c r="Q455" i="3" s="1" a="1"/>
  <c r="Q455" i="3" s="1"/>
  <c r="B456" i="3"/>
  <c r="L456" i="3" l="1"/>
  <c r="P455" i="3"/>
  <c r="S455" i="3" s="1"/>
  <c r="V455" i="3" s="1"/>
  <c r="W455" i="3" s="1"/>
  <c r="K456" i="3"/>
  <c r="D456" i="3"/>
  <c r="R455" i="3" l="1"/>
  <c r="T455" i="3"/>
  <c r="U455" i="3" s="1"/>
  <c r="N456" i="3"/>
  <c r="O456" i="3"/>
  <c r="Q456" i="3" s="1" a="1"/>
  <c r="Q456" i="3" s="1"/>
  <c r="G456" i="3"/>
  <c r="P456" i="3" l="1"/>
  <c r="S456" i="3" s="1"/>
  <c r="V456" i="3" s="1"/>
  <c r="W456" i="3" s="1"/>
  <c r="B457" i="3"/>
  <c r="R456" i="3" l="1"/>
  <c r="L457" i="3"/>
  <c r="T456" i="3"/>
  <c r="U456" i="3" s="1"/>
  <c r="D457" i="3"/>
  <c r="K457" i="3"/>
  <c r="N457" i="3" l="1"/>
  <c r="O457" i="3"/>
  <c r="Q457" i="3" s="1" a="1"/>
  <c r="Q457" i="3" s="1"/>
  <c r="G457" i="3"/>
  <c r="P457" i="3" l="1"/>
  <c r="S457" i="3" s="1"/>
  <c r="V457" i="3" s="1"/>
  <c r="W457" i="3" s="1"/>
  <c r="B458" i="3"/>
  <c r="R457" i="3" l="1"/>
  <c r="L458" i="3"/>
  <c r="T457" i="3"/>
  <c r="U457" i="3" s="1"/>
  <c r="K458" i="3"/>
  <c r="D458" i="3"/>
  <c r="G458" i="3" l="1"/>
  <c r="B459" i="3" s="1"/>
  <c r="N458" i="3"/>
  <c r="O458" i="3"/>
  <c r="Q458" i="3" s="1" a="1"/>
  <c r="Q458" i="3" s="1"/>
  <c r="L459" i="3" l="1"/>
  <c r="P458" i="3"/>
  <c r="S458" i="3" s="1"/>
  <c r="V458" i="3" s="1"/>
  <c r="W458" i="3" s="1"/>
  <c r="K459" i="3"/>
  <c r="N459" i="3" s="1"/>
  <c r="D459" i="3"/>
  <c r="R458" i="3" l="1"/>
  <c r="T458" i="3"/>
  <c r="U458" i="3" s="1"/>
  <c r="O459" i="3"/>
  <c r="Q459" i="3" s="1" a="1"/>
  <c r="Q459" i="3" s="1"/>
  <c r="G459" i="3"/>
  <c r="B460" i="3"/>
  <c r="L460" i="3" l="1"/>
  <c r="P459" i="3"/>
  <c r="S459" i="3" s="1"/>
  <c r="V459" i="3" s="1"/>
  <c r="K460" i="3"/>
  <c r="D460" i="3"/>
  <c r="T459" i="3" l="1"/>
  <c r="U459" i="3" s="1"/>
  <c r="R459" i="3"/>
  <c r="W459" i="3"/>
  <c r="G460" i="3"/>
  <c r="B461" i="3" s="1"/>
  <c r="N460" i="3"/>
  <c r="O460" i="3"/>
  <c r="Q460" i="3" s="1" a="1"/>
  <c r="Q460" i="3" s="1"/>
  <c r="L461" i="3" l="1"/>
  <c r="P460" i="3"/>
  <c r="S460" i="3" s="1"/>
  <c r="V460" i="3" s="1"/>
  <c r="W460" i="3" s="1"/>
  <c r="K461" i="3"/>
  <c r="D461" i="3"/>
  <c r="B462" i="3"/>
  <c r="T460" i="3" l="1"/>
  <c r="U460" i="3" s="1"/>
  <c r="L462" i="3"/>
  <c r="G461" i="3"/>
  <c r="R460" i="3"/>
  <c r="O461" i="3"/>
  <c r="Q461" i="3" s="1" a="1"/>
  <c r="Q461" i="3" s="1"/>
  <c r="N461" i="3"/>
  <c r="D462" i="3"/>
  <c r="K462" i="3"/>
  <c r="P461" i="3" l="1"/>
  <c r="S461" i="3" s="1"/>
  <c r="V461" i="3" s="1"/>
  <c r="W461" i="3" s="1"/>
  <c r="N462" i="3"/>
  <c r="O462" i="3"/>
  <c r="Q462" i="3" s="1" a="1"/>
  <c r="Q462" i="3" s="1"/>
  <c r="G462" i="3"/>
  <c r="R461" i="3" l="1"/>
  <c r="P462" i="3"/>
  <c r="S462" i="3" s="1"/>
  <c r="V462" i="3" s="1"/>
  <c r="W462" i="3" s="1"/>
  <c r="T461" i="3"/>
  <c r="U461" i="3" s="1"/>
  <c r="B463" i="3"/>
  <c r="R462" i="3" l="1"/>
  <c r="L463" i="3"/>
  <c r="T462" i="3"/>
  <c r="U462" i="3" s="1"/>
  <c r="K463" i="3"/>
  <c r="D463" i="3"/>
  <c r="G463" i="3" l="1"/>
  <c r="B464" i="3" s="1"/>
  <c r="N463" i="3"/>
  <c r="O463" i="3"/>
  <c r="Q463" i="3" s="1" a="1"/>
  <c r="Q463" i="3" s="1"/>
  <c r="L464" i="3" l="1"/>
  <c r="P463" i="3"/>
  <c r="S463" i="3" s="1"/>
  <c r="V463" i="3" s="1"/>
  <c r="W463" i="3" s="1"/>
  <c r="D464" i="3"/>
  <c r="K464" i="3"/>
  <c r="T463" i="3" l="1"/>
  <c r="U463" i="3" s="1"/>
  <c r="R463" i="3"/>
  <c r="N464" i="3"/>
  <c r="O464" i="3"/>
  <c r="Q464" i="3" s="1" a="1"/>
  <c r="Q464" i="3" s="1"/>
  <c r="G464" i="3"/>
  <c r="B465" i="3"/>
  <c r="L465" i="3" l="1"/>
  <c r="P464" i="3"/>
  <c r="S464" i="3" s="1"/>
  <c r="V464" i="3" s="1"/>
  <c r="W464" i="3" s="1"/>
  <c r="D465" i="3"/>
  <c r="K465" i="3"/>
  <c r="T464" i="3" l="1"/>
  <c r="U464" i="3" s="1"/>
  <c r="R464" i="3"/>
  <c r="N465" i="3"/>
  <c r="O465" i="3"/>
  <c r="Q465" i="3" s="1" a="1"/>
  <c r="Q465" i="3" s="1"/>
  <c r="G465" i="3"/>
  <c r="P465" i="3" l="1"/>
  <c r="S465" i="3" s="1"/>
  <c r="V465" i="3" s="1"/>
  <c r="W465" i="3" s="1"/>
  <c r="B466" i="3"/>
  <c r="R465" i="3" l="1"/>
  <c r="L466" i="3"/>
  <c r="T465" i="3"/>
  <c r="U465" i="3" s="1"/>
  <c r="K466" i="3"/>
  <c r="D466" i="3"/>
  <c r="G466" i="3" l="1"/>
  <c r="B467" i="3" s="1"/>
  <c r="N466" i="3"/>
  <c r="O466" i="3"/>
  <c r="Q466" i="3" s="1" a="1"/>
  <c r="Q466" i="3" s="1"/>
  <c r="L467" i="3" l="1"/>
  <c r="P466" i="3"/>
  <c r="S466" i="3" s="1"/>
  <c r="V466" i="3" s="1"/>
  <c r="W466" i="3" s="1"/>
  <c r="K467" i="3"/>
  <c r="O467" i="3" s="1"/>
  <c r="Q467" i="3" s="1" a="1"/>
  <c r="Q467" i="3" s="1"/>
  <c r="D467" i="3"/>
  <c r="T466" i="3" l="1"/>
  <c r="U466" i="3" s="1"/>
  <c r="R466" i="3"/>
  <c r="P467" i="3"/>
  <c r="S467" i="3" s="1"/>
  <c r="V467" i="3" s="1"/>
  <c r="W467" i="3" s="1"/>
  <c r="G467" i="3"/>
  <c r="N467" i="3"/>
  <c r="B468" i="3"/>
  <c r="L468" i="3" l="1"/>
  <c r="T467" i="3"/>
  <c r="U467" i="3" s="1"/>
  <c r="R467" i="3"/>
  <c r="K468" i="3"/>
  <c r="D468" i="3"/>
  <c r="G468" i="3" l="1"/>
  <c r="B469" i="3" s="1"/>
  <c r="N468" i="3"/>
  <c r="O468" i="3"/>
  <c r="Q468" i="3" s="1" a="1"/>
  <c r="Q468" i="3" s="1"/>
  <c r="L469" i="3" l="1"/>
  <c r="P468" i="3"/>
  <c r="S468" i="3" s="1"/>
  <c r="V468" i="3" s="1"/>
  <c r="W468" i="3" s="1"/>
  <c r="K469" i="3"/>
  <c r="D469" i="3"/>
  <c r="B470" i="3"/>
  <c r="G469" i="3" l="1"/>
  <c r="T468" i="3"/>
  <c r="U468" i="3" s="1"/>
  <c r="L470" i="3"/>
  <c r="O469" i="3"/>
  <c r="N469" i="3"/>
  <c r="R468" i="3"/>
  <c r="K470" i="3"/>
  <c r="D470" i="3"/>
  <c r="P469" i="3" l="1"/>
  <c r="S469" i="3" s="1"/>
  <c r="V469" i="3" s="1"/>
  <c r="W469" i="3" s="1"/>
  <c r="Q469" i="3" a="1"/>
  <c r="Q469" i="3" s="1"/>
  <c r="N470" i="3"/>
  <c r="O470" i="3"/>
  <c r="Q470" i="3" s="1" a="1"/>
  <c r="Q470" i="3" s="1"/>
  <c r="G470" i="3"/>
  <c r="R469" i="3" l="1"/>
  <c r="T469" i="3"/>
  <c r="U469" i="3" s="1"/>
  <c r="P470" i="3"/>
  <c r="S470" i="3" s="1"/>
  <c r="V470" i="3" s="1"/>
  <c r="W470" i="3" s="1"/>
  <c r="B471" i="3"/>
  <c r="T470" i="3" l="1"/>
  <c r="U470" i="3" s="1"/>
  <c r="L471" i="3"/>
  <c r="R470" i="3"/>
  <c r="K471" i="3"/>
  <c r="D471" i="3"/>
  <c r="N471" i="3" l="1"/>
  <c r="O471" i="3"/>
  <c r="Q471" i="3" s="1" a="1"/>
  <c r="Q471" i="3" s="1"/>
  <c r="G471" i="3"/>
  <c r="P471" i="3" l="1"/>
  <c r="S471" i="3" s="1"/>
  <c r="V471" i="3" s="1"/>
  <c r="W471" i="3" s="1"/>
  <c r="B472" i="3"/>
  <c r="T471" i="3" l="1"/>
  <c r="U471" i="3" s="1"/>
  <c r="L472" i="3"/>
  <c r="R471" i="3"/>
  <c r="K472" i="3"/>
  <c r="D472" i="3"/>
  <c r="G472" i="3" l="1"/>
  <c r="B473" i="3" s="1"/>
  <c r="N472" i="3"/>
  <c r="O472" i="3"/>
  <c r="Q472" i="3" s="1" a="1"/>
  <c r="Q472" i="3" s="1"/>
  <c r="L473" i="3" l="1"/>
  <c r="K473" i="3"/>
  <c r="O473" i="3" s="1"/>
  <c r="Q473" i="3" s="1" a="1"/>
  <c r="Q473" i="3" s="1"/>
  <c r="D473" i="3"/>
  <c r="P472" i="3"/>
  <c r="S472" i="3" s="1"/>
  <c r="V472" i="3" s="1"/>
  <c r="W472" i="3" s="1"/>
  <c r="T472" i="3" l="1"/>
  <c r="U472" i="3" s="1"/>
  <c r="G473" i="3"/>
  <c r="N473" i="3"/>
  <c r="P473" i="3"/>
  <c r="S473" i="3" s="1"/>
  <c r="V473" i="3" s="1"/>
  <c r="W473" i="3" s="1"/>
  <c r="R472" i="3"/>
  <c r="B474" i="3"/>
  <c r="R473" i="3" l="1"/>
  <c r="L474" i="3"/>
  <c r="T473" i="3"/>
  <c r="U473" i="3" s="1"/>
  <c r="D474" i="3"/>
  <c r="K474" i="3"/>
  <c r="G474" i="3" l="1"/>
  <c r="N474" i="3"/>
  <c r="O474" i="3"/>
  <c r="Q474" i="3" s="1" a="1"/>
  <c r="Q474" i="3" s="1"/>
  <c r="B475" i="3"/>
  <c r="L475" i="3" l="1"/>
  <c r="P474" i="3"/>
  <c r="S474" i="3" s="1"/>
  <c r="V474" i="3" s="1"/>
  <c r="W474" i="3" s="1"/>
  <c r="D475" i="3"/>
  <c r="K475" i="3"/>
  <c r="R474" i="3" l="1"/>
  <c r="T474" i="3"/>
  <c r="U474" i="3" s="1"/>
  <c r="G475" i="3"/>
  <c r="N475" i="3"/>
  <c r="O475" i="3"/>
  <c r="Q475" i="3" s="1" a="1"/>
  <c r="Q475" i="3" s="1"/>
  <c r="B476" i="3"/>
  <c r="L476" i="3" l="1"/>
  <c r="P475" i="3"/>
  <c r="S475" i="3" s="1"/>
  <c r="V475" i="3" s="1"/>
  <c r="W475" i="3" s="1"/>
  <c r="K476" i="3"/>
  <c r="D476" i="3"/>
  <c r="R475" i="3" l="1"/>
  <c r="T475" i="3"/>
  <c r="U475" i="3" s="1"/>
  <c r="G476" i="3"/>
  <c r="B477" i="3" s="1"/>
  <c r="N476" i="3"/>
  <c r="O476" i="3"/>
  <c r="Q476" i="3" s="1" a="1"/>
  <c r="Q476" i="3" s="1"/>
  <c r="L477" i="3" l="1"/>
  <c r="P476" i="3"/>
  <c r="S476" i="3" s="1"/>
  <c r="V476" i="3" s="1"/>
  <c r="W476" i="3" s="1"/>
  <c r="D477" i="3"/>
  <c r="K477" i="3"/>
  <c r="R476" i="3" l="1"/>
  <c r="G477" i="3"/>
  <c r="B478" i="3" s="1"/>
  <c r="L478" i="3" s="1"/>
  <c r="T476" i="3"/>
  <c r="U476" i="3" s="1"/>
  <c r="O477" i="3"/>
  <c r="Q477" i="3" s="1" a="1"/>
  <c r="Q477" i="3" s="1"/>
  <c r="N477" i="3"/>
  <c r="K478" i="3" l="1"/>
  <c r="D478" i="3"/>
  <c r="P477" i="3"/>
  <c r="S477" i="3" s="1"/>
  <c r="V477" i="3" s="1"/>
  <c r="W477" i="3" s="1"/>
  <c r="G478" i="3" l="1"/>
  <c r="B479" i="3" s="1"/>
  <c r="N478" i="3"/>
  <c r="O478" i="3"/>
  <c r="Q478" i="3" s="1" a="1"/>
  <c r="Q478" i="3" s="1"/>
  <c r="R477" i="3"/>
  <c r="T477" i="3"/>
  <c r="U477" i="3" s="1"/>
  <c r="P478" i="3" l="1"/>
  <c r="S478" i="3" s="1"/>
  <c r="V478" i="3" s="1"/>
  <c r="W478" i="3" s="1"/>
  <c r="K479" i="3"/>
  <c r="L479" i="3"/>
  <c r="D479" i="3"/>
  <c r="T478" i="3" l="1"/>
  <c r="U478" i="3" s="1"/>
  <c r="R478" i="3"/>
  <c r="N479" i="3"/>
  <c r="O479" i="3"/>
  <c r="G479" i="3"/>
  <c r="B480" i="3" s="1"/>
  <c r="K480" i="3" l="1"/>
  <c r="L480" i="3"/>
  <c r="D480" i="3"/>
  <c r="P479" i="3"/>
  <c r="S479" i="3" s="1"/>
  <c r="V479" i="3" s="1"/>
  <c r="W479" i="3" s="1"/>
  <c r="Q479" i="3" a="1"/>
  <c r="Q479" i="3" s="1"/>
  <c r="T479" i="3" l="1"/>
  <c r="U479" i="3" s="1"/>
  <c r="R479" i="3"/>
  <c r="N480" i="3"/>
  <c r="O480" i="3"/>
  <c r="G480" i="3"/>
  <c r="B481" i="3" s="1"/>
  <c r="Q480" i="3" l="1" a="1"/>
  <c r="Q480" i="3" s="1"/>
  <c r="P480" i="3"/>
  <c r="S480" i="3" s="1"/>
  <c r="K481" i="3"/>
  <c r="L481" i="3"/>
  <c r="D481" i="3"/>
  <c r="R480" i="3" l="1"/>
  <c r="N481" i="3"/>
  <c r="G481" i="3"/>
  <c r="B482" i="3" s="1"/>
  <c r="O481" i="3"/>
  <c r="V480" i="3"/>
  <c r="T480" i="3"/>
  <c r="U480" i="3" s="1"/>
  <c r="W480" i="3" l="1"/>
  <c r="Q481" i="3" a="1"/>
  <c r="Q481" i="3" s="1"/>
  <c r="P481" i="3"/>
  <c r="S481" i="3" s="1"/>
  <c r="L482" i="3"/>
  <c r="D482" i="3"/>
  <c r="K482" i="3"/>
  <c r="R481" i="3" l="1"/>
  <c r="T481" i="3"/>
  <c r="U481" i="3" s="1"/>
  <c r="V481" i="3"/>
  <c r="W481" i="3" s="1"/>
  <c r="N482" i="3"/>
  <c r="O482" i="3"/>
  <c r="G482" i="3"/>
  <c r="B483" i="3" s="1"/>
  <c r="Q482" i="3" l="1" a="1"/>
  <c r="Q482" i="3" s="1"/>
  <c r="P482" i="3"/>
  <c r="S482" i="3" s="1"/>
  <c r="K483" i="3"/>
  <c r="D483" i="3"/>
  <c r="L483" i="3"/>
  <c r="B484" i="3"/>
  <c r="R482" i="3" l="1"/>
  <c r="N483" i="3"/>
  <c r="G483" i="3"/>
  <c r="O483" i="3"/>
  <c r="L484" i="3"/>
  <c r="K484" i="3"/>
  <c r="D484" i="3"/>
  <c r="V482" i="3"/>
  <c r="W482" i="3" s="1"/>
  <c r="T482" i="3"/>
  <c r="U482" i="3" s="1"/>
  <c r="Q483" i="3" l="1" a="1"/>
  <c r="Q483" i="3" s="1"/>
  <c r="P483" i="3"/>
  <c r="S483" i="3" s="1"/>
  <c r="N484" i="3"/>
  <c r="O484" i="3"/>
  <c r="G484" i="3"/>
  <c r="B485" i="3" s="1"/>
  <c r="R483" i="3" l="1"/>
  <c r="D485" i="3"/>
  <c r="K485" i="3"/>
  <c r="L485" i="3"/>
  <c r="Q484" i="3" a="1"/>
  <c r="Q484" i="3" s="1"/>
  <c r="P484" i="3"/>
  <c r="S484" i="3" s="1"/>
  <c r="V483" i="3"/>
  <c r="T483" i="3"/>
  <c r="U483" i="3" s="1"/>
  <c r="R484" i="3" l="1"/>
  <c r="T484" i="3"/>
  <c r="U484" i="3" s="1"/>
  <c r="W483" i="3"/>
  <c r="V484" i="3"/>
  <c r="W484" i="3" s="1"/>
  <c r="N485" i="3"/>
  <c r="G485" i="3"/>
  <c r="B486" i="3" s="1"/>
  <c r="O485" i="3"/>
  <c r="Q485" i="3" l="1" a="1"/>
  <c r="Q485" i="3" s="1"/>
  <c r="P485" i="3"/>
  <c r="S485" i="3" s="1"/>
  <c r="L486" i="3"/>
  <c r="K486" i="3"/>
  <c r="D486" i="3"/>
  <c r="G486" i="3" l="1"/>
  <c r="B487" i="3" s="1"/>
  <c r="L487" i="3" s="1"/>
  <c r="R485" i="3"/>
  <c r="O486" i="3"/>
  <c r="N486" i="3"/>
  <c r="V485" i="3"/>
  <c r="T485" i="3"/>
  <c r="U485" i="3" s="1"/>
  <c r="D487" i="3" l="1"/>
  <c r="B488" i="3"/>
  <c r="K488" i="3" s="1"/>
  <c r="K487" i="3"/>
  <c r="N487" i="3" s="1"/>
  <c r="Q486" i="3" a="1"/>
  <c r="Q486" i="3" s="1"/>
  <c r="P486" i="3"/>
  <c r="S486" i="3" s="1"/>
  <c r="V486" i="3" s="1"/>
  <c r="W485" i="3"/>
  <c r="O487" i="3" l="1"/>
  <c r="P487" i="3" s="1"/>
  <c r="S487" i="3" s="1"/>
  <c r="G487" i="3"/>
  <c r="D488" i="3"/>
  <c r="G488" i="3" s="1"/>
  <c r="B489" i="3" s="1"/>
  <c r="L488" i="3"/>
  <c r="R486" i="3"/>
  <c r="W486" i="3"/>
  <c r="N488" i="3"/>
  <c r="O488" i="3"/>
  <c r="T486" i="3"/>
  <c r="U486" i="3" s="1"/>
  <c r="Q487" i="3" l="1" a="1"/>
  <c r="Q487" i="3" s="1"/>
  <c r="R487" i="3" s="1"/>
  <c r="D489" i="3"/>
  <c r="L489" i="3"/>
  <c r="K489" i="3"/>
  <c r="B490" i="3"/>
  <c r="Q488" i="3" a="1"/>
  <c r="Q488" i="3" s="1"/>
  <c r="P488" i="3"/>
  <c r="S488" i="3" s="1"/>
  <c r="V487" i="3"/>
  <c r="T487" i="3" l="1"/>
  <c r="U487" i="3" s="1"/>
  <c r="R488" i="3"/>
  <c r="D490" i="3"/>
  <c r="K490" i="3"/>
  <c r="W487" i="3"/>
  <c r="V488" i="3"/>
  <c r="W488" i="3" s="1"/>
  <c r="N489" i="3"/>
  <c r="G489" i="3"/>
  <c r="O489" i="3"/>
  <c r="T488" i="3"/>
  <c r="U488" i="3" l="1"/>
  <c r="Q489" i="3" a="1"/>
  <c r="Q489" i="3" s="1"/>
  <c r="P489" i="3"/>
  <c r="S489" i="3" s="1"/>
  <c r="G490" i="3"/>
  <c r="I490" i="3" s="1"/>
  <c r="N490" i="3"/>
  <c r="O490" i="3"/>
  <c r="R489" i="3" l="1"/>
  <c r="Q490" i="3" a="1"/>
  <c r="Q490" i="3" s="1"/>
  <c r="P490" i="3"/>
  <c r="B491" i="3"/>
  <c r="L490" i="3" s="1"/>
  <c r="V489" i="3"/>
  <c r="T489" i="3"/>
  <c r="U489" i="3" s="1"/>
  <c r="W489" i="3" l="1"/>
  <c r="K491" i="3"/>
  <c r="D491" i="3"/>
  <c r="S490" i="3"/>
  <c r="T490" i="3" s="1"/>
  <c r="U490" i="3" s="1"/>
  <c r="R490" i="3"/>
  <c r="G491" i="3" l="1"/>
  <c r="I491" i="3" s="1"/>
  <c r="N491" i="3"/>
  <c r="O491" i="3"/>
  <c r="V490" i="3"/>
  <c r="B492" i="3" l="1"/>
  <c r="L491" i="3" s="1"/>
  <c r="W490" i="3"/>
  <c r="Q491" i="3" a="1"/>
  <c r="Q491" i="3" s="1"/>
  <c r="P491" i="3"/>
  <c r="S491" i="3" l="1"/>
  <c r="T491" i="3" s="1"/>
  <c r="U491" i="3" s="1"/>
  <c r="R491" i="3"/>
  <c r="D492" i="3"/>
  <c r="K492" i="3"/>
  <c r="V491" i="3" l="1"/>
  <c r="W491" i="3" s="1"/>
  <c r="G492" i="3"/>
  <c r="I492" i="3" s="1"/>
  <c r="O492" i="3"/>
  <c r="N492" i="3"/>
  <c r="P492" i="3" l="1"/>
  <c r="Q492" i="3" a="1"/>
  <c r="Q492" i="3" s="1"/>
  <c r="R492" i="3" s="1"/>
  <c r="B493" i="3"/>
  <c r="L492" i="3" s="1"/>
  <c r="S492" i="3" l="1"/>
  <c r="D493" i="3"/>
  <c r="K493" i="3"/>
  <c r="T492" i="3" l="1"/>
  <c r="U492" i="3" s="1"/>
  <c r="V492" i="3"/>
  <c r="N493" i="3"/>
  <c r="G493" i="3"/>
  <c r="I493" i="3" s="1"/>
  <c r="O493" i="3"/>
  <c r="B494" i="3" l="1"/>
  <c r="L493" i="3" s="1"/>
  <c r="Q493" i="3" a="1"/>
  <c r="Q493" i="3" s="1"/>
  <c r="P493" i="3"/>
  <c r="W492" i="3"/>
  <c r="S493" i="3" l="1"/>
  <c r="T493" i="3" s="1"/>
  <c r="U493" i="3" s="1"/>
  <c r="R493" i="3"/>
  <c r="K494" i="3"/>
  <c r="D494" i="3"/>
  <c r="V493" i="3" l="1"/>
  <c r="W493" i="3" s="1"/>
  <c r="N494" i="3"/>
  <c r="O494" i="3"/>
  <c r="G494" i="3"/>
  <c r="I494" i="3" s="1"/>
  <c r="B495" i="3" l="1"/>
  <c r="L494" i="3" s="1"/>
  <c r="Q494" i="3" a="1"/>
  <c r="Q494" i="3" s="1"/>
  <c r="P494" i="3"/>
  <c r="S494" i="3" l="1"/>
  <c r="V494" i="3" s="1"/>
  <c r="W494" i="3" s="1"/>
  <c r="D495" i="3"/>
  <c r="K495" i="3"/>
  <c r="R494" i="3"/>
  <c r="T494" i="3" l="1"/>
  <c r="U494" i="3" s="1"/>
  <c r="O495" i="3"/>
  <c r="N495" i="3"/>
  <c r="G495" i="3"/>
  <c r="I495" i="3" s="1"/>
  <c r="B496" i="3" l="1"/>
  <c r="L495" i="3" s="1"/>
  <c r="Q495" i="3" a="1"/>
  <c r="Q495" i="3" s="1"/>
  <c r="P495" i="3"/>
  <c r="S495" i="3" l="1"/>
  <c r="V495" i="3" s="1"/>
  <c r="W495" i="3" s="1"/>
  <c r="K496" i="3"/>
  <c r="D496" i="3"/>
  <c r="R495" i="3"/>
  <c r="T495" i="3" l="1"/>
  <c r="U495" i="3" s="1"/>
  <c r="G496" i="3"/>
  <c r="I496" i="3" s="1"/>
  <c r="O496" i="3"/>
  <c r="N496" i="3"/>
  <c r="B497" i="3" l="1"/>
  <c r="L496" i="3" s="1"/>
  <c r="Q496" i="3" a="1"/>
  <c r="Q496" i="3" s="1"/>
  <c r="P496" i="3"/>
  <c r="S496" i="3" l="1"/>
  <c r="V496" i="3" s="1"/>
  <c r="R496" i="3"/>
  <c r="K497" i="3"/>
  <c r="D497" i="3"/>
  <c r="T496" i="3" l="1"/>
  <c r="U496" i="3" s="1"/>
  <c r="N497" i="3"/>
  <c r="G497" i="3"/>
  <c r="I497" i="3" s="1"/>
  <c r="O497" i="3"/>
  <c r="W496" i="3"/>
  <c r="Q497" i="3" l="1" a="1"/>
  <c r="Q497" i="3" s="1"/>
  <c r="P497" i="3"/>
  <c r="B498" i="3"/>
  <c r="L497" i="3" s="1"/>
  <c r="S497" i="3" l="1"/>
  <c r="V497" i="3" s="1"/>
  <c r="R497" i="3"/>
  <c r="K498" i="3"/>
  <c r="D498" i="3"/>
  <c r="T497" i="3" l="1"/>
  <c r="U497" i="3" s="1"/>
  <c r="N498" i="3"/>
  <c r="O498" i="3"/>
  <c r="G498" i="3"/>
  <c r="I498" i="3" s="1"/>
  <c r="W497" i="3"/>
  <c r="B499" i="3" l="1"/>
  <c r="L498" i="3" s="1"/>
  <c r="Q498" i="3" a="1"/>
  <c r="Q498" i="3" s="1"/>
  <c r="P498" i="3"/>
  <c r="R498" i="3" l="1"/>
  <c r="S498" i="3"/>
  <c r="K499" i="3"/>
  <c r="D499" i="3"/>
  <c r="T498" i="3" l="1"/>
  <c r="U498" i="3" s="1"/>
  <c r="V498" i="3"/>
  <c r="N499" i="3"/>
  <c r="O499" i="3"/>
  <c r="G499" i="3"/>
  <c r="I499" i="3" s="1"/>
  <c r="Q499" i="3" l="1" a="1"/>
  <c r="Q499" i="3" s="1"/>
  <c r="P499" i="3"/>
  <c r="B500" i="3"/>
  <c r="L499" i="3" s="1"/>
  <c r="W498" i="3"/>
  <c r="S499" i="3" l="1"/>
  <c r="T499" i="3" s="1"/>
  <c r="U499" i="3" s="1"/>
  <c r="R499" i="3"/>
  <c r="K500" i="3"/>
  <c r="D500" i="3"/>
  <c r="V499" i="3" l="1"/>
  <c r="W499" i="3" s="1"/>
  <c r="N500" i="3"/>
  <c r="O500" i="3"/>
  <c r="G500" i="3"/>
  <c r="I500" i="3" s="1"/>
  <c r="Q500" i="3" l="1" a="1"/>
  <c r="Q500" i="3" s="1"/>
  <c r="P500" i="3"/>
  <c r="B501" i="3"/>
  <c r="L500" i="3" s="1"/>
  <c r="R500" i="3" l="1"/>
  <c r="S500" i="3"/>
  <c r="T500" i="3" s="1"/>
  <c r="U500" i="3" s="1"/>
  <c r="D501" i="3"/>
  <c r="K501" i="3"/>
  <c r="V500" i="3" l="1"/>
  <c r="W500" i="3" s="1"/>
  <c r="N501" i="3"/>
  <c r="O501" i="3"/>
  <c r="G501" i="3"/>
  <c r="I501" i="3" s="1"/>
  <c r="B502" i="3" l="1"/>
  <c r="L501" i="3" s="1"/>
  <c r="Q501" i="3" a="1"/>
  <c r="Q501" i="3" s="1"/>
  <c r="P501" i="3"/>
  <c r="S501" i="3" l="1"/>
  <c r="V501" i="3" s="1"/>
  <c r="R501" i="3"/>
  <c r="D502" i="3"/>
  <c r="K502" i="3"/>
  <c r="T501" i="3" l="1"/>
  <c r="U501" i="3" s="1"/>
  <c r="G502" i="3"/>
  <c r="I502" i="3" s="1"/>
  <c r="N502" i="3"/>
  <c r="O502" i="3"/>
  <c r="W501" i="3"/>
  <c r="B503" i="3" l="1"/>
  <c r="L502" i="3" s="1"/>
  <c r="Q502" i="3" a="1"/>
  <c r="Q502" i="3" s="1"/>
  <c r="P502" i="3"/>
  <c r="R502" i="3" l="1"/>
  <c r="K503" i="3"/>
  <c r="D503" i="3"/>
  <c r="S502" i="3"/>
  <c r="N503" i="3" l="1"/>
  <c r="G503" i="3"/>
  <c r="I503" i="3" s="1"/>
  <c r="O503" i="3"/>
  <c r="T502" i="3"/>
  <c r="U502" i="3" s="1"/>
  <c r="V502" i="3"/>
  <c r="B504" i="3" l="1"/>
  <c r="L503" i="3" s="1"/>
  <c r="W502" i="3"/>
  <c r="Q503" i="3" a="1"/>
  <c r="Q503" i="3" s="1"/>
  <c r="R503" i="3" s="1"/>
  <c r="P503" i="3"/>
  <c r="S503" i="3" l="1"/>
  <c r="K504" i="3"/>
  <c r="D504" i="3"/>
  <c r="N504" i="3" l="1"/>
  <c r="G504" i="3"/>
  <c r="I504" i="3" s="1"/>
  <c r="O504" i="3"/>
  <c r="T503" i="3"/>
  <c r="U503" i="3" s="1"/>
  <c r="V503" i="3"/>
  <c r="W503" i="3" l="1"/>
  <c r="Q504" i="3" a="1"/>
  <c r="Q504" i="3" s="1"/>
  <c r="P504" i="3"/>
  <c r="B505" i="3"/>
  <c r="L504" i="3" s="1"/>
  <c r="S504" i="3" l="1"/>
  <c r="T504" i="3" s="1"/>
  <c r="U504" i="3" s="1"/>
  <c r="R504" i="3"/>
  <c r="K505" i="3"/>
  <c r="D505" i="3"/>
  <c r="V504" i="3" l="1"/>
  <c r="W504" i="3" s="1"/>
  <c r="G505" i="3"/>
  <c r="I505" i="3" s="1"/>
  <c r="O505" i="3"/>
  <c r="N505" i="3"/>
  <c r="Q505" i="3" l="1" a="1"/>
  <c r="Q505" i="3" s="1"/>
  <c r="P505" i="3"/>
  <c r="B506" i="3"/>
  <c r="L505" i="3" s="1"/>
  <c r="K506" i="3" l="1"/>
  <c r="D506" i="3"/>
  <c r="R505" i="3"/>
  <c r="S505" i="3"/>
  <c r="T505" i="3" l="1"/>
  <c r="U505" i="3" s="1"/>
  <c r="V505" i="3"/>
  <c r="N506" i="3"/>
  <c r="O506" i="3"/>
  <c r="G506" i="3"/>
  <c r="I506" i="3" s="1"/>
  <c r="Q506" i="3" l="1" a="1"/>
  <c r="Q506" i="3" s="1"/>
  <c r="P506" i="3"/>
  <c r="B507" i="3"/>
  <c r="L506" i="3" s="1"/>
  <c r="W505" i="3"/>
  <c r="S506" i="3" l="1"/>
  <c r="V506" i="3" s="1"/>
  <c r="W506" i="3" s="1"/>
  <c r="K507" i="3"/>
  <c r="D507" i="3"/>
  <c r="R506" i="3"/>
  <c r="T506" i="3" l="1"/>
  <c r="U506" i="3" s="1"/>
  <c r="N507" i="3"/>
  <c r="O507" i="3"/>
  <c r="G507" i="3"/>
  <c r="I507" i="3" s="1"/>
  <c r="Q507" i="3" l="1" a="1"/>
  <c r="Q507" i="3" s="1"/>
  <c r="P507" i="3"/>
  <c r="B508" i="3"/>
  <c r="L507" i="3" s="1"/>
  <c r="S507" i="3" l="1"/>
  <c r="V507" i="3" s="1"/>
  <c r="K508" i="3"/>
  <c r="D508" i="3"/>
  <c r="R507" i="3"/>
  <c r="T507" i="3" l="1"/>
  <c r="U507" i="3" s="1"/>
  <c r="W507" i="3"/>
  <c r="O508" i="3"/>
  <c r="N508" i="3"/>
  <c r="G508" i="3"/>
  <c r="I508" i="3" s="1"/>
  <c r="B509" i="3" l="1"/>
  <c r="L508" i="3" s="1"/>
  <c r="Q508" i="3" a="1"/>
  <c r="Q508" i="3" s="1"/>
  <c r="P508" i="3"/>
  <c r="S508" i="3" l="1"/>
  <c r="T508" i="3" s="1"/>
  <c r="U508" i="3" s="1"/>
  <c r="R508" i="3"/>
  <c r="K509" i="3"/>
  <c r="D509" i="3"/>
  <c r="V508" i="3" l="1"/>
  <c r="W508" i="3" s="1"/>
  <c r="O509" i="3"/>
  <c r="G509" i="3"/>
  <c r="I509" i="3" s="1"/>
  <c r="N509" i="3"/>
  <c r="Q509" i="3" l="1" a="1"/>
  <c r="Q509" i="3" s="1"/>
  <c r="P509" i="3"/>
  <c r="B510" i="3"/>
  <c r="L509" i="3" s="1"/>
  <c r="K510" i="3" l="1"/>
  <c r="D510" i="3"/>
  <c r="S509" i="3"/>
  <c r="R509" i="3"/>
  <c r="T509" i="3" l="1"/>
  <c r="U509" i="3" s="1"/>
  <c r="V509" i="3"/>
  <c r="O510" i="3"/>
  <c r="G510" i="3"/>
  <c r="I510" i="3" s="1"/>
  <c r="N510" i="3"/>
  <c r="B511" i="3" l="1"/>
  <c r="L510" i="3" s="1"/>
  <c r="Q510" i="3" a="1"/>
  <c r="Q510" i="3" s="1"/>
  <c r="P510" i="3"/>
  <c r="W509" i="3"/>
  <c r="S510" i="3" l="1"/>
  <c r="T510" i="3" s="1"/>
  <c r="U510" i="3" s="1"/>
  <c r="R510" i="3"/>
  <c r="D511" i="3"/>
  <c r="K511" i="3"/>
  <c r="V510" i="3" l="1"/>
  <c r="W510" i="3" s="1"/>
  <c r="G511" i="3"/>
  <c r="I511" i="3" s="1"/>
  <c r="O511" i="3"/>
  <c r="N511" i="3"/>
  <c r="B512" i="3" l="1"/>
  <c r="L511" i="3" s="1"/>
  <c r="Q511" i="3" a="1"/>
  <c r="Q511" i="3" s="1"/>
  <c r="P511" i="3"/>
  <c r="R511" i="3" l="1"/>
  <c r="K512" i="3"/>
  <c r="D512" i="3"/>
  <c r="S511" i="3"/>
  <c r="N512" i="3" l="1"/>
  <c r="O512" i="3"/>
  <c r="G512" i="3"/>
  <c r="I512" i="3" s="1"/>
  <c r="T511" i="3"/>
  <c r="U511" i="3" s="1"/>
  <c r="V511" i="3"/>
  <c r="W511" i="3" l="1"/>
  <c r="B513" i="3"/>
  <c r="L512" i="3" s="1"/>
  <c r="Q512" i="3" a="1"/>
  <c r="Q512" i="3" s="1"/>
  <c r="P512" i="3"/>
  <c r="R512" i="3" l="1"/>
  <c r="K513" i="3"/>
  <c r="D513" i="3"/>
  <c r="S512" i="3"/>
  <c r="T512" i="3" l="1"/>
  <c r="U512" i="3" s="1"/>
  <c r="V512" i="3"/>
  <c r="W512" i="3" s="1"/>
  <c r="N513" i="3"/>
  <c r="O513" i="3"/>
  <c r="G513" i="3"/>
  <c r="I513" i="3" s="1"/>
  <c r="Q513" i="3" l="1" a="1"/>
  <c r="Q513" i="3" s="1"/>
  <c r="P513" i="3"/>
  <c r="B514" i="3"/>
  <c r="L513" i="3" s="1"/>
  <c r="S513" i="3" l="1"/>
  <c r="V513" i="3" s="1"/>
  <c r="W513" i="3" s="1"/>
  <c r="D514" i="3"/>
  <c r="K514" i="3"/>
  <c r="R513" i="3"/>
  <c r="T513" i="3" l="1"/>
  <c r="U513" i="3" s="1"/>
  <c r="N514" i="3"/>
  <c r="O514" i="3"/>
  <c r="G514" i="3"/>
  <c r="I514" i="3" s="1"/>
  <c r="B515" i="3" s="1"/>
  <c r="K515" i="3" s="1"/>
  <c r="L514" i="3" l="1"/>
  <c r="D515" i="3"/>
  <c r="G515" i="3" s="1"/>
  <c r="Q514" i="3" a="1"/>
  <c r="Q514" i="3" s="1"/>
  <c r="P514" i="3"/>
  <c r="N515" i="3"/>
  <c r="O515" i="3"/>
  <c r="Q515" i="3" s="1" a="1"/>
  <c r="Q515" i="3" s="1"/>
  <c r="S514" i="3" l="1"/>
  <c r="T514" i="3" s="1"/>
  <c r="U514" i="3" s="1"/>
  <c r="R514" i="3"/>
  <c r="I515" i="3"/>
  <c r="P515" i="3"/>
  <c r="R515" i="3" s="1"/>
  <c r="V514" i="3" l="1"/>
  <c r="W514" i="3" s="1"/>
  <c r="B516" i="3"/>
  <c r="K516" i="3" l="1"/>
  <c r="D516" i="3"/>
  <c r="L515" i="3"/>
  <c r="S515" i="3" s="1"/>
  <c r="V515" i="3" l="1"/>
  <c r="T515" i="3"/>
  <c r="U515" i="3" s="1"/>
  <c r="G516" i="3"/>
  <c r="N516" i="3"/>
  <c r="O516" i="3"/>
  <c r="Q516" i="3" s="1" a="1"/>
  <c r="Q516" i="3" s="1"/>
  <c r="P516" i="3" l="1"/>
  <c r="R516" i="3" s="1"/>
  <c r="I516" i="3"/>
  <c r="W515" i="3"/>
  <c r="B517" i="3" l="1"/>
  <c r="K517" i="3" l="1"/>
  <c r="D517" i="3"/>
  <c r="L516" i="3"/>
  <c r="S516" i="3" s="1"/>
  <c r="T516" i="3" l="1"/>
  <c r="U516" i="3" s="1"/>
  <c r="V516" i="3"/>
  <c r="O517" i="3"/>
  <c r="Q517" i="3" s="1" a="1"/>
  <c r="Q517" i="3" s="1"/>
  <c r="G517" i="3"/>
  <c r="N517" i="3"/>
  <c r="I517" i="3" l="1"/>
  <c r="P517" i="3"/>
  <c r="R517" i="3" s="1"/>
  <c r="W516" i="3"/>
  <c r="B518" i="3" l="1"/>
  <c r="D518" i="3" l="1"/>
  <c r="K518" i="3"/>
  <c r="L517" i="3"/>
  <c r="S517" i="3" s="1"/>
  <c r="G518" i="3" l="1"/>
  <c r="O518" i="3"/>
  <c r="Q518" i="3" s="1" a="1"/>
  <c r="Q518" i="3" s="1"/>
  <c r="N518" i="3"/>
  <c r="T517" i="3"/>
  <c r="U517" i="3" s="1"/>
  <c r="V517" i="3"/>
  <c r="W517" i="3" l="1"/>
  <c r="P518" i="3"/>
  <c r="R518" i="3" s="1"/>
  <c r="I518" i="3"/>
  <c r="B519" i="3" l="1"/>
  <c r="D519" i="3" l="1"/>
  <c r="K519" i="3"/>
  <c r="L518" i="3"/>
  <c r="S518" i="3" s="1"/>
  <c r="T518" i="3" l="1"/>
  <c r="U518" i="3" s="1"/>
  <c r="V518" i="3"/>
  <c r="O519" i="3"/>
  <c r="Q519" i="3" s="1" a="1"/>
  <c r="Q519" i="3" s="1"/>
  <c r="N519" i="3"/>
  <c r="G519" i="3"/>
  <c r="I519" i="3" l="1"/>
  <c r="P519" i="3"/>
  <c r="R519" i="3" s="1"/>
  <c r="W518" i="3"/>
  <c r="B520" i="3" l="1"/>
  <c r="K520" i="3" l="1"/>
  <c r="D520" i="3"/>
  <c r="L519" i="3"/>
  <c r="S519" i="3" s="1"/>
  <c r="T519" i="3" l="1"/>
  <c r="U519" i="3" s="1"/>
  <c r="V519" i="3"/>
  <c r="G520" i="3"/>
  <c r="N520" i="3"/>
  <c r="O520" i="3"/>
  <c r="Q520" i="3" s="1" a="1"/>
  <c r="Q520" i="3" s="1"/>
  <c r="P520" i="3" l="1"/>
  <c r="R520" i="3" s="1"/>
  <c r="I520" i="3"/>
  <c r="W519" i="3"/>
  <c r="B521" i="3" l="1"/>
  <c r="D521" i="3" l="1"/>
  <c r="K521" i="3"/>
  <c r="L520" i="3"/>
  <c r="S520" i="3" s="1"/>
  <c r="G521" i="3" l="1"/>
  <c r="N521" i="3"/>
  <c r="O521" i="3"/>
  <c r="Q521" i="3" s="1" a="1"/>
  <c r="Q521" i="3" s="1"/>
  <c r="T520" i="3"/>
  <c r="U520" i="3" s="1"/>
  <c r="V520" i="3"/>
  <c r="W520" i="3" s="1"/>
  <c r="P521" i="3" l="1"/>
  <c r="R521" i="3" s="1"/>
  <c r="I521" i="3"/>
  <c r="B522" i="3" l="1"/>
  <c r="D522" i="3" l="1"/>
  <c r="K522" i="3"/>
  <c r="L521" i="3"/>
  <c r="S521" i="3" s="1"/>
  <c r="V521" i="3" l="1"/>
  <c r="T521" i="3"/>
  <c r="U521" i="3" s="1"/>
  <c r="G522" i="3"/>
  <c r="N522" i="3"/>
  <c r="O522" i="3"/>
  <c r="Q522" i="3" s="1" a="1"/>
  <c r="Q522" i="3" s="1"/>
  <c r="P522" i="3" l="1"/>
  <c r="R522" i="3" s="1"/>
  <c r="I522" i="3"/>
  <c r="W521" i="3"/>
  <c r="B523" i="3" l="1"/>
  <c r="K523" i="3" l="1"/>
  <c r="D523" i="3"/>
  <c r="L522" i="3"/>
  <c r="S522" i="3" s="1"/>
  <c r="T522" i="3" l="1"/>
  <c r="U522" i="3" s="1"/>
  <c r="V522" i="3"/>
  <c r="O523" i="3"/>
  <c r="Q523" i="3" s="1" a="1"/>
  <c r="Q523" i="3" s="1"/>
  <c r="G523" i="3"/>
  <c r="I523" i="3" s="1"/>
  <c r="N523" i="3"/>
  <c r="P523" i="3" l="1"/>
  <c r="R523" i="3" s="1"/>
  <c r="B524" i="3"/>
  <c r="W522" i="3"/>
  <c r="D524" i="3" l="1"/>
  <c r="K524" i="3"/>
  <c r="L523" i="3"/>
  <c r="S523" i="3" s="1"/>
  <c r="G524" i="3" l="1"/>
  <c r="O524" i="3"/>
  <c r="Q524" i="3" s="1" a="1"/>
  <c r="Q524" i="3" s="1"/>
  <c r="N524" i="3"/>
  <c r="T523" i="3"/>
  <c r="U523" i="3" s="1"/>
  <c r="V523" i="3"/>
  <c r="W523" i="3" l="1"/>
  <c r="P524" i="3"/>
  <c r="R524" i="3" s="1"/>
  <c r="I524" i="3"/>
  <c r="B525" i="3" l="1"/>
  <c r="K525" i="3" l="1"/>
  <c r="D525" i="3"/>
  <c r="L524" i="3"/>
  <c r="S524" i="3" s="1"/>
  <c r="T524" i="3" l="1"/>
  <c r="U524" i="3" s="1"/>
  <c r="V524" i="3"/>
  <c r="W524" i="3" s="1"/>
  <c r="G525" i="3"/>
  <c r="O525" i="3"/>
  <c r="Q525" i="3" s="1" a="1"/>
  <c r="Q525" i="3" s="1"/>
  <c r="N525" i="3"/>
  <c r="I525" i="3" l="1"/>
  <c r="P525" i="3"/>
  <c r="R525" i="3" s="1"/>
  <c r="B526" i="3" l="1"/>
  <c r="K526" i="3" l="1"/>
  <c r="D526" i="3"/>
  <c r="L525" i="3"/>
  <c r="S525" i="3" s="1"/>
  <c r="V525" i="3" l="1"/>
  <c r="T525" i="3"/>
  <c r="U525" i="3" s="1"/>
  <c r="O526" i="3"/>
  <c r="Q526" i="3" s="1" a="1"/>
  <c r="Q526" i="3" s="1"/>
  <c r="N526" i="3"/>
  <c r="G526" i="3"/>
  <c r="I526" i="3" l="1"/>
  <c r="P526" i="3"/>
  <c r="W525" i="3"/>
  <c r="R526" i="3" l="1"/>
  <c r="B527" i="3"/>
  <c r="L526" i="3" s="1"/>
  <c r="S526" i="3" s="1"/>
  <c r="T526" i="3" l="1"/>
  <c r="U526" i="3" s="1"/>
  <c r="V526" i="3"/>
  <c r="K527" i="3"/>
  <c r="D527" i="3"/>
  <c r="W526" i="3" l="1"/>
  <c r="N527" i="3"/>
  <c r="O527" i="3"/>
  <c r="Q527" i="3" s="1" a="1"/>
  <c r="Q527" i="3" s="1"/>
  <c r="G527" i="3"/>
  <c r="I527" i="3" l="1"/>
  <c r="P527" i="3"/>
  <c r="R527" i="3" s="1"/>
  <c r="B528" i="3" l="1"/>
  <c r="K528" i="3" l="1"/>
  <c r="D528" i="3"/>
  <c r="L527" i="3"/>
  <c r="S527" i="3" s="1"/>
  <c r="T527" i="3" l="1"/>
  <c r="U527" i="3" s="1"/>
  <c r="V527" i="3"/>
  <c r="W527" i="3" s="1"/>
  <c r="G528" i="3"/>
  <c r="O528" i="3"/>
  <c r="Q528" i="3" s="1" a="1"/>
  <c r="Q528" i="3" s="1"/>
  <c r="N528" i="3"/>
  <c r="I528" i="3" l="1"/>
  <c r="P528" i="3"/>
  <c r="R528" i="3" s="1"/>
  <c r="B529" i="3" l="1"/>
  <c r="K529" i="3" l="1"/>
  <c r="D529" i="3"/>
  <c r="L528" i="3"/>
  <c r="S528" i="3" s="1"/>
  <c r="G529" i="3" l="1"/>
  <c r="I529" i="3" s="1"/>
  <c r="V528" i="3"/>
  <c r="T528" i="3"/>
  <c r="U528" i="3" s="1"/>
  <c r="N529" i="3"/>
  <c r="O529" i="3"/>
  <c r="Q529" i="3" s="1" a="1"/>
  <c r="Q529" i="3" s="1"/>
  <c r="P529" i="3" l="1"/>
  <c r="R529" i="3" s="1"/>
  <c r="W528" i="3"/>
  <c r="B530" i="3"/>
  <c r="K530" i="3" l="1"/>
  <c r="D530" i="3"/>
  <c r="L529" i="3"/>
  <c r="S529" i="3" l="1"/>
  <c r="G530" i="3"/>
  <c r="O530" i="3"/>
  <c r="Q530" i="3" s="1" a="1"/>
  <c r="Q530" i="3" s="1"/>
  <c r="N530" i="3"/>
  <c r="P530" i="3" l="1"/>
  <c r="R530" i="3" s="1"/>
  <c r="I530" i="3"/>
  <c r="T529" i="3"/>
  <c r="U529" i="3" s="1"/>
  <c r="V529" i="3"/>
  <c r="W529" i="3" l="1"/>
  <c r="B531" i="3"/>
  <c r="D531" i="3" l="1"/>
  <c r="K531" i="3"/>
  <c r="L530" i="3"/>
  <c r="S530" i="3" s="1"/>
  <c r="G531" i="3" l="1"/>
  <c r="I531" i="3" s="1"/>
  <c r="N531" i="3"/>
  <c r="O531" i="3"/>
  <c r="Q531" i="3" s="1" a="1"/>
  <c r="Q531" i="3" s="1"/>
  <c r="T530" i="3"/>
  <c r="U530" i="3" s="1"/>
  <c r="V530" i="3"/>
  <c r="P531" i="3" l="1"/>
  <c r="R531" i="3" s="1"/>
  <c r="W530" i="3"/>
  <c r="B532" i="3"/>
  <c r="K532" i="3" l="1"/>
  <c r="D532" i="3"/>
  <c r="L531" i="3"/>
  <c r="S531" i="3" s="1"/>
  <c r="T531" i="3" l="1"/>
  <c r="U531" i="3" s="1"/>
  <c r="V531" i="3"/>
  <c r="G532" i="3"/>
  <c r="I532" i="3" s="1"/>
  <c r="O532" i="3"/>
  <c r="Q532" i="3" s="1" a="1"/>
  <c r="Q532" i="3" s="1"/>
  <c r="N532" i="3"/>
  <c r="P532" i="3" l="1"/>
  <c r="R532" i="3" s="1"/>
  <c r="B533" i="3"/>
  <c r="W531" i="3"/>
  <c r="D533" i="3" l="1"/>
  <c r="K533" i="3"/>
  <c r="L532" i="3"/>
  <c r="S532" i="3" s="1"/>
  <c r="T532" i="3" l="1"/>
  <c r="U532" i="3" s="1"/>
  <c r="V532" i="3"/>
  <c r="G533" i="3"/>
  <c r="I533" i="3" s="1"/>
  <c r="O533" i="3"/>
  <c r="Q533" i="3" s="1" a="1"/>
  <c r="Q533" i="3" s="1"/>
  <c r="N533" i="3"/>
  <c r="B534" i="3" l="1"/>
  <c r="P533" i="3"/>
  <c r="R533" i="3" s="1"/>
  <c r="W532" i="3"/>
  <c r="D534" i="3" l="1"/>
  <c r="K534" i="3"/>
  <c r="L533" i="3"/>
  <c r="S533" i="3" s="1"/>
  <c r="G534" i="3" l="1"/>
  <c r="I534" i="3" s="1"/>
  <c r="N534" i="3"/>
  <c r="O534" i="3"/>
  <c r="Q534" i="3" s="1" a="1"/>
  <c r="Q534" i="3" s="1"/>
  <c r="T533" i="3"/>
  <c r="U533" i="3" s="1"/>
  <c r="V533" i="3"/>
  <c r="P534" i="3" l="1"/>
  <c r="R534" i="3" s="1"/>
  <c r="W533" i="3"/>
  <c r="B535" i="3"/>
  <c r="D535" i="3" l="1"/>
  <c r="K535" i="3"/>
  <c r="L534" i="3"/>
  <c r="S534" i="3" s="1"/>
  <c r="G535" i="3" l="1"/>
  <c r="I535" i="3" s="1"/>
  <c r="O535" i="3"/>
  <c r="Q535" i="3" s="1" a="1"/>
  <c r="Q535" i="3" s="1"/>
  <c r="N535" i="3"/>
  <c r="T534" i="3"/>
  <c r="U534" i="3" s="1"/>
  <c r="V534" i="3"/>
  <c r="W534" i="3" l="1"/>
  <c r="P535" i="3"/>
  <c r="R535" i="3" s="1"/>
  <c r="B536" i="3"/>
  <c r="K536" i="3" l="1"/>
  <c r="D536" i="3"/>
  <c r="L535" i="3"/>
  <c r="S535" i="3" s="1"/>
  <c r="N536" i="3" l="1"/>
  <c r="O536" i="3"/>
  <c r="Q536" i="3" s="1" a="1"/>
  <c r="Q536" i="3" s="1"/>
  <c r="G536" i="3"/>
  <c r="I536" i="3" s="1"/>
  <c r="T535" i="3"/>
  <c r="U535" i="3" s="1"/>
  <c r="V535" i="3"/>
  <c r="W535" i="3" l="1"/>
  <c r="P536" i="3"/>
  <c r="R536" i="3" s="1"/>
  <c r="B537" i="3"/>
  <c r="K537" i="3" l="1"/>
  <c r="D537" i="3"/>
  <c r="L536" i="3"/>
  <c r="S536" i="3" s="1"/>
  <c r="G537" i="3" l="1"/>
  <c r="I537" i="3" s="1"/>
  <c r="N537" i="3"/>
  <c r="O537" i="3"/>
  <c r="Q537" i="3" s="1" a="1"/>
  <c r="Q537" i="3" s="1"/>
  <c r="T536" i="3"/>
  <c r="U536" i="3" s="1"/>
  <c r="V536" i="3"/>
  <c r="P537" i="3" l="1"/>
  <c r="R537" i="3" s="1"/>
  <c r="W536" i="3"/>
  <c r="B538" i="3"/>
  <c r="D538" i="3" l="1"/>
  <c r="K538" i="3"/>
  <c r="L537" i="3"/>
  <c r="S537" i="3" s="1"/>
  <c r="T537" i="3" l="1"/>
  <c r="U537" i="3" s="1"/>
  <c r="V537" i="3"/>
  <c r="O538" i="3"/>
  <c r="Q538" i="3" s="1" a="1"/>
  <c r="Q538" i="3" s="1"/>
  <c r="N538" i="3"/>
  <c r="G538" i="3"/>
  <c r="I538" i="3" s="1"/>
  <c r="B539" i="3" l="1"/>
  <c r="P538" i="3"/>
  <c r="R538" i="3" s="1"/>
  <c r="W537" i="3"/>
  <c r="D539" i="3" l="1"/>
  <c r="K539" i="3"/>
  <c r="L538" i="3"/>
  <c r="S538" i="3" s="1"/>
  <c r="T538" i="3" l="1"/>
  <c r="U538" i="3" s="1"/>
  <c r="V538" i="3"/>
  <c r="O539" i="3"/>
  <c r="Q539" i="3" s="1" a="1"/>
  <c r="Q539" i="3" s="1"/>
  <c r="N539" i="3"/>
  <c r="G539" i="3"/>
  <c r="I539" i="3" l="1"/>
  <c r="W538" i="3"/>
  <c r="P539" i="3"/>
  <c r="R539" i="3" s="1"/>
  <c r="B540" i="3" l="1"/>
  <c r="K540" i="3" l="1"/>
  <c r="D540" i="3"/>
  <c r="L539" i="3"/>
  <c r="S539" i="3" s="1"/>
  <c r="O540" i="3" l="1"/>
  <c r="Q540" i="3" s="1" a="1"/>
  <c r="Q540" i="3" s="1"/>
  <c r="N540" i="3"/>
  <c r="G540" i="3"/>
  <c r="I540" i="3" s="1"/>
  <c r="T539" i="3"/>
  <c r="U539" i="3" s="1"/>
  <c r="V539" i="3"/>
  <c r="B541" i="3" l="1"/>
  <c r="W539" i="3"/>
  <c r="P540" i="3"/>
  <c r="R540" i="3" s="1"/>
  <c r="K541" i="3" l="1"/>
  <c r="D541" i="3"/>
  <c r="L540" i="3"/>
  <c r="S540" i="3" s="1"/>
  <c r="G541" i="3" l="1"/>
  <c r="I541" i="3" s="1"/>
  <c r="N541" i="3"/>
  <c r="O541" i="3"/>
  <c r="Q541" i="3" s="1" a="1"/>
  <c r="Q541" i="3" s="1"/>
  <c r="T540" i="3"/>
  <c r="U540" i="3" s="1"/>
  <c r="V540" i="3"/>
  <c r="P541" i="3" l="1"/>
  <c r="R541" i="3" s="1"/>
  <c r="W540" i="3"/>
  <c r="B542" i="3"/>
  <c r="L541" i="3" s="1"/>
  <c r="S541" i="3" l="1"/>
  <c r="T541" i="3" s="1"/>
  <c r="U541" i="3" s="1"/>
  <c r="K542" i="3"/>
  <c r="D542" i="3"/>
  <c r="V541" i="3" l="1"/>
  <c r="W541" i="3" s="1"/>
  <c r="G542" i="3"/>
  <c r="I542" i="3" s="1"/>
  <c r="N542" i="3"/>
  <c r="O542" i="3"/>
  <c r="Q542" i="3" s="1" a="1"/>
  <c r="Q542" i="3" s="1"/>
  <c r="P542" i="3" l="1"/>
  <c r="R542" i="3" s="1"/>
  <c r="B543" i="3"/>
  <c r="D543" i="3" l="1"/>
  <c r="K543" i="3"/>
  <c r="L542" i="3"/>
  <c r="S542" i="3" s="1"/>
  <c r="T542" i="3" l="1"/>
  <c r="U542" i="3" s="1"/>
  <c r="V542" i="3"/>
  <c r="G543" i="3"/>
  <c r="I543" i="3" s="1"/>
  <c r="N543" i="3"/>
  <c r="O543" i="3"/>
  <c r="Q543" i="3" s="1" a="1"/>
  <c r="Q543" i="3" s="1"/>
  <c r="P543" i="3" l="1"/>
  <c r="R543" i="3" s="1"/>
  <c r="B544" i="3"/>
  <c r="W542" i="3"/>
  <c r="K544" i="3" l="1"/>
  <c r="D544" i="3"/>
  <c r="L543" i="3"/>
  <c r="S543" i="3" s="1"/>
  <c r="O544" i="3" l="1"/>
  <c r="Q544" i="3" s="1" a="1"/>
  <c r="Q544" i="3" s="1"/>
  <c r="G544" i="3"/>
  <c r="I544" i="3" s="1"/>
  <c r="N544" i="3"/>
  <c r="T543" i="3"/>
  <c r="U543" i="3" s="1"/>
  <c r="V543" i="3"/>
  <c r="B545" i="3" l="1"/>
  <c r="W543" i="3"/>
  <c r="P544" i="3"/>
  <c r="R544" i="3" s="1"/>
  <c r="K545" i="3" l="1"/>
  <c r="D545" i="3"/>
  <c r="L544" i="3"/>
  <c r="S544" i="3" s="1"/>
  <c r="G545" i="3" l="1"/>
  <c r="I545" i="3" s="1"/>
  <c r="O545" i="3"/>
  <c r="Q545" i="3" s="1" a="1"/>
  <c r="Q545" i="3" s="1"/>
  <c r="N545" i="3"/>
  <c r="T544" i="3"/>
  <c r="U544" i="3" s="1"/>
  <c r="V544" i="3"/>
  <c r="W544" i="3" l="1"/>
  <c r="P545" i="3"/>
  <c r="R545" i="3" s="1"/>
  <c r="B546" i="3"/>
  <c r="D546" i="3" l="1"/>
  <c r="K546" i="3"/>
  <c r="L545" i="3"/>
  <c r="S545" i="3" s="1"/>
  <c r="O546" i="3" l="1"/>
  <c r="Q546" i="3" s="1" a="1"/>
  <c r="Q546" i="3" s="1"/>
  <c r="N546" i="3"/>
  <c r="G546" i="3"/>
  <c r="I546" i="3" s="1"/>
  <c r="T545" i="3"/>
  <c r="U545" i="3" s="1"/>
  <c r="V545" i="3"/>
  <c r="W545" i="3" l="1"/>
  <c r="B547" i="3"/>
  <c r="P546" i="3"/>
  <c r="R546" i="3" s="1"/>
  <c r="D547" i="3" l="1"/>
  <c r="K547" i="3"/>
  <c r="L546" i="3"/>
  <c r="S546" i="3" s="1"/>
  <c r="T546" i="3" l="1"/>
  <c r="U546" i="3" s="1"/>
  <c r="V546" i="3"/>
  <c r="G547" i="3"/>
  <c r="I547" i="3" s="1"/>
  <c r="B548" i="3" s="1"/>
  <c r="N547" i="3"/>
  <c r="O547" i="3"/>
  <c r="Q547" i="3" s="1" a="1"/>
  <c r="Q547" i="3" s="1"/>
  <c r="L547" i="3" l="1"/>
  <c r="K548" i="3"/>
  <c r="O548" i="3" s="1"/>
  <c r="Q548" i="3" s="1" a="1"/>
  <c r="Q548" i="3" s="1"/>
  <c r="D548" i="3"/>
  <c r="P547" i="3"/>
  <c r="W546" i="3"/>
  <c r="N548" i="3" l="1"/>
  <c r="G548" i="3"/>
  <c r="I548" i="3" s="1"/>
  <c r="B549" i="3" s="1"/>
  <c r="S547" i="3"/>
  <c r="V547" i="3" s="1"/>
  <c r="W547" i="3" s="1"/>
  <c r="R547" i="3"/>
  <c r="P548" i="3"/>
  <c r="R548" i="3" s="1"/>
  <c r="T547" i="3" l="1"/>
  <c r="U547" i="3" s="1"/>
  <c r="K549" i="3"/>
  <c r="D549" i="3"/>
  <c r="L548" i="3"/>
  <c r="S548" i="3" s="1"/>
  <c r="V548" i="3" l="1"/>
  <c r="W548" i="3" s="1"/>
  <c r="T548" i="3"/>
  <c r="U548" i="3" s="1"/>
  <c r="G549" i="3"/>
  <c r="I549" i="3" s="1"/>
  <c r="O549" i="3"/>
  <c r="Q549" i="3" s="1" a="1"/>
  <c r="Q549" i="3" s="1"/>
  <c r="N549" i="3"/>
  <c r="P549" i="3" l="1"/>
  <c r="R549" i="3" s="1"/>
  <c r="B550" i="3"/>
  <c r="K550" i="3" l="1"/>
  <c r="D550" i="3"/>
  <c r="L549" i="3"/>
  <c r="S549" i="3" s="1"/>
  <c r="V549" i="3" l="1"/>
  <c r="T549" i="3"/>
  <c r="U549" i="3" s="1"/>
  <c r="G550" i="3"/>
  <c r="I550" i="3" s="1"/>
  <c r="N550" i="3"/>
  <c r="O550" i="3"/>
  <c r="Q550" i="3" s="1" a="1"/>
  <c r="Q550" i="3" s="1"/>
  <c r="B551" i="3" l="1"/>
  <c r="L550" i="3" s="1"/>
  <c r="P550" i="3"/>
  <c r="W549" i="3"/>
  <c r="S550" i="3" l="1"/>
  <c r="V550" i="3" s="1"/>
  <c r="W550" i="3" s="1"/>
  <c r="D551" i="3"/>
  <c r="K551" i="3"/>
  <c r="R550" i="3"/>
  <c r="G551" i="3" l="1"/>
  <c r="I551" i="3" s="1"/>
  <c r="B552" i="3" s="1"/>
  <c r="K552" i="3" s="1"/>
  <c r="O552" i="3" s="1"/>
  <c r="Q552" i="3" s="1" a="1"/>
  <c r="Q552" i="3" s="1"/>
  <c r="T550" i="3"/>
  <c r="U550" i="3" s="1"/>
  <c r="N551" i="3"/>
  <c r="O551" i="3"/>
  <c r="Q551" i="3" s="1" a="1"/>
  <c r="Q551" i="3" s="1"/>
  <c r="N552" i="3" l="1"/>
  <c r="P551" i="3"/>
  <c r="R551" i="3" s="1"/>
  <c r="D552" i="3"/>
  <c r="G552" i="3" s="1"/>
  <c r="I552" i="3" s="1"/>
  <c r="L551" i="3"/>
  <c r="P552" i="3"/>
  <c r="B553" i="3" l="1"/>
  <c r="L552" i="3" s="1"/>
  <c r="S552" i="3" s="1"/>
  <c r="T552" i="3" s="1"/>
  <c r="S551" i="3"/>
  <c r="R552" i="3"/>
  <c r="V551" i="3" l="1"/>
  <c r="T551" i="3"/>
  <c r="U551" i="3" s="1"/>
  <c r="U552" i="3" s="1"/>
  <c r="K553" i="3"/>
  <c r="N553" i="3" s="1"/>
  <c r="D553" i="3"/>
  <c r="G553" i="3" l="1"/>
  <c r="I553" i="3" s="1"/>
  <c r="B554" i="3" s="1"/>
  <c r="O553" i="3"/>
  <c r="Q553" i="3" s="1" a="1"/>
  <c r="Q553" i="3" s="1"/>
  <c r="W551" i="3"/>
  <c r="V552" i="3"/>
  <c r="W552" i="3" s="1"/>
  <c r="L553" i="3" l="1"/>
  <c r="K554" i="3"/>
  <c r="P553" i="3"/>
  <c r="R553" i="3" s="1"/>
  <c r="D554" i="3"/>
  <c r="G554" i="3" l="1"/>
  <c r="I554" i="3" s="1"/>
  <c r="B555" i="3" s="1"/>
  <c r="K555" i="3" s="1"/>
  <c r="N555" i="3" s="1"/>
  <c r="O554" i="3"/>
  <c r="P554" i="3" s="1"/>
  <c r="S553" i="3"/>
  <c r="V553" i="3" s="1"/>
  <c r="W553" i="3" s="1"/>
  <c r="N554" i="3"/>
  <c r="Q554" i="3" l="1" a="1"/>
  <c r="Q554" i="3" s="1"/>
  <c r="R554" i="3" s="1"/>
  <c r="T553" i="3"/>
  <c r="U553" i="3" s="1"/>
  <c r="D555" i="3"/>
  <c r="G555" i="3" s="1"/>
  <c r="I555" i="3" s="1"/>
  <c r="O555" i="3"/>
  <c r="P555" i="3" s="1"/>
  <c r="L554" i="3"/>
  <c r="S554" i="3" s="1"/>
  <c r="V554" i="3" l="1"/>
  <c r="W554" i="3" s="1"/>
  <c r="T554" i="3"/>
  <c r="U554" i="3" s="1"/>
  <c r="B556" i="3"/>
  <c r="D556" i="3" s="1"/>
  <c r="Q555" i="3" a="1"/>
  <c r="Q555" i="3" s="1"/>
  <c r="R555" i="3" s="1"/>
  <c r="K556" i="3" l="1"/>
  <c r="N556" i="3" s="1"/>
  <c r="L555" i="3"/>
  <c r="S555" i="3" s="1"/>
  <c r="V555" i="3" s="1"/>
  <c r="W555" i="3" s="1"/>
  <c r="O556" i="3" l="1"/>
  <c r="P556" i="3" s="1"/>
  <c r="G556" i="3"/>
  <c r="I556" i="3" s="1"/>
  <c r="B557" i="3" s="1"/>
  <c r="T555" i="3"/>
  <c r="U555" i="3" s="1"/>
  <c r="Q556" i="3" l="1" a="1"/>
  <c r="Q556" i="3" s="1"/>
  <c r="R556" i="3" s="1"/>
  <c r="K557" i="3"/>
  <c r="D557" i="3"/>
  <c r="L556" i="3"/>
  <c r="S556" i="3" s="1"/>
  <c r="V556" i="3" s="1"/>
  <c r="W556" i="3" s="1"/>
  <c r="T556" i="3" l="1"/>
  <c r="U556" i="3" s="1"/>
  <c r="N557" i="3"/>
  <c r="O557" i="3"/>
  <c r="G557" i="3"/>
  <c r="I557" i="3" s="1"/>
  <c r="B558" i="3" l="1"/>
  <c r="Q557" i="3" a="1"/>
  <c r="Q557" i="3" s="1"/>
  <c r="P557" i="3"/>
  <c r="R557" i="3" l="1"/>
  <c r="D558" i="3"/>
  <c r="K558" i="3"/>
  <c r="L557" i="3"/>
  <c r="S557" i="3" s="1"/>
  <c r="T557" i="3" l="1"/>
  <c r="U557" i="3" s="1"/>
  <c r="V557" i="3"/>
  <c r="G558" i="3"/>
  <c r="I558" i="3" s="1"/>
  <c r="N558" i="3"/>
  <c r="O558" i="3"/>
  <c r="B559" i="3" l="1"/>
  <c r="W557" i="3"/>
  <c r="P558" i="3"/>
  <c r="Q558" i="3" a="1"/>
  <c r="Q558" i="3" s="1"/>
  <c r="R558" i="3" s="1"/>
  <c r="K559" i="3" l="1"/>
  <c r="D559" i="3"/>
  <c r="L558" i="3"/>
  <c r="S558" i="3" s="1"/>
  <c r="T558" i="3" l="1"/>
  <c r="U558" i="3" s="1"/>
  <c r="V558" i="3"/>
  <c r="G559" i="3"/>
  <c r="I559" i="3" s="1"/>
  <c r="O559" i="3"/>
  <c r="N559" i="3"/>
  <c r="Q559" i="3" l="1" a="1"/>
  <c r="Q559" i="3" s="1"/>
  <c r="P559" i="3"/>
  <c r="B560" i="3"/>
  <c r="W558" i="3"/>
  <c r="R559" i="3" l="1"/>
  <c r="D560" i="3"/>
  <c r="K560" i="3"/>
  <c r="L559" i="3"/>
  <c r="S559" i="3" s="1"/>
  <c r="T559" i="3" l="1"/>
  <c r="U559" i="3" s="1"/>
  <c r="V559" i="3"/>
  <c r="N560" i="3"/>
  <c r="G560" i="3"/>
  <c r="I560" i="3" s="1"/>
  <c r="O560" i="3"/>
  <c r="B561" i="3" l="1"/>
  <c r="W559" i="3"/>
  <c r="Q560" i="3" a="1"/>
  <c r="Q560" i="3" s="1"/>
  <c r="P560" i="3"/>
  <c r="R560" i="3" l="1"/>
  <c r="K561" i="3"/>
  <c r="D561" i="3"/>
  <c r="L560" i="3"/>
  <c r="S560" i="3" s="1"/>
  <c r="T560" i="3" l="1"/>
  <c r="U560" i="3" s="1"/>
  <c r="V560" i="3"/>
  <c r="O561" i="3"/>
  <c r="N561" i="3"/>
  <c r="G561" i="3"/>
  <c r="I561" i="3" s="1"/>
  <c r="Q561" i="3" l="1" a="1"/>
  <c r="Q561" i="3" s="1"/>
  <c r="P561" i="3"/>
  <c r="W560" i="3"/>
  <c r="B562" i="3"/>
  <c r="L561" i="3" s="1"/>
  <c r="R561" i="3" l="1"/>
  <c r="D562" i="3"/>
  <c r="K562" i="3"/>
  <c r="S561" i="3"/>
  <c r="O562" i="3" l="1"/>
  <c r="G562" i="3"/>
  <c r="I562" i="3" s="1"/>
  <c r="N562" i="3"/>
  <c r="T561" i="3"/>
  <c r="U561" i="3" s="1"/>
  <c r="V561" i="3"/>
  <c r="B563" i="3" l="1"/>
  <c r="W561" i="3"/>
  <c r="Q562" i="3" a="1"/>
  <c r="Q562" i="3" s="1"/>
  <c r="P562" i="3"/>
  <c r="R562" i="3" l="1"/>
  <c r="D563" i="3"/>
  <c r="K563" i="3"/>
  <c r="L562" i="3"/>
  <c r="S562" i="3" s="1"/>
  <c r="T562" i="3" l="1"/>
  <c r="U562" i="3" s="1"/>
  <c r="V562" i="3"/>
  <c r="N563" i="3"/>
  <c r="G563" i="3"/>
  <c r="O563" i="3"/>
  <c r="I563" i="3" l="1"/>
  <c r="W562" i="3"/>
  <c r="Q563" i="3" a="1"/>
  <c r="Q563" i="3" s="1"/>
  <c r="P563" i="3"/>
  <c r="R563" i="3" l="1"/>
  <c r="B564" i="3"/>
  <c r="K564" i="3" l="1"/>
  <c r="D564" i="3"/>
  <c r="L563" i="3"/>
  <c r="S563" i="3" s="1"/>
  <c r="G564" i="3" l="1"/>
  <c r="I564" i="3" s="1"/>
  <c r="O564" i="3"/>
  <c r="N564" i="3"/>
  <c r="T563" i="3"/>
  <c r="U563" i="3" s="1"/>
  <c r="V563" i="3"/>
  <c r="W563" i="3" l="1"/>
  <c r="Q564" i="3" a="1"/>
  <c r="Q564" i="3" s="1"/>
  <c r="P564" i="3"/>
  <c r="B565" i="3"/>
  <c r="R564" i="3" l="1"/>
  <c r="D565" i="3"/>
  <c r="K565" i="3"/>
  <c r="L564" i="3"/>
  <c r="S564" i="3" s="1"/>
  <c r="T564" i="3" l="1"/>
  <c r="U564" i="3" s="1"/>
  <c r="V564" i="3"/>
  <c r="W564" i="3" s="1"/>
  <c r="O565" i="3"/>
  <c r="N565" i="3"/>
  <c r="G565" i="3"/>
  <c r="Q565" i="3" l="1" a="1"/>
  <c r="Q565" i="3" s="1"/>
  <c r="P565" i="3"/>
  <c r="I565" i="3"/>
  <c r="R565" i="3" l="1"/>
  <c r="B566" i="3"/>
  <c r="K566" i="3" l="1"/>
  <c r="D566" i="3"/>
  <c r="L565" i="3"/>
  <c r="S565" i="3" s="1"/>
  <c r="V565" i="3" l="1"/>
  <c r="T565" i="3"/>
  <c r="U565" i="3" s="1"/>
  <c r="O566" i="3"/>
  <c r="G566" i="3"/>
  <c r="I566" i="3" s="1"/>
  <c r="N566" i="3"/>
  <c r="B567" i="3" l="1"/>
  <c r="Q566" i="3" a="1"/>
  <c r="Q566" i="3" s="1"/>
  <c r="P566" i="3"/>
  <c r="W565" i="3"/>
  <c r="R566" i="3" l="1"/>
  <c r="K567" i="3"/>
  <c r="D567" i="3"/>
  <c r="L566" i="3"/>
  <c r="S566" i="3" s="1"/>
  <c r="T566" i="3" l="1"/>
  <c r="U566" i="3" s="1"/>
  <c r="V566" i="3"/>
  <c r="N567" i="3"/>
  <c r="G567" i="3"/>
  <c r="I567" i="3" s="1"/>
  <c r="O567" i="3"/>
  <c r="B568" i="3" l="1"/>
  <c r="W566" i="3"/>
  <c r="Q567" i="3" a="1"/>
  <c r="Q567" i="3" s="1"/>
  <c r="P567" i="3"/>
  <c r="R567" i="3" l="1"/>
  <c r="K568" i="3"/>
  <c r="D568" i="3"/>
  <c r="L567" i="3"/>
  <c r="S567" i="3" s="1"/>
  <c r="T567" i="3" l="1"/>
  <c r="U567" i="3" s="1"/>
  <c r="V567" i="3"/>
  <c r="G568" i="3"/>
  <c r="I568" i="3" s="1"/>
  <c r="N568" i="3"/>
  <c r="O568" i="3"/>
  <c r="B569" i="3" l="1"/>
  <c r="W567" i="3"/>
  <c r="Q568" i="3" a="1"/>
  <c r="Q568" i="3" s="1"/>
  <c r="R568" i="3" s="1"/>
  <c r="P568" i="3"/>
  <c r="D569" i="3" l="1"/>
  <c r="K569" i="3"/>
  <c r="L568" i="3"/>
  <c r="S568" i="3" s="1"/>
  <c r="T568" i="3" l="1"/>
  <c r="U568" i="3" s="1"/>
  <c r="V568" i="3"/>
  <c r="W568" i="3" s="1"/>
  <c r="N569" i="3"/>
  <c r="G569" i="3"/>
  <c r="I569" i="3" s="1"/>
  <c r="O569" i="3"/>
  <c r="B570" i="3" l="1"/>
  <c r="Q569" i="3" a="1"/>
  <c r="Q569" i="3" s="1"/>
  <c r="P569" i="3"/>
  <c r="R569" i="3" l="1"/>
  <c r="K570" i="3"/>
  <c r="D570" i="3"/>
  <c r="L569" i="3"/>
  <c r="S569" i="3" s="1"/>
  <c r="V569" i="3" l="1"/>
  <c r="T569" i="3"/>
  <c r="U569" i="3" s="1"/>
  <c r="G570" i="3"/>
  <c r="I570" i="3" s="1"/>
  <c r="N570" i="3"/>
  <c r="O570" i="3"/>
  <c r="B571" i="3" l="1"/>
  <c r="Q570" i="3" a="1"/>
  <c r="Q570" i="3" s="1"/>
  <c r="P570" i="3"/>
  <c r="W569" i="3"/>
  <c r="R570" i="3" l="1"/>
  <c r="D571" i="3"/>
  <c r="K571" i="3"/>
  <c r="L570" i="3"/>
  <c r="S570" i="3" s="1"/>
  <c r="T570" i="3" l="1"/>
  <c r="U570" i="3" s="1"/>
  <c r="V570" i="3"/>
  <c r="O571" i="3"/>
  <c r="G571" i="3"/>
  <c r="I571" i="3" s="1"/>
  <c r="N571" i="3"/>
  <c r="B572" i="3" l="1"/>
  <c r="Q571" i="3" a="1"/>
  <c r="Q571" i="3" s="1"/>
  <c r="P571" i="3"/>
  <c r="W570" i="3"/>
  <c r="R571" i="3" l="1"/>
  <c r="K572" i="3"/>
  <c r="D572" i="3"/>
  <c r="L571" i="3"/>
  <c r="S571" i="3" s="1"/>
  <c r="T571" i="3" l="1"/>
  <c r="U571" i="3" s="1"/>
  <c r="V571" i="3"/>
  <c r="W571" i="3" s="1"/>
  <c r="N572" i="3"/>
  <c r="G572" i="3"/>
  <c r="O572" i="3"/>
  <c r="I572" i="3" l="1"/>
  <c r="Q572" i="3" a="1"/>
  <c r="Q572" i="3" s="1"/>
  <c r="P572" i="3"/>
  <c r="R572" i="3" l="1"/>
  <c r="B573" i="3"/>
  <c r="D573" i="3" l="1"/>
  <c r="K573" i="3"/>
  <c r="L572" i="3"/>
  <c r="S572" i="3" s="1"/>
  <c r="G573" i="3" l="1"/>
  <c r="I573" i="3" s="1"/>
  <c r="N573" i="3"/>
  <c r="O573" i="3"/>
  <c r="V572" i="3"/>
  <c r="T572" i="3"/>
  <c r="U572" i="3" s="1"/>
  <c r="W572" i="3" l="1"/>
  <c r="Q573" i="3" a="1"/>
  <c r="Q573" i="3" s="1"/>
  <c r="P573" i="3"/>
  <c r="B574" i="3"/>
  <c r="R573" i="3" l="1"/>
  <c r="K574" i="3"/>
  <c r="D574" i="3"/>
  <c r="L573" i="3"/>
  <c r="S573" i="3" s="1"/>
  <c r="T573" i="3" l="1"/>
  <c r="U573" i="3" s="1"/>
  <c r="V573" i="3"/>
  <c r="W573" i="3" s="1"/>
  <c r="G574" i="3"/>
  <c r="I574" i="3" s="1"/>
  <c r="O574" i="3"/>
  <c r="N574" i="3"/>
  <c r="Q574" i="3" l="1" a="1"/>
  <c r="Q574" i="3" s="1"/>
  <c r="P574" i="3"/>
  <c r="B575" i="3"/>
  <c r="R574" i="3" l="1"/>
  <c r="K575" i="3"/>
  <c r="D575" i="3"/>
  <c r="L574" i="3"/>
  <c r="S574" i="3" s="1"/>
  <c r="G575" i="3" l="1"/>
  <c r="I575" i="3" s="1"/>
  <c r="N575" i="3"/>
  <c r="O575" i="3"/>
  <c r="V574" i="3"/>
  <c r="W574" i="3" s="1"/>
  <c r="T574" i="3"/>
  <c r="U574" i="3" s="1"/>
  <c r="Q575" i="3" l="1" a="1"/>
  <c r="Q575" i="3" s="1"/>
  <c r="R575" i="3" s="1"/>
  <c r="P575" i="3"/>
  <c r="B576" i="3"/>
  <c r="K576" i="3" l="1"/>
  <c r="D576" i="3"/>
  <c r="L575" i="3"/>
  <c r="S575" i="3" s="1"/>
  <c r="V575" i="3" l="1"/>
  <c r="T575" i="3"/>
  <c r="U575" i="3" s="1"/>
  <c r="N576" i="3"/>
  <c r="G576" i="3"/>
  <c r="O576" i="3"/>
  <c r="I576" i="3" l="1"/>
  <c r="Q576" i="3" a="1"/>
  <c r="Q576" i="3" s="1"/>
  <c r="P576" i="3"/>
  <c r="W575" i="3"/>
  <c r="R576" i="3" l="1"/>
  <c r="B577" i="3"/>
  <c r="K577" i="3" l="1"/>
  <c r="D577" i="3"/>
  <c r="L576" i="3"/>
  <c r="S576" i="3" s="1"/>
  <c r="G577" i="3" l="1"/>
  <c r="I577" i="3" s="1"/>
  <c r="T576" i="3"/>
  <c r="U576" i="3" s="1"/>
  <c r="V576" i="3"/>
  <c r="O577" i="3"/>
  <c r="N577" i="3"/>
  <c r="P577" i="3" l="1"/>
  <c r="Q577" i="3" a="1"/>
  <c r="Q577" i="3" s="1"/>
  <c r="W576" i="3"/>
  <c r="B578" i="3"/>
  <c r="R577" i="3" l="1"/>
  <c r="K578" i="3"/>
  <c r="D578" i="3"/>
  <c r="L577" i="3"/>
  <c r="S577" i="3" s="1"/>
  <c r="G578" i="3" l="1"/>
  <c r="I578" i="3" s="1"/>
  <c r="O578" i="3"/>
  <c r="N578" i="3"/>
  <c r="T577" i="3"/>
  <c r="U577" i="3" s="1"/>
  <c r="V577" i="3"/>
  <c r="W577" i="3" l="1"/>
  <c r="Q578" i="3" a="1"/>
  <c r="Q578" i="3" s="1"/>
  <c r="P578" i="3"/>
  <c r="B579" i="3"/>
  <c r="R578" i="3" l="1"/>
  <c r="K579" i="3"/>
  <c r="D579" i="3"/>
  <c r="L578" i="3"/>
  <c r="S578" i="3" s="1"/>
  <c r="T578" i="3" l="1"/>
  <c r="U578" i="3" s="1"/>
  <c r="V578" i="3"/>
  <c r="G579" i="3"/>
  <c r="I579" i="3" s="1"/>
  <c r="N579" i="3"/>
  <c r="O579" i="3"/>
  <c r="B580" i="3" l="1"/>
  <c r="W578" i="3"/>
  <c r="P579" i="3"/>
  <c r="Q579" i="3" a="1"/>
  <c r="Q579" i="3" s="1"/>
  <c r="R579" i="3" s="1"/>
  <c r="K580" i="3" l="1"/>
  <c r="D580" i="3"/>
  <c r="L579" i="3"/>
  <c r="S579" i="3" s="1"/>
  <c r="G580" i="3" l="1"/>
  <c r="I580" i="3" s="1"/>
  <c r="T579" i="3"/>
  <c r="U579" i="3" s="1"/>
  <c r="V579" i="3"/>
  <c r="N580" i="3"/>
  <c r="O580" i="3"/>
  <c r="P580" i="3" l="1"/>
  <c r="Q580" i="3" a="1"/>
  <c r="Q580" i="3" s="1"/>
  <c r="W579" i="3"/>
  <c r="B581" i="3"/>
  <c r="R580" i="3" l="1"/>
  <c r="D581" i="3"/>
  <c r="K581" i="3"/>
  <c r="L580" i="3"/>
  <c r="S580" i="3" s="1"/>
  <c r="O581" i="3" l="1"/>
  <c r="G581" i="3"/>
  <c r="I581" i="3" s="1"/>
  <c r="N581" i="3"/>
  <c r="T580" i="3"/>
  <c r="U580" i="3" s="1"/>
  <c r="V580" i="3"/>
  <c r="B582" i="3" l="1"/>
  <c r="W580" i="3"/>
  <c r="P581" i="3"/>
  <c r="Q581" i="3" a="1"/>
  <c r="Q581" i="3" s="1"/>
  <c r="R581" i="3" s="1"/>
  <c r="K582" i="3" l="1"/>
  <c r="D582" i="3"/>
  <c r="L581" i="3"/>
  <c r="S581" i="3" s="1"/>
  <c r="T581" i="3" l="1"/>
  <c r="U581" i="3" s="1"/>
  <c r="V581" i="3"/>
  <c r="O582" i="3"/>
  <c r="N582" i="3"/>
  <c r="G582" i="3"/>
  <c r="I582" i="3" s="1"/>
  <c r="Q582" i="3" l="1" a="1"/>
  <c r="Q582" i="3" s="1"/>
  <c r="P582" i="3"/>
  <c r="W581" i="3"/>
  <c r="B583" i="3"/>
  <c r="L582" i="3" s="1"/>
  <c r="R582" i="3" l="1"/>
  <c r="K583" i="3"/>
  <c r="D583" i="3"/>
  <c r="S582" i="3"/>
  <c r="G583" i="3" l="1"/>
  <c r="I583" i="3" s="1"/>
  <c r="O583" i="3"/>
  <c r="N583" i="3"/>
  <c r="T582" i="3"/>
  <c r="U582" i="3" s="1"/>
  <c r="V582" i="3"/>
  <c r="W582" i="3" l="1"/>
  <c r="Q583" i="3" a="1"/>
  <c r="Q583" i="3" s="1"/>
  <c r="P583" i="3"/>
  <c r="B584" i="3"/>
  <c r="R583" i="3" l="1"/>
  <c r="D584" i="3"/>
  <c r="K584" i="3"/>
  <c r="L583" i="3"/>
  <c r="S583" i="3" s="1"/>
  <c r="T583" i="3" l="1"/>
  <c r="U583" i="3" s="1"/>
  <c r="V583" i="3"/>
  <c r="G584" i="3"/>
  <c r="I584" i="3" s="1"/>
  <c r="N584" i="3"/>
  <c r="O584" i="3"/>
  <c r="B585" i="3" l="1"/>
  <c r="W583" i="3"/>
  <c r="P584" i="3"/>
  <c r="Q584" i="3" a="1"/>
  <c r="Q584" i="3" s="1"/>
  <c r="R584" i="3" s="1"/>
  <c r="D585" i="3" l="1"/>
  <c r="K585" i="3"/>
  <c r="L584" i="3"/>
  <c r="S584" i="3" s="1"/>
  <c r="T584" i="3" l="1"/>
  <c r="U584" i="3" s="1"/>
  <c r="V584" i="3"/>
  <c r="W584" i="3" s="1"/>
  <c r="O585" i="3"/>
  <c r="N585" i="3"/>
  <c r="G585" i="3"/>
  <c r="I585" i="3" s="1"/>
  <c r="P585" i="3" l="1"/>
  <c r="Q585" i="3" a="1"/>
  <c r="Q585" i="3" s="1"/>
  <c r="R585" i="3" s="1"/>
  <c r="B586" i="3"/>
  <c r="D586" i="3" l="1"/>
  <c r="K586" i="3"/>
  <c r="L585" i="3"/>
  <c r="S585" i="3" s="1"/>
  <c r="V585" i="3" l="1"/>
  <c r="W585" i="3" s="1"/>
  <c r="T585" i="3"/>
  <c r="U585" i="3" s="1"/>
  <c r="G586" i="3"/>
  <c r="O586" i="3"/>
  <c r="N586" i="3"/>
  <c r="Q586" i="3" l="1" a="1"/>
  <c r="Q586" i="3" s="1"/>
  <c r="P586" i="3"/>
  <c r="I586" i="3"/>
  <c r="R586" i="3" l="1"/>
  <c r="B587" i="3"/>
  <c r="D587" i="3" l="1"/>
  <c r="K587" i="3"/>
  <c r="L586" i="3"/>
  <c r="S586" i="3" s="1"/>
  <c r="G587" i="3" l="1"/>
  <c r="I587" i="3" s="1"/>
  <c r="N587" i="3"/>
  <c r="O587" i="3"/>
  <c r="V586" i="3"/>
  <c r="T586" i="3"/>
  <c r="U586" i="3" s="1"/>
  <c r="W586" i="3" l="1"/>
  <c r="P587" i="3"/>
  <c r="Q587" i="3" a="1"/>
  <c r="Q587" i="3" s="1"/>
  <c r="B588" i="3"/>
  <c r="R587" i="3" l="1"/>
  <c r="D588" i="3"/>
  <c r="K588" i="3"/>
  <c r="L587" i="3"/>
  <c r="S587" i="3" s="1"/>
  <c r="T587" i="3" l="1"/>
  <c r="U587" i="3" s="1"/>
  <c r="V587" i="3"/>
  <c r="O588" i="3"/>
  <c r="G588" i="3"/>
  <c r="N588" i="3"/>
  <c r="I588" i="3" l="1"/>
  <c r="Q588" i="3" a="1"/>
  <c r="Q588" i="3" s="1"/>
  <c r="P588" i="3"/>
  <c r="W587" i="3"/>
  <c r="R588" i="3" l="1"/>
  <c r="B589" i="3"/>
  <c r="D589" i="3" l="1"/>
  <c r="K589" i="3"/>
  <c r="L588" i="3"/>
  <c r="S588" i="3" s="1"/>
  <c r="T588" i="3" l="1"/>
  <c r="U588" i="3" s="1"/>
  <c r="V588" i="3"/>
  <c r="N589" i="3"/>
  <c r="G589" i="3"/>
  <c r="O589" i="3"/>
  <c r="I589" i="3" l="1"/>
  <c r="W588" i="3"/>
  <c r="P589" i="3"/>
  <c r="Q589" i="3" a="1"/>
  <c r="Q589" i="3" s="1"/>
  <c r="R589" i="3" s="1"/>
  <c r="B590" i="3" l="1"/>
  <c r="D590" i="3" l="1"/>
  <c r="K590" i="3"/>
  <c r="L589" i="3"/>
  <c r="S589" i="3" s="1"/>
  <c r="T589" i="3" l="1"/>
  <c r="U589" i="3" s="1"/>
  <c r="V589" i="3"/>
  <c r="O590" i="3"/>
  <c r="G590" i="3"/>
  <c r="N590" i="3"/>
  <c r="I590" i="3" l="1"/>
  <c r="Q590" i="3" a="1"/>
  <c r="Q590" i="3" s="1"/>
  <c r="P590" i="3"/>
  <c r="W589" i="3"/>
  <c r="R590" i="3" l="1"/>
  <c r="B591" i="3"/>
  <c r="K591" i="3" l="1"/>
  <c r="D591" i="3"/>
  <c r="L590" i="3"/>
  <c r="S590" i="3" s="1"/>
  <c r="T590" i="3" l="1"/>
  <c r="U590" i="3" s="1"/>
  <c r="V590" i="3"/>
  <c r="G591" i="3"/>
  <c r="O591" i="3"/>
  <c r="N591" i="3"/>
  <c r="Q591" i="3" l="1" a="1"/>
  <c r="Q591" i="3" s="1"/>
  <c r="P591" i="3"/>
  <c r="I591" i="3"/>
  <c r="W590" i="3"/>
  <c r="R591" i="3" l="1"/>
  <c r="B592" i="3"/>
  <c r="K592" i="3" l="1"/>
  <c r="D592" i="3"/>
  <c r="L591" i="3"/>
  <c r="S591" i="3" s="1"/>
  <c r="N592" i="3" l="1"/>
  <c r="O592" i="3"/>
  <c r="G592" i="3"/>
  <c r="I592" i="3" s="1"/>
  <c r="T591" i="3"/>
  <c r="U591" i="3" s="1"/>
  <c r="V591" i="3"/>
  <c r="B593" i="3" l="1"/>
  <c r="Q592" i="3" a="1"/>
  <c r="Q592" i="3" s="1"/>
  <c r="P592" i="3"/>
  <c r="W591" i="3"/>
  <c r="R592" i="3" l="1"/>
  <c r="D593" i="3"/>
  <c r="K593" i="3"/>
  <c r="L592" i="3"/>
  <c r="S592" i="3" s="1"/>
  <c r="T592" i="3" l="1"/>
  <c r="U592" i="3" s="1"/>
  <c r="V592" i="3"/>
  <c r="G593" i="3"/>
  <c r="I593" i="3" s="1"/>
  <c r="N593" i="3"/>
  <c r="O593" i="3"/>
  <c r="B594" i="3" l="1"/>
  <c r="W592" i="3"/>
  <c r="P593" i="3"/>
  <c r="Q593" i="3" a="1"/>
  <c r="Q593" i="3" s="1"/>
  <c r="R593" i="3" s="1"/>
  <c r="K594" i="3" l="1"/>
  <c r="D594" i="3"/>
  <c r="L593" i="3"/>
  <c r="S593" i="3" s="1"/>
  <c r="T593" i="3" l="1"/>
  <c r="U593" i="3" s="1"/>
  <c r="V593" i="3"/>
  <c r="G594" i="3"/>
  <c r="I594" i="3" s="1"/>
  <c r="N594" i="3"/>
  <c r="O594" i="3"/>
  <c r="B595" i="3" l="1"/>
  <c r="W593" i="3"/>
  <c r="Q594" i="3" a="1"/>
  <c r="Q594" i="3" s="1"/>
  <c r="R594" i="3" s="1"/>
  <c r="P594" i="3"/>
  <c r="D595" i="3" l="1"/>
  <c r="K595" i="3"/>
  <c r="L594" i="3"/>
  <c r="S594" i="3" s="1"/>
  <c r="T594" i="3" l="1"/>
  <c r="U594" i="3" s="1"/>
  <c r="V594" i="3"/>
  <c r="N595" i="3"/>
  <c r="O595" i="3"/>
  <c r="G595" i="3"/>
  <c r="I595" i="3" s="1"/>
  <c r="P595" i="3" l="1"/>
  <c r="Q595" i="3" a="1"/>
  <c r="Q595" i="3" s="1"/>
  <c r="W594" i="3"/>
  <c r="B596" i="3"/>
  <c r="R595" i="3" l="1"/>
  <c r="K596" i="3"/>
  <c r="D596" i="3"/>
  <c r="L595" i="3"/>
  <c r="S595" i="3" s="1"/>
  <c r="T595" i="3" l="1"/>
  <c r="U595" i="3" s="1"/>
  <c r="V595" i="3"/>
  <c r="G596" i="3"/>
  <c r="I596" i="3" s="1"/>
  <c r="N596" i="3"/>
  <c r="O596" i="3"/>
  <c r="B597" i="3" l="1"/>
  <c r="W595" i="3"/>
  <c r="Q596" i="3" a="1"/>
  <c r="Q596" i="3" s="1"/>
  <c r="R596" i="3" s="1"/>
  <c r="P596" i="3"/>
  <c r="D597" i="3" l="1"/>
  <c r="K597" i="3"/>
  <c r="L596" i="3"/>
  <c r="S596" i="3" s="1"/>
  <c r="T596" i="3" l="1"/>
  <c r="U596" i="3" s="1"/>
  <c r="V596" i="3"/>
  <c r="N597" i="3"/>
  <c r="G597" i="3"/>
  <c r="O597" i="3"/>
  <c r="I597" i="3" l="1"/>
  <c r="W596" i="3"/>
  <c r="P597" i="3"/>
  <c r="Q597" i="3" a="1"/>
  <c r="Q597" i="3" s="1"/>
  <c r="R597" i="3" s="1"/>
  <c r="B598" i="3" l="1"/>
  <c r="K598" i="3" l="1"/>
  <c r="D598" i="3"/>
  <c r="L597" i="3"/>
  <c r="S597" i="3" s="1"/>
  <c r="G598" i="3" l="1"/>
  <c r="I598" i="3" s="1"/>
  <c r="B599" i="3" s="1"/>
  <c r="T597" i="3"/>
  <c r="U597" i="3" s="1"/>
  <c r="V597" i="3"/>
  <c r="W597" i="3" s="1"/>
  <c r="O598" i="3"/>
  <c r="N598" i="3"/>
  <c r="K599" i="3" l="1"/>
  <c r="D599" i="3"/>
  <c r="Q598" i="3" a="1"/>
  <c r="Q598" i="3" s="1"/>
  <c r="R598" i="3" s="1"/>
  <c r="P598" i="3"/>
  <c r="L598" i="3"/>
  <c r="G599" i="3" l="1"/>
  <c r="I599" i="3" s="1"/>
  <c r="S598" i="3"/>
  <c r="N599" i="3"/>
  <c r="O599" i="3"/>
  <c r="Q599" i="3" l="1" a="1"/>
  <c r="Q599" i="3" s="1"/>
  <c r="P599" i="3"/>
  <c r="V598" i="3"/>
  <c r="T598" i="3"/>
  <c r="U598" i="3" s="1"/>
  <c r="B600" i="3"/>
  <c r="R599" i="3" l="1"/>
  <c r="K600" i="3"/>
  <c r="D600" i="3"/>
  <c r="W598" i="3"/>
  <c r="L599" i="3"/>
  <c r="S599" i="3" s="1"/>
  <c r="T599" i="3" s="1"/>
  <c r="U599" i="3" s="1"/>
  <c r="O600" i="3" l="1"/>
  <c r="N600" i="3"/>
  <c r="G600" i="3"/>
  <c r="I600" i="3" s="1"/>
  <c r="V599" i="3"/>
  <c r="W599" i="3" l="1"/>
  <c r="B601" i="3"/>
  <c r="P600" i="3"/>
  <c r="Q600" i="3" a="1"/>
  <c r="Q600" i="3" s="1"/>
  <c r="R600" i="3" s="1"/>
  <c r="K601" i="3" l="1"/>
  <c r="D601" i="3"/>
  <c r="L600" i="3"/>
  <c r="S600" i="3" s="1"/>
  <c r="T600" i="3" l="1"/>
  <c r="U600" i="3" s="1"/>
  <c r="V600" i="3"/>
  <c r="N601" i="3"/>
  <c r="G601" i="3"/>
  <c r="O601" i="3"/>
  <c r="I601" i="3" l="1"/>
  <c r="W600" i="3"/>
  <c r="P601" i="3"/>
  <c r="Q601" i="3" a="1"/>
  <c r="Q601" i="3" s="1"/>
  <c r="R601" i="3" s="1"/>
  <c r="B602" i="3" l="1"/>
  <c r="K602" i="3" l="1"/>
  <c r="D602" i="3"/>
  <c r="L601" i="3"/>
  <c r="S601" i="3" s="1"/>
  <c r="G602" i="3" l="1"/>
  <c r="I602" i="3" s="1"/>
  <c r="T601" i="3"/>
  <c r="U601" i="3" s="1"/>
  <c r="V601" i="3"/>
  <c r="O602" i="3"/>
  <c r="N602" i="3"/>
  <c r="B603" i="3" l="1"/>
  <c r="W601" i="3"/>
  <c r="Q602" i="3" a="1"/>
  <c r="Q602" i="3" s="1"/>
  <c r="R602" i="3" s="1"/>
  <c r="P602" i="3"/>
  <c r="K603" i="3" l="1"/>
  <c r="D603" i="3"/>
  <c r="L602" i="3"/>
  <c r="S602" i="3" s="1"/>
  <c r="T602" i="3" l="1"/>
  <c r="U602" i="3" s="1"/>
  <c r="V602" i="3"/>
  <c r="G603" i="3"/>
  <c r="O603" i="3"/>
  <c r="N603" i="3"/>
  <c r="Q603" i="3" l="1" a="1"/>
  <c r="Q603" i="3" s="1"/>
  <c r="P603" i="3"/>
  <c r="I603" i="3"/>
  <c r="W602" i="3"/>
  <c r="R603" i="3" l="1"/>
  <c r="B604" i="3"/>
  <c r="K604" i="3" l="1"/>
  <c r="D604" i="3"/>
  <c r="L603" i="3"/>
  <c r="S603" i="3" s="1"/>
  <c r="T603" i="3" l="1"/>
  <c r="U603" i="3" s="1"/>
  <c r="V603" i="3"/>
  <c r="N604" i="3"/>
  <c r="O604" i="3"/>
  <c r="G604" i="3"/>
  <c r="P604" i="3" l="1"/>
  <c r="Q604" i="3" a="1"/>
  <c r="Q604" i="3" s="1"/>
  <c r="R604" i="3" s="1"/>
  <c r="W603" i="3"/>
  <c r="I604" i="3"/>
  <c r="B605" i="3" l="1"/>
  <c r="K605" i="3" l="1"/>
  <c r="D605" i="3"/>
  <c r="L604" i="3"/>
  <c r="S604" i="3" s="1"/>
  <c r="T604" i="3" l="1"/>
  <c r="U604" i="3" s="1"/>
  <c r="V604" i="3"/>
  <c r="W604" i="3" s="1"/>
  <c r="N605" i="3"/>
  <c r="O605" i="3"/>
  <c r="G605" i="3"/>
  <c r="Q605" i="3" l="1" a="1"/>
  <c r="Q605" i="3" s="1"/>
  <c r="P605" i="3"/>
  <c r="I605" i="3"/>
  <c r="R605" i="3" l="1"/>
  <c r="B606" i="3"/>
  <c r="D606" i="3" l="1"/>
  <c r="K606" i="3"/>
  <c r="L605" i="3"/>
  <c r="S605" i="3" s="1"/>
  <c r="V605" i="3" l="1"/>
  <c r="T605" i="3"/>
  <c r="U605" i="3" s="1"/>
  <c r="N606" i="3"/>
  <c r="O606" i="3"/>
  <c r="G606" i="3"/>
  <c r="P606" i="3" l="1"/>
  <c r="Q606" i="3" a="1"/>
  <c r="Q606" i="3" s="1"/>
  <c r="I606" i="3"/>
  <c r="W605" i="3"/>
  <c r="R606" i="3" l="1"/>
  <c r="B607" i="3"/>
  <c r="K607" i="3" l="1"/>
  <c r="D607" i="3"/>
  <c r="L606" i="3"/>
  <c r="S606" i="3" s="1"/>
  <c r="T606" i="3" l="1"/>
  <c r="U606" i="3" s="1"/>
  <c r="V606" i="3"/>
  <c r="O607" i="3"/>
  <c r="N607" i="3"/>
  <c r="G607" i="3"/>
  <c r="P607" i="3" l="1"/>
  <c r="Q607" i="3" a="1"/>
  <c r="Q607" i="3" s="1"/>
  <c r="W606" i="3"/>
  <c r="I607" i="3"/>
  <c r="R607" i="3" l="1"/>
  <c r="B608" i="3"/>
  <c r="K608" i="3" l="1"/>
  <c r="D608" i="3"/>
  <c r="L607" i="3"/>
  <c r="S607" i="3" s="1"/>
  <c r="T607" i="3" l="1"/>
  <c r="U607" i="3" s="1"/>
  <c r="V607" i="3"/>
  <c r="N608" i="3"/>
  <c r="G608" i="3"/>
  <c r="I608" i="3" s="1"/>
  <c r="O608" i="3"/>
  <c r="B609" i="3" l="1"/>
  <c r="W607" i="3"/>
  <c r="Q608" i="3" a="1"/>
  <c r="Q608" i="3" s="1"/>
  <c r="R608" i="3" s="1"/>
  <c r="P608" i="3"/>
  <c r="K609" i="3" l="1"/>
  <c r="D609" i="3"/>
  <c r="L608" i="3"/>
  <c r="S608" i="3" s="1"/>
  <c r="T608" i="3" l="1"/>
  <c r="U608" i="3" s="1"/>
  <c r="V608" i="3"/>
  <c r="W608" i="3" s="1"/>
  <c r="N609" i="3"/>
  <c r="O609" i="3"/>
  <c r="G609" i="3"/>
  <c r="I609" i="3" s="1"/>
  <c r="Q609" i="3" l="1" a="1"/>
  <c r="Q609" i="3" s="1"/>
  <c r="P609" i="3"/>
  <c r="B610" i="3"/>
  <c r="R609" i="3" l="1"/>
  <c r="D610" i="3"/>
  <c r="K610" i="3"/>
  <c r="L609" i="3"/>
  <c r="S609" i="3" s="1"/>
  <c r="V609" i="3" l="1"/>
  <c r="T609" i="3"/>
  <c r="U609" i="3" s="1"/>
  <c r="G610" i="3"/>
  <c r="N610" i="3"/>
  <c r="O610" i="3"/>
  <c r="I610" i="3" l="1"/>
  <c r="Q610" i="3" a="1"/>
  <c r="Q610" i="3" s="1"/>
  <c r="P610" i="3"/>
  <c r="W609" i="3"/>
  <c r="R610" i="3" l="1"/>
  <c r="B611" i="3"/>
  <c r="K611" i="3" l="1"/>
  <c r="D611" i="3"/>
  <c r="L610" i="3"/>
  <c r="S610" i="3" s="1"/>
  <c r="T610" i="3" l="1"/>
  <c r="U610" i="3" s="1"/>
  <c r="V610" i="3"/>
  <c r="W610" i="3" s="1"/>
  <c r="N611" i="3"/>
  <c r="O611" i="3"/>
  <c r="G611" i="3"/>
  <c r="P611" i="3" l="1"/>
  <c r="Q611" i="3" a="1"/>
  <c r="Q611" i="3" s="1"/>
  <c r="R611" i="3" s="1"/>
  <c r="I611" i="3"/>
  <c r="B612" i="3" s="1"/>
  <c r="D612" i="3" l="1"/>
  <c r="K612" i="3"/>
  <c r="L611" i="3"/>
  <c r="S611" i="3" s="1"/>
  <c r="O612" i="3" l="1"/>
  <c r="N612" i="3"/>
  <c r="G612" i="3"/>
  <c r="I612" i="3" s="1"/>
  <c r="V611" i="3"/>
  <c r="T611" i="3"/>
  <c r="U611" i="3" s="1"/>
  <c r="W611" i="3" l="1"/>
  <c r="B613" i="3"/>
  <c r="Q612" i="3" a="1"/>
  <c r="Q612" i="3" s="1"/>
  <c r="P612" i="3"/>
  <c r="R612" i="3" l="1"/>
  <c r="K613" i="3"/>
  <c r="D613" i="3"/>
  <c r="L612" i="3"/>
  <c r="S612" i="3" s="1"/>
  <c r="T612" i="3" l="1"/>
  <c r="U612" i="3" s="1"/>
  <c r="V612" i="3"/>
  <c r="G613" i="3"/>
  <c r="I613" i="3" s="1"/>
  <c r="N613" i="3"/>
  <c r="O613" i="3"/>
  <c r="B614" i="3" l="1"/>
  <c r="W612" i="3"/>
  <c r="P613" i="3"/>
  <c r="Q613" i="3" a="1"/>
  <c r="Q613" i="3" s="1"/>
  <c r="R613" i="3" s="1"/>
  <c r="D614" i="3" l="1"/>
  <c r="K614" i="3"/>
  <c r="L613" i="3"/>
  <c r="S613" i="3" s="1"/>
  <c r="T613" i="3" l="1"/>
  <c r="U613" i="3" s="1"/>
  <c r="V613" i="3"/>
  <c r="N614" i="3"/>
  <c r="O614" i="3"/>
  <c r="G614" i="3"/>
  <c r="P614" i="3" l="1"/>
  <c r="Q614" i="3" a="1"/>
  <c r="Q614" i="3" s="1"/>
  <c r="W613" i="3"/>
  <c r="I614" i="3"/>
  <c r="R614" i="3" l="1"/>
  <c r="B615" i="3"/>
  <c r="D615" i="3" l="1"/>
  <c r="K615" i="3"/>
  <c r="L614" i="3"/>
  <c r="S614" i="3" s="1"/>
  <c r="T614" i="3" l="1"/>
  <c r="U614" i="3" s="1"/>
  <c r="V614" i="3"/>
  <c r="W614" i="3" s="1"/>
  <c r="N615" i="3"/>
  <c r="G615" i="3"/>
  <c r="O615" i="3"/>
  <c r="I615" i="3" l="1"/>
  <c r="Q615" i="3" a="1"/>
  <c r="Q615" i="3" s="1"/>
  <c r="P615" i="3"/>
  <c r="R615" i="3" l="1"/>
  <c r="B616" i="3"/>
  <c r="K616" i="3" l="1"/>
  <c r="D616" i="3"/>
  <c r="L615" i="3"/>
  <c r="S615" i="3" s="1"/>
  <c r="G616" i="3" l="1"/>
  <c r="I616" i="3" s="1"/>
  <c r="B617" i="3" s="1"/>
  <c r="V615" i="3"/>
  <c r="T615" i="3"/>
  <c r="U615" i="3" s="1"/>
  <c r="O616" i="3"/>
  <c r="N616" i="3"/>
  <c r="W615" i="3" l="1"/>
  <c r="D617" i="3"/>
  <c r="K617" i="3"/>
  <c r="Q616" i="3" a="1"/>
  <c r="Q616" i="3" s="1"/>
  <c r="P616" i="3"/>
  <c r="L616" i="3"/>
  <c r="R616" i="3" l="1"/>
  <c r="S616" i="3"/>
  <c r="V616" i="3" s="1"/>
  <c r="W616" i="3" s="1"/>
  <c r="O617" i="3"/>
  <c r="N617" i="3"/>
  <c r="G617" i="3"/>
  <c r="I617" i="3" s="1"/>
  <c r="T616" i="3" l="1"/>
  <c r="U616" i="3" s="1"/>
  <c r="B618" i="3"/>
  <c r="Q617" i="3" a="1"/>
  <c r="Q617" i="3" s="1"/>
  <c r="R617" i="3" s="1"/>
  <c r="P617" i="3"/>
  <c r="D618" i="3" l="1"/>
  <c r="K618" i="3"/>
  <c r="L617" i="3"/>
  <c r="S617" i="3" s="1"/>
  <c r="V617" i="3" l="1"/>
  <c r="T617" i="3"/>
  <c r="U617" i="3" s="1"/>
  <c r="G618" i="3"/>
  <c r="I618" i="3" s="1"/>
  <c r="N618" i="3"/>
  <c r="O618" i="3"/>
  <c r="B619" i="3" l="1"/>
  <c r="P618" i="3"/>
  <c r="Q618" i="3" a="1"/>
  <c r="Q618" i="3" s="1"/>
  <c r="W617" i="3"/>
  <c r="R618" i="3" l="1"/>
  <c r="K619" i="3"/>
  <c r="D619" i="3"/>
  <c r="L618" i="3"/>
  <c r="S618" i="3" s="1"/>
  <c r="T618" i="3" l="1"/>
  <c r="U618" i="3" s="1"/>
  <c r="V618" i="3"/>
  <c r="O619" i="3"/>
  <c r="G619" i="3"/>
  <c r="I619" i="3" s="1"/>
  <c r="N619" i="3"/>
  <c r="B620" i="3" l="1"/>
  <c r="P619" i="3"/>
  <c r="Q619" i="3" a="1"/>
  <c r="Q619" i="3" s="1"/>
  <c r="W618" i="3"/>
  <c r="R619" i="3" l="1"/>
  <c r="D620" i="3"/>
  <c r="K620" i="3"/>
  <c r="L619" i="3"/>
  <c r="S619" i="3" s="1"/>
  <c r="T619" i="3" l="1"/>
  <c r="U619" i="3" s="1"/>
  <c r="V619" i="3"/>
  <c r="O620" i="3"/>
  <c r="N620" i="3"/>
  <c r="G620" i="3"/>
  <c r="I620" i="3" s="1"/>
  <c r="P620" i="3" l="1"/>
  <c r="Q620" i="3" a="1"/>
  <c r="Q620" i="3" s="1"/>
  <c r="W619" i="3"/>
  <c r="B621" i="3"/>
  <c r="R620" i="3" l="1"/>
  <c r="D621" i="3"/>
  <c r="K621" i="3"/>
  <c r="L620" i="3"/>
  <c r="S620" i="3" s="1"/>
  <c r="T620" i="3" l="1"/>
  <c r="U620" i="3" s="1"/>
  <c r="V620" i="3"/>
  <c r="W620" i="3" s="1"/>
  <c r="O621" i="3"/>
  <c r="G621" i="3"/>
  <c r="I621" i="3" s="1"/>
  <c r="N621" i="3"/>
  <c r="B622" i="3" l="1"/>
  <c r="P621" i="3"/>
  <c r="Q621" i="3" a="1"/>
  <c r="Q621" i="3" s="1"/>
  <c r="R621" i="3" s="1"/>
  <c r="D622" i="3" l="1"/>
  <c r="K622" i="3"/>
  <c r="L621" i="3"/>
  <c r="S621" i="3" s="1"/>
  <c r="V621" i="3" l="1"/>
  <c r="T621" i="3"/>
  <c r="U621" i="3" s="1"/>
  <c r="O622" i="3"/>
  <c r="G622" i="3"/>
  <c r="N622" i="3"/>
  <c r="I622" i="3" l="1"/>
  <c r="P622" i="3"/>
  <c r="Q622" i="3" a="1"/>
  <c r="Q622" i="3" s="1"/>
  <c r="W621" i="3"/>
  <c r="R622" i="3" l="1"/>
  <c r="B623" i="3"/>
  <c r="D623" i="3" l="1"/>
  <c r="K623" i="3"/>
  <c r="L622" i="3"/>
  <c r="S622" i="3" s="1"/>
  <c r="N623" i="3" l="1"/>
  <c r="G623" i="3"/>
  <c r="I623" i="3" s="1"/>
  <c r="O623" i="3"/>
  <c r="T622" i="3"/>
  <c r="U622" i="3" s="1"/>
  <c r="V622" i="3"/>
  <c r="W622" i="3" s="1"/>
  <c r="Q623" i="3" l="1" a="1"/>
  <c r="Q623" i="3" s="1"/>
  <c r="P623" i="3"/>
  <c r="B624" i="3"/>
  <c r="R623" i="3" l="1"/>
  <c r="D624" i="3"/>
  <c r="K624" i="3"/>
  <c r="L623" i="3"/>
  <c r="S623" i="3" s="1"/>
  <c r="N624" i="3" l="1"/>
  <c r="G624" i="3"/>
  <c r="I624" i="3" s="1"/>
  <c r="O624" i="3"/>
  <c r="V623" i="3"/>
  <c r="T623" i="3"/>
  <c r="U623" i="3" s="1"/>
  <c r="W623" i="3" l="1"/>
  <c r="P624" i="3"/>
  <c r="Q624" i="3" a="1"/>
  <c r="Q624" i="3" s="1"/>
  <c r="B625" i="3"/>
  <c r="R624" i="3" l="1"/>
  <c r="K625" i="3"/>
  <c r="D625" i="3"/>
  <c r="L624" i="3"/>
  <c r="S624" i="3" s="1"/>
  <c r="T624" i="3" l="1"/>
  <c r="U624" i="3" s="1"/>
  <c r="V624" i="3"/>
  <c r="O625" i="3"/>
  <c r="G625" i="3"/>
  <c r="N625" i="3"/>
  <c r="I625" i="3" l="1"/>
  <c r="Q625" i="3" a="1"/>
  <c r="Q625" i="3" s="1"/>
  <c r="P625" i="3"/>
  <c r="W624" i="3"/>
  <c r="R625" i="3" l="1"/>
  <c r="B626" i="3"/>
  <c r="D626" i="3" l="1"/>
  <c r="K626" i="3"/>
  <c r="L625" i="3"/>
  <c r="S625" i="3" s="1"/>
  <c r="N626" i="3" l="1"/>
  <c r="O626" i="3"/>
  <c r="G626" i="3"/>
  <c r="I626" i="3" s="1"/>
  <c r="T625" i="3"/>
  <c r="U625" i="3" s="1"/>
  <c r="V625" i="3"/>
  <c r="B627" i="3" l="1"/>
  <c r="Q626" i="3" a="1"/>
  <c r="Q626" i="3" s="1"/>
  <c r="P626" i="3"/>
  <c r="W625" i="3"/>
  <c r="R626" i="3" l="1"/>
  <c r="K627" i="3"/>
  <c r="D627" i="3"/>
  <c r="L626" i="3"/>
  <c r="S626" i="3" s="1"/>
  <c r="T626" i="3" l="1"/>
  <c r="U626" i="3" s="1"/>
  <c r="V626" i="3"/>
  <c r="W626" i="3" s="1"/>
  <c r="G627" i="3"/>
  <c r="I627" i="3" s="1"/>
  <c r="N627" i="3"/>
  <c r="O627" i="3"/>
  <c r="B628" i="3" l="1"/>
  <c r="P627" i="3"/>
  <c r="Q627" i="3" a="1"/>
  <c r="Q627" i="3" s="1"/>
  <c r="R627" i="3" s="1"/>
  <c r="D628" i="3" l="1"/>
  <c r="K628" i="3"/>
  <c r="L627" i="3"/>
  <c r="S627" i="3" s="1"/>
  <c r="V627" i="3" l="1"/>
  <c r="T627" i="3"/>
  <c r="U627" i="3" s="1"/>
  <c r="O628" i="3"/>
  <c r="N628" i="3"/>
  <c r="G628" i="3"/>
  <c r="I628" i="3" s="1"/>
  <c r="Q628" i="3" l="1" a="1"/>
  <c r="Q628" i="3" s="1"/>
  <c r="P628" i="3"/>
  <c r="B629" i="3"/>
  <c r="W627" i="3"/>
  <c r="R628" i="3" l="1"/>
  <c r="K629" i="3"/>
  <c r="D629" i="3"/>
  <c r="L628" i="3"/>
  <c r="S628" i="3" s="1"/>
  <c r="T628" i="3" l="1"/>
  <c r="U628" i="3" s="1"/>
  <c r="V628" i="3"/>
  <c r="N629" i="3"/>
  <c r="O629" i="3"/>
  <c r="G629" i="3"/>
  <c r="P629" i="3" l="1"/>
  <c r="Q629" i="3" a="1"/>
  <c r="Q629" i="3" s="1"/>
  <c r="R629" i="3" s="1"/>
  <c r="W628" i="3"/>
  <c r="I629" i="3"/>
  <c r="B630" i="3" l="1"/>
  <c r="K630" i="3" l="1"/>
  <c r="D630" i="3"/>
  <c r="L629" i="3"/>
  <c r="S629" i="3" s="1"/>
  <c r="T629" i="3" l="1"/>
  <c r="U629" i="3" s="1"/>
  <c r="V629" i="3"/>
  <c r="W629" i="3" s="1"/>
  <c r="O630" i="3"/>
  <c r="N630" i="3"/>
  <c r="G630" i="3"/>
  <c r="P630" i="3" l="1"/>
  <c r="Q630" i="3" a="1"/>
  <c r="Q630" i="3" s="1"/>
  <c r="R630" i="3" s="1"/>
  <c r="I630" i="3"/>
  <c r="B631" i="3" l="1"/>
  <c r="D631" i="3" l="1"/>
  <c r="K631" i="3"/>
  <c r="L630" i="3"/>
  <c r="S630" i="3" s="1"/>
  <c r="G631" i="3" l="1"/>
  <c r="I631" i="3" s="1"/>
  <c r="N631" i="3"/>
  <c r="O631" i="3"/>
  <c r="V630" i="3"/>
  <c r="T630" i="3"/>
  <c r="U630" i="3" s="1"/>
  <c r="W630" i="3" l="1"/>
  <c r="Q631" i="3" a="1"/>
  <c r="Q631" i="3" s="1"/>
  <c r="P631" i="3"/>
  <c r="B632" i="3"/>
  <c r="R631" i="3" l="1"/>
  <c r="K632" i="3"/>
  <c r="D632" i="3"/>
  <c r="L631" i="3"/>
  <c r="S631" i="3" s="1"/>
  <c r="T631" i="3" l="1"/>
  <c r="U631" i="3" s="1"/>
  <c r="V631" i="3"/>
  <c r="G632" i="3"/>
  <c r="I632" i="3" s="1"/>
  <c r="O632" i="3"/>
  <c r="N632" i="3"/>
  <c r="Q632" i="3" l="1" a="1"/>
  <c r="Q632" i="3" s="1"/>
  <c r="P632" i="3"/>
  <c r="B633" i="3"/>
  <c r="W631" i="3"/>
  <c r="R632" i="3" l="1"/>
  <c r="K633" i="3"/>
  <c r="D633" i="3"/>
  <c r="L632" i="3"/>
  <c r="S632" i="3" s="1"/>
  <c r="G633" i="3" l="1"/>
  <c r="I633" i="3" s="1"/>
  <c r="B634" i="3" s="1"/>
  <c r="T632" i="3"/>
  <c r="U632" i="3" s="1"/>
  <c r="V632" i="3"/>
  <c r="O633" i="3"/>
  <c r="N633" i="3"/>
  <c r="K634" i="3" l="1"/>
  <c r="D634" i="3"/>
  <c r="L633" i="3"/>
  <c r="W632" i="3"/>
  <c r="Q633" i="3" a="1"/>
  <c r="Q633" i="3" s="1"/>
  <c r="P633" i="3"/>
  <c r="G634" i="3" l="1"/>
  <c r="I634" i="3" s="1"/>
  <c r="B635" i="3" s="1"/>
  <c r="L634" i="3" s="1"/>
  <c r="R633" i="3"/>
  <c r="S633" i="3"/>
  <c r="N634" i="3"/>
  <c r="O634" i="3"/>
  <c r="T633" i="3" l="1"/>
  <c r="U633" i="3" s="1"/>
  <c r="V633" i="3"/>
  <c r="Q634" i="3" a="1"/>
  <c r="Q634" i="3" s="1"/>
  <c r="R634" i="3" s="1"/>
  <c r="P634" i="3"/>
  <c r="S634" i="3" s="1"/>
  <c r="K635" i="3"/>
  <c r="D635" i="3"/>
  <c r="T634" i="3" l="1"/>
  <c r="U634" i="3" s="1"/>
  <c r="W633" i="3"/>
  <c r="V634" i="3"/>
  <c r="G635" i="3"/>
  <c r="N635" i="3"/>
  <c r="O635" i="3"/>
  <c r="I635" i="3" l="1"/>
  <c r="W634" i="3"/>
  <c r="Q635" i="3" a="1"/>
  <c r="Q635" i="3" s="1"/>
  <c r="R635" i="3" s="1"/>
  <c r="P635" i="3"/>
  <c r="B636" i="3" l="1"/>
  <c r="D636" i="3" l="1"/>
  <c r="K636" i="3"/>
  <c r="L635" i="3"/>
  <c r="S635" i="3" s="1"/>
  <c r="T635" i="3" l="1"/>
  <c r="U635" i="3" s="1"/>
  <c r="V635" i="3"/>
  <c r="O636" i="3"/>
  <c r="N636" i="3"/>
  <c r="G636" i="3"/>
  <c r="Q636" i="3" l="1" a="1"/>
  <c r="Q636" i="3" s="1"/>
  <c r="P636" i="3"/>
  <c r="W635" i="3"/>
  <c r="I636" i="3"/>
  <c r="B637" i="3" s="1"/>
  <c r="R636" i="3" l="1"/>
  <c r="K637" i="3"/>
  <c r="D637" i="3"/>
  <c r="L636" i="3"/>
  <c r="S636" i="3" s="1"/>
  <c r="T636" i="3" l="1"/>
  <c r="U636" i="3" s="1"/>
  <c r="V636" i="3"/>
  <c r="W636" i="3" s="1"/>
  <c r="O637" i="3"/>
  <c r="N637" i="3"/>
  <c r="G637" i="3"/>
  <c r="Q637" i="3" l="1" a="1"/>
  <c r="Q637" i="3" s="1"/>
  <c r="P637" i="3"/>
  <c r="I637" i="3"/>
  <c r="R637" i="3" l="1"/>
  <c r="B638" i="3"/>
  <c r="D638" i="3" l="1"/>
  <c r="K638" i="3"/>
  <c r="L637" i="3"/>
  <c r="S637" i="3" s="1"/>
  <c r="V637" i="3" l="1"/>
  <c r="T637" i="3"/>
  <c r="U637" i="3" s="1"/>
  <c r="O638" i="3"/>
  <c r="N638" i="3"/>
  <c r="G638" i="3"/>
  <c r="P638" i="3" l="1"/>
  <c r="Q638" i="3" a="1"/>
  <c r="Q638" i="3" s="1"/>
  <c r="R638" i="3" s="1"/>
  <c r="I638" i="3"/>
  <c r="W637" i="3"/>
  <c r="B639" i="3" l="1"/>
  <c r="K639" i="3" l="1"/>
  <c r="D639" i="3"/>
  <c r="L638" i="3"/>
  <c r="S638" i="3" s="1"/>
  <c r="T638" i="3" l="1"/>
  <c r="U638" i="3" s="1"/>
  <c r="V638" i="3"/>
  <c r="G639" i="3"/>
  <c r="N639" i="3"/>
  <c r="O639" i="3"/>
  <c r="I639" i="3" l="1"/>
  <c r="W638" i="3"/>
  <c r="P639" i="3"/>
  <c r="Q639" i="3" a="1"/>
  <c r="Q639" i="3" s="1"/>
  <c r="R639" i="3" s="1"/>
  <c r="B640" i="3" l="1"/>
  <c r="K640" i="3" l="1"/>
  <c r="D640" i="3"/>
  <c r="L639" i="3"/>
  <c r="S639" i="3" s="1"/>
  <c r="O640" i="3" l="1"/>
  <c r="N640" i="3"/>
  <c r="G640" i="3"/>
  <c r="I640" i="3" s="1"/>
  <c r="T639" i="3"/>
  <c r="U639" i="3" s="1"/>
  <c r="V639" i="3"/>
  <c r="W639" i="3" s="1"/>
  <c r="B641" i="3" l="1"/>
  <c r="Q640" i="3" a="1"/>
  <c r="Q640" i="3" s="1"/>
  <c r="P640" i="3"/>
  <c r="R640" i="3" l="1"/>
  <c r="K641" i="3"/>
  <c r="D641" i="3"/>
  <c r="L640" i="3"/>
  <c r="S640" i="3" s="1"/>
  <c r="V640" i="3" l="1"/>
  <c r="T640" i="3"/>
  <c r="U640" i="3" s="1"/>
  <c r="N641" i="3"/>
  <c r="G641" i="3"/>
  <c r="I641" i="3" s="1"/>
  <c r="O641" i="3"/>
  <c r="B642" i="3" l="1"/>
  <c r="P641" i="3"/>
  <c r="Q641" i="3" a="1"/>
  <c r="Q641" i="3" s="1"/>
  <c r="W640" i="3"/>
  <c r="R641" i="3" l="1"/>
  <c r="D642" i="3"/>
  <c r="K642" i="3"/>
  <c r="L641" i="3"/>
  <c r="S641" i="3" s="1"/>
  <c r="T641" i="3" l="1"/>
  <c r="U641" i="3" s="1"/>
  <c r="V641" i="3"/>
  <c r="N642" i="3"/>
  <c r="G642" i="3"/>
  <c r="I642" i="3" s="1"/>
  <c r="O642" i="3"/>
  <c r="B643" i="3" l="1"/>
  <c r="W641" i="3"/>
  <c r="Q642" i="3" a="1"/>
  <c r="Q642" i="3" s="1"/>
  <c r="R642" i="3" s="1"/>
  <c r="P642" i="3"/>
  <c r="D643" i="3" l="1"/>
  <c r="K643" i="3"/>
  <c r="L642" i="3"/>
  <c r="S642" i="3" s="1"/>
  <c r="T642" i="3" l="1"/>
  <c r="U642" i="3" s="1"/>
  <c r="V642" i="3"/>
  <c r="W642" i="3" s="1"/>
  <c r="N643" i="3"/>
  <c r="G643" i="3"/>
  <c r="O643" i="3"/>
  <c r="I643" i="3" l="1"/>
  <c r="Q643" i="3" a="1"/>
  <c r="Q643" i="3" s="1"/>
  <c r="R643" i="3" s="1"/>
  <c r="P643" i="3"/>
  <c r="B644" i="3" l="1"/>
  <c r="K644" i="3" l="1"/>
  <c r="D644" i="3"/>
  <c r="L643" i="3"/>
  <c r="S643" i="3" s="1"/>
  <c r="G644" i="3" l="1"/>
  <c r="I644" i="3" s="1"/>
  <c r="V643" i="3"/>
  <c r="W643" i="3" s="1"/>
  <c r="T643" i="3"/>
  <c r="U643" i="3" s="1"/>
  <c r="O644" i="3"/>
  <c r="N644" i="3"/>
  <c r="P644" i="3" l="1"/>
  <c r="Q644" i="3" a="1"/>
  <c r="Q644" i="3" s="1"/>
  <c r="R644" i="3" s="1"/>
  <c r="B645" i="3"/>
  <c r="K645" i="3" l="1"/>
  <c r="D645" i="3"/>
  <c r="L644" i="3"/>
  <c r="S644" i="3" s="1"/>
  <c r="G645" i="3" l="1"/>
  <c r="I645" i="3" s="1"/>
  <c r="B646" i="3" s="1"/>
  <c r="V644" i="3"/>
  <c r="T644" i="3"/>
  <c r="U644" i="3" s="1"/>
  <c r="N645" i="3"/>
  <c r="O645" i="3"/>
  <c r="K646" i="3" l="1"/>
  <c r="D646" i="3"/>
  <c r="L645" i="3"/>
  <c r="Q645" i="3" a="1"/>
  <c r="Q645" i="3" s="1"/>
  <c r="P645" i="3"/>
  <c r="W644" i="3"/>
  <c r="R645" i="3" l="1"/>
  <c r="S645" i="3"/>
  <c r="G646" i="3"/>
  <c r="I646" i="3" s="1"/>
  <c r="O646" i="3"/>
  <c r="N646" i="3"/>
  <c r="B647" i="3" l="1"/>
  <c r="P646" i="3"/>
  <c r="Q646" i="3" a="1"/>
  <c r="Q646" i="3" s="1"/>
  <c r="T645" i="3"/>
  <c r="U645" i="3" s="1"/>
  <c r="V645" i="3"/>
  <c r="R646" i="3" l="1"/>
  <c r="K647" i="3"/>
  <c r="D647" i="3"/>
  <c r="W645" i="3"/>
  <c r="L646" i="3"/>
  <c r="S646" i="3" s="1"/>
  <c r="G647" i="3" l="1"/>
  <c r="I647" i="3" s="1"/>
  <c r="T646" i="3"/>
  <c r="U646" i="3" s="1"/>
  <c r="V646" i="3"/>
  <c r="N647" i="3"/>
  <c r="O647" i="3"/>
  <c r="B648" i="3" l="1"/>
  <c r="Q647" i="3" a="1"/>
  <c r="Q647" i="3" s="1"/>
  <c r="P647" i="3"/>
  <c r="W646" i="3"/>
  <c r="R647" i="3" l="1"/>
  <c r="D648" i="3"/>
  <c r="K648" i="3"/>
  <c r="L647" i="3"/>
  <c r="S647" i="3" s="1"/>
  <c r="T647" i="3" l="1"/>
  <c r="U647" i="3" s="1"/>
  <c r="V647" i="3"/>
  <c r="O648" i="3"/>
  <c r="N648" i="3"/>
  <c r="G648" i="3"/>
  <c r="P648" i="3" l="1"/>
  <c r="Q648" i="3" a="1"/>
  <c r="Q648" i="3" s="1"/>
  <c r="W647" i="3"/>
  <c r="I648" i="3"/>
  <c r="R648" i="3" l="1"/>
  <c r="B649" i="3"/>
  <c r="D649" i="3" l="1"/>
  <c r="K649" i="3"/>
  <c r="L648" i="3"/>
  <c r="S648" i="3" s="1"/>
  <c r="T648" i="3" l="1"/>
  <c r="U648" i="3" s="1"/>
  <c r="V648" i="3"/>
  <c r="W648" i="3" s="1"/>
  <c r="O649" i="3"/>
  <c r="G649" i="3"/>
  <c r="N649" i="3"/>
  <c r="I649" i="3" l="1"/>
  <c r="Q649" i="3" a="1"/>
  <c r="Q649" i="3" s="1"/>
  <c r="P649" i="3"/>
  <c r="R649" i="3" l="1"/>
  <c r="B650" i="3"/>
  <c r="K650" i="3" l="1"/>
  <c r="D650" i="3"/>
  <c r="L649" i="3"/>
  <c r="S649" i="3" s="1"/>
  <c r="G650" i="3" l="1"/>
  <c r="I650" i="3" s="1"/>
  <c r="V649" i="3"/>
  <c r="T649" i="3"/>
  <c r="U649" i="3" s="1"/>
  <c r="O650" i="3"/>
  <c r="N650" i="3"/>
  <c r="B651" i="3" l="1"/>
  <c r="Q650" i="3" a="1"/>
  <c r="Q650" i="3" s="1"/>
  <c r="P650" i="3"/>
  <c r="W649" i="3"/>
  <c r="R650" i="3" l="1"/>
  <c r="D651" i="3"/>
  <c r="K651" i="3"/>
  <c r="L650" i="3"/>
  <c r="S650" i="3" s="1"/>
  <c r="T650" i="3" l="1"/>
  <c r="U650" i="3" s="1"/>
  <c r="V650" i="3"/>
  <c r="N651" i="3"/>
  <c r="G651" i="3"/>
  <c r="O651" i="3"/>
  <c r="I651" i="3" l="1"/>
  <c r="W650" i="3"/>
  <c r="P651" i="3"/>
  <c r="Q651" i="3" a="1"/>
  <c r="Q651" i="3" s="1"/>
  <c r="R651" i="3" s="1"/>
  <c r="B652" i="3" l="1"/>
  <c r="K652" i="3" l="1"/>
  <c r="D652" i="3"/>
  <c r="L651" i="3"/>
  <c r="S651" i="3" s="1"/>
  <c r="T651" i="3" l="1"/>
  <c r="U651" i="3" s="1"/>
  <c r="V651" i="3"/>
  <c r="N652" i="3"/>
  <c r="O652" i="3"/>
  <c r="G652" i="3"/>
  <c r="P652" i="3" l="1"/>
  <c r="Q652" i="3" a="1"/>
  <c r="Q652" i="3" s="1"/>
  <c r="R652" i="3" s="1"/>
  <c r="W651" i="3"/>
  <c r="I652" i="3"/>
  <c r="B653" i="3" l="1"/>
  <c r="D653" i="3" l="1"/>
  <c r="K653" i="3"/>
  <c r="L652" i="3"/>
  <c r="S652" i="3" s="1"/>
  <c r="O653" i="3" l="1"/>
  <c r="N653" i="3"/>
  <c r="G653" i="3"/>
  <c r="I653" i="3" s="1"/>
  <c r="T652" i="3"/>
  <c r="U652" i="3" s="1"/>
  <c r="V652" i="3"/>
  <c r="B654" i="3" l="1"/>
  <c r="W652" i="3"/>
  <c r="P653" i="3"/>
  <c r="Q653" i="3" a="1"/>
  <c r="Q653" i="3" s="1"/>
  <c r="R653" i="3" s="1"/>
  <c r="D654" i="3" l="1"/>
  <c r="K654" i="3"/>
  <c r="L653" i="3"/>
  <c r="S653" i="3" s="1"/>
  <c r="T653" i="3" l="1"/>
  <c r="U653" i="3" s="1"/>
  <c r="V653" i="3"/>
  <c r="O654" i="3"/>
  <c r="G654" i="3"/>
  <c r="I654" i="3" s="1"/>
  <c r="N654" i="3"/>
  <c r="B655" i="3" l="1"/>
  <c r="Q654" i="3" a="1"/>
  <c r="Q654" i="3" s="1"/>
  <c r="P654" i="3"/>
  <c r="W653" i="3"/>
  <c r="R654" i="3" l="1"/>
  <c r="D655" i="3"/>
  <c r="K655" i="3"/>
  <c r="L654" i="3"/>
  <c r="S654" i="3" s="1"/>
  <c r="T654" i="3" l="1"/>
  <c r="U654" i="3" s="1"/>
  <c r="V654" i="3"/>
  <c r="W654" i="3" s="1"/>
  <c r="G655" i="3"/>
  <c r="I655" i="3" s="1"/>
  <c r="N655" i="3"/>
  <c r="O655" i="3"/>
  <c r="B656" i="3" l="1"/>
  <c r="Q655" i="3" a="1"/>
  <c r="Q655" i="3" s="1"/>
  <c r="P655" i="3"/>
  <c r="R655" i="3" l="1"/>
  <c r="K656" i="3"/>
  <c r="D656" i="3"/>
  <c r="L655" i="3"/>
  <c r="S655" i="3" s="1"/>
  <c r="G656" i="3" l="1"/>
  <c r="I656" i="3" s="1"/>
  <c r="B657" i="3" s="1"/>
  <c r="V655" i="3"/>
  <c r="T655" i="3"/>
  <c r="U655" i="3" s="1"/>
  <c r="N656" i="3"/>
  <c r="O656" i="3"/>
  <c r="D657" i="3" l="1"/>
  <c r="K657" i="3"/>
  <c r="L656" i="3"/>
  <c r="Q656" i="3" a="1"/>
  <c r="Q656" i="3" s="1"/>
  <c r="P656" i="3"/>
  <c r="W655" i="3"/>
  <c r="S656" i="3" l="1"/>
  <c r="T656" i="3" s="1"/>
  <c r="U656" i="3" s="1"/>
  <c r="R656" i="3"/>
  <c r="O657" i="3"/>
  <c r="G657" i="3"/>
  <c r="I657" i="3" s="1"/>
  <c r="N657" i="3"/>
  <c r="V656" i="3" l="1"/>
  <c r="W656" i="3" s="1"/>
  <c r="B658" i="3"/>
  <c r="P657" i="3"/>
  <c r="Q657" i="3" a="1"/>
  <c r="Q657" i="3" s="1"/>
  <c r="R657" i="3" s="1"/>
  <c r="K658" i="3" l="1"/>
  <c r="D658" i="3"/>
  <c r="L657" i="3"/>
  <c r="S657" i="3" s="1"/>
  <c r="T657" i="3" l="1"/>
  <c r="U657" i="3" s="1"/>
  <c r="V657" i="3"/>
  <c r="N658" i="3"/>
  <c r="O658" i="3"/>
  <c r="G658" i="3"/>
  <c r="I658" i="3" s="1"/>
  <c r="P658" i="3" l="1"/>
  <c r="Q658" i="3" a="1"/>
  <c r="Q658" i="3" s="1"/>
  <c r="W657" i="3"/>
  <c r="B659" i="3"/>
  <c r="R658" i="3" l="1"/>
  <c r="D659" i="3"/>
  <c r="K659" i="3"/>
  <c r="L658" i="3"/>
  <c r="S658" i="3" s="1"/>
  <c r="T658" i="3" l="1"/>
  <c r="U658" i="3" s="1"/>
  <c r="V658" i="3"/>
  <c r="O659" i="3"/>
  <c r="G659" i="3"/>
  <c r="I659" i="3" s="1"/>
  <c r="N659" i="3"/>
  <c r="B660" i="3" l="1"/>
  <c r="P659" i="3"/>
  <c r="Q659" i="3" a="1"/>
  <c r="Q659" i="3" s="1"/>
  <c r="W658" i="3"/>
  <c r="R659" i="3" l="1"/>
  <c r="D660" i="3"/>
  <c r="K660" i="3"/>
  <c r="L659" i="3"/>
  <c r="S659" i="3" s="1"/>
  <c r="T659" i="3" l="1"/>
  <c r="U659" i="3" s="1"/>
  <c r="V659" i="3"/>
  <c r="W659" i="3" s="1"/>
  <c r="N660" i="3"/>
  <c r="G660" i="3"/>
  <c r="O660" i="3"/>
  <c r="I660" i="3" l="1"/>
  <c r="Q660" i="3" a="1"/>
  <c r="Q660" i="3" s="1"/>
  <c r="P660" i="3"/>
  <c r="R660" i="3" l="1"/>
  <c r="B661" i="3"/>
  <c r="D661" i="3" l="1"/>
  <c r="K661" i="3"/>
  <c r="L660" i="3"/>
  <c r="S660" i="3" s="1"/>
  <c r="G661" i="3" l="1"/>
  <c r="I661" i="3" s="1"/>
  <c r="N661" i="3"/>
  <c r="O661" i="3"/>
  <c r="V660" i="3"/>
  <c r="W660" i="3" s="1"/>
  <c r="T660" i="3"/>
  <c r="U660" i="3" s="1"/>
  <c r="Q661" i="3" l="1" a="1"/>
  <c r="Q661" i="3" s="1"/>
  <c r="P661" i="3"/>
  <c r="B662" i="3"/>
  <c r="R661" i="3" l="1"/>
  <c r="D662" i="3"/>
  <c r="K662" i="3"/>
  <c r="L661" i="3"/>
  <c r="S661" i="3" s="1"/>
  <c r="V661" i="3" l="1"/>
  <c r="W661" i="3" s="1"/>
  <c r="T661" i="3"/>
  <c r="U661" i="3" s="1"/>
  <c r="O662" i="3"/>
  <c r="G662" i="3"/>
  <c r="I662" i="3" s="1"/>
  <c r="N662" i="3"/>
  <c r="B663" i="3" l="1"/>
  <c r="Q662" i="3" a="1"/>
  <c r="Q662" i="3" s="1"/>
  <c r="P662" i="3"/>
  <c r="R662" i="3" l="1"/>
  <c r="K663" i="3"/>
  <c r="D663" i="3"/>
  <c r="L662" i="3"/>
  <c r="S662" i="3" s="1"/>
  <c r="V662" i="3" l="1"/>
  <c r="W662" i="3" s="1"/>
  <c r="T662" i="3"/>
  <c r="U662" i="3" s="1"/>
  <c r="O663" i="3"/>
  <c r="G663" i="3"/>
  <c r="N663" i="3"/>
  <c r="I663" i="3" l="1"/>
  <c r="Q663" i="3" a="1"/>
  <c r="Q663" i="3" s="1"/>
  <c r="P663" i="3"/>
  <c r="R663" i="3" l="1"/>
  <c r="B664" i="3"/>
  <c r="D664" i="3" l="1"/>
  <c r="K664" i="3"/>
  <c r="L663" i="3"/>
  <c r="S663" i="3" s="1"/>
  <c r="N664" i="3" l="1"/>
  <c r="G664" i="3"/>
  <c r="I664" i="3" s="1"/>
  <c r="O664" i="3"/>
  <c r="V663" i="3"/>
  <c r="W663" i="3" s="1"/>
  <c r="T663" i="3"/>
  <c r="U663" i="3" s="1"/>
  <c r="P664" i="3" l="1"/>
  <c r="Q664" i="3" a="1"/>
  <c r="Q664" i="3" s="1"/>
  <c r="R664" i="3" s="1"/>
  <c r="B665" i="3"/>
  <c r="D665" i="3" l="1"/>
  <c r="K665" i="3"/>
  <c r="L664" i="3"/>
  <c r="S664" i="3" s="1"/>
  <c r="V664" i="3" l="1"/>
  <c r="T664" i="3"/>
  <c r="U664" i="3" s="1"/>
  <c r="O665" i="3"/>
  <c r="N665" i="3"/>
  <c r="G665" i="3"/>
  <c r="I665" i="3" s="1"/>
  <c r="P665" i="3" l="1"/>
  <c r="Q665" i="3" a="1"/>
  <c r="Q665" i="3" s="1"/>
  <c r="B666" i="3"/>
  <c r="L665" i="3" s="1"/>
  <c r="W664" i="3"/>
  <c r="R665" i="3" l="1"/>
  <c r="K666" i="3"/>
  <c r="D666" i="3"/>
  <c r="S665" i="3"/>
  <c r="G666" i="3" l="1"/>
  <c r="I666" i="3" s="1"/>
  <c r="O666" i="3"/>
  <c r="N666" i="3"/>
  <c r="T665" i="3"/>
  <c r="U665" i="3" s="1"/>
  <c r="V665" i="3"/>
  <c r="W665" i="3" s="1"/>
  <c r="Q666" i="3" l="1" a="1"/>
  <c r="Q666" i="3" s="1"/>
  <c r="P666" i="3"/>
  <c r="B667" i="3"/>
  <c r="R666" i="3" l="1"/>
  <c r="D667" i="3"/>
  <c r="K667" i="3"/>
  <c r="L666" i="3"/>
  <c r="S666" i="3" s="1"/>
  <c r="V666" i="3" l="1"/>
  <c r="T666" i="3"/>
  <c r="U666" i="3" s="1"/>
  <c r="G667" i="3"/>
  <c r="I667" i="3" s="1"/>
  <c r="O667" i="3"/>
  <c r="N667" i="3"/>
  <c r="Q667" i="3" l="1" a="1"/>
  <c r="Q667" i="3" s="1"/>
  <c r="P667" i="3"/>
  <c r="B668" i="3"/>
  <c r="W666" i="3"/>
  <c r="R667" i="3" l="1"/>
  <c r="D668" i="3"/>
  <c r="K668" i="3"/>
  <c r="L667" i="3"/>
  <c r="S667" i="3" s="1"/>
  <c r="T667" i="3" l="1"/>
  <c r="U667" i="3" s="1"/>
  <c r="V667" i="3"/>
  <c r="O668" i="3"/>
  <c r="G668" i="3"/>
  <c r="N668" i="3"/>
  <c r="I668" i="3" l="1"/>
  <c r="P668" i="3"/>
  <c r="Q668" i="3" a="1"/>
  <c r="Q668" i="3" s="1"/>
  <c r="W667" i="3"/>
  <c r="R668" i="3" l="1"/>
  <c r="B669" i="3"/>
  <c r="D669" i="3" l="1"/>
  <c r="K669" i="3"/>
  <c r="L668" i="3"/>
  <c r="S668" i="3" s="1"/>
  <c r="N669" i="3" l="1"/>
  <c r="O669" i="3"/>
  <c r="G669" i="3"/>
  <c r="I669" i="3" s="1"/>
  <c r="T668" i="3"/>
  <c r="U668" i="3" s="1"/>
  <c r="V668" i="3"/>
  <c r="B670" i="3" l="1"/>
  <c r="Q669" i="3" a="1"/>
  <c r="Q669" i="3" s="1"/>
  <c r="P669" i="3"/>
  <c r="W668" i="3"/>
  <c r="R669" i="3" l="1"/>
  <c r="K670" i="3"/>
  <c r="D670" i="3"/>
  <c r="L669" i="3"/>
  <c r="S669" i="3" s="1"/>
  <c r="T669" i="3" l="1"/>
  <c r="U669" i="3" s="1"/>
  <c r="V669" i="3"/>
  <c r="G670" i="3"/>
  <c r="I670" i="3" s="1"/>
  <c r="N670" i="3"/>
  <c r="O670" i="3"/>
  <c r="B671" i="3" l="1"/>
  <c r="W669" i="3"/>
  <c r="P670" i="3"/>
  <c r="Q670" i="3" a="1"/>
  <c r="Q670" i="3" s="1"/>
  <c r="R670" i="3" s="1"/>
  <c r="D671" i="3" l="1"/>
  <c r="K671" i="3"/>
  <c r="L670" i="3"/>
  <c r="S670" i="3" s="1"/>
  <c r="T670" i="3" l="1"/>
  <c r="U670" i="3" s="1"/>
  <c r="V670" i="3"/>
  <c r="O671" i="3"/>
  <c r="N671" i="3"/>
  <c r="G671" i="3"/>
  <c r="P671" i="3" l="1"/>
  <c r="Q671" i="3" a="1"/>
  <c r="Q671" i="3" s="1"/>
  <c r="R671" i="3" s="1"/>
  <c r="W670" i="3"/>
  <c r="I671" i="3"/>
  <c r="B672" i="3" l="1"/>
  <c r="K672" i="3" l="1"/>
  <c r="D672" i="3"/>
  <c r="L671" i="3"/>
  <c r="S671" i="3" s="1"/>
  <c r="T671" i="3" l="1"/>
  <c r="U671" i="3" s="1"/>
  <c r="V671" i="3"/>
  <c r="N672" i="3"/>
  <c r="O672" i="3"/>
  <c r="G672" i="3"/>
  <c r="I672" i="3" s="1"/>
  <c r="P672" i="3" l="1"/>
  <c r="Q672" i="3" a="1"/>
  <c r="Q672" i="3" s="1"/>
  <c r="W671" i="3"/>
  <c r="B673" i="3"/>
  <c r="R672" i="3" l="1"/>
  <c r="K673" i="3"/>
  <c r="D673" i="3"/>
  <c r="L672" i="3"/>
  <c r="S672" i="3" s="1"/>
  <c r="T672" i="3" l="1"/>
  <c r="U672" i="3" s="1"/>
  <c r="V672" i="3"/>
  <c r="W672" i="3" s="1"/>
  <c r="G673" i="3"/>
  <c r="N673" i="3"/>
  <c r="O673" i="3"/>
  <c r="I673" i="3" l="1"/>
  <c r="Q673" i="3" a="1"/>
  <c r="Q673" i="3" s="1"/>
  <c r="P673" i="3"/>
  <c r="R673" i="3" l="1"/>
  <c r="B674" i="3"/>
  <c r="L673" i="3" s="1"/>
  <c r="S673" i="3" s="1"/>
  <c r="V673" i="3" l="1"/>
  <c r="T673" i="3"/>
  <c r="U673" i="3" s="1"/>
  <c r="K674" i="3"/>
  <c r="D674" i="3"/>
  <c r="O674" i="3" l="1"/>
  <c r="N674" i="3"/>
  <c r="G674" i="3"/>
  <c r="W673" i="3"/>
  <c r="I674" i="3" l="1"/>
  <c r="Q674" i="3" a="1"/>
  <c r="Q674" i="3" s="1"/>
  <c r="P674" i="3"/>
  <c r="R674" i="3" l="1"/>
  <c r="B675" i="3"/>
  <c r="D675" i="3" l="1"/>
  <c r="K675" i="3"/>
  <c r="L674" i="3"/>
  <c r="S674" i="3" s="1"/>
  <c r="N675" i="3" l="1"/>
  <c r="G675" i="3"/>
  <c r="I675" i="3" s="1"/>
  <c r="O675" i="3"/>
  <c r="T674" i="3"/>
  <c r="U674" i="3" s="1"/>
  <c r="V674" i="3"/>
  <c r="W674" i="3" s="1"/>
  <c r="Q675" i="3" l="1" a="1"/>
  <c r="Q675" i="3" s="1"/>
  <c r="P675" i="3"/>
  <c r="B676" i="3"/>
  <c r="R675" i="3" l="1"/>
  <c r="D676" i="3"/>
  <c r="K676" i="3"/>
  <c r="L675" i="3"/>
  <c r="S675" i="3" s="1"/>
  <c r="V675" i="3" l="1"/>
  <c r="T675" i="3"/>
  <c r="U675" i="3" s="1"/>
  <c r="N676" i="3"/>
  <c r="G676" i="3"/>
  <c r="I676" i="3" s="1"/>
  <c r="O676" i="3"/>
  <c r="B677" i="3" l="1"/>
  <c r="P676" i="3"/>
  <c r="Q676" i="3" a="1"/>
  <c r="Q676" i="3" s="1"/>
  <c r="W675" i="3"/>
  <c r="R676" i="3" l="1"/>
  <c r="K677" i="3"/>
  <c r="D677" i="3"/>
  <c r="L676" i="3"/>
  <c r="S676" i="3" s="1"/>
  <c r="T676" i="3" l="1"/>
  <c r="U676" i="3" s="1"/>
  <c r="V676" i="3"/>
  <c r="G677" i="3"/>
  <c r="I677" i="3" s="1"/>
  <c r="O677" i="3"/>
  <c r="N677" i="3"/>
  <c r="Q677" i="3" l="1" a="1"/>
  <c r="Q677" i="3" s="1"/>
  <c r="P677" i="3"/>
  <c r="B678" i="3"/>
  <c r="W676" i="3"/>
  <c r="R677" i="3" l="1"/>
  <c r="D678" i="3"/>
  <c r="K678" i="3"/>
  <c r="L677" i="3"/>
  <c r="S677" i="3" s="1"/>
  <c r="T677" i="3" l="1"/>
  <c r="U677" i="3" s="1"/>
  <c r="V677" i="3"/>
  <c r="O678" i="3"/>
  <c r="N678" i="3"/>
  <c r="G678" i="3"/>
  <c r="P678" i="3" l="1"/>
  <c r="Q678" i="3" a="1"/>
  <c r="Q678" i="3" s="1"/>
  <c r="R678" i="3" s="1"/>
  <c r="W677" i="3"/>
  <c r="I678" i="3"/>
  <c r="B679" i="3" l="1"/>
  <c r="K679" i="3" l="1"/>
  <c r="D679" i="3"/>
  <c r="L678" i="3"/>
  <c r="S678" i="3" s="1"/>
  <c r="T678" i="3" l="1"/>
  <c r="U678" i="3" s="1"/>
  <c r="V678" i="3"/>
  <c r="G679" i="3"/>
  <c r="O679" i="3"/>
  <c r="N679" i="3"/>
  <c r="Q679" i="3" l="1" a="1"/>
  <c r="Q679" i="3" s="1"/>
  <c r="P679" i="3"/>
  <c r="I679" i="3"/>
  <c r="W678" i="3"/>
  <c r="R679" i="3" l="1"/>
  <c r="B680" i="3"/>
  <c r="D680" i="3" l="1"/>
  <c r="K680" i="3"/>
  <c r="L679" i="3"/>
  <c r="S679" i="3" s="1"/>
  <c r="T679" i="3" l="1"/>
  <c r="U679" i="3" s="1"/>
  <c r="V679" i="3"/>
  <c r="N680" i="3"/>
  <c r="O680" i="3"/>
  <c r="G680" i="3"/>
  <c r="Q680" i="3" l="1" a="1"/>
  <c r="Q680" i="3" s="1"/>
  <c r="P680" i="3"/>
  <c r="W679" i="3"/>
  <c r="I680" i="3"/>
  <c r="B681" i="3" s="1"/>
  <c r="R680" i="3" l="1"/>
  <c r="D681" i="3"/>
  <c r="K681" i="3"/>
  <c r="L680" i="3"/>
  <c r="S680" i="3" s="1"/>
  <c r="O681" i="3" l="1"/>
  <c r="G681" i="3"/>
  <c r="I681" i="3" s="1"/>
  <c r="N681" i="3"/>
  <c r="T680" i="3"/>
  <c r="U680" i="3" s="1"/>
  <c r="V680" i="3"/>
  <c r="B682" i="3" l="1"/>
  <c r="W680" i="3"/>
  <c r="P681" i="3"/>
  <c r="Q681" i="3" a="1"/>
  <c r="Q681" i="3" s="1"/>
  <c r="R681" i="3" s="1"/>
  <c r="D682" i="3" l="1"/>
  <c r="K682" i="3"/>
  <c r="L681" i="3"/>
  <c r="S681" i="3" s="1"/>
  <c r="T681" i="3" l="1"/>
  <c r="U681" i="3" s="1"/>
  <c r="V681" i="3"/>
  <c r="G682" i="3"/>
  <c r="I682" i="3" s="1"/>
  <c r="O682" i="3"/>
  <c r="N682" i="3"/>
  <c r="P682" i="3" l="1"/>
  <c r="Q682" i="3" a="1"/>
  <c r="Q682" i="3" s="1"/>
  <c r="B683" i="3"/>
  <c r="W681" i="3"/>
  <c r="R682" i="3" l="1"/>
  <c r="D683" i="3"/>
  <c r="K683" i="3"/>
  <c r="L682" i="3"/>
  <c r="S682" i="3" s="1"/>
  <c r="T682" i="3" l="1"/>
  <c r="U682" i="3" s="1"/>
  <c r="V682" i="3"/>
  <c r="G683" i="3"/>
  <c r="I683" i="3" s="1"/>
  <c r="O683" i="3"/>
  <c r="N683" i="3"/>
  <c r="Q683" i="3" l="1" a="1"/>
  <c r="Q683" i="3" s="1"/>
  <c r="P683" i="3"/>
  <c r="B684" i="3"/>
  <c r="W682" i="3"/>
  <c r="R683" i="3" l="1"/>
  <c r="D684" i="3"/>
  <c r="K684" i="3"/>
  <c r="L683" i="3"/>
  <c r="S683" i="3" s="1"/>
  <c r="T683" i="3" l="1"/>
  <c r="U683" i="3" s="1"/>
  <c r="V683" i="3"/>
  <c r="W683" i="3" s="1"/>
  <c r="N684" i="3"/>
  <c r="G684" i="3"/>
  <c r="O684" i="3"/>
  <c r="I684" i="3" l="1"/>
  <c r="Q684" i="3" a="1"/>
  <c r="Q684" i="3" s="1"/>
  <c r="R684" i="3" s="1"/>
  <c r="P684" i="3"/>
  <c r="B685" i="3" l="1"/>
  <c r="D685" i="3" l="1"/>
  <c r="K685" i="3"/>
  <c r="L684" i="3"/>
  <c r="S684" i="3" s="1"/>
  <c r="O685" i="3" l="1"/>
  <c r="N685" i="3"/>
  <c r="G685" i="3"/>
  <c r="I685" i="3" s="1"/>
  <c r="V684" i="3"/>
  <c r="T684" i="3"/>
  <c r="U684" i="3" s="1"/>
  <c r="W684" i="3" l="1"/>
  <c r="B686" i="3"/>
  <c r="Q685" i="3" a="1"/>
  <c r="Q685" i="3" s="1"/>
  <c r="P685" i="3"/>
  <c r="R685" i="3" l="1"/>
  <c r="K686" i="3"/>
  <c r="D686" i="3"/>
  <c r="L685" i="3"/>
  <c r="S685" i="3" s="1"/>
  <c r="T685" i="3" l="1"/>
  <c r="U685" i="3" s="1"/>
  <c r="V685" i="3"/>
  <c r="O686" i="3"/>
  <c r="N686" i="3"/>
  <c r="G686" i="3"/>
  <c r="I686" i="3" s="1"/>
  <c r="P686" i="3" l="1"/>
  <c r="Q686" i="3" a="1"/>
  <c r="Q686" i="3" s="1"/>
  <c r="W685" i="3"/>
  <c r="B687" i="3"/>
  <c r="R686" i="3" l="1"/>
  <c r="K687" i="3"/>
  <c r="D687" i="3"/>
  <c r="L686" i="3"/>
  <c r="S686" i="3" s="1"/>
  <c r="G687" i="3" l="1"/>
  <c r="I687" i="3" s="1"/>
  <c r="B688" i="3" s="1"/>
  <c r="L687" i="3" s="1"/>
  <c r="T686" i="3"/>
  <c r="U686" i="3" s="1"/>
  <c r="V686" i="3"/>
  <c r="N687" i="3"/>
  <c r="O687" i="3"/>
  <c r="D688" i="3" l="1"/>
  <c r="K688" i="3"/>
  <c r="P687" i="3"/>
  <c r="S687" i="3" s="1"/>
  <c r="Q687" i="3" a="1"/>
  <c r="Q687" i="3" s="1"/>
  <c r="R687" i="3" s="1"/>
  <c r="W686" i="3"/>
  <c r="T687" i="3" l="1"/>
  <c r="U687" i="3" s="1"/>
  <c r="V687" i="3"/>
  <c r="N688" i="3"/>
  <c r="O688" i="3"/>
  <c r="G688" i="3"/>
  <c r="P688" i="3" l="1"/>
  <c r="Q688" i="3" a="1"/>
  <c r="Q688" i="3" s="1"/>
  <c r="W687" i="3"/>
  <c r="I688" i="3"/>
  <c r="R688" i="3" l="1"/>
  <c r="B689" i="3"/>
  <c r="D689" i="3" l="1"/>
  <c r="K689" i="3"/>
  <c r="L688" i="3"/>
  <c r="S688" i="3" s="1"/>
  <c r="G689" i="3" l="1"/>
  <c r="I689" i="3" s="1"/>
  <c r="N689" i="3"/>
  <c r="O689" i="3"/>
  <c r="V688" i="3"/>
  <c r="T688" i="3"/>
  <c r="U688" i="3" s="1"/>
  <c r="W688" i="3" l="1"/>
  <c r="Q689" i="3" a="1"/>
  <c r="Q689" i="3" s="1"/>
  <c r="P689" i="3"/>
  <c r="B690" i="3"/>
  <c r="R689" i="3" l="1"/>
  <c r="K690" i="3"/>
  <c r="D690" i="3"/>
  <c r="L689" i="3"/>
  <c r="S689" i="3" s="1"/>
  <c r="T689" i="3" l="1"/>
  <c r="U689" i="3" s="1"/>
  <c r="V689" i="3"/>
  <c r="G690" i="3"/>
  <c r="I690" i="3" s="1"/>
  <c r="O690" i="3"/>
  <c r="N690" i="3"/>
  <c r="P690" i="3" l="1"/>
  <c r="Q690" i="3" a="1"/>
  <c r="Q690" i="3" s="1"/>
  <c r="B691" i="3"/>
  <c r="W689" i="3"/>
  <c r="R690" i="3" l="1"/>
  <c r="K691" i="3"/>
  <c r="D691" i="3"/>
  <c r="L690" i="3"/>
  <c r="S690" i="3" s="1"/>
  <c r="O691" i="3" l="1"/>
  <c r="N691" i="3"/>
  <c r="G691" i="3"/>
  <c r="I691" i="3" s="1"/>
  <c r="T690" i="3"/>
  <c r="U690" i="3" s="1"/>
  <c r="V690" i="3"/>
  <c r="W690" i="3" s="1"/>
  <c r="B692" i="3" l="1"/>
  <c r="Q691" i="3" a="1"/>
  <c r="Q691" i="3" s="1"/>
  <c r="P691" i="3"/>
  <c r="R691" i="3" l="1"/>
  <c r="K692" i="3"/>
  <c r="D692" i="3"/>
  <c r="L691" i="3"/>
  <c r="S691" i="3" s="1"/>
  <c r="V691" i="3" l="1"/>
  <c r="T691" i="3"/>
  <c r="U691" i="3" s="1"/>
  <c r="G692" i="3"/>
  <c r="I692" i="3" s="1"/>
  <c r="N692" i="3"/>
  <c r="O692" i="3"/>
  <c r="B693" i="3" l="1"/>
  <c r="Q692" i="3" a="1"/>
  <c r="Q692" i="3" s="1"/>
  <c r="P692" i="3"/>
  <c r="W691" i="3"/>
  <c r="R692" i="3" l="1"/>
  <c r="D693" i="3"/>
  <c r="K693" i="3"/>
  <c r="L692" i="3"/>
  <c r="S692" i="3" s="1"/>
  <c r="T692" i="3" l="1"/>
  <c r="U692" i="3" s="1"/>
  <c r="V692" i="3"/>
  <c r="W692" i="3" s="1"/>
  <c r="N693" i="3"/>
  <c r="O693" i="3"/>
  <c r="G693" i="3"/>
  <c r="I693" i="3" s="1"/>
  <c r="P693" i="3" l="1"/>
  <c r="Q693" i="3" a="1"/>
  <c r="Q693" i="3" s="1"/>
  <c r="R693" i="3" s="1"/>
  <c r="B694" i="3"/>
  <c r="D694" i="3" l="1"/>
  <c r="K694" i="3"/>
  <c r="L693" i="3"/>
  <c r="S693" i="3" s="1"/>
  <c r="V693" i="3" l="1"/>
  <c r="W693" i="3" s="1"/>
  <c r="T693" i="3"/>
  <c r="U693" i="3" s="1"/>
  <c r="N694" i="3"/>
  <c r="O694" i="3"/>
  <c r="G694" i="3"/>
  <c r="I694" i="3" s="1"/>
  <c r="Q694" i="3" l="1" a="1"/>
  <c r="Q694" i="3" s="1"/>
  <c r="P694" i="3"/>
  <c r="B695" i="3"/>
  <c r="R694" i="3" l="1"/>
  <c r="K695" i="3"/>
  <c r="D695" i="3"/>
  <c r="L694" i="3"/>
  <c r="S694" i="3" s="1"/>
  <c r="V694" i="3" l="1"/>
  <c r="T694" i="3"/>
  <c r="U694" i="3" s="1"/>
  <c r="G695" i="3"/>
  <c r="I695" i="3" s="1"/>
  <c r="N695" i="3"/>
  <c r="O695" i="3"/>
  <c r="B696" i="3" l="1"/>
  <c r="P695" i="3"/>
  <c r="Q695" i="3" a="1"/>
  <c r="Q695" i="3" s="1"/>
  <c r="W694" i="3"/>
  <c r="R695" i="3" l="1"/>
  <c r="K696" i="3"/>
  <c r="D696" i="3"/>
  <c r="L695" i="3"/>
  <c r="S695" i="3" s="1"/>
  <c r="G696" i="3" l="1"/>
  <c r="I696" i="3" s="1"/>
  <c r="B697" i="3" s="1"/>
  <c r="T695" i="3"/>
  <c r="U695" i="3" s="1"/>
  <c r="V695" i="3"/>
  <c r="N696" i="3"/>
  <c r="O696" i="3"/>
  <c r="W695" i="3" l="1"/>
  <c r="P696" i="3"/>
  <c r="Q696" i="3" a="1"/>
  <c r="Q696" i="3" s="1"/>
  <c r="D697" i="3"/>
  <c r="K697" i="3"/>
  <c r="L696" i="3"/>
  <c r="S696" i="3" l="1"/>
  <c r="V696" i="3" s="1"/>
  <c r="W696" i="3" s="1"/>
  <c r="R696" i="3"/>
  <c r="O697" i="3"/>
  <c r="N697" i="3"/>
  <c r="G697" i="3"/>
  <c r="I697" i="3" s="1"/>
  <c r="T696" i="3" l="1"/>
  <c r="U696" i="3" s="1"/>
  <c r="B698" i="3"/>
  <c r="P697" i="3"/>
  <c r="Q697" i="3" a="1"/>
  <c r="Q697" i="3" s="1"/>
  <c r="R697" i="3" s="1"/>
  <c r="K698" i="3" l="1"/>
  <c r="D698" i="3"/>
  <c r="L697" i="3"/>
  <c r="S697" i="3" s="1"/>
  <c r="G698" i="3" l="1"/>
  <c r="I698" i="3" s="1"/>
  <c r="B699" i="3" s="1"/>
  <c r="V697" i="3"/>
  <c r="W697" i="3" s="1"/>
  <c r="T697" i="3"/>
  <c r="U697" i="3" s="1"/>
  <c r="O698" i="3"/>
  <c r="N698" i="3"/>
  <c r="K699" i="3" l="1"/>
  <c r="D699" i="3"/>
  <c r="L698" i="3"/>
  <c r="P698" i="3"/>
  <c r="Q698" i="3" a="1"/>
  <c r="Q698" i="3" s="1"/>
  <c r="R698" i="3" l="1"/>
  <c r="S698" i="3"/>
  <c r="V698" i="3" s="1"/>
  <c r="W698" i="3" s="1"/>
  <c r="G699" i="3"/>
  <c r="I699" i="3" s="1"/>
  <c r="O699" i="3"/>
  <c r="N699" i="3"/>
  <c r="T698" i="3" l="1"/>
  <c r="U698" i="3" s="1"/>
  <c r="Q699" i="3" a="1"/>
  <c r="Q699" i="3" s="1"/>
  <c r="P699" i="3"/>
  <c r="B700" i="3"/>
  <c r="R699" i="3" l="1"/>
  <c r="D700" i="3"/>
  <c r="K700" i="3"/>
  <c r="L699" i="3"/>
  <c r="S699" i="3" s="1"/>
  <c r="G700" i="3" l="1"/>
  <c r="I700" i="3" s="1"/>
  <c r="N700" i="3"/>
  <c r="O700" i="3"/>
  <c r="V699" i="3"/>
  <c r="W699" i="3" s="1"/>
  <c r="T699" i="3"/>
  <c r="U699" i="3" s="1"/>
  <c r="P700" i="3" l="1"/>
  <c r="Q700" i="3" a="1"/>
  <c r="Q700" i="3" s="1"/>
  <c r="R700" i="3" s="1"/>
  <c r="B701" i="3"/>
  <c r="K701" i="3" l="1"/>
  <c r="D701" i="3"/>
  <c r="L700" i="3"/>
  <c r="S700" i="3" s="1"/>
  <c r="G701" i="3" l="1"/>
  <c r="I701" i="3" s="1"/>
  <c r="B702" i="3" s="1"/>
  <c r="V700" i="3"/>
  <c r="T700" i="3"/>
  <c r="U700" i="3" s="1"/>
  <c r="O701" i="3"/>
  <c r="N701" i="3"/>
  <c r="K702" i="3" l="1"/>
  <c r="D702" i="3"/>
  <c r="L701" i="3"/>
  <c r="Q701" i="3" a="1"/>
  <c r="Q701" i="3" s="1"/>
  <c r="P701" i="3"/>
  <c r="W700" i="3"/>
  <c r="R701" i="3" l="1"/>
  <c r="S701" i="3"/>
  <c r="V701" i="3" s="1"/>
  <c r="W701" i="3" s="1"/>
  <c r="G702" i="3"/>
  <c r="I702" i="3" s="1"/>
  <c r="O702" i="3"/>
  <c r="N702" i="3"/>
  <c r="T701" i="3" l="1"/>
  <c r="U701" i="3" s="1"/>
  <c r="B703" i="3"/>
  <c r="Q702" i="3" a="1"/>
  <c r="Q702" i="3" s="1"/>
  <c r="P702" i="3"/>
  <c r="R702" i="3" l="1"/>
  <c r="K703" i="3"/>
  <c r="D703" i="3"/>
  <c r="L702" i="3"/>
  <c r="S702" i="3" s="1"/>
  <c r="N703" i="3" l="1"/>
  <c r="G703" i="3"/>
  <c r="I703" i="3" s="1"/>
  <c r="O703" i="3"/>
  <c r="T702" i="3"/>
  <c r="U702" i="3" s="1"/>
  <c r="V702" i="3"/>
  <c r="W702" i="3" l="1"/>
  <c r="Q703" i="3" a="1"/>
  <c r="Q703" i="3" s="1"/>
  <c r="P703" i="3"/>
  <c r="B704" i="3"/>
  <c r="L703" i="3" s="1"/>
  <c r="R703" i="3" l="1"/>
  <c r="S703" i="3"/>
  <c r="K704" i="3"/>
  <c r="D704" i="3"/>
  <c r="N704" i="3" l="1"/>
  <c r="O704" i="3"/>
  <c r="G704" i="3"/>
  <c r="I704" i="3" s="1"/>
  <c r="T703" i="3"/>
  <c r="U703" i="3" s="1"/>
  <c r="V703" i="3"/>
  <c r="W703" i="3" l="1"/>
  <c r="B705" i="3"/>
  <c r="Q704" i="3" a="1"/>
  <c r="Q704" i="3" s="1"/>
  <c r="P704" i="3"/>
  <c r="R704" i="3" l="1"/>
  <c r="D705" i="3"/>
  <c r="K705" i="3"/>
  <c r="L704" i="3"/>
  <c r="S704" i="3" s="1"/>
  <c r="N705" i="3" l="1"/>
  <c r="G705" i="3"/>
  <c r="I705" i="3" s="1"/>
  <c r="O705" i="3"/>
  <c r="T704" i="3"/>
  <c r="U704" i="3" s="1"/>
  <c r="V704" i="3"/>
  <c r="P705" i="3" l="1"/>
  <c r="Q705" i="3" a="1"/>
  <c r="Q705" i="3" s="1"/>
  <c r="B706" i="3"/>
  <c r="W704" i="3"/>
  <c r="R705" i="3" l="1"/>
  <c r="K706" i="3"/>
  <c r="D706" i="3"/>
  <c r="L705" i="3"/>
  <c r="S705" i="3" s="1"/>
  <c r="T705" i="3" l="1"/>
  <c r="U705" i="3" s="1"/>
  <c r="V705" i="3"/>
  <c r="G706" i="3"/>
  <c r="I706" i="3" s="1"/>
  <c r="O706" i="3"/>
  <c r="N706" i="3"/>
  <c r="Q706" i="3" l="1" a="1"/>
  <c r="Q706" i="3" s="1"/>
  <c r="P706" i="3"/>
  <c r="B707" i="3"/>
  <c r="W705" i="3"/>
  <c r="R706" i="3" l="1"/>
  <c r="K707" i="3"/>
  <c r="D707" i="3"/>
  <c r="L706" i="3"/>
  <c r="S706" i="3" s="1"/>
  <c r="G707" i="3" l="1"/>
  <c r="I707" i="3" s="1"/>
  <c r="B708" i="3" s="1"/>
  <c r="T706" i="3"/>
  <c r="U706" i="3" s="1"/>
  <c r="V706" i="3"/>
  <c r="N707" i="3"/>
  <c r="O707" i="3"/>
  <c r="W706" i="3" l="1"/>
  <c r="P707" i="3"/>
  <c r="Q707" i="3" a="1"/>
  <c r="Q707" i="3" s="1"/>
  <c r="D708" i="3"/>
  <c r="K708" i="3"/>
  <c r="L707" i="3"/>
  <c r="S707" i="3" l="1"/>
  <c r="T707" i="3" s="1"/>
  <c r="U707" i="3" s="1"/>
  <c r="R707" i="3"/>
  <c r="N708" i="3"/>
  <c r="G708" i="3"/>
  <c r="I708" i="3" s="1"/>
  <c r="O708" i="3"/>
  <c r="V707" i="3" l="1"/>
  <c r="W707" i="3" s="1"/>
  <c r="B709" i="3"/>
  <c r="Q708" i="3" a="1"/>
  <c r="Q708" i="3" s="1"/>
  <c r="R708" i="3" s="1"/>
  <c r="P708" i="3"/>
  <c r="K709" i="3" l="1"/>
  <c r="D709" i="3"/>
  <c r="L708" i="3"/>
  <c r="S708" i="3" s="1"/>
  <c r="V708" i="3" l="1"/>
  <c r="T708" i="3"/>
  <c r="U708" i="3" s="1"/>
  <c r="O709" i="3"/>
  <c r="N709" i="3"/>
  <c r="G709" i="3"/>
  <c r="I709" i="3" s="1"/>
  <c r="Q709" i="3" l="1" a="1"/>
  <c r="Q709" i="3" s="1"/>
  <c r="P709" i="3"/>
  <c r="B710" i="3"/>
  <c r="W708" i="3"/>
  <c r="R709" i="3" l="1"/>
  <c r="K710" i="3"/>
  <c r="D710" i="3"/>
  <c r="L709" i="3"/>
  <c r="S709" i="3" s="1"/>
  <c r="G710" i="3" l="1"/>
  <c r="I710" i="3" s="1"/>
  <c r="B711" i="3" s="1"/>
  <c r="T709" i="3"/>
  <c r="U709" i="3" s="1"/>
  <c r="V709" i="3"/>
  <c r="O710" i="3"/>
  <c r="N710" i="3"/>
  <c r="K711" i="3" l="1"/>
  <c r="D711" i="3"/>
  <c r="L710" i="3"/>
  <c r="W709" i="3"/>
  <c r="P710" i="3"/>
  <c r="Q710" i="3" a="1"/>
  <c r="Q710" i="3" s="1"/>
  <c r="R710" i="3" s="1"/>
  <c r="S710" i="3" l="1"/>
  <c r="V710" i="3" s="1"/>
  <c r="W710" i="3" s="1"/>
  <c r="G711" i="3"/>
  <c r="I711" i="3" s="1"/>
  <c r="N711" i="3"/>
  <c r="O711" i="3"/>
  <c r="T710" i="3" l="1"/>
  <c r="U710" i="3" s="1"/>
  <c r="B712" i="3"/>
  <c r="Q711" i="3" a="1"/>
  <c r="Q711" i="3" s="1"/>
  <c r="P711" i="3"/>
  <c r="R711" i="3" l="1"/>
  <c r="D712" i="3"/>
  <c r="K712" i="3"/>
  <c r="L711" i="3"/>
  <c r="S711" i="3" s="1"/>
  <c r="T711" i="3" l="1"/>
  <c r="U711" i="3" s="1"/>
  <c r="V711" i="3"/>
  <c r="N712" i="3"/>
  <c r="G712" i="3"/>
  <c r="I712" i="3" s="1"/>
  <c r="O712" i="3"/>
  <c r="B713" i="3" l="1"/>
  <c r="W711" i="3"/>
  <c r="Q712" i="3" a="1"/>
  <c r="Q712" i="3" s="1"/>
  <c r="R712" i="3" s="1"/>
  <c r="P712" i="3"/>
  <c r="D713" i="3" l="1"/>
  <c r="K713" i="3"/>
  <c r="L712" i="3"/>
  <c r="S712" i="3" s="1"/>
  <c r="T712" i="3" l="1"/>
  <c r="U712" i="3" s="1"/>
  <c r="V712" i="3"/>
  <c r="W712" i="3" s="1"/>
  <c r="G713" i="3"/>
  <c r="I713" i="3" s="1"/>
  <c r="N713" i="3"/>
  <c r="O713" i="3"/>
  <c r="B714" i="3" l="1"/>
  <c r="Q713" i="3" a="1"/>
  <c r="Q713" i="3" s="1"/>
  <c r="P713" i="3"/>
  <c r="R713" i="3" l="1"/>
  <c r="D714" i="3"/>
  <c r="K714" i="3"/>
  <c r="L713" i="3"/>
  <c r="S713" i="3" s="1"/>
  <c r="V713" i="3" l="1"/>
  <c r="T713" i="3"/>
  <c r="U713" i="3" s="1"/>
  <c r="N714" i="3"/>
  <c r="G714" i="3"/>
  <c r="I714" i="3" s="1"/>
  <c r="O714" i="3"/>
  <c r="B715" i="3" l="1"/>
  <c r="P714" i="3"/>
  <c r="Q714" i="3" a="1"/>
  <c r="Q714" i="3" s="1"/>
  <c r="W713" i="3"/>
  <c r="R714" i="3" l="1"/>
  <c r="K715" i="3"/>
  <c r="D715" i="3"/>
  <c r="L714" i="3"/>
  <c r="S714" i="3" s="1"/>
  <c r="T714" i="3" l="1"/>
  <c r="U714" i="3" s="1"/>
  <c r="V714" i="3"/>
  <c r="W714" i="3" s="1"/>
  <c r="N715" i="3"/>
  <c r="O715" i="3"/>
  <c r="G715" i="3"/>
  <c r="I715" i="3" s="1"/>
  <c r="Q715" i="3" l="1" a="1"/>
  <c r="Q715" i="3" s="1"/>
  <c r="P715" i="3"/>
  <c r="B716" i="3"/>
  <c r="R715" i="3" l="1"/>
  <c r="K716" i="3"/>
  <c r="D716" i="3"/>
  <c r="L715" i="3"/>
  <c r="S715" i="3" s="1"/>
  <c r="G716" i="3" l="1"/>
  <c r="I716" i="3" s="1"/>
  <c r="B717" i="3" s="1"/>
  <c r="V715" i="3"/>
  <c r="T715" i="3"/>
  <c r="U715" i="3" s="1"/>
  <c r="N716" i="3"/>
  <c r="O716" i="3"/>
  <c r="W715" i="3" l="1"/>
  <c r="P716" i="3"/>
  <c r="Q716" i="3" a="1"/>
  <c r="Q716" i="3" s="1"/>
  <c r="K717" i="3"/>
  <c r="D717" i="3"/>
  <c r="L716" i="3"/>
  <c r="S716" i="3" l="1"/>
  <c r="V716" i="3" s="1"/>
  <c r="W716" i="3" s="1"/>
  <c r="R716" i="3"/>
  <c r="G717" i="3"/>
  <c r="I717" i="3" s="1"/>
  <c r="B718" i="3" s="1"/>
  <c r="O717" i="3"/>
  <c r="N717" i="3"/>
  <c r="T716" i="3" l="1"/>
  <c r="U716" i="3" s="1"/>
  <c r="D718" i="3"/>
  <c r="K718" i="3"/>
  <c r="Q717" i="3" a="1"/>
  <c r="Q717" i="3" s="1"/>
  <c r="P717" i="3"/>
  <c r="L717" i="3"/>
  <c r="R717" i="3" l="1"/>
  <c r="G718" i="3"/>
  <c r="I718" i="3" s="1"/>
  <c r="O718" i="3"/>
  <c r="N718" i="3"/>
  <c r="S717" i="3"/>
  <c r="V717" i="3" l="1"/>
  <c r="T717" i="3"/>
  <c r="U717" i="3" s="1"/>
  <c r="Q718" i="3" a="1"/>
  <c r="Q718" i="3" s="1"/>
  <c r="R718" i="3" s="1"/>
  <c r="P718" i="3"/>
  <c r="B719" i="3"/>
  <c r="K719" i="3" l="1"/>
  <c r="D719" i="3"/>
  <c r="L718" i="3"/>
  <c r="S718" i="3" s="1"/>
  <c r="W717" i="3"/>
  <c r="T718" i="3" l="1"/>
  <c r="U718" i="3" s="1"/>
  <c r="V718" i="3"/>
  <c r="G719" i="3"/>
  <c r="I719" i="3" s="1"/>
  <c r="O719" i="3"/>
  <c r="N719" i="3"/>
  <c r="P719" i="3" l="1"/>
  <c r="Q719" i="3" a="1"/>
  <c r="Q719" i="3" s="1"/>
  <c r="B720" i="3"/>
  <c r="W718" i="3"/>
  <c r="R719" i="3" l="1"/>
  <c r="D720" i="3"/>
  <c r="K720" i="3"/>
  <c r="L719" i="3"/>
  <c r="S719" i="3" s="1"/>
  <c r="T719" i="3" l="1"/>
  <c r="U719" i="3" s="1"/>
  <c r="V719" i="3"/>
  <c r="W719" i="3" s="1"/>
  <c r="O720" i="3"/>
  <c r="G720" i="3"/>
  <c r="I720" i="3" s="1"/>
  <c r="N720" i="3"/>
  <c r="B721" i="3" l="1"/>
  <c r="Q720" i="3" a="1"/>
  <c r="Q720" i="3" s="1"/>
  <c r="P720" i="3"/>
  <c r="R720" i="3" l="1"/>
  <c r="D721" i="3"/>
  <c r="K721" i="3"/>
  <c r="L720" i="3"/>
  <c r="S720" i="3" s="1"/>
  <c r="V720" i="3" l="1"/>
  <c r="T720" i="3"/>
  <c r="U720" i="3" s="1"/>
  <c r="N721" i="3"/>
  <c r="G721" i="3"/>
  <c r="I721" i="3" s="1"/>
  <c r="O721" i="3"/>
  <c r="B722" i="3" l="1"/>
  <c r="Q721" i="3" a="1"/>
  <c r="Q721" i="3" s="1"/>
  <c r="P721" i="3"/>
  <c r="W720" i="3"/>
  <c r="R721" i="3" l="1"/>
  <c r="K722" i="3"/>
  <c r="D722" i="3"/>
  <c r="L721" i="3"/>
  <c r="S721" i="3" s="1"/>
  <c r="T721" i="3" l="1"/>
  <c r="U721" i="3" s="1"/>
  <c r="V721" i="3"/>
  <c r="G722" i="3"/>
  <c r="I722" i="3" s="1"/>
  <c r="N722" i="3"/>
  <c r="O722" i="3"/>
  <c r="B723" i="3" l="1"/>
  <c r="W721" i="3"/>
  <c r="P722" i="3"/>
  <c r="Q722" i="3" a="1"/>
  <c r="Q722" i="3" s="1"/>
  <c r="R722" i="3" s="1"/>
  <c r="D723" i="3" l="1"/>
  <c r="K723" i="3"/>
  <c r="L722" i="3"/>
  <c r="S722" i="3" s="1"/>
  <c r="O723" i="3" l="1"/>
  <c r="N723" i="3"/>
  <c r="G723" i="3"/>
  <c r="I723" i="3" s="1"/>
  <c r="T722" i="3"/>
  <c r="U722" i="3" s="1"/>
  <c r="V722" i="3"/>
  <c r="B724" i="3" l="1"/>
  <c r="W722" i="3"/>
  <c r="P723" i="3"/>
  <c r="Q723" i="3" a="1"/>
  <c r="Q723" i="3" s="1"/>
  <c r="R723" i="3" s="1"/>
  <c r="K724" i="3" l="1"/>
  <c r="D724" i="3"/>
  <c r="L723" i="3"/>
  <c r="S723" i="3" s="1"/>
  <c r="T723" i="3" l="1"/>
  <c r="U723" i="3" s="1"/>
  <c r="V723" i="3"/>
  <c r="O724" i="3"/>
  <c r="G724" i="3"/>
  <c r="I724" i="3" s="1"/>
  <c r="N724" i="3"/>
  <c r="B725" i="3" l="1"/>
  <c r="P724" i="3"/>
  <c r="Q724" i="3" a="1"/>
  <c r="Q724" i="3" s="1"/>
  <c r="W723" i="3"/>
  <c r="R724" i="3" l="1"/>
  <c r="D725" i="3"/>
  <c r="K725" i="3"/>
  <c r="L724" i="3"/>
  <c r="S724" i="3" s="1"/>
  <c r="T724" i="3" l="1"/>
  <c r="U724" i="3" s="1"/>
  <c r="V724" i="3"/>
  <c r="O725" i="3"/>
  <c r="N725" i="3"/>
  <c r="G725" i="3"/>
  <c r="I725" i="3" s="1"/>
  <c r="Q725" i="3" l="1" a="1"/>
  <c r="Q725" i="3" s="1"/>
  <c r="P725" i="3"/>
  <c r="W724" i="3"/>
  <c r="B726" i="3"/>
  <c r="L725" i="3" s="1"/>
  <c r="R725" i="3" l="1"/>
  <c r="K726" i="3"/>
  <c r="D726" i="3"/>
  <c r="S725" i="3"/>
  <c r="G726" i="3" l="1"/>
  <c r="I726" i="3" s="1"/>
  <c r="O726" i="3"/>
  <c r="N726" i="3"/>
  <c r="T725" i="3"/>
  <c r="U725" i="3" s="1"/>
  <c r="V725" i="3"/>
  <c r="W725" i="3" l="1"/>
  <c r="P726" i="3"/>
  <c r="Q726" i="3" a="1"/>
  <c r="Q726" i="3" s="1"/>
  <c r="B727" i="3"/>
  <c r="R726" i="3" l="1"/>
  <c r="K727" i="3"/>
  <c r="D727" i="3"/>
  <c r="L726" i="3"/>
  <c r="S726" i="3" s="1"/>
  <c r="G727" i="3" l="1"/>
  <c r="I727" i="3" s="1"/>
  <c r="B728" i="3" s="1"/>
  <c r="T726" i="3"/>
  <c r="U726" i="3" s="1"/>
  <c r="V726" i="3"/>
  <c r="O727" i="3"/>
  <c r="N727" i="3"/>
  <c r="K728" i="3" l="1"/>
  <c r="D728" i="3"/>
  <c r="L727" i="3"/>
  <c r="W726" i="3"/>
  <c r="Q727" i="3" a="1"/>
  <c r="Q727" i="3" s="1"/>
  <c r="P727" i="3"/>
  <c r="R727" i="3" l="1"/>
  <c r="S727" i="3"/>
  <c r="V727" i="3" s="1"/>
  <c r="W727" i="3" s="1"/>
  <c r="G728" i="3"/>
  <c r="I728" i="3" s="1"/>
  <c r="N728" i="3"/>
  <c r="O728" i="3"/>
  <c r="T727" i="3" l="1"/>
  <c r="U727" i="3" s="1"/>
  <c r="Q728" i="3" a="1"/>
  <c r="Q728" i="3" s="1"/>
  <c r="P728" i="3"/>
  <c r="B729" i="3"/>
  <c r="R728" i="3" l="1"/>
  <c r="D729" i="3"/>
  <c r="K729" i="3"/>
  <c r="L728" i="3"/>
  <c r="S728" i="3" s="1"/>
  <c r="V728" i="3" l="1"/>
  <c r="T728" i="3"/>
  <c r="U728" i="3" s="1"/>
  <c r="O729" i="3"/>
  <c r="G729" i="3"/>
  <c r="I729" i="3" s="1"/>
  <c r="N729" i="3"/>
  <c r="B730" i="3" l="1"/>
  <c r="Q729" i="3" a="1"/>
  <c r="Q729" i="3" s="1"/>
  <c r="P729" i="3"/>
  <c r="W728" i="3"/>
  <c r="R729" i="3" l="1"/>
  <c r="D730" i="3"/>
  <c r="K730" i="3"/>
  <c r="L729" i="3"/>
  <c r="S729" i="3" s="1"/>
  <c r="T729" i="3" l="1"/>
  <c r="U729" i="3" s="1"/>
  <c r="V729" i="3"/>
  <c r="O730" i="3"/>
  <c r="G730" i="3"/>
  <c r="I730" i="3" s="1"/>
  <c r="N730" i="3"/>
  <c r="B731" i="3" l="1"/>
  <c r="Q730" i="3" a="1"/>
  <c r="Q730" i="3" s="1"/>
  <c r="P730" i="3"/>
  <c r="W729" i="3"/>
  <c r="R730" i="3" l="1"/>
  <c r="K731" i="3"/>
  <c r="D731" i="3"/>
  <c r="L730" i="3"/>
  <c r="S730" i="3" s="1"/>
  <c r="T730" i="3" l="1"/>
  <c r="U730" i="3" s="1"/>
  <c r="V730" i="3"/>
  <c r="O731" i="3"/>
  <c r="G731" i="3"/>
  <c r="I731" i="3" s="1"/>
  <c r="N731" i="3"/>
  <c r="B732" i="3" l="1"/>
  <c r="P731" i="3"/>
  <c r="Q731" i="3" a="1"/>
  <c r="Q731" i="3" s="1"/>
  <c r="W730" i="3"/>
  <c r="R731" i="3" l="1"/>
  <c r="K732" i="3"/>
  <c r="D732" i="3"/>
  <c r="L731" i="3"/>
  <c r="S731" i="3" s="1"/>
  <c r="T731" i="3" l="1"/>
  <c r="U731" i="3" s="1"/>
  <c r="V731" i="3"/>
  <c r="W731" i="3" s="1"/>
  <c r="O732" i="3"/>
  <c r="G732" i="3"/>
  <c r="I732" i="3" s="1"/>
  <c r="N732" i="3"/>
  <c r="B733" i="3" l="1"/>
  <c r="Q732" i="3" a="1"/>
  <c r="Q732" i="3" s="1"/>
  <c r="P732" i="3"/>
  <c r="R732" i="3" l="1"/>
  <c r="D733" i="3"/>
  <c r="K733" i="3"/>
  <c r="L732" i="3"/>
  <c r="S732" i="3" s="1"/>
  <c r="V732" i="3" l="1"/>
  <c r="T732" i="3"/>
  <c r="U732" i="3" s="1"/>
  <c r="N733" i="3"/>
  <c r="G733" i="3"/>
  <c r="I733" i="3" s="1"/>
  <c r="O733" i="3"/>
  <c r="B734" i="3" l="1"/>
  <c r="P733" i="3"/>
  <c r="Q733" i="3" a="1"/>
  <c r="Q733" i="3" s="1"/>
  <c r="W732" i="3"/>
  <c r="R733" i="3" l="1"/>
  <c r="D734" i="3"/>
  <c r="K734" i="3"/>
  <c r="L733" i="3"/>
  <c r="S733" i="3" s="1"/>
  <c r="G734" i="3" l="1"/>
  <c r="I734" i="3" s="1"/>
  <c r="O734" i="3"/>
  <c r="N734" i="3"/>
  <c r="T733" i="3"/>
  <c r="U733" i="3" s="1"/>
  <c r="V733" i="3"/>
  <c r="W733" i="3" l="1"/>
  <c r="Q734" i="3" a="1"/>
  <c r="Q734" i="3" s="1"/>
  <c r="P734" i="3"/>
  <c r="B735" i="3"/>
  <c r="R734" i="3" l="1"/>
  <c r="D735" i="3"/>
  <c r="K735" i="3"/>
  <c r="L734" i="3"/>
  <c r="S734" i="3" s="1"/>
  <c r="T734" i="3" l="1"/>
  <c r="U734" i="3" s="1"/>
  <c r="V734" i="3"/>
  <c r="O735" i="3"/>
  <c r="N735" i="3"/>
  <c r="G735" i="3"/>
  <c r="I735" i="3" s="1"/>
  <c r="P735" i="3" l="1"/>
  <c r="Q735" i="3" a="1"/>
  <c r="Q735" i="3" s="1"/>
  <c r="W734" i="3"/>
  <c r="B736" i="3"/>
  <c r="R735" i="3" l="1"/>
  <c r="K736" i="3"/>
  <c r="D736" i="3"/>
  <c r="L735" i="3"/>
  <c r="S735" i="3" s="1"/>
  <c r="G736" i="3" l="1"/>
  <c r="I736" i="3" s="1"/>
  <c r="B737" i="3" s="1"/>
  <c r="T735" i="3"/>
  <c r="U735" i="3" s="1"/>
  <c r="V735" i="3"/>
  <c r="N736" i="3"/>
  <c r="O736" i="3"/>
  <c r="L736" i="3" l="1"/>
  <c r="K737" i="3"/>
  <c r="D737" i="3"/>
  <c r="Q736" i="3" a="1"/>
  <c r="Q736" i="3" s="1"/>
  <c r="P736" i="3"/>
  <c r="W735" i="3"/>
  <c r="R736" i="3" l="1"/>
  <c r="S736" i="3"/>
  <c r="V736" i="3" s="1"/>
  <c r="W736" i="3" s="1"/>
  <c r="G737" i="3"/>
  <c r="I737" i="3" s="1"/>
  <c r="N737" i="3"/>
  <c r="O737" i="3"/>
  <c r="T736" i="3" l="1"/>
  <c r="U736" i="3" s="1"/>
  <c r="P737" i="3"/>
  <c r="Q737" i="3" a="1"/>
  <c r="Q737" i="3" s="1"/>
  <c r="B738" i="3"/>
  <c r="R737" i="3" l="1"/>
  <c r="D738" i="3"/>
  <c r="K738" i="3"/>
  <c r="L737" i="3"/>
  <c r="S737" i="3" s="1"/>
  <c r="V737" i="3" l="1"/>
  <c r="W737" i="3" s="1"/>
  <c r="T737" i="3"/>
  <c r="U737" i="3" s="1"/>
  <c r="G738" i="3"/>
  <c r="I738" i="3" s="1"/>
  <c r="N738" i="3"/>
  <c r="O738" i="3"/>
  <c r="P738" i="3" l="1"/>
  <c r="Q738" i="3" a="1"/>
  <c r="Q738" i="3" s="1"/>
  <c r="R738" i="3" s="1"/>
  <c r="B739" i="3"/>
  <c r="L738" i="3" s="1"/>
  <c r="S738" i="3" l="1"/>
  <c r="V738" i="3" s="1"/>
  <c r="D739" i="3"/>
  <c r="K739" i="3"/>
  <c r="T738" i="3" l="1"/>
  <c r="U738" i="3" s="1"/>
  <c r="O739" i="3"/>
  <c r="N739" i="3"/>
  <c r="G739" i="3"/>
  <c r="I739" i="3" s="1"/>
  <c r="W738" i="3"/>
  <c r="P739" i="3" l="1"/>
  <c r="Q739" i="3" a="1"/>
  <c r="Q739" i="3" s="1"/>
  <c r="B740" i="3"/>
  <c r="R739" i="3" l="1"/>
  <c r="K740" i="3"/>
  <c r="D740" i="3"/>
  <c r="L739" i="3"/>
  <c r="S739" i="3" s="1"/>
  <c r="T739" i="3" l="1"/>
  <c r="U739" i="3" s="1"/>
  <c r="V739" i="3"/>
  <c r="N740" i="3"/>
  <c r="O740" i="3"/>
  <c r="G740" i="3"/>
  <c r="I740" i="3" s="1"/>
  <c r="P740" i="3" l="1"/>
  <c r="Q740" i="3" a="1"/>
  <c r="Q740" i="3" s="1"/>
  <c r="W739" i="3"/>
  <c r="B741" i="3"/>
  <c r="R740" i="3" l="1"/>
  <c r="K741" i="3"/>
  <c r="D741" i="3"/>
  <c r="L740" i="3"/>
  <c r="S740" i="3" s="1"/>
  <c r="N741" i="3" l="1"/>
  <c r="O741" i="3"/>
  <c r="G741" i="3"/>
  <c r="I741" i="3" s="1"/>
  <c r="T740" i="3"/>
  <c r="U740" i="3" s="1"/>
  <c r="V740" i="3"/>
  <c r="W740" i="3" s="1"/>
  <c r="B742" i="3" l="1"/>
  <c r="P741" i="3"/>
  <c r="Q741" i="3" a="1"/>
  <c r="Q741" i="3" s="1"/>
  <c r="R741" i="3" s="1"/>
  <c r="K742" i="3" l="1"/>
  <c r="D742" i="3"/>
  <c r="L741" i="3"/>
  <c r="S741" i="3" s="1"/>
  <c r="V741" i="3" l="1"/>
  <c r="T741" i="3"/>
  <c r="U741" i="3" s="1"/>
  <c r="O742" i="3"/>
  <c r="G742" i="3"/>
  <c r="I742" i="3" s="1"/>
  <c r="N742" i="3"/>
  <c r="B743" i="3" l="1"/>
  <c r="P742" i="3"/>
  <c r="Q742" i="3" a="1"/>
  <c r="Q742" i="3" s="1"/>
  <c r="W741" i="3"/>
  <c r="R742" i="3" l="1"/>
  <c r="D743" i="3"/>
  <c r="K743" i="3"/>
  <c r="L742" i="3"/>
  <c r="S742" i="3" s="1"/>
  <c r="T742" i="3" l="1"/>
  <c r="U742" i="3" s="1"/>
  <c r="V742" i="3"/>
  <c r="N743" i="3"/>
  <c r="O743" i="3"/>
  <c r="G743" i="3"/>
  <c r="I743" i="3" s="1"/>
  <c r="Q743" i="3" l="1" a="1"/>
  <c r="Q743" i="3" s="1"/>
  <c r="P743" i="3"/>
  <c r="W742" i="3"/>
  <c r="B744" i="3"/>
  <c r="L743" i="3" s="1"/>
  <c r="R743" i="3" l="1"/>
  <c r="K744" i="3"/>
  <c r="D744" i="3"/>
  <c r="S743" i="3"/>
  <c r="T743" i="3" l="1"/>
  <c r="U743" i="3" s="1"/>
  <c r="V743" i="3"/>
  <c r="O744" i="3"/>
  <c r="G744" i="3"/>
  <c r="I744" i="3" s="1"/>
  <c r="N744" i="3"/>
  <c r="B745" i="3" l="1"/>
  <c r="Q744" i="3" a="1"/>
  <c r="Q744" i="3" s="1"/>
  <c r="P744" i="3"/>
  <c r="W743" i="3"/>
  <c r="R744" i="3" l="1"/>
  <c r="D745" i="3"/>
  <c r="K745" i="3"/>
  <c r="L744" i="3"/>
  <c r="S744" i="3" s="1"/>
  <c r="T744" i="3" l="1"/>
  <c r="U744" i="3" s="1"/>
  <c r="V744" i="3"/>
  <c r="N745" i="3"/>
  <c r="O745" i="3"/>
  <c r="G745" i="3"/>
  <c r="I745" i="3" s="1"/>
  <c r="Q745" i="3" l="1" a="1"/>
  <c r="Q745" i="3" s="1"/>
  <c r="P745" i="3"/>
  <c r="W744" i="3"/>
  <c r="B746" i="3"/>
  <c r="L745" i="3" s="1"/>
  <c r="R745" i="3" l="1"/>
  <c r="D746" i="3"/>
  <c r="K746" i="3"/>
  <c r="S745" i="3"/>
  <c r="N746" i="3" l="1"/>
  <c r="G746" i="3"/>
  <c r="I746" i="3" s="1"/>
  <c r="O746" i="3"/>
  <c r="T745" i="3"/>
  <c r="U745" i="3" s="1"/>
  <c r="V745" i="3"/>
  <c r="W745" i="3" s="1"/>
  <c r="Q746" i="3" l="1" a="1"/>
  <c r="Q746" i="3" s="1"/>
  <c r="P746" i="3"/>
  <c r="B747" i="3"/>
  <c r="R746" i="3" l="1"/>
  <c r="D747" i="3"/>
  <c r="K747" i="3"/>
  <c r="L746" i="3"/>
  <c r="S746" i="3" s="1"/>
  <c r="O747" i="3" l="1"/>
  <c r="N747" i="3"/>
  <c r="G747" i="3"/>
  <c r="I747" i="3" s="1"/>
  <c r="V746" i="3"/>
  <c r="T746" i="3"/>
  <c r="U746" i="3" s="1"/>
  <c r="W746" i="3" l="1"/>
  <c r="B748" i="3"/>
  <c r="P747" i="3"/>
  <c r="Q747" i="3" a="1"/>
  <c r="Q747" i="3" s="1"/>
  <c r="R747" i="3" s="1"/>
  <c r="D748" i="3" l="1"/>
  <c r="K748" i="3"/>
  <c r="L747" i="3"/>
  <c r="S747" i="3" s="1"/>
  <c r="N748" i="3" l="1"/>
  <c r="G748" i="3"/>
  <c r="I748" i="3" s="1"/>
  <c r="O748" i="3"/>
  <c r="T747" i="3"/>
  <c r="U747" i="3" s="1"/>
  <c r="V747" i="3"/>
  <c r="W747" i="3" s="1"/>
  <c r="Q748" i="3" l="1" a="1"/>
  <c r="Q748" i="3" s="1"/>
  <c r="P748" i="3"/>
  <c r="B749" i="3"/>
  <c r="R748" i="3" l="1"/>
  <c r="K749" i="3"/>
  <c r="D749" i="3"/>
  <c r="L748" i="3"/>
  <c r="S748" i="3" s="1"/>
  <c r="V748" i="3" l="1"/>
  <c r="W748" i="3" s="1"/>
  <c r="T748" i="3"/>
  <c r="U748" i="3" s="1"/>
  <c r="O749" i="3"/>
  <c r="N749" i="3"/>
  <c r="G749" i="3"/>
  <c r="I749" i="3" s="1"/>
  <c r="P749" i="3" l="1"/>
  <c r="Q749" i="3" a="1"/>
  <c r="Q749" i="3" s="1"/>
  <c r="R749" i="3" s="1"/>
  <c r="B750" i="3"/>
  <c r="D750" i="3" l="1"/>
  <c r="K750" i="3"/>
  <c r="L749" i="3"/>
  <c r="S749" i="3" s="1"/>
  <c r="V749" i="3" l="1"/>
  <c r="W749" i="3" s="1"/>
  <c r="T749" i="3"/>
  <c r="U749" i="3" s="1"/>
  <c r="O750" i="3"/>
  <c r="N750" i="3"/>
  <c r="G750" i="3"/>
  <c r="I750" i="3" s="1"/>
  <c r="Q750" i="3" l="1" a="1"/>
  <c r="Q750" i="3" s="1"/>
  <c r="P750" i="3"/>
  <c r="B751" i="3"/>
  <c r="R750" i="3" l="1"/>
  <c r="D751" i="3"/>
  <c r="K751" i="3"/>
  <c r="L750" i="3"/>
  <c r="S750" i="3" s="1"/>
  <c r="V750" i="3" l="1"/>
  <c r="T750" i="3"/>
  <c r="U750" i="3" s="1"/>
  <c r="N751" i="3"/>
  <c r="O751" i="3"/>
  <c r="G751" i="3"/>
  <c r="I751" i="3" s="1"/>
  <c r="Q751" i="3" l="1" a="1"/>
  <c r="Q751" i="3" s="1"/>
  <c r="P751" i="3"/>
  <c r="B752" i="3"/>
  <c r="W750" i="3"/>
  <c r="R751" i="3" l="1"/>
  <c r="K752" i="3"/>
  <c r="D752" i="3"/>
  <c r="L751" i="3"/>
  <c r="S751" i="3" s="1"/>
  <c r="G752" i="3" l="1"/>
  <c r="I752" i="3" s="1"/>
  <c r="N752" i="3"/>
  <c r="O752" i="3"/>
  <c r="T751" i="3"/>
  <c r="U751" i="3" s="1"/>
  <c r="V751" i="3"/>
  <c r="W751" i="3" l="1"/>
  <c r="P752" i="3"/>
  <c r="Q752" i="3" a="1"/>
  <c r="Q752" i="3" s="1"/>
  <c r="B753" i="3"/>
  <c r="R752" i="3" l="1"/>
  <c r="D753" i="3"/>
  <c r="K753" i="3"/>
  <c r="L752" i="3"/>
  <c r="S752" i="3" s="1"/>
  <c r="T752" i="3" l="1"/>
  <c r="U752" i="3" s="1"/>
  <c r="V752" i="3"/>
  <c r="W752" i="3" s="1"/>
  <c r="G753" i="3"/>
  <c r="I753" i="3" s="1"/>
  <c r="N753" i="3"/>
  <c r="O753" i="3"/>
  <c r="B754" i="3" l="1"/>
  <c r="P753" i="3"/>
  <c r="Q753" i="3" a="1"/>
  <c r="Q753" i="3" s="1"/>
  <c r="R753" i="3" l="1"/>
  <c r="D754" i="3"/>
  <c r="K754" i="3"/>
  <c r="L753" i="3"/>
  <c r="S753" i="3" s="1"/>
  <c r="V753" i="3" l="1"/>
  <c r="T753" i="3"/>
  <c r="U753" i="3" s="1"/>
  <c r="O754" i="3"/>
  <c r="G754" i="3"/>
  <c r="I754" i="3" s="1"/>
  <c r="N754" i="3"/>
  <c r="B755" i="3" l="1"/>
  <c r="Q754" i="3" a="1"/>
  <c r="Q754" i="3" s="1"/>
  <c r="P754" i="3"/>
  <c r="W753" i="3"/>
  <c r="R754" i="3" l="1"/>
  <c r="D755" i="3"/>
  <c r="K755" i="3"/>
  <c r="L754" i="3"/>
  <c r="S754" i="3" s="1"/>
  <c r="T754" i="3" l="1"/>
  <c r="U754" i="3" s="1"/>
  <c r="V754" i="3"/>
  <c r="N755" i="3"/>
  <c r="O755" i="3"/>
  <c r="G755" i="3"/>
  <c r="I755" i="3" s="1"/>
  <c r="Q755" i="3" l="1" a="1"/>
  <c r="Q755" i="3" s="1"/>
  <c r="P755" i="3"/>
  <c r="W754" i="3"/>
  <c r="B756" i="3"/>
  <c r="L755" i="3" s="1"/>
  <c r="R755" i="3" l="1"/>
  <c r="D756" i="3"/>
  <c r="K756" i="3"/>
  <c r="S755" i="3"/>
  <c r="O756" i="3" l="1"/>
  <c r="N756" i="3"/>
  <c r="G756" i="3"/>
  <c r="I756" i="3" s="1"/>
  <c r="T755" i="3"/>
  <c r="U755" i="3" s="1"/>
  <c r="V755" i="3"/>
  <c r="W755" i="3" l="1"/>
  <c r="B757" i="3"/>
  <c r="Q756" i="3" a="1"/>
  <c r="Q756" i="3" s="1"/>
  <c r="R756" i="3" s="1"/>
  <c r="P756" i="3"/>
  <c r="K757" i="3" l="1"/>
  <c r="D757" i="3"/>
  <c r="L756" i="3"/>
  <c r="S756" i="3" s="1"/>
  <c r="G757" i="3" l="1"/>
  <c r="I757" i="3" s="1"/>
  <c r="N757" i="3"/>
  <c r="O757" i="3"/>
  <c r="T756" i="3"/>
  <c r="U756" i="3" s="1"/>
  <c r="V756" i="3"/>
  <c r="W756" i="3" s="1"/>
  <c r="Q757" i="3" l="1" a="1"/>
  <c r="Q757" i="3" s="1"/>
  <c r="P757" i="3"/>
  <c r="B758" i="3"/>
  <c r="R757" i="3" l="1"/>
  <c r="K758" i="3"/>
  <c r="D758" i="3"/>
  <c r="L757" i="3"/>
  <c r="S757" i="3" s="1"/>
  <c r="N758" i="3" l="1"/>
  <c r="G758" i="3"/>
  <c r="I758" i="3" s="1"/>
  <c r="O758" i="3"/>
  <c r="V757" i="3"/>
  <c r="T757" i="3"/>
  <c r="U757" i="3" s="1"/>
  <c r="W757" i="3" l="1"/>
  <c r="P758" i="3"/>
  <c r="Q758" i="3" a="1"/>
  <c r="Q758" i="3" s="1"/>
  <c r="B759" i="3"/>
  <c r="R758" i="3" l="1"/>
  <c r="D759" i="3"/>
  <c r="K759" i="3"/>
  <c r="L758" i="3"/>
  <c r="S758" i="3" s="1"/>
  <c r="T758" i="3" l="1"/>
  <c r="U758" i="3" s="1"/>
  <c r="V758" i="3"/>
  <c r="G759" i="3"/>
  <c r="I759" i="3" s="1"/>
  <c r="N759" i="3"/>
  <c r="O759" i="3"/>
  <c r="B760" i="3" l="1"/>
  <c r="W758" i="3"/>
  <c r="Q759" i="3" a="1"/>
  <c r="Q759" i="3" s="1"/>
  <c r="P759" i="3"/>
  <c r="R759" i="3" l="1"/>
  <c r="D760" i="3"/>
  <c r="K760" i="3"/>
  <c r="L759" i="3"/>
  <c r="S759" i="3" s="1"/>
  <c r="T759" i="3" l="1"/>
  <c r="U759" i="3" s="1"/>
  <c r="V759" i="3"/>
  <c r="N760" i="3"/>
  <c r="O760" i="3"/>
  <c r="G760" i="3"/>
  <c r="I760" i="3" s="1"/>
  <c r="P760" i="3" l="1"/>
  <c r="Q760" i="3" a="1"/>
  <c r="Q760" i="3" s="1"/>
  <c r="W759" i="3"/>
  <c r="B761" i="3"/>
  <c r="R760" i="3" l="1"/>
  <c r="D761" i="3"/>
  <c r="K761" i="3"/>
  <c r="L760" i="3"/>
  <c r="S760" i="3" s="1"/>
  <c r="T760" i="3" l="1"/>
  <c r="U760" i="3" s="1"/>
  <c r="V760" i="3"/>
  <c r="O761" i="3"/>
  <c r="G761" i="3"/>
  <c r="I761" i="3" s="1"/>
  <c r="N761" i="3"/>
  <c r="B762" i="3" l="1"/>
  <c r="P761" i="3"/>
  <c r="Q761" i="3" a="1"/>
  <c r="Q761" i="3" s="1"/>
  <c r="W760" i="3"/>
  <c r="R761" i="3" l="1"/>
  <c r="D762" i="3"/>
  <c r="K762" i="3"/>
  <c r="L761" i="3"/>
  <c r="S761" i="3" s="1"/>
  <c r="T761" i="3" l="1"/>
  <c r="U761" i="3" s="1"/>
  <c r="V761" i="3"/>
  <c r="N762" i="3"/>
  <c r="O762" i="3"/>
  <c r="G762" i="3"/>
  <c r="Q762" i="3" l="1" a="1"/>
  <c r="Q762" i="3" s="1"/>
  <c r="P762" i="3"/>
  <c r="W761" i="3"/>
  <c r="I762" i="3"/>
  <c r="B763" i="3" s="1"/>
  <c r="R762" i="3" l="1"/>
  <c r="K763" i="3"/>
  <c r="D763" i="3"/>
  <c r="L762" i="3"/>
  <c r="S762" i="3" s="1"/>
  <c r="T762" i="3" l="1"/>
  <c r="U762" i="3" s="1"/>
  <c r="V762" i="3"/>
  <c r="G763" i="3"/>
  <c r="I763" i="3" s="1"/>
  <c r="O763" i="3"/>
  <c r="N763" i="3"/>
  <c r="P763" i="3" l="1"/>
  <c r="Q763" i="3" a="1"/>
  <c r="Q763" i="3" s="1"/>
  <c r="B764" i="3"/>
  <c r="W762" i="3"/>
  <c r="R763" i="3" l="1"/>
  <c r="D764" i="3"/>
  <c r="K764" i="3"/>
  <c r="L763" i="3"/>
  <c r="S763" i="3" s="1"/>
  <c r="T763" i="3" l="1"/>
  <c r="U763" i="3" s="1"/>
  <c r="V763" i="3"/>
  <c r="O764" i="3"/>
  <c r="N764" i="3"/>
  <c r="G764" i="3"/>
  <c r="I764" i="3" s="1"/>
  <c r="P764" i="3" l="1"/>
  <c r="Q764" i="3" a="1"/>
  <c r="Q764" i="3" s="1"/>
  <c r="W763" i="3"/>
  <c r="B765" i="3"/>
  <c r="R764" i="3" l="1"/>
  <c r="D765" i="3"/>
  <c r="K765" i="3"/>
  <c r="L764" i="3"/>
  <c r="S764" i="3" s="1"/>
  <c r="T764" i="3" l="1"/>
  <c r="U764" i="3" s="1"/>
  <c r="V764" i="3"/>
  <c r="W764" i="3" s="1"/>
  <c r="O765" i="3"/>
  <c r="G765" i="3"/>
  <c r="I765" i="3" s="1"/>
  <c r="N765" i="3"/>
  <c r="B766" i="3" l="1"/>
  <c r="P765" i="3"/>
  <c r="Q765" i="3" a="1"/>
  <c r="Q765" i="3" s="1"/>
  <c r="R765" i="3" l="1"/>
  <c r="K766" i="3"/>
  <c r="D766" i="3"/>
  <c r="L765" i="3"/>
  <c r="S765" i="3" s="1"/>
  <c r="V765" i="3" l="1"/>
  <c r="T765" i="3"/>
  <c r="U765" i="3" s="1"/>
  <c r="G766" i="3"/>
  <c r="I766" i="3" s="1"/>
  <c r="O766" i="3"/>
  <c r="N766" i="3"/>
  <c r="P766" i="3" l="1"/>
  <c r="Q766" i="3" a="1"/>
  <c r="Q766" i="3" s="1"/>
  <c r="R766" i="3" s="1"/>
  <c r="B767" i="3"/>
  <c r="W765" i="3"/>
  <c r="K767" i="3" l="1"/>
  <c r="D767" i="3"/>
  <c r="L766" i="3"/>
  <c r="S766" i="3" s="1"/>
  <c r="T766" i="3" l="1"/>
  <c r="U766" i="3" s="1"/>
  <c r="V766" i="3"/>
  <c r="N767" i="3"/>
  <c r="O767" i="3"/>
  <c r="G767" i="3"/>
  <c r="I767" i="3" s="1"/>
  <c r="P767" i="3" l="1"/>
  <c r="Q767" i="3" a="1"/>
  <c r="Q767" i="3" s="1"/>
  <c r="W766" i="3"/>
  <c r="B768" i="3"/>
  <c r="R767" i="3" l="1"/>
  <c r="K768" i="3"/>
  <c r="D768" i="3"/>
  <c r="L767" i="3"/>
  <c r="S767" i="3" s="1"/>
  <c r="T767" i="3" l="1"/>
  <c r="U767" i="3" s="1"/>
  <c r="V767" i="3"/>
  <c r="G768" i="3"/>
  <c r="I768" i="3" s="1"/>
  <c r="O768" i="3"/>
  <c r="N768" i="3"/>
  <c r="P768" i="3" l="1"/>
  <c r="Q768" i="3" a="1"/>
  <c r="Q768" i="3" s="1"/>
  <c r="B769" i="3"/>
  <c r="W767" i="3"/>
  <c r="R768" i="3" l="1"/>
  <c r="K769" i="3"/>
  <c r="D769" i="3"/>
  <c r="L768" i="3"/>
  <c r="S768" i="3" s="1"/>
  <c r="T768" i="3" l="1"/>
  <c r="U768" i="3" s="1"/>
  <c r="V768" i="3"/>
  <c r="G769" i="3"/>
  <c r="I769" i="3" s="1"/>
  <c r="N769" i="3"/>
  <c r="O769" i="3"/>
  <c r="B770" i="3" l="1"/>
  <c r="W768" i="3"/>
  <c r="P769" i="3"/>
  <c r="Q769" i="3" a="1"/>
  <c r="Q769" i="3" s="1"/>
  <c r="R769" i="3" s="1"/>
  <c r="K770" i="3" l="1"/>
  <c r="D770" i="3"/>
  <c r="L769" i="3"/>
  <c r="S769" i="3" s="1"/>
  <c r="T769" i="3" l="1"/>
  <c r="U769" i="3" s="1"/>
  <c r="V769" i="3"/>
  <c r="G770" i="3"/>
  <c r="N770" i="3"/>
  <c r="O770" i="3"/>
  <c r="I770" i="3" l="1"/>
  <c r="W769" i="3"/>
  <c r="Q770" i="3" a="1"/>
  <c r="Q770" i="3" s="1"/>
  <c r="R770" i="3" s="1"/>
  <c r="P770" i="3"/>
  <c r="B771" i="3" l="1"/>
  <c r="K771" i="3" l="1"/>
  <c r="D771" i="3"/>
  <c r="L770" i="3"/>
  <c r="S770" i="3" s="1"/>
  <c r="T770" i="3" l="1"/>
  <c r="U770" i="3" s="1"/>
  <c r="V770" i="3"/>
  <c r="W770" i="3" s="1"/>
  <c r="O771" i="3"/>
  <c r="G771" i="3"/>
  <c r="N771" i="3"/>
  <c r="I771" i="3" l="1"/>
  <c r="Q771" i="3" a="1"/>
  <c r="Q771" i="3" s="1"/>
  <c r="P771" i="3"/>
  <c r="R771" i="3" l="1"/>
  <c r="B772" i="3"/>
  <c r="K772" i="3" l="1"/>
  <c r="D772" i="3"/>
  <c r="L771" i="3"/>
  <c r="S771" i="3" s="1"/>
  <c r="V771" i="3" l="1"/>
  <c r="T771" i="3"/>
  <c r="U771" i="3" s="1"/>
  <c r="N772" i="3"/>
  <c r="G772" i="3"/>
  <c r="I772" i="3" s="1"/>
  <c r="O772" i="3"/>
  <c r="B773" i="3" l="1"/>
  <c r="P772" i="3"/>
  <c r="Q772" i="3" a="1"/>
  <c r="Q772" i="3" s="1"/>
  <c r="W771" i="3"/>
  <c r="R772" i="3" l="1"/>
  <c r="K773" i="3"/>
  <c r="D773" i="3"/>
  <c r="L772" i="3"/>
  <c r="S772" i="3" s="1"/>
  <c r="T772" i="3" l="1"/>
  <c r="U772" i="3" s="1"/>
  <c r="V772" i="3"/>
  <c r="N773" i="3"/>
  <c r="G773" i="3"/>
  <c r="O773" i="3"/>
  <c r="I773" i="3" l="1"/>
  <c r="W772" i="3"/>
  <c r="P773" i="3"/>
  <c r="Q773" i="3" a="1"/>
  <c r="Q773" i="3" s="1"/>
  <c r="R773" i="3" s="1"/>
  <c r="B774" i="3" l="1"/>
  <c r="K774" i="3" l="1"/>
  <c r="D774" i="3"/>
  <c r="L773" i="3"/>
  <c r="S773" i="3" s="1"/>
  <c r="T773" i="3" l="1"/>
  <c r="U773" i="3" s="1"/>
  <c r="V773" i="3"/>
  <c r="W773" i="3" s="1"/>
  <c r="O774" i="3"/>
  <c r="N774" i="3"/>
  <c r="G774" i="3"/>
  <c r="I774" i="3" s="1"/>
  <c r="Q774" i="3" l="1" a="1"/>
  <c r="Q774" i="3" s="1"/>
  <c r="P774" i="3"/>
  <c r="B775" i="3"/>
  <c r="R774" i="3" l="1"/>
  <c r="K775" i="3"/>
  <c r="D775" i="3"/>
  <c r="L774" i="3"/>
  <c r="S774" i="3" s="1"/>
  <c r="V774" i="3" l="1"/>
  <c r="T774" i="3"/>
  <c r="U774" i="3" s="1"/>
  <c r="O775" i="3"/>
  <c r="G775" i="3"/>
  <c r="I775" i="3" s="1"/>
  <c r="N775" i="3"/>
  <c r="B776" i="3" l="1"/>
  <c r="L775" i="3" s="1"/>
  <c r="Q775" i="3" a="1"/>
  <c r="Q775" i="3" s="1"/>
  <c r="P775" i="3"/>
  <c r="W774" i="3"/>
  <c r="R775" i="3" l="1"/>
  <c r="S775" i="3"/>
  <c r="K776" i="3"/>
  <c r="D776" i="3"/>
  <c r="G776" i="3" l="1"/>
  <c r="I776" i="3" s="1"/>
  <c r="O776" i="3"/>
  <c r="N776" i="3"/>
  <c r="T775" i="3"/>
  <c r="U775" i="3" s="1"/>
  <c r="V775" i="3"/>
  <c r="W775" i="3" l="1"/>
  <c r="P776" i="3"/>
  <c r="Q776" i="3" a="1"/>
  <c r="Q776" i="3" s="1"/>
  <c r="B777" i="3"/>
  <c r="R776" i="3" l="1"/>
  <c r="K777" i="3"/>
  <c r="D777" i="3"/>
  <c r="L776" i="3"/>
  <c r="S776" i="3" s="1"/>
  <c r="T776" i="3" l="1"/>
  <c r="U776" i="3" s="1"/>
  <c r="V776" i="3"/>
  <c r="W776" i="3" s="1"/>
  <c r="G777" i="3"/>
  <c r="O777" i="3"/>
  <c r="N777" i="3"/>
  <c r="Q777" i="3" l="1" a="1"/>
  <c r="Q777" i="3" s="1"/>
  <c r="P777" i="3"/>
  <c r="I777" i="3"/>
  <c r="R777" i="3" l="1"/>
  <c r="B778" i="3"/>
  <c r="K778" i="3" l="1"/>
  <c r="D778" i="3"/>
  <c r="L777" i="3"/>
  <c r="S777" i="3" s="1"/>
  <c r="G778" i="3" l="1"/>
  <c r="I778" i="3" s="1"/>
  <c r="B779" i="3" s="1"/>
  <c r="V777" i="3"/>
  <c r="T777" i="3"/>
  <c r="U777" i="3" s="1"/>
  <c r="O778" i="3"/>
  <c r="N778" i="3"/>
  <c r="W777" i="3" l="1"/>
  <c r="K779" i="3"/>
  <c r="D779" i="3"/>
  <c r="P778" i="3"/>
  <c r="Q778" i="3" a="1"/>
  <c r="Q778" i="3" s="1"/>
  <c r="L778" i="3"/>
  <c r="R778" i="3" l="1"/>
  <c r="S778" i="3"/>
  <c r="V778" i="3" s="1"/>
  <c r="W778" i="3" s="1"/>
  <c r="G779" i="3"/>
  <c r="I779" i="3" s="1"/>
  <c r="O779" i="3"/>
  <c r="N779" i="3"/>
  <c r="T778" i="3" l="1"/>
  <c r="U778" i="3" s="1"/>
  <c r="Q779" i="3" a="1"/>
  <c r="Q779" i="3" s="1"/>
  <c r="P779" i="3"/>
  <c r="B780" i="3"/>
  <c r="R779" i="3" l="1"/>
  <c r="D780" i="3"/>
  <c r="K780" i="3"/>
  <c r="L779" i="3"/>
  <c r="S779" i="3" s="1"/>
  <c r="N780" i="3" l="1"/>
  <c r="O780" i="3"/>
  <c r="G780" i="3"/>
  <c r="I780" i="3" s="1"/>
  <c r="V779" i="3"/>
  <c r="T779" i="3"/>
  <c r="U779" i="3" s="1"/>
  <c r="W779" i="3" l="1"/>
  <c r="B781" i="3"/>
  <c r="L780" i="3" s="1"/>
  <c r="P780" i="3"/>
  <c r="Q780" i="3" a="1"/>
  <c r="Q780" i="3" s="1"/>
  <c r="R780" i="3" s="1"/>
  <c r="K781" i="3" l="1"/>
  <c r="D781" i="3"/>
  <c r="S780" i="3"/>
  <c r="N781" i="3" l="1"/>
  <c r="G781" i="3"/>
  <c r="I781" i="3" s="1"/>
  <c r="O781" i="3"/>
  <c r="T780" i="3"/>
  <c r="U780" i="3" s="1"/>
  <c r="V780" i="3"/>
  <c r="W780" i="3" l="1"/>
  <c r="P781" i="3"/>
  <c r="Q781" i="3" a="1"/>
  <c r="Q781" i="3" s="1"/>
  <c r="B782" i="3"/>
  <c r="R781" i="3" l="1"/>
  <c r="K782" i="3"/>
  <c r="D782" i="3"/>
  <c r="L781" i="3"/>
  <c r="S781" i="3" s="1"/>
  <c r="V781" i="3" l="1"/>
  <c r="T781" i="3"/>
  <c r="U781" i="3" s="1"/>
  <c r="N782" i="3"/>
  <c r="O782" i="3"/>
  <c r="G782" i="3"/>
  <c r="I782" i="3" s="1"/>
  <c r="P782" i="3" l="1"/>
  <c r="Q782" i="3" a="1"/>
  <c r="Q782" i="3" s="1"/>
  <c r="B783" i="3"/>
  <c r="W781" i="3"/>
  <c r="R782" i="3" l="1"/>
  <c r="K783" i="3"/>
  <c r="D783" i="3"/>
  <c r="L782" i="3"/>
  <c r="S782" i="3" s="1"/>
  <c r="T782" i="3" l="1"/>
  <c r="U782" i="3" s="1"/>
  <c r="V782" i="3"/>
  <c r="G783" i="3"/>
  <c r="O783" i="3"/>
  <c r="N783" i="3"/>
  <c r="Q783" i="3" l="1" a="1"/>
  <c r="Q783" i="3" s="1"/>
  <c r="P783" i="3"/>
  <c r="I783" i="3"/>
  <c r="W782" i="3"/>
  <c r="R783" i="3" l="1"/>
  <c r="B784" i="3"/>
  <c r="K784" i="3" l="1"/>
  <c r="D784" i="3"/>
  <c r="L783" i="3"/>
  <c r="S783" i="3" s="1"/>
  <c r="T783" i="3" l="1"/>
  <c r="U783" i="3" s="1"/>
  <c r="V783" i="3"/>
  <c r="G784" i="3"/>
  <c r="I784" i="3" s="1"/>
  <c r="N784" i="3"/>
  <c r="O784" i="3"/>
  <c r="B785" i="3" l="1"/>
  <c r="W783" i="3"/>
  <c r="P784" i="3"/>
  <c r="Q784" i="3" a="1"/>
  <c r="Q784" i="3" s="1"/>
  <c r="R784" i="3" s="1"/>
  <c r="K785" i="3" l="1"/>
  <c r="D785" i="3"/>
  <c r="L784" i="3"/>
  <c r="S784" i="3" s="1"/>
  <c r="T784" i="3" l="1"/>
  <c r="U784" i="3" s="1"/>
  <c r="V784" i="3"/>
  <c r="O785" i="3"/>
  <c r="N785" i="3"/>
  <c r="G785" i="3"/>
  <c r="I785" i="3" s="1"/>
  <c r="P785" i="3" l="1"/>
  <c r="Q785" i="3" a="1"/>
  <c r="Q785" i="3" s="1"/>
  <c r="W784" i="3"/>
  <c r="B786" i="3"/>
  <c r="R785" i="3" l="1"/>
  <c r="D786" i="3"/>
  <c r="K786" i="3"/>
  <c r="L785" i="3"/>
  <c r="S785" i="3" s="1"/>
  <c r="T785" i="3" l="1"/>
  <c r="U785" i="3" s="1"/>
  <c r="V785" i="3"/>
  <c r="O786" i="3"/>
  <c r="N786" i="3"/>
  <c r="G786" i="3"/>
  <c r="Q786" i="3" l="1" a="1"/>
  <c r="Q786" i="3" s="1"/>
  <c r="P786" i="3"/>
  <c r="W785" i="3"/>
  <c r="I786" i="3"/>
  <c r="B787" i="3" s="1"/>
  <c r="R786" i="3" l="1"/>
  <c r="K787" i="3"/>
  <c r="D787" i="3"/>
  <c r="L786" i="3"/>
  <c r="S786" i="3" s="1"/>
  <c r="T786" i="3" l="1"/>
  <c r="U786" i="3" s="1"/>
  <c r="V786" i="3"/>
  <c r="N787" i="3"/>
  <c r="O787" i="3"/>
  <c r="G787" i="3"/>
  <c r="Q787" i="3" l="1" a="1"/>
  <c r="Q787" i="3" s="1"/>
  <c r="P787" i="3"/>
  <c r="W786" i="3"/>
  <c r="I787" i="3"/>
  <c r="B788" i="3" s="1"/>
  <c r="R787" i="3" l="1"/>
  <c r="K788" i="3"/>
  <c r="D788" i="3"/>
  <c r="L787" i="3"/>
  <c r="S787" i="3" s="1"/>
  <c r="T787" i="3" l="1"/>
  <c r="U787" i="3" s="1"/>
  <c r="V787" i="3"/>
  <c r="G788" i="3"/>
  <c r="I788" i="3" s="1"/>
  <c r="O788" i="3"/>
  <c r="N788" i="3"/>
  <c r="P788" i="3" l="1"/>
  <c r="Q788" i="3" a="1"/>
  <c r="Q788" i="3" s="1"/>
  <c r="B789" i="3"/>
  <c r="W787" i="3"/>
  <c r="R788" i="3" l="1"/>
  <c r="K789" i="3"/>
  <c r="D789" i="3"/>
  <c r="L788" i="3"/>
  <c r="S788" i="3" s="1"/>
  <c r="T788" i="3" l="1"/>
  <c r="U788" i="3" s="1"/>
  <c r="V788" i="3"/>
  <c r="W788" i="3" s="1"/>
  <c r="G789" i="3"/>
  <c r="O789" i="3"/>
  <c r="N789" i="3"/>
  <c r="Q789" i="3" l="1" a="1"/>
  <c r="Q789" i="3" s="1"/>
  <c r="P789" i="3"/>
  <c r="I789" i="3"/>
  <c r="R789" i="3" l="1"/>
  <c r="B790" i="3"/>
  <c r="K790" i="3" l="1"/>
  <c r="D790" i="3"/>
  <c r="L789" i="3"/>
  <c r="S789" i="3" s="1"/>
  <c r="V789" i="3" l="1"/>
  <c r="T789" i="3"/>
  <c r="U789" i="3" s="1"/>
  <c r="N790" i="3"/>
  <c r="G790" i="3"/>
  <c r="O790" i="3"/>
  <c r="I790" i="3" l="1"/>
  <c r="P790" i="3"/>
  <c r="Q790" i="3" a="1"/>
  <c r="Q790" i="3" s="1"/>
  <c r="W789" i="3"/>
  <c r="R790" i="3" l="1"/>
  <c r="B791" i="3"/>
  <c r="D791" i="3" l="1"/>
  <c r="K791" i="3"/>
  <c r="L790" i="3"/>
  <c r="S790" i="3" s="1"/>
  <c r="T790" i="3" l="1"/>
  <c r="U790" i="3" s="1"/>
  <c r="V790" i="3"/>
  <c r="W790" i="3" s="1"/>
  <c r="N791" i="3"/>
  <c r="G791" i="3"/>
  <c r="O791" i="3"/>
  <c r="I791" i="3" l="1"/>
  <c r="Q791" i="3" a="1"/>
  <c r="Q791" i="3" s="1"/>
  <c r="R791" i="3" s="1"/>
  <c r="P791" i="3"/>
  <c r="B792" i="3" l="1"/>
  <c r="K792" i="3" l="1"/>
  <c r="D792" i="3"/>
  <c r="L791" i="3"/>
  <c r="S791" i="3" s="1"/>
  <c r="V791" i="3" l="1"/>
  <c r="T791" i="3"/>
  <c r="U791" i="3" s="1"/>
  <c r="O792" i="3"/>
  <c r="N792" i="3"/>
  <c r="G792" i="3"/>
  <c r="I792" i="3" s="1"/>
  <c r="P792" i="3" l="1"/>
  <c r="Q792" i="3" a="1"/>
  <c r="Q792" i="3" s="1"/>
  <c r="R792" i="3" s="1"/>
  <c r="B793" i="3"/>
  <c r="W791" i="3"/>
  <c r="D793" i="3" l="1"/>
  <c r="K793" i="3"/>
  <c r="L792" i="3"/>
  <c r="S792" i="3" s="1"/>
  <c r="T792" i="3" l="1"/>
  <c r="U792" i="3" s="1"/>
  <c r="V792" i="3"/>
  <c r="W792" i="3" s="1"/>
  <c r="O793" i="3"/>
  <c r="G793" i="3"/>
  <c r="N793" i="3"/>
  <c r="I793" i="3" l="1"/>
  <c r="P793" i="3"/>
  <c r="Q793" i="3" a="1"/>
  <c r="Q793" i="3" s="1"/>
  <c r="R793" i="3" s="1"/>
  <c r="B794" i="3" l="1"/>
  <c r="D794" i="3" l="1"/>
  <c r="K794" i="3"/>
  <c r="L793" i="3"/>
  <c r="S793" i="3" s="1"/>
  <c r="V793" i="3" l="1"/>
  <c r="T793" i="3"/>
  <c r="U793" i="3" s="1"/>
  <c r="O794" i="3"/>
  <c r="G794" i="3"/>
  <c r="N794" i="3"/>
  <c r="I794" i="3" l="1"/>
  <c r="Q794" i="3" a="1"/>
  <c r="Q794" i="3" s="1"/>
  <c r="P794" i="3"/>
  <c r="W793" i="3"/>
  <c r="R794" i="3" l="1"/>
  <c r="B795" i="3"/>
  <c r="K795" i="3" l="1"/>
  <c r="D795" i="3"/>
  <c r="L794" i="3"/>
  <c r="S794" i="3" s="1"/>
  <c r="T794" i="3" l="1"/>
  <c r="U794" i="3" s="1"/>
  <c r="V794" i="3"/>
  <c r="N795" i="3"/>
  <c r="G795" i="3"/>
  <c r="I795" i="3" s="1"/>
  <c r="O795" i="3"/>
  <c r="B796" i="3" l="1"/>
  <c r="W794" i="3"/>
  <c r="Q795" i="3" a="1"/>
  <c r="Q795" i="3" s="1"/>
  <c r="P795" i="3"/>
  <c r="R795" i="3" l="1"/>
  <c r="D796" i="3"/>
  <c r="K796" i="3"/>
  <c r="L795" i="3"/>
  <c r="S795" i="3" s="1"/>
  <c r="T795" i="3" l="1"/>
  <c r="U795" i="3" s="1"/>
  <c r="V795" i="3"/>
  <c r="G796" i="3"/>
  <c r="I796" i="3" s="1"/>
  <c r="O796" i="3"/>
  <c r="N796" i="3"/>
  <c r="P796" i="3" l="1"/>
  <c r="Q796" i="3" a="1"/>
  <c r="Q796" i="3" s="1"/>
  <c r="R796" i="3" s="1"/>
  <c r="B797" i="3"/>
  <c r="W795" i="3"/>
  <c r="D797" i="3" l="1"/>
  <c r="K797" i="3"/>
  <c r="L796" i="3"/>
  <c r="S796" i="3" s="1"/>
  <c r="T796" i="3" l="1"/>
  <c r="U796" i="3" s="1"/>
  <c r="V796" i="3"/>
  <c r="N797" i="3"/>
  <c r="O797" i="3"/>
  <c r="G797" i="3"/>
  <c r="I797" i="3" s="1"/>
  <c r="Q797" i="3" l="1" a="1"/>
  <c r="Q797" i="3" s="1"/>
  <c r="P797" i="3"/>
  <c r="W796" i="3"/>
  <c r="B798" i="3"/>
  <c r="L797" i="3" s="1"/>
  <c r="R797" i="3" l="1"/>
  <c r="D798" i="3"/>
  <c r="K798" i="3"/>
  <c r="S797" i="3"/>
  <c r="T797" i="3" l="1"/>
  <c r="U797" i="3" s="1"/>
  <c r="V797" i="3"/>
  <c r="N798" i="3"/>
  <c r="O798" i="3"/>
  <c r="G798" i="3"/>
  <c r="Q798" i="3" l="1" a="1"/>
  <c r="Q798" i="3" s="1"/>
  <c r="P798" i="3"/>
  <c r="W797" i="3"/>
  <c r="I798" i="3"/>
  <c r="B799" i="3" s="1"/>
  <c r="R798" i="3" l="1"/>
  <c r="D799" i="3"/>
  <c r="K799" i="3"/>
  <c r="L798" i="3"/>
  <c r="S798" i="3" s="1"/>
  <c r="T798" i="3" l="1"/>
  <c r="U798" i="3" s="1"/>
  <c r="V798" i="3"/>
  <c r="O799" i="3"/>
  <c r="N799" i="3"/>
  <c r="G799" i="3"/>
  <c r="P799" i="3" l="1"/>
  <c r="Q799" i="3" a="1"/>
  <c r="Q799" i="3" s="1"/>
  <c r="W798" i="3"/>
  <c r="I799" i="3"/>
  <c r="R799" i="3" l="1"/>
  <c r="B800" i="3"/>
  <c r="D800" i="3" l="1"/>
  <c r="K800" i="3"/>
  <c r="L799" i="3"/>
  <c r="S799" i="3" s="1"/>
  <c r="G800" i="3" l="1"/>
  <c r="I800" i="3" s="1"/>
  <c r="N800" i="3"/>
  <c r="O800" i="3"/>
  <c r="T799" i="3"/>
  <c r="U799" i="3" s="1"/>
  <c r="V799" i="3"/>
  <c r="W799" i="3" l="1"/>
  <c r="Q800" i="3" a="1"/>
  <c r="Q800" i="3" s="1"/>
  <c r="P800" i="3"/>
  <c r="B801" i="3"/>
  <c r="R800" i="3" l="1"/>
  <c r="K801" i="3"/>
  <c r="D801" i="3"/>
  <c r="L800" i="3"/>
  <c r="S800" i="3" s="1"/>
  <c r="G801" i="3" l="1"/>
  <c r="I801" i="3" s="1"/>
  <c r="B802" i="3" s="1"/>
  <c r="T800" i="3"/>
  <c r="U800" i="3" s="1"/>
  <c r="V800" i="3"/>
  <c r="N801" i="3"/>
  <c r="O801" i="3"/>
  <c r="K802" i="3" l="1"/>
  <c r="D802" i="3"/>
  <c r="L801" i="3"/>
  <c r="W800" i="3"/>
  <c r="P801" i="3"/>
  <c r="Q801" i="3" a="1"/>
  <c r="Q801" i="3" s="1"/>
  <c r="R801" i="3" l="1"/>
  <c r="S801" i="3"/>
  <c r="O802" i="3"/>
  <c r="G802" i="3"/>
  <c r="I802" i="3" s="1"/>
  <c r="N802" i="3"/>
  <c r="B803" i="3" l="1"/>
  <c r="P802" i="3"/>
  <c r="Q802" i="3" a="1"/>
  <c r="Q802" i="3" s="1"/>
  <c r="T801" i="3"/>
  <c r="U801" i="3" s="1"/>
  <c r="V801" i="3"/>
  <c r="R802" i="3" l="1"/>
  <c r="D803" i="3"/>
  <c r="K803" i="3"/>
  <c r="W801" i="3"/>
  <c r="L802" i="3"/>
  <c r="S802" i="3" s="1"/>
  <c r="T802" i="3" l="1"/>
  <c r="U802" i="3" s="1"/>
  <c r="V802" i="3"/>
  <c r="G803" i="3"/>
  <c r="I803" i="3" s="1"/>
  <c r="O803" i="3"/>
  <c r="N803" i="3"/>
  <c r="Q803" i="3" l="1" a="1"/>
  <c r="Q803" i="3" s="1"/>
  <c r="P803" i="3"/>
  <c r="B804" i="3"/>
  <c r="W802" i="3"/>
  <c r="R803" i="3" l="1"/>
  <c r="K804" i="3"/>
  <c r="D804" i="3"/>
  <c r="L803" i="3"/>
  <c r="S803" i="3" s="1"/>
  <c r="T803" i="3" l="1"/>
  <c r="U803" i="3" s="1"/>
  <c r="V803" i="3"/>
  <c r="O804" i="3"/>
  <c r="N804" i="3"/>
  <c r="G804" i="3"/>
  <c r="Q804" i="3" l="1" a="1"/>
  <c r="Q804" i="3" s="1"/>
  <c r="P804" i="3"/>
  <c r="W803" i="3"/>
  <c r="I804" i="3"/>
  <c r="B805" i="3" s="1"/>
  <c r="R804" i="3" l="1"/>
  <c r="K805" i="3"/>
  <c r="D805" i="3"/>
  <c r="L804" i="3"/>
  <c r="S804" i="3" s="1"/>
  <c r="T804" i="3" l="1"/>
  <c r="U804" i="3" s="1"/>
  <c r="V804" i="3"/>
  <c r="W804" i="3" s="1"/>
  <c r="O805" i="3"/>
  <c r="G805" i="3"/>
  <c r="N805" i="3"/>
  <c r="I805" i="3" l="1"/>
  <c r="Q805" i="3" a="1"/>
  <c r="Q805" i="3" s="1"/>
  <c r="P805" i="3"/>
  <c r="R805" i="3" l="1"/>
  <c r="B806" i="3"/>
  <c r="K806" i="3" l="1"/>
  <c r="D806" i="3"/>
  <c r="L805" i="3"/>
  <c r="S805" i="3" s="1"/>
  <c r="V805" i="3" l="1"/>
  <c r="T805" i="3"/>
  <c r="U805" i="3" s="1"/>
  <c r="N806" i="3"/>
  <c r="O806" i="3"/>
  <c r="G806" i="3"/>
  <c r="I806" i="3" s="1"/>
  <c r="P806" i="3" l="1"/>
  <c r="Q806" i="3" a="1"/>
  <c r="Q806" i="3" s="1"/>
  <c r="B807" i="3"/>
  <c r="W805" i="3"/>
  <c r="R806" i="3" l="1"/>
  <c r="K807" i="3"/>
  <c r="D807" i="3"/>
  <c r="L806" i="3"/>
  <c r="S806" i="3" s="1"/>
  <c r="T806" i="3" l="1"/>
  <c r="U806" i="3" s="1"/>
  <c r="V806" i="3"/>
  <c r="G807" i="3"/>
  <c r="I807" i="3" s="1"/>
  <c r="N807" i="3"/>
  <c r="O807" i="3"/>
  <c r="B808" i="3" l="1"/>
  <c r="W806" i="3"/>
  <c r="Q807" i="3" a="1"/>
  <c r="Q807" i="3" s="1"/>
  <c r="P807" i="3"/>
  <c r="R807" i="3" l="1"/>
  <c r="D808" i="3"/>
  <c r="K808" i="3"/>
  <c r="L807" i="3"/>
  <c r="S807" i="3" s="1"/>
  <c r="T807" i="3" l="1"/>
  <c r="U807" i="3" s="1"/>
  <c r="V807" i="3"/>
  <c r="W807" i="3" s="1"/>
  <c r="G808" i="3"/>
  <c r="I808" i="3" s="1"/>
  <c r="N808" i="3"/>
  <c r="O808" i="3"/>
  <c r="B809" i="3" l="1"/>
  <c r="Q808" i="3" a="1"/>
  <c r="Q808" i="3" s="1"/>
  <c r="P808" i="3"/>
  <c r="R808" i="3" l="1"/>
  <c r="D809" i="3"/>
  <c r="K809" i="3"/>
  <c r="L808" i="3"/>
  <c r="S808" i="3" s="1"/>
  <c r="V808" i="3" l="1"/>
  <c r="T808" i="3"/>
  <c r="U808" i="3" s="1"/>
  <c r="N809" i="3"/>
  <c r="O809" i="3"/>
  <c r="G809" i="3"/>
  <c r="P809" i="3" l="1"/>
  <c r="Q809" i="3" a="1"/>
  <c r="Q809" i="3" s="1"/>
  <c r="I809" i="3"/>
  <c r="W808" i="3"/>
  <c r="B810" i="3" l="1"/>
  <c r="R809" i="3"/>
  <c r="D810" i="3" l="1"/>
  <c r="K810" i="3"/>
  <c r="L809" i="3"/>
  <c r="S809" i="3" s="1"/>
  <c r="O810" i="3" l="1"/>
  <c r="N810" i="3"/>
  <c r="G810" i="3"/>
  <c r="I810" i="3" s="1"/>
  <c r="V809" i="3"/>
  <c r="T809" i="3"/>
  <c r="U809" i="3" s="1"/>
  <c r="W809" i="3" l="1"/>
  <c r="B811" i="3"/>
  <c r="P810" i="3"/>
  <c r="Q810" i="3" a="1"/>
  <c r="Q810" i="3" s="1"/>
  <c r="R810" i="3" s="1"/>
  <c r="K811" i="3" l="1"/>
  <c r="D811" i="3"/>
  <c r="L810" i="3"/>
  <c r="S810" i="3" s="1"/>
  <c r="G811" i="3" l="1"/>
  <c r="I811" i="3" s="1"/>
  <c r="B812" i="3" s="1"/>
  <c r="T810" i="3"/>
  <c r="U810" i="3" s="1"/>
  <c r="V810" i="3"/>
  <c r="O811" i="3"/>
  <c r="N811" i="3"/>
  <c r="K812" i="3" l="1"/>
  <c r="D812" i="3"/>
  <c r="L811" i="3"/>
  <c r="W810" i="3"/>
  <c r="Q811" i="3" a="1"/>
  <c r="Q811" i="3" s="1"/>
  <c r="P811" i="3"/>
  <c r="R811" i="3" l="1"/>
  <c r="S811" i="3"/>
  <c r="V811" i="3" s="1"/>
  <c r="W811" i="3" s="1"/>
  <c r="O812" i="3"/>
  <c r="N812" i="3"/>
  <c r="G812" i="3"/>
  <c r="I812" i="3" s="1"/>
  <c r="T811" i="3" l="1"/>
  <c r="U811" i="3" s="1"/>
  <c r="Q812" i="3" a="1"/>
  <c r="Q812" i="3" s="1"/>
  <c r="P812" i="3"/>
  <c r="B813" i="3"/>
  <c r="R812" i="3" l="1"/>
  <c r="D813" i="3"/>
  <c r="K813" i="3"/>
  <c r="L812" i="3"/>
  <c r="S812" i="3" s="1"/>
  <c r="T812" i="3" l="1"/>
  <c r="U812" i="3" s="1"/>
  <c r="V812" i="3"/>
  <c r="N813" i="3"/>
  <c r="O813" i="3"/>
  <c r="G813" i="3"/>
  <c r="Q813" i="3" l="1" a="1"/>
  <c r="Q813" i="3" s="1"/>
  <c r="P813" i="3"/>
  <c r="W812" i="3"/>
  <c r="I813" i="3"/>
  <c r="B814" i="3" s="1"/>
  <c r="R813" i="3" l="1"/>
  <c r="K814" i="3"/>
  <c r="D814" i="3"/>
  <c r="L813" i="3"/>
  <c r="S813" i="3" s="1"/>
  <c r="T813" i="3" l="1"/>
  <c r="U813" i="3" s="1"/>
  <c r="V813" i="3"/>
  <c r="W813" i="3" s="1"/>
  <c r="O814" i="3"/>
  <c r="G814" i="3"/>
  <c r="I814" i="3" s="1"/>
  <c r="N814" i="3"/>
  <c r="B815" i="3" l="1"/>
  <c r="P814" i="3"/>
  <c r="Q814" i="3" a="1"/>
  <c r="Q814" i="3" s="1"/>
  <c r="R814" i="3" l="1"/>
  <c r="K815" i="3"/>
  <c r="D815" i="3"/>
  <c r="L814" i="3"/>
  <c r="S814" i="3" s="1"/>
  <c r="V814" i="3" l="1"/>
  <c r="T814" i="3"/>
  <c r="U814" i="3" s="1"/>
  <c r="N815" i="3"/>
  <c r="O815" i="3"/>
  <c r="G815" i="3"/>
  <c r="Q815" i="3" l="1" a="1"/>
  <c r="Q815" i="3" s="1"/>
  <c r="P815" i="3"/>
  <c r="I815" i="3"/>
  <c r="B816" i="3" s="1"/>
  <c r="W814" i="3"/>
  <c r="R815" i="3" l="1"/>
  <c r="L815" i="3"/>
  <c r="S815" i="3" s="1"/>
  <c r="D816" i="3"/>
  <c r="K816" i="3"/>
  <c r="N816" i="3" l="1"/>
  <c r="O816" i="3"/>
  <c r="G816" i="3"/>
  <c r="T815" i="3"/>
  <c r="U815" i="3" s="1"/>
  <c r="V815" i="3"/>
  <c r="I816" i="3" l="1"/>
  <c r="P816" i="3"/>
  <c r="Q816" i="3" a="1"/>
  <c r="Q816" i="3" s="1"/>
  <c r="W815" i="3"/>
  <c r="R816" i="3" l="1"/>
  <c r="B817" i="3"/>
  <c r="D817" i="3" l="1"/>
  <c r="K817" i="3"/>
  <c r="L816" i="3"/>
  <c r="S816" i="3" s="1"/>
  <c r="O817" i="3" l="1"/>
  <c r="G817" i="3"/>
  <c r="I817" i="3" s="1"/>
  <c r="N817" i="3"/>
  <c r="T816" i="3"/>
  <c r="U816" i="3" s="1"/>
  <c r="V816" i="3"/>
  <c r="W816" i="3" s="1"/>
  <c r="B818" i="3" l="1"/>
  <c r="P817" i="3"/>
  <c r="Q817" i="3" a="1"/>
  <c r="Q817" i="3" s="1"/>
  <c r="R817" i="3" l="1"/>
  <c r="K818" i="3"/>
  <c r="D818" i="3"/>
  <c r="L817" i="3"/>
  <c r="S817" i="3" s="1"/>
  <c r="G818" i="3" l="1"/>
  <c r="I818" i="3" s="1"/>
  <c r="B819" i="3" s="1"/>
  <c r="L818" i="3" s="1"/>
  <c r="V817" i="3"/>
  <c r="W817" i="3" s="1"/>
  <c r="T817" i="3"/>
  <c r="U817" i="3" s="1"/>
  <c r="N818" i="3"/>
  <c r="O818" i="3"/>
  <c r="K819" i="3" l="1"/>
  <c r="D819" i="3"/>
  <c r="P818" i="3"/>
  <c r="S818" i="3" s="1"/>
  <c r="Q818" i="3" a="1"/>
  <c r="Q818" i="3" s="1"/>
  <c r="R818" i="3" s="1"/>
  <c r="V818" i="3" l="1"/>
  <c r="W818" i="3" s="1"/>
  <c r="T818" i="3"/>
  <c r="U818" i="3" s="1"/>
  <c r="G819" i="3"/>
  <c r="O819" i="3"/>
  <c r="N819" i="3"/>
  <c r="Q819" i="3" l="1" a="1"/>
  <c r="Q819" i="3" s="1"/>
  <c r="P819" i="3"/>
  <c r="I819" i="3"/>
  <c r="B820" i="3" s="1"/>
  <c r="R819" i="3" l="1"/>
  <c r="L819" i="3"/>
  <c r="S819" i="3" s="1"/>
  <c r="D820" i="3"/>
  <c r="K820" i="3"/>
  <c r="N820" i="3" l="1"/>
  <c r="G820" i="3"/>
  <c r="I820" i="3" s="1"/>
  <c r="O820" i="3"/>
  <c r="V819" i="3"/>
  <c r="T819" i="3"/>
  <c r="U819" i="3" s="1"/>
  <c r="W819" i="3" l="1"/>
  <c r="P820" i="3"/>
  <c r="Q820" i="3" a="1"/>
  <c r="Q820" i="3" s="1"/>
  <c r="B821" i="3"/>
  <c r="R820" i="3" l="1"/>
  <c r="K821" i="3"/>
  <c r="D821" i="3"/>
  <c r="L820" i="3"/>
  <c r="S820" i="3" s="1"/>
  <c r="T820" i="3" l="1"/>
  <c r="U820" i="3" s="1"/>
  <c r="V820" i="3"/>
  <c r="G821" i="3"/>
  <c r="I821" i="3" s="1"/>
  <c r="O821" i="3"/>
  <c r="N821" i="3"/>
  <c r="Q821" i="3" l="1" a="1"/>
  <c r="Q821" i="3" s="1"/>
  <c r="P821" i="3"/>
  <c r="B822" i="3"/>
  <c r="W820" i="3"/>
  <c r="R821" i="3" l="1"/>
  <c r="K822" i="3"/>
  <c r="D822" i="3"/>
  <c r="L821" i="3"/>
  <c r="S821" i="3" s="1"/>
  <c r="G822" i="3" l="1"/>
  <c r="I822" i="3" s="1"/>
  <c r="B823" i="3" s="1"/>
  <c r="T821" i="3"/>
  <c r="U821" i="3" s="1"/>
  <c r="V821" i="3"/>
  <c r="N822" i="3"/>
  <c r="O822" i="3"/>
  <c r="D823" i="3" l="1"/>
  <c r="K823" i="3"/>
  <c r="L822" i="3"/>
  <c r="Q822" i="3" a="1"/>
  <c r="Q822" i="3" s="1"/>
  <c r="P822" i="3"/>
  <c r="W821" i="3"/>
  <c r="R822" i="3" l="1"/>
  <c r="S822" i="3"/>
  <c r="V822" i="3" s="1"/>
  <c r="W822" i="3" s="1"/>
  <c r="O823" i="3"/>
  <c r="G823" i="3"/>
  <c r="N823" i="3"/>
  <c r="T822" i="3" l="1"/>
  <c r="U822" i="3" s="1"/>
  <c r="P823" i="3"/>
  <c r="Q823" i="3" a="1"/>
  <c r="Q823" i="3" s="1"/>
  <c r="I823" i="3"/>
  <c r="R823" i="3" l="1"/>
  <c r="B824" i="3"/>
  <c r="K824" i="3" l="1"/>
  <c r="D824" i="3"/>
  <c r="L823" i="3"/>
  <c r="S823" i="3" s="1"/>
  <c r="T823" i="3" l="1"/>
  <c r="U823" i="3" s="1"/>
  <c r="V823" i="3"/>
  <c r="W823" i="3" s="1"/>
  <c r="N824" i="3"/>
  <c r="O824" i="3"/>
  <c r="G824" i="3"/>
  <c r="P824" i="3" l="1"/>
  <c r="Q824" i="3" a="1"/>
  <c r="Q824" i="3" s="1"/>
  <c r="R824" i="3" s="1"/>
  <c r="I824" i="3"/>
  <c r="B825" i="3" l="1"/>
  <c r="D825" i="3" l="1"/>
  <c r="K825" i="3"/>
  <c r="L824" i="3"/>
  <c r="S824" i="3" s="1"/>
  <c r="N825" i="3" l="1"/>
  <c r="G825" i="3"/>
  <c r="I825" i="3" s="1"/>
  <c r="O825" i="3"/>
  <c r="V824" i="3"/>
  <c r="T824" i="3"/>
  <c r="U824" i="3" s="1"/>
  <c r="W824" i="3" l="1"/>
  <c r="Q825" i="3" a="1"/>
  <c r="Q825" i="3" s="1"/>
  <c r="P825" i="3"/>
  <c r="B826" i="3"/>
  <c r="R825" i="3" l="1"/>
  <c r="D826" i="3"/>
  <c r="K826" i="3"/>
  <c r="L825" i="3"/>
  <c r="S825" i="3" s="1"/>
  <c r="T825" i="3" l="1"/>
  <c r="U825" i="3" s="1"/>
  <c r="V825" i="3"/>
  <c r="O826" i="3"/>
  <c r="N826" i="3"/>
  <c r="G826" i="3"/>
  <c r="Q826" i="3" l="1" a="1"/>
  <c r="Q826" i="3" s="1"/>
  <c r="P826" i="3"/>
  <c r="W825" i="3"/>
  <c r="I826" i="3"/>
  <c r="B827" i="3" s="1"/>
  <c r="R826" i="3" l="1"/>
  <c r="D827" i="3"/>
  <c r="K827" i="3"/>
  <c r="L826" i="3"/>
  <c r="S826" i="3" s="1"/>
  <c r="T826" i="3" l="1"/>
  <c r="U826" i="3" s="1"/>
  <c r="V826" i="3"/>
  <c r="W826" i="3" s="1"/>
  <c r="O827" i="3"/>
  <c r="N827" i="3"/>
  <c r="G827" i="3"/>
  <c r="I827" i="3" s="1"/>
  <c r="P827" i="3" l="1"/>
  <c r="Q827" i="3" a="1"/>
  <c r="Q827" i="3" s="1"/>
  <c r="R827" i="3" s="1"/>
  <c r="B828" i="3"/>
  <c r="K828" i="3" l="1"/>
  <c r="D828" i="3"/>
  <c r="L827" i="3"/>
  <c r="S827" i="3" s="1"/>
  <c r="G828" i="3" l="1"/>
  <c r="I828" i="3" s="1"/>
  <c r="B829" i="3" s="1"/>
  <c r="V827" i="3"/>
  <c r="W827" i="3" s="1"/>
  <c r="T827" i="3"/>
  <c r="U827" i="3" s="1"/>
  <c r="N828" i="3"/>
  <c r="O828" i="3"/>
  <c r="K829" i="3" l="1"/>
  <c r="D829" i="3"/>
  <c r="L828" i="3"/>
  <c r="P828" i="3"/>
  <c r="Q828" i="3" a="1"/>
  <c r="Q828" i="3" s="1"/>
  <c r="R828" i="3" l="1"/>
  <c r="O829" i="3"/>
  <c r="N829" i="3"/>
  <c r="G829" i="3"/>
  <c r="S828" i="3"/>
  <c r="V828" i="3" l="1"/>
  <c r="T828" i="3"/>
  <c r="U828" i="3" s="1"/>
  <c r="I829" i="3"/>
  <c r="B830" i="3" s="1"/>
  <c r="Q829" i="3" a="1"/>
  <c r="Q829" i="3" s="1"/>
  <c r="R829" i="3" s="1"/>
  <c r="P829" i="3"/>
  <c r="L829" i="3" l="1"/>
  <c r="S829" i="3" s="1"/>
  <c r="K830" i="3"/>
  <c r="D830" i="3"/>
  <c r="W828" i="3"/>
  <c r="T829" i="3" l="1"/>
  <c r="U829" i="3" s="1"/>
  <c r="V829" i="3"/>
  <c r="W829" i="3" s="1"/>
  <c r="G830" i="3"/>
  <c r="I830" i="3" s="1"/>
  <c r="O830" i="3"/>
  <c r="N830" i="3"/>
  <c r="Q830" i="3" l="1" a="1"/>
  <c r="Q830" i="3" s="1"/>
  <c r="P830" i="3"/>
  <c r="B831" i="3"/>
  <c r="R830" i="3" l="1"/>
  <c r="D831" i="3"/>
  <c r="K831" i="3"/>
  <c r="L830" i="3"/>
  <c r="S830" i="3" s="1"/>
  <c r="T830" i="3" l="1"/>
  <c r="U830" i="3" s="1"/>
  <c r="V830" i="3"/>
  <c r="O831" i="3"/>
  <c r="N831" i="3"/>
  <c r="G831" i="3"/>
  <c r="Q831" i="3" l="1" a="1"/>
  <c r="Q831" i="3" s="1"/>
  <c r="P831" i="3"/>
  <c r="W830" i="3"/>
  <c r="I831" i="3"/>
  <c r="B832" i="3" s="1"/>
  <c r="R831" i="3" l="1"/>
  <c r="D832" i="3"/>
  <c r="K832" i="3"/>
  <c r="L831" i="3"/>
  <c r="S831" i="3" s="1"/>
  <c r="T831" i="3" l="1"/>
  <c r="U831" i="3" s="1"/>
  <c r="V831" i="3"/>
  <c r="W831" i="3" s="1"/>
  <c r="O832" i="3"/>
  <c r="G832" i="3"/>
  <c r="N832" i="3"/>
  <c r="I832" i="3" l="1"/>
  <c r="P832" i="3"/>
  <c r="Q832" i="3" a="1"/>
  <c r="Q832" i="3" s="1"/>
  <c r="R832" i="3" s="1"/>
  <c r="B833" i="3" l="1"/>
  <c r="D833" i="3" l="1"/>
  <c r="K833" i="3"/>
  <c r="L832" i="3"/>
  <c r="S832" i="3" s="1"/>
  <c r="O833" i="3" l="1"/>
  <c r="N833" i="3"/>
  <c r="G833" i="3"/>
  <c r="I833" i="3" s="1"/>
  <c r="V832" i="3"/>
  <c r="T832" i="3"/>
  <c r="U832" i="3" s="1"/>
  <c r="W832" i="3" l="1"/>
  <c r="B834" i="3"/>
  <c r="P833" i="3"/>
  <c r="Q833" i="3" a="1"/>
  <c r="Q833" i="3" s="1"/>
  <c r="R833" i="3" s="1"/>
  <c r="K834" i="3" l="1"/>
  <c r="D834" i="3"/>
  <c r="L833" i="3"/>
  <c r="S833" i="3" s="1"/>
  <c r="T833" i="3" l="1"/>
  <c r="U833" i="3" s="1"/>
  <c r="V833" i="3"/>
  <c r="G834" i="3"/>
  <c r="I834" i="3" s="1"/>
  <c r="O834" i="3"/>
  <c r="N834" i="3"/>
  <c r="P834" i="3" l="1"/>
  <c r="Q834" i="3" a="1"/>
  <c r="Q834" i="3" s="1"/>
  <c r="B835" i="3"/>
  <c r="L834" i="3" s="1"/>
  <c r="W833" i="3"/>
  <c r="R834" i="3" l="1"/>
  <c r="D835" i="3"/>
  <c r="K835" i="3"/>
  <c r="S834" i="3"/>
  <c r="T834" i="3" l="1"/>
  <c r="U834" i="3" s="1"/>
  <c r="V834" i="3"/>
  <c r="W834" i="3" s="1"/>
  <c r="O835" i="3"/>
  <c r="N835" i="3"/>
  <c r="G835" i="3"/>
  <c r="Q835" i="3" l="1" a="1"/>
  <c r="Q835" i="3" s="1"/>
  <c r="P835" i="3"/>
  <c r="I835" i="3"/>
  <c r="R835" i="3" l="1"/>
  <c r="B836" i="3"/>
  <c r="K836" i="3" l="1"/>
  <c r="D836" i="3"/>
  <c r="L835" i="3"/>
  <c r="S835" i="3" s="1"/>
  <c r="G836" i="3" l="1"/>
  <c r="I836" i="3" s="1"/>
  <c r="B837" i="3" s="1"/>
  <c r="V835" i="3"/>
  <c r="T835" i="3"/>
  <c r="U835" i="3" s="1"/>
  <c r="N836" i="3"/>
  <c r="O836" i="3"/>
  <c r="W835" i="3" l="1"/>
  <c r="Q836" i="3" a="1"/>
  <c r="Q836" i="3" s="1"/>
  <c r="P836" i="3"/>
  <c r="D837" i="3"/>
  <c r="K837" i="3"/>
  <c r="L836" i="3"/>
  <c r="R836" i="3" l="1"/>
  <c r="S836" i="3"/>
  <c r="T836" i="3" s="1"/>
  <c r="U836" i="3" s="1"/>
  <c r="N837" i="3"/>
  <c r="O837" i="3"/>
  <c r="G837" i="3"/>
  <c r="I837" i="3" s="1"/>
  <c r="V836" i="3" l="1"/>
  <c r="W836" i="3" s="1"/>
  <c r="Q837" i="3" a="1"/>
  <c r="Q837" i="3" s="1"/>
  <c r="P837" i="3"/>
  <c r="B838" i="3"/>
  <c r="L837" i="3" s="1"/>
  <c r="R837" i="3" l="1"/>
  <c r="K838" i="3"/>
  <c r="D838" i="3"/>
  <c r="S837" i="3"/>
  <c r="T837" i="3" l="1"/>
  <c r="U837" i="3" s="1"/>
  <c r="V837" i="3"/>
  <c r="N838" i="3"/>
  <c r="O838" i="3"/>
  <c r="G838" i="3"/>
  <c r="P838" i="3" l="1"/>
  <c r="Q838" i="3" a="1"/>
  <c r="Q838" i="3" s="1"/>
  <c r="W837" i="3"/>
  <c r="I838" i="3"/>
  <c r="R838" i="3" l="1"/>
  <c r="B839" i="3"/>
  <c r="K839" i="3" l="1"/>
  <c r="D839" i="3"/>
  <c r="L838" i="3"/>
  <c r="S838" i="3" s="1"/>
  <c r="O839" i="3" l="1"/>
  <c r="G839" i="3"/>
  <c r="I839" i="3" s="1"/>
  <c r="N839" i="3"/>
  <c r="T838" i="3"/>
  <c r="U838" i="3" s="1"/>
  <c r="V838" i="3"/>
  <c r="W838" i="3" s="1"/>
  <c r="B840" i="3" l="1"/>
  <c r="Q839" i="3" a="1"/>
  <c r="Q839" i="3" s="1"/>
  <c r="P839" i="3"/>
  <c r="R839" i="3" l="1"/>
  <c r="K840" i="3"/>
  <c r="D840" i="3"/>
  <c r="L839" i="3"/>
  <c r="S839" i="3" s="1"/>
  <c r="V839" i="3" l="1"/>
  <c r="T839" i="3"/>
  <c r="U839" i="3" s="1"/>
  <c r="N840" i="3"/>
  <c r="O840" i="3"/>
  <c r="G840" i="3"/>
  <c r="P840" i="3" l="1"/>
  <c r="Q840" i="3" a="1"/>
  <c r="Q840" i="3" s="1"/>
  <c r="I840" i="3"/>
  <c r="W839" i="3"/>
  <c r="R840" i="3" l="1"/>
  <c r="B841" i="3"/>
  <c r="D841" i="3" l="1"/>
  <c r="K841" i="3"/>
  <c r="L840" i="3"/>
  <c r="S840" i="3" s="1"/>
  <c r="N841" i="3" l="1"/>
  <c r="G841" i="3"/>
  <c r="I841" i="3" s="1"/>
  <c r="O841" i="3"/>
  <c r="T840" i="3"/>
  <c r="U840" i="3" s="1"/>
  <c r="V840" i="3"/>
  <c r="W840" i="3" l="1"/>
  <c r="P841" i="3"/>
  <c r="Q841" i="3" a="1"/>
  <c r="Q841" i="3" s="1"/>
  <c r="B842" i="3"/>
  <c r="R841" i="3" l="1"/>
  <c r="D842" i="3"/>
  <c r="K842" i="3"/>
  <c r="L841" i="3"/>
  <c r="S841" i="3" s="1"/>
  <c r="T841" i="3" l="1"/>
  <c r="U841" i="3" s="1"/>
  <c r="V841" i="3"/>
  <c r="G842" i="3"/>
  <c r="I842" i="3" s="1"/>
  <c r="N842" i="3"/>
  <c r="O842" i="3"/>
  <c r="B843" i="3" l="1"/>
  <c r="W841" i="3"/>
  <c r="Q842" i="3" a="1"/>
  <c r="Q842" i="3" s="1"/>
  <c r="R842" i="3" s="1"/>
  <c r="P842" i="3"/>
  <c r="K843" i="3" l="1"/>
  <c r="D843" i="3"/>
  <c r="L842" i="3"/>
  <c r="S842" i="3" s="1"/>
  <c r="T842" i="3" l="1"/>
  <c r="U842" i="3" s="1"/>
  <c r="V842" i="3"/>
  <c r="G843" i="3"/>
  <c r="I843" i="3" s="1"/>
  <c r="O843" i="3"/>
  <c r="N843" i="3"/>
  <c r="P843" i="3" l="1"/>
  <c r="Q843" i="3" a="1"/>
  <c r="Q843" i="3" s="1"/>
  <c r="B844" i="3"/>
  <c r="W842" i="3"/>
  <c r="R843" i="3" l="1"/>
  <c r="K844" i="3"/>
  <c r="D844" i="3"/>
  <c r="L843" i="3"/>
  <c r="S843" i="3" s="1"/>
  <c r="T843" i="3" l="1"/>
  <c r="U843" i="3" s="1"/>
  <c r="V843" i="3"/>
  <c r="O844" i="3"/>
  <c r="G844" i="3"/>
  <c r="N844" i="3"/>
  <c r="I844" i="3" l="1"/>
  <c r="Q844" i="3" a="1"/>
  <c r="Q844" i="3" s="1"/>
  <c r="P844" i="3"/>
  <c r="W843" i="3"/>
  <c r="R844" i="3" l="1"/>
  <c r="B845" i="3"/>
  <c r="K845" i="3" l="1"/>
  <c r="D845" i="3"/>
  <c r="L844" i="3"/>
  <c r="S844" i="3" s="1"/>
  <c r="T844" i="3" l="1"/>
  <c r="U844" i="3" s="1"/>
  <c r="V844" i="3"/>
  <c r="O845" i="3"/>
  <c r="N845" i="3"/>
  <c r="G845" i="3"/>
  <c r="Q845" i="3" l="1" a="1"/>
  <c r="Q845" i="3" s="1"/>
  <c r="P845" i="3"/>
  <c r="W844" i="3"/>
  <c r="I845" i="3"/>
  <c r="B846" i="3" s="1"/>
  <c r="R845" i="3" l="1"/>
  <c r="D846" i="3"/>
  <c r="K846" i="3"/>
  <c r="L845" i="3"/>
  <c r="S845" i="3" s="1"/>
  <c r="T845" i="3" l="1"/>
  <c r="U845" i="3" s="1"/>
  <c r="V845" i="3"/>
  <c r="W845" i="3" s="1"/>
  <c r="N846" i="3"/>
  <c r="G846" i="3"/>
  <c r="I846" i="3" s="1"/>
  <c r="O846" i="3"/>
  <c r="B847" i="3" l="1"/>
  <c r="Q846" i="3" a="1"/>
  <c r="Q846" i="3" s="1"/>
  <c r="P846" i="3"/>
  <c r="R846" i="3" l="1"/>
  <c r="K847" i="3"/>
  <c r="D847" i="3"/>
  <c r="L846" i="3"/>
  <c r="S846" i="3" s="1"/>
  <c r="V846" i="3" l="1"/>
  <c r="T846" i="3"/>
  <c r="U846" i="3" s="1"/>
  <c r="O847" i="3"/>
  <c r="N847" i="3"/>
  <c r="G847" i="3"/>
  <c r="Q847" i="3" l="1" a="1"/>
  <c r="Q847" i="3" s="1"/>
  <c r="P847" i="3"/>
  <c r="I847" i="3"/>
  <c r="W846" i="3"/>
  <c r="R847" i="3" l="1"/>
  <c r="B848" i="3"/>
  <c r="K848" i="3" l="1"/>
  <c r="D848" i="3"/>
  <c r="L847" i="3"/>
  <c r="S847" i="3" s="1"/>
  <c r="G848" i="3" l="1"/>
  <c r="I848" i="3" s="1"/>
  <c r="O848" i="3"/>
  <c r="N848" i="3"/>
  <c r="T847" i="3"/>
  <c r="U847" i="3" s="1"/>
  <c r="V847" i="3"/>
  <c r="W847" i="3" l="1"/>
  <c r="Q848" i="3" a="1"/>
  <c r="Q848" i="3" s="1"/>
  <c r="P848" i="3"/>
  <c r="B849" i="3"/>
  <c r="R848" i="3" l="1"/>
  <c r="K849" i="3"/>
  <c r="D849" i="3"/>
  <c r="L848" i="3"/>
  <c r="S848" i="3" s="1"/>
  <c r="T848" i="3" l="1"/>
  <c r="U848" i="3" s="1"/>
  <c r="V848" i="3"/>
  <c r="G849" i="3"/>
  <c r="O849" i="3"/>
  <c r="N849" i="3"/>
  <c r="P849" i="3" l="1"/>
  <c r="Q849" i="3" a="1"/>
  <c r="Q849" i="3" s="1"/>
  <c r="I849" i="3"/>
  <c r="W848" i="3"/>
  <c r="R849" i="3" l="1"/>
  <c r="B850" i="3"/>
  <c r="K850" i="3" l="1"/>
  <c r="D850" i="3"/>
  <c r="L849" i="3"/>
  <c r="S849" i="3" s="1"/>
  <c r="T849" i="3" l="1"/>
  <c r="U849" i="3" s="1"/>
  <c r="V849" i="3"/>
  <c r="G850" i="3"/>
  <c r="I850" i="3" s="1"/>
  <c r="O850" i="3"/>
  <c r="N850" i="3"/>
  <c r="Q850" i="3" l="1" a="1"/>
  <c r="Q850" i="3" s="1"/>
  <c r="P850" i="3"/>
  <c r="B851" i="3"/>
  <c r="W849" i="3"/>
  <c r="R850" i="3" l="1"/>
  <c r="D851" i="3"/>
  <c r="K851" i="3"/>
  <c r="L850" i="3"/>
  <c r="S850" i="3" s="1"/>
  <c r="T850" i="3" l="1"/>
  <c r="U850" i="3" s="1"/>
  <c r="V850" i="3"/>
  <c r="O851" i="3"/>
  <c r="G851" i="3"/>
  <c r="N851" i="3"/>
  <c r="I851" i="3" l="1"/>
  <c r="Q851" i="3" a="1"/>
  <c r="Q851" i="3" s="1"/>
  <c r="P851" i="3"/>
  <c r="W850" i="3"/>
  <c r="R851" i="3" l="1"/>
  <c r="B852" i="3"/>
  <c r="K852" i="3" l="1"/>
  <c r="D852" i="3"/>
  <c r="L851" i="3"/>
  <c r="S851" i="3" s="1"/>
  <c r="T851" i="3" l="1"/>
  <c r="U851" i="3" s="1"/>
  <c r="V851" i="3"/>
  <c r="G852" i="3"/>
  <c r="I852" i="3" s="1"/>
  <c r="O852" i="3"/>
  <c r="N852" i="3"/>
  <c r="P852" i="3" l="1"/>
  <c r="Q852" i="3" a="1"/>
  <c r="Q852" i="3" s="1"/>
  <c r="B853" i="3"/>
  <c r="W851" i="3"/>
  <c r="R852" i="3" l="1"/>
  <c r="D853" i="3"/>
  <c r="K853" i="3"/>
  <c r="L852" i="3"/>
  <c r="S852" i="3" s="1"/>
  <c r="T852" i="3" l="1"/>
  <c r="U852" i="3" s="1"/>
  <c r="V852" i="3"/>
  <c r="W852" i="3" s="1"/>
  <c r="N853" i="3"/>
  <c r="O853" i="3"/>
  <c r="G853" i="3"/>
  <c r="Q853" i="3" l="1" a="1"/>
  <c r="Q853" i="3" s="1"/>
  <c r="P853" i="3"/>
  <c r="I853" i="3"/>
  <c r="R853" i="3" l="1"/>
  <c r="B854" i="3"/>
  <c r="K854" i="3" l="1"/>
  <c r="D854" i="3"/>
  <c r="L853" i="3"/>
  <c r="S853" i="3" s="1"/>
  <c r="G854" i="3" l="1"/>
  <c r="I854" i="3" s="1"/>
  <c r="O854" i="3"/>
  <c r="N854" i="3"/>
  <c r="V853" i="3"/>
  <c r="W853" i="3" s="1"/>
  <c r="T853" i="3"/>
  <c r="U853" i="3" s="1"/>
  <c r="P854" i="3" l="1"/>
  <c r="Q854" i="3" a="1"/>
  <c r="Q854" i="3" s="1"/>
  <c r="R854" i="3" s="1"/>
  <c r="B855" i="3"/>
  <c r="D855" i="3" l="1"/>
  <c r="K855" i="3"/>
  <c r="L854" i="3"/>
  <c r="S854" i="3" s="1"/>
  <c r="V854" i="3" l="1"/>
  <c r="W854" i="3" s="1"/>
  <c r="T854" i="3"/>
  <c r="U854" i="3" s="1"/>
  <c r="N855" i="3"/>
  <c r="O855" i="3"/>
  <c r="G855" i="3"/>
  <c r="I855" i="3" s="1"/>
  <c r="P855" i="3" l="1"/>
  <c r="Q855" i="3" a="1"/>
  <c r="Q855" i="3" s="1"/>
  <c r="R855" i="3" s="1"/>
  <c r="B856" i="3"/>
  <c r="D856" i="3" l="1"/>
  <c r="K856" i="3"/>
  <c r="L855" i="3"/>
  <c r="S855" i="3" s="1"/>
  <c r="N856" i="3" l="1"/>
  <c r="O856" i="3"/>
  <c r="G856" i="3"/>
  <c r="I856" i="3" s="1"/>
  <c r="V855" i="3"/>
  <c r="T855" i="3"/>
  <c r="U855" i="3" s="1"/>
  <c r="B857" i="3" l="1"/>
  <c r="W855" i="3"/>
  <c r="Q856" i="3" a="1"/>
  <c r="Q856" i="3" s="1"/>
  <c r="R856" i="3" s="1"/>
  <c r="P856" i="3"/>
  <c r="D857" i="3" l="1"/>
  <c r="K857" i="3"/>
  <c r="L856" i="3"/>
  <c r="S856" i="3" s="1"/>
  <c r="T856" i="3" l="1"/>
  <c r="U856" i="3" s="1"/>
  <c r="V856" i="3"/>
  <c r="G857" i="3"/>
  <c r="I857" i="3" s="1"/>
  <c r="O857" i="3"/>
  <c r="N857" i="3"/>
  <c r="Q857" i="3" l="1" a="1"/>
  <c r="Q857" i="3" s="1"/>
  <c r="P857" i="3"/>
  <c r="B858" i="3"/>
  <c r="W856" i="3"/>
  <c r="R857" i="3" l="1"/>
  <c r="D858" i="3"/>
  <c r="K858" i="3"/>
  <c r="L857" i="3"/>
  <c r="S857" i="3" s="1"/>
  <c r="T857" i="3" l="1"/>
  <c r="U857" i="3" s="1"/>
  <c r="V857" i="3"/>
  <c r="O858" i="3"/>
  <c r="N858" i="3"/>
  <c r="G858" i="3"/>
  <c r="P858" i="3" l="1"/>
  <c r="Q858" i="3" a="1"/>
  <c r="Q858" i="3" s="1"/>
  <c r="R858" i="3" s="1"/>
  <c r="W857" i="3"/>
  <c r="I858" i="3"/>
  <c r="B859" i="3" l="1"/>
  <c r="K859" i="3" l="1"/>
  <c r="D859" i="3"/>
  <c r="L858" i="3"/>
  <c r="S858" i="3" s="1"/>
  <c r="T858" i="3" l="1"/>
  <c r="U858" i="3" s="1"/>
  <c r="V858" i="3"/>
  <c r="O859" i="3"/>
  <c r="N859" i="3"/>
  <c r="G859" i="3"/>
  <c r="I859" i="3" s="1"/>
  <c r="Q859" i="3" l="1" a="1"/>
  <c r="Q859" i="3" s="1"/>
  <c r="P859" i="3"/>
  <c r="W858" i="3"/>
  <c r="B860" i="3"/>
  <c r="L859" i="3" s="1"/>
  <c r="R859" i="3" l="1"/>
  <c r="K860" i="3"/>
  <c r="D860" i="3"/>
  <c r="S859" i="3"/>
  <c r="T859" i="3" l="1"/>
  <c r="U859" i="3" s="1"/>
  <c r="V859" i="3"/>
  <c r="G860" i="3"/>
  <c r="O860" i="3"/>
  <c r="N860" i="3"/>
  <c r="P860" i="3" l="1"/>
  <c r="Q860" i="3" a="1"/>
  <c r="Q860" i="3" s="1"/>
  <c r="I860" i="3"/>
  <c r="W859" i="3"/>
  <c r="R860" i="3" l="1"/>
  <c r="B861" i="3"/>
  <c r="D861" i="3" l="1"/>
  <c r="K861" i="3"/>
  <c r="L860" i="3"/>
  <c r="S860" i="3" s="1"/>
  <c r="G861" i="3" l="1"/>
  <c r="N861" i="3"/>
  <c r="O861" i="3"/>
  <c r="T860" i="3"/>
  <c r="U860" i="3" s="1"/>
  <c r="V860" i="3"/>
  <c r="P861" i="3" l="1"/>
  <c r="Q861" i="3" a="1"/>
  <c r="Q861" i="3" s="1"/>
  <c r="W860" i="3"/>
  <c r="I861" i="3"/>
  <c r="R861" i="3" l="1"/>
  <c r="B862" i="3"/>
  <c r="D862" i="3" l="1"/>
  <c r="K862" i="3"/>
  <c r="L861" i="3"/>
  <c r="S861" i="3" s="1"/>
  <c r="T861" i="3" l="1"/>
  <c r="U861" i="3" s="1"/>
  <c r="V861" i="3"/>
  <c r="O862" i="3"/>
  <c r="G862" i="3"/>
  <c r="N862" i="3"/>
  <c r="I862" i="3" l="1"/>
  <c r="Q862" i="3" a="1"/>
  <c r="Q862" i="3" s="1"/>
  <c r="P862" i="3"/>
  <c r="W861" i="3"/>
  <c r="R862" i="3" l="1"/>
  <c r="B863" i="3"/>
  <c r="D863" i="3" l="1"/>
  <c r="K863" i="3"/>
  <c r="L862" i="3"/>
  <c r="S862" i="3" s="1"/>
  <c r="T862" i="3" l="1"/>
  <c r="U862" i="3" s="1"/>
  <c r="V862" i="3"/>
  <c r="N863" i="3"/>
  <c r="G863" i="3"/>
  <c r="O863" i="3"/>
  <c r="I863" i="3" l="1"/>
  <c r="W862" i="3"/>
  <c r="Q863" i="3" a="1"/>
  <c r="Q863" i="3" s="1"/>
  <c r="R863" i="3" s="1"/>
  <c r="P863" i="3"/>
  <c r="B864" i="3" l="1"/>
  <c r="K864" i="3" l="1"/>
  <c r="D864" i="3"/>
  <c r="L863" i="3"/>
  <c r="S863" i="3" s="1"/>
  <c r="T863" i="3" l="1"/>
  <c r="U863" i="3" s="1"/>
  <c r="V863" i="3"/>
  <c r="O864" i="3"/>
  <c r="G864" i="3"/>
  <c r="I864" i="3" s="1"/>
  <c r="N864" i="3"/>
  <c r="B865" i="3" l="1"/>
  <c r="P864" i="3"/>
  <c r="Q864" i="3" a="1"/>
  <c r="Q864" i="3" s="1"/>
  <c r="W863" i="3"/>
  <c r="R864" i="3" l="1"/>
  <c r="D865" i="3"/>
  <c r="K865" i="3"/>
  <c r="L864" i="3"/>
  <c r="S864" i="3" s="1"/>
  <c r="T864" i="3" l="1"/>
  <c r="U864" i="3" s="1"/>
  <c r="V864" i="3"/>
  <c r="W864" i="3" s="1"/>
  <c r="N865" i="3"/>
  <c r="G865" i="3"/>
  <c r="I865" i="3" s="1"/>
  <c r="O865" i="3"/>
  <c r="B866" i="3" l="1"/>
  <c r="P865" i="3"/>
  <c r="Q865" i="3" a="1"/>
  <c r="Q865" i="3" s="1"/>
  <c r="R865" i="3" s="1"/>
  <c r="D866" i="3" l="1"/>
  <c r="K866" i="3"/>
  <c r="L865" i="3"/>
  <c r="S865" i="3" s="1"/>
  <c r="V865" i="3" l="1"/>
  <c r="T865" i="3"/>
  <c r="U865" i="3" s="1"/>
  <c r="N866" i="3"/>
  <c r="O866" i="3"/>
  <c r="G866" i="3"/>
  <c r="I866" i="3" s="1"/>
  <c r="Q866" i="3" l="1" a="1"/>
  <c r="Q866" i="3" s="1"/>
  <c r="P866" i="3"/>
  <c r="B867" i="3"/>
  <c r="W865" i="3"/>
  <c r="R866" i="3" l="1"/>
  <c r="K867" i="3"/>
  <c r="D867" i="3"/>
  <c r="L866" i="3"/>
  <c r="S866" i="3" s="1"/>
  <c r="T866" i="3" l="1"/>
  <c r="U866" i="3" s="1"/>
  <c r="V866" i="3"/>
  <c r="O867" i="3"/>
  <c r="G867" i="3"/>
  <c r="N867" i="3"/>
  <c r="I867" i="3" l="1"/>
  <c r="Q867" i="3" a="1"/>
  <c r="Q867" i="3" s="1"/>
  <c r="P867" i="3"/>
  <c r="W866" i="3"/>
  <c r="R867" i="3" l="1"/>
  <c r="B868" i="3"/>
  <c r="D868" i="3" l="1"/>
  <c r="K868" i="3"/>
  <c r="L867" i="3"/>
  <c r="S867" i="3" s="1"/>
  <c r="T867" i="3" l="1"/>
  <c r="U867" i="3" s="1"/>
  <c r="V867" i="3"/>
  <c r="O868" i="3"/>
  <c r="N868" i="3"/>
  <c r="G868" i="3"/>
  <c r="P868" i="3" l="1"/>
  <c r="Q868" i="3" a="1"/>
  <c r="Q868" i="3" s="1"/>
  <c r="W867" i="3"/>
  <c r="I868" i="3"/>
  <c r="R868" i="3" l="1"/>
  <c r="B869" i="3"/>
  <c r="K869" i="3" l="1"/>
  <c r="D869" i="3"/>
  <c r="L868" i="3"/>
  <c r="S868" i="3" s="1"/>
  <c r="T868" i="3" l="1"/>
  <c r="U868" i="3" s="1"/>
  <c r="V868" i="3"/>
  <c r="N869" i="3"/>
  <c r="G869" i="3"/>
  <c r="O869" i="3"/>
  <c r="I869" i="3" l="1"/>
  <c r="W868" i="3"/>
  <c r="P869" i="3"/>
  <c r="Q869" i="3" a="1"/>
  <c r="Q869" i="3" s="1"/>
  <c r="R869" i="3" s="1"/>
  <c r="B870" i="3" l="1"/>
  <c r="D870" i="3" l="1"/>
  <c r="K870" i="3"/>
  <c r="L869" i="3"/>
  <c r="S869" i="3" s="1"/>
  <c r="T869" i="3" l="1"/>
  <c r="U869" i="3" s="1"/>
  <c r="V869" i="3"/>
  <c r="O870" i="3"/>
  <c r="N870" i="3"/>
  <c r="G870" i="3"/>
  <c r="P870" i="3" l="1"/>
  <c r="Q870" i="3" a="1"/>
  <c r="Q870" i="3" s="1"/>
  <c r="W869" i="3"/>
  <c r="I870" i="3"/>
  <c r="R870" i="3" l="1"/>
  <c r="B871" i="3"/>
  <c r="D871" i="3" l="1"/>
  <c r="K871" i="3"/>
  <c r="L870" i="3"/>
  <c r="S870" i="3" s="1"/>
  <c r="N871" i="3" l="1"/>
  <c r="O871" i="3"/>
  <c r="G871" i="3"/>
  <c r="T870" i="3"/>
  <c r="U870" i="3" s="1"/>
  <c r="V870" i="3"/>
  <c r="W870" i="3" l="1"/>
  <c r="I871" i="3"/>
  <c r="P871" i="3"/>
  <c r="Q871" i="3" a="1"/>
  <c r="Q871" i="3" s="1"/>
  <c r="R871" i="3" s="1"/>
  <c r="B872" i="3" l="1"/>
  <c r="D872" i="3" l="1"/>
  <c r="K872" i="3"/>
  <c r="L871" i="3"/>
  <c r="S871" i="3" s="1"/>
  <c r="T871" i="3" l="1"/>
  <c r="U871" i="3" s="1"/>
  <c r="V871" i="3"/>
  <c r="W871" i="3" s="1"/>
  <c r="N872" i="3"/>
  <c r="O872" i="3"/>
  <c r="G872" i="3"/>
  <c r="Q872" i="3" l="1" a="1"/>
  <c r="Q872" i="3" s="1"/>
  <c r="P872" i="3"/>
  <c r="I872" i="3"/>
  <c r="R872" i="3" l="1"/>
  <c r="B873" i="3"/>
  <c r="K873" i="3" l="1"/>
  <c r="D873" i="3"/>
  <c r="L872" i="3"/>
  <c r="S872" i="3" s="1"/>
  <c r="V872" i="3" l="1"/>
  <c r="T872" i="3"/>
  <c r="U872" i="3" s="1"/>
  <c r="G873" i="3"/>
  <c r="O873" i="3"/>
  <c r="N873" i="3"/>
  <c r="P873" i="3" l="1"/>
  <c r="Q873" i="3" a="1"/>
  <c r="Q873" i="3" s="1"/>
  <c r="R873" i="3" s="1"/>
  <c r="I873" i="3"/>
  <c r="W872" i="3"/>
  <c r="B874" i="3" l="1"/>
  <c r="D874" i="3" l="1"/>
  <c r="K874" i="3"/>
  <c r="L873" i="3"/>
  <c r="S873" i="3" s="1"/>
  <c r="T873" i="3" l="1"/>
  <c r="U873" i="3" s="1"/>
  <c r="V873" i="3"/>
  <c r="W873" i="3" s="1"/>
  <c r="G874" i="3"/>
  <c r="O874" i="3"/>
  <c r="N874" i="3"/>
  <c r="P874" i="3" l="1"/>
  <c r="Q874" i="3" a="1"/>
  <c r="Q874" i="3" s="1"/>
  <c r="R874" i="3" s="1"/>
  <c r="I874" i="3"/>
  <c r="B875" i="3" l="1"/>
  <c r="K875" i="3" l="1"/>
  <c r="D875" i="3"/>
  <c r="L874" i="3"/>
  <c r="S874" i="3" s="1"/>
  <c r="V874" i="3" l="1"/>
  <c r="T874" i="3"/>
  <c r="U874" i="3" s="1"/>
  <c r="O875" i="3"/>
  <c r="G875" i="3"/>
  <c r="I875" i="3" s="1"/>
  <c r="N875" i="3"/>
  <c r="B876" i="3" l="1"/>
  <c r="Q875" i="3" a="1"/>
  <c r="Q875" i="3" s="1"/>
  <c r="P875" i="3"/>
  <c r="W874" i="3"/>
  <c r="R875" i="3" l="1"/>
  <c r="K876" i="3"/>
  <c r="D876" i="3"/>
  <c r="L875" i="3"/>
  <c r="S875" i="3" s="1"/>
  <c r="T875" i="3" l="1"/>
  <c r="U875" i="3" s="1"/>
  <c r="V875" i="3"/>
  <c r="G876" i="3"/>
  <c r="I876" i="3" s="1"/>
  <c r="O876" i="3"/>
  <c r="N876" i="3"/>
  <c r="Q876" i="3" l="1" a="1"/>
  <c r="Q876" i="3" s="1"/>
  <c r="P876" i="3"/>
  <c r="B877" i="3"/>
  <c r="W875" i="3"/>
  <c r="R876" i="3" l="1"/>
  <c r="D877" i="3"/>
  <c r="K877" i="3"/>
  <c r="L876" i="3"/>
  <c r="S876" i="3" s="1"/>
  <c r="T876" i="3" l="1"/>
  <c r="U876" i="3" s="1"/>
  <c r="V876" i="3"/>
  <c r="O877" i="3"/>
  <c r="G877" i="3"/>
  <c r="N877" i="3"/>
  <c r="I877" i="3" l="1"/>
  <c r="Q877" i="3" a="1"/>
  <c r="Q877" i="3" s="1"/>
  <c r="P877" i="3"/>
  <c r="W876" i="3"/>
  <c r="R877" i="3" l="1"/>
  <c r="B878" i="3"/>
  <c r="D878" i="3" l="1"/>
  <c r="K878" i="3"/>
  <c r="L877" i="3"/>
  <c r="S877" i="3" s="1"/>
  <c r="O878" i="3" l="1"/>
  <c r="N878" i="3"/>
  <c r="G878" i="3"/>
  <c r="T877" i="3"/>
  <c r="U877" i="3" s="1"/>
  <c r="V877" i="3"/>
  <c r="W877" i="3" l="1"/>
  <c r="I878" i="3"/>
  <c r="P878" i="3"/>
  <c r="Q878" i="3" a="1"/>
  <c r="Q878" i="3" s="1"/>
  <c r="R878" i="3" s="1"/>
  <c r="B879" i="3" l="1"/>
  <c r="K879" i="3" l="1"/>
  <c r="D879" i="3"/>
  <c r="L878" i="3"/>
  <c r="S878" i="3" s="1"/>
  <c r="T878" i="3" l="1"/>
  <c r="U878" i="3" s="1"/>
  <c r="V878" i="3"/>
  <c r="W878" i="3" s="1"/>
  <c r="G879" i="3"/>
  <c r="O879" i="3"/>
  <c r="N879" i="3"/>
  <c r="P879" i="3" l="1"/>
  <c r="Q879" i="3" a="1"/>
  <c r="Q879" i="3" s="1"/>
  <c r="R879" i="3" s="1"/>
  <c r="I879" i="3"/>
  <c r="B880" i="3" l="1"/>
  <c r="D880" i="3" l="1"/>
  <c r="K880" i="3"/>
  <c r="L879" i="3"/>
  <c r="S879" i="3" s="1"/>
  <c r="V879" i="3" l="1"/>
  <c r="T879" i="3"/>
  <c r="U879" i="3" s="1"/>
  <c r="O880" i="3"/>
  <c r="N880" i="3"/>
  <c r="G880" i="3"/>
  <c r="Q880" i="3" l="1" a="1"/>
  <c r="Q880" i="3" s="1"/>
  <c r="P880" i="3"/>
  <c r="I880" i="3"/>
  <c r="W879" i="3"/>
  <c r="R880" i="3" l="1"/>
  <c r="B881" i="3"/>
  <c r="D881" i="3" l="1"/>
  <c r="K881" i="3"/>
  <c r="L880" i="3"/>
  <c r="S880" i="3" s="1"/>
  <c r="T880" i="3" l="1"/>
  <c r="U880" i="3" s="1"/>
  <c r="V880" i="3"/>
  <c r="W880" i="3" s="1"/>
  <c r="O881" i="3"/>
  <c r="N881" i="3"/>
  <c r="G881" i="3"/>
  <c r="Q881" i="3" l="1" a="1"/>
  <c r="Q881" i="3" s="1"/>
  <c r="P881" i="3"/>
  <c r="I881" i="3"/>
  <c r="R881" i="3" l="1"/>
  <c r="B882" i="3"/>
  <c r="K882" i="3" l="1"/>
  <c r="D882" i="3"/>
  <c r="L881" i="3"/>
  <c r="S881" i="3" s="1"/>
  <c r="G882" i="3" l="1"/>
  <c r="I882" i="3" s="1"/>
  <c r="N882" i="3"/>
  <c r="O882" i="3"/>
  <c r="V881" i="3"/>
  <c r="T881" i="3"/>
  <c r="U881" i="3" s="1"/>
  <c r="P882" i="3" l="1"/>
  <c r="Q882" i="3" a="1"/>
  <c r="Q882" i="3" s="1"/>
  <c r="W881" i="3"/>
  <c r="B883" i="3"/>
  <c r="R882" i="3" l="1"/>
  <c r="K883" i="3"/>
  <c r="D883" i="3"/>
  <c r="L882" i="3"/>
  <c r="S882" i="3" s="1"/>
  <c r="O883" i="3" l="1"/>
  <c r="N883" i="3"/>
  <c r="G883" i="3"/>
  <c r="I883" i="3" s="1"/>
  <c r="T882" i="3"/>
  <c r="U882" i="3" s="1"/>
  <c r="V882" i="3"/>
  <c r="B884" i="3" l="1"/>
  <c r="W882" i="3"/>
  <c r="Q883" i="3" a="1"/>
  <c r="Q883" i="3" s="1"/>
  <c r="R883" i="3" s="1"/>
  <c r="P883" i="3"/>
  <c r="K884" i="3" l="1"/>
  <c r="D884" i="3"/>
  <c r="L883" i="3"/>
  <c r="S883" i="3" s="1"/>
  <c r="T883" i="3" l="1"/>
  <c r="U883" i="3" s="1"/>
  <c r="V883" i="3"/>
  <c r="N884" i="3"/>
  <c r="O884" i="3"/>
  <c r="G884" i="3"/>
  <c r="I884" i="3" s="1"/>
  <c r="P884" i="3" l="1"/>
  <c r="Q884" i="3" a="1"/>
  <c r="Q884" i="3" s="1"/>
  <c r="W883" i="3"/>
  <c r="B885" i="3"/>
  <c r="K885" i="3" l="1"/>
  <c r="D885" i="3"/>
  <c r="R884" i="3"/>
  <c r="L884" i="3"/>
  <c r="S884" i="3" s="1"/>
  <c r="V884" i="3" l="1"/>
  <c r="T884" i="3"/>
  <c r="U884" i="3" s="1"/>
  <c r="G885" i="3"/>
  <c r="I885" i="3" s="1"/>
  <c r="O885" i="3"/>
  <c r="N885" i="3"/>
  <c r="P885" i="3" l="1"/>
  <c r="Q885" i="3" a="1"/>
  <c r="Q885" i="3" s="1"/>
  <c r="R885" i="3" s="1"/>
  <c r="B886" i="3"/>
  <c r="W884" i="3"/>
  <c r="K886" i="3" l="1"/>
  <c r="D886" i="3"/>
  <c r="L885" i="3"/>
  <c r="S885" i="3" s="1"/>
  <c r="N886" i="3" l="1"/>
  <c r="G886" i="3"/>
  <c r="I886" i="3" s="1"/>
  <c r="O886" i="3"/>
  <c r="T885" i="3"/>
  <c r="U885" i="3" s="1"/>
  <c r="V885" i="3"/>
  <c r="W885" i="3" l="1"/>
  <c r="Q886" i="3" a="1"/>
  <c r="Q886" i="3" s="1"/>
  <c r="P886" i="3"/>
  <c r="B887" i="3"/>
  <c r="R886" i="3" l="1"/>
  <c r="K887" i="3"/>
  <c r="D887" i="3"/>
  <c r="L886" i="3"/>
  <c r="S886" i="3" s="1"/>
  <c r="T886" i="3" l="1"/>
  <c r="U886" i="3" s="1"/>
  <c r="V886" i="3"/>
  <c r="W886" i="3" s="1"/>
  <c r="G887" i="3"/>
  <c r="I887" i="3" s="1"/>
  <c r="O887" i="3"/>
  <c r="N887" i="3"/>
  <c r="Q887" i="3" l="1" a="1"/>
  <c r="Q887" i="3" s="1"/>
  <c r="P887" i="3"/>
  <c r="B888" i="3"/>
  <c r="R887" i="3" l="1"/>
  <c r="K888" i="3"/>
  <c r="D888" i="3"/>
  <c r="L887" i="3"/>
  <c r="S887" i="3" s="1"/>
  <c r="V887" i="3" l="1"/>
  <c r="T887" i="3"/>
  <c r="U887" i="3" s="1"/>
  <c r="G888" i="3"/>
  <c r="I888" i="3" s="1"/>
  <c r="O888" i="3"/>
  <c r="N888" i="3"/>
  <c r="Q888" i="3" l="1" a="1"/>
  <c r="Q888" i="3" s="1"/>
  <c r="P888" i="3"/>
  <c r="B889" i="3"/>
  <c r="L888" i="3" s="1"/>
  <c r="W887" i="3"/>
  <c r="R888" i="3" l="1"/>
  <c r="S888" i="3"/>
  <c r="T888" i="3" s="1"/>
  <c r="U888" i="3" s="1"/>
  <c r="D889" i="3"/>
  <c r="K889" i="3"/>
  <c r="V888" i="3" l="1"/>
  <c r="W888" i="3" s="1"/>
  <c r="G889" i="3"/>
  <c r="I889" i="3" s="1"/>
  <c r="N889" i="3"/>
  <c r="O889" i="3"/>
  <c r="P889" i="3" l="1"/>
  <c r="Q889" i="3" a="1"/>
  <c r="Q889" i="3" s="1"/>
  <c r="R889" i="3" s="1"/>
  <c r="B890" i="3"/>
  <c r="L889" i="3" s="1"/>
  <c r="D890" i="3" l="1"/>
  <c r="K890" i="3"/>
  <c r="S889" i="3"/>
  <c r="T889" i="3" l="1"/>
  <c r="U889" i="3" s="1"/>
  <c r="V889" i="3"/>
  <c r="N890" i="3"/>
  <c r="O890" i="3"/>
  <c r="G890" i="3"/>
  <c r="P890" i="3" l="1"/>
  <c r="Q890" i="3" a="1"/>
  <c r="Q890" i="3" s="1"/>
  <c r="W889" i="3"/>
  <c r="I890" i="3"/>
  <c r="R890" i="3" l="1"/>
  <c r="B891" i="3"/>
  <c r="D891" i="3" l="1"/>
  <c r="K891" i="3"/>
  <c r="L890" i="3"/>
  <c r="S890" i="3" s="1"/>
  <c r="G891" i="3" l="1"/>
  <c r="I891" i="3" s="1"/>
  <c r="N891" i="3"/>
  <c r="O891" i="3"/>
  <c r="T890" i="3"/>
  <c r="U890" i="3" s="1"/>
  <c r="V890" i="3"/>
  <c r="W890" i="3" s="1"/>
  <c r="P891" i="3" l="1"/>
  <c r="Q891" i="3" a="1"/>
  <c r="Q891" i="3" s="1"/>
  <c r="R891" i="3" s="1"/>
  <c r="B892" i="3"/>
  <c r="D892" i="3" l="1"/>
  <c r="K892" i="3"/>
  <c r="L891" i="3"/>
  <c r="S891" i="3" s="1"/>
  <c r="V891" i="3" l="1"/>
  <c r="T891" i="3"/>
  <c r="U891" i="3" s="1"/>
  <c r="O892" i="3"/>
  <c r="N892" i="3"/>
  <c r="G892" i="3"/>
  <c r="I892" i="3" s="1"/>
  <c r="P892" i="3" l="1"/>
  <c r="Q892" i="3" a="1"/>
  <c r="Q892" i="3" s="1"/>
  <c r="R892" i="3" s="1"/>
  <c r="B893" i="3"/>
  <c r="W891" i="3"/>
  <c r="D893" i="3" l="1"/>
  <c r="K893" i="3"/>
  <c r="L892" i="3"/>
  <c r="S892" i="3" s="1"/>
  <c r="T892" i="3" l="1"/>
  <c r="U892" i="3" s="1"/>
  <c r="V892" i="3"/>
  <c r="W892" i="3" s="1"/>
  <c r="O893" i="3"/>
  <c r="N893" i="3"/>
  <c r="G893" i="3"/>
  <c r="I893" i="3" s="1"/>
  <c r="P893" i="3" l="1"/>
  <c r="Q893" i="3" a="1"/>
  <c r="Q893" i="3" s="1"/>
  <c r="B894" i="3"/>
  <c r="R893" i="3" l="1"/>
  <c r="D894" i="3"/>
  <c r="K894" i="3"/>
  <c r="L893" i="3"/>
  <c r="S893" i="3" s="1"/>
  <c r="O894" i="3" l="1"/>
  <c r="N894" i="3"/>
  <c r="G894" i="3"/>
  <c r="I894" i="3" s="1"/>
  <c r="V893" i="3"/>
  <c r="T893" i="3"/>
  <c r="U893" i="3" s="1"/>
  <c r="W893" i="3" l="1"/>
  <c r="B895" i="3"/>
  <c r="Q894" i="3" a="1"/>
  <c r="Q894" i="3" s="1"/>
  <c r="R894" i="3" s="1"/>
  <c r="P894" i="3"/>
  <c r="K895" i="3" l="1"/>
  <c r="D895" i="3"/>
  <c r="L894" i="3"/>
  <c r="S894" i="3" s="1"/>
  <c r="G895" i="3" l="1"/>
  <c r="I895" i="3" s="1"/>
  <c r="B896" i="3" s="1"/>
  <c r="T894" i="3"/>
  <c r="U894" i="3" s="1"/>
  <c r="V894" i="3"/>
  <c r="N895" i="3"/>
  <c r="O895" i="3"/>
  <c r="W894" i="3" l="1"/>
  <c r="P895" i="3"/>
  <c r="Q895" i="3" a="1"/>
  <c r="Q895" i="3" s="1"/>
  <c r="D896" i="3"/>
  <c r="K896" i="3"/>
  <c r="L895" i="3"/>
  <c r="R895" i="3" l="1"/>
  <c r="S895" i="3"/>
  <c r="N896" i="3"/>
  <c r="O896" i="3"/>
  <c r="G896" i="3"/>
  <c r="I896" i="3" l="1"/>
  <c r="Q896" i="3" a="1"/>
  <c r="Q896" i="3" s="1"/>
  <c r="P896" i="3"/>
  <c r="T895" i="3"/>
  <c r="U895" i="3" s="1"/>
  <c r="V895" i="3"/>
  <c r="W895" i="3" s="1"/>
  <c r="R896" i="3" l="1"/>
  <c r="B897" i="3"/>
  <c r="K897" i="3" l="1"/>
  <c r="D897" i="3"/>
  <c r="L896" i="3"/>
  <c r="S896" i="3" s="1"/>
  <c r="G897" i="3" l="1"/>
  <c r="I897" i="3" s="1"/>
  <c r="B898" i="3" s="1"/>
  <c r="V896" i="3"/>
  <c r="T896" i="3"/>
  <c r="U896" i="3" s="1"/>
  <c r="N897" i="3"/>
  <c r="O897" i="3"/>
  <c r="W896" i="3" l="1"/>
  <c r="P897" i="3"/>
  <c r="Q897" i="3" a="1"/>
  <c r="Q897" i="3" s="1"/>
  <c r="D898" i="3"/>
  <c r="K898" i="3"/>
  <c r="L897" i="3"/>
  <c r="R897" i="3" l="1"/>
  <c r="S897" i="3"/>
  <c r="N898" i="3"/>
  <c r="O898" i="3"/>
  <c r="G898" i="3"/>
  <c r="I898" i="3" s="1"/>
  <c r="B899" i="3" l="1"/>
  <c r="Q898" i="3" a="1"/>
  <c r="Q898" i="3" s="1"/>
  <c r="P898" i="3"/>
  <c r="T897" i="3"/>
  <c r="U897" i="3" s="1"/>
  <c r="V897" i="3"/>
  <c r="W897" i="3" s="1"/>
  <c r="R898" i="3" l="1"/>
  <c r="K899" i="3"/>
  <c r="D899" i="3"/>
  <c r="L898" i="3"/>
  <c r="S898" i="3" s="1"/>
  <c r="V898" i="3" l="1"/>
  <c r="T898" i="3"/>
  <c r="U898" i="3" s="1"/>
  <c r="N899" i="3"/>
  <c r="G899" i="3"/>
  <c r="I899" i="3" s="1"/>
  <c r="O899" i="3"/>
  <c r="B900" i="3" l="1"/>
  <c r="Q899" i="3" a="1"/>
  <c r="Q899" i="3" s="1"/>
  <c r="P899" i="3"/>
  <c r="W898" i="3"/>
  <c r="R899" i="3" l="1"/>
  <c r="K900" i="3"/>
  <c r="D900" i="3"/>
  <c r="L899" i="3"/>
  <c r="S899" i="3" s="1"/>
  <c r="T899" i="3" l="1"/>
  <c r="U899" i="3" s="1"/>
  <c r="V899" i="3"/>
  <c r="G900" i="3"/>
  <c r="I900" i="3" s="1"/>
  <c r="O900" i="3"/>
  <c r="N900" i="3"/>
  <c r="P900" i="3" l="1"/>
  <c r="Q900" i="3" a="1"/>
  <c r="Q900" i="3" s="1"/>
  <c r="B901" i="3"/>
  <c r="W899" i="3"/>
  <c r="R900" i="3" l="1"/>
  <c r="K901" i="3"/>
  <c r="D901" i="3"/>
  <c r="L900" i="3"/>
  <c r="S900" i="3" s="1"/>
  <c r="G901" i="3" l="1"/>
  <c r="I901" i="3" s="1"/>
  <c r="B902" i="3" s="1"/>
  <c r="T900" i="3"/>
  <c r="U900" i="3" s="1"/>
  <c r="V900" i="3"/>
  <c r="O901" i="3"/>
  <c r="N901" i="3"/>
  <c r="W900" i="3" l="1"/>
  <c r="D902" i="3"/>
  <c r="K902" i="3"/>
  <c r="P901" i="3"/>
  <c r="Q901" i="3" a="1"/>
  <c r="Q901" i="3" s="1"/>
  <c r="L901" i="3"/>
  <c r="R901" i="3" l="1"/>
  <c r="S901" i="3"/>
  <c r="G902" i="3"/>
  <c r="O902" i="3"/>
  <c r="N902" i="3"/>
  <c r="P902" i="3" l="1"/>
  <c r="Q902" i="3" a="1"/>
  <c r="Q902" i="3" s="1"/>
  <c r="I902" i="3"/>
  <c r="T901" i="3"/>
  <c r="U901" i="3" s="1"/>
  <c r="V901" i="3"/>
  <c r="R902" i="3" l="1"/>
  <c r="B903" i="3"/>
  <c r="W901" i="3"/>
  <c r="D903" i="3" l="1"/>
  <c r="K903" i="3"/>
  <c r="L902" i="3"/>
  <c r="S902" i="3" s="1"/>
  <c r="N903" i="3" l="1"/>
  <c r="G903" i="3"/>
  <c r="I903" i="3" s="1"/>
  <c r="O903" i="3"/>
  <c r="T902" i="3"/>
  <c r="U902" i="3" s="1"/>
  <c r="V902" i="3"/>
  <c r="P903" i="3" l="1"/>
  <c r="Q903" i="3" a="1"/>
  <c r="Q903" i="3" s="1"/>
  <c r="B904" i="3"/>
  <c r="W902" i="3"/>
  <c r="R903" i="3" l="1"/>
  <c r="D904" i="3"/>
  <c r="K904" i="3"/>
  <c r="L903" i="3"/>
  <c r="S903" i="3" s="1"/>
  <c r="G904" i="3" l="1"/>
  <c r="I904" i="3" s="1"/>
  <c r="N904" i="3"/>
  <c r="O904" i="3"/>
  <c r="T903" i="3"/>
  <c r="U903" i="3" s="1"/>
  <c r="V903" i="3"/>
  <c r="W903" i="3" l="1"/>
  <c r="Q904" i="3" a="1"/>
  <c r="Q904" i="3" s="1"/>
  <c r="P904" i="3"/>
  <c r="B905" i="3"/>
  <c r="R904" i="3" l="1"/>
  <c r="K905" i="3"/>
  <c r="D905" i="3"/>
  <c r="L904" i="3"/>
  <c r="S904" i="3" s="1"/>
  <c r="G905" i="3" l="1"/>
  <c r="I905" i="3" s="1"/>
  <c r="B906" i="3" s="1"/>
  <c r="T904" i="3"/>
  <c r="U904" i="3" s="1"/>
  <c r="V904" i="3"/>
  <c r="N905" i="3"/>
  <c r="O905" i="3"/>
  <c r="K906" i="3" l="1"/>
  <c r="D906" i="3"/>
  <c r="L905" i="3"/>
  <c r="Q905" i="3" a="1"/>
  <c r="Q905" i="3" s="1"/>
  <c r="P905" i="3"/>
  <c r="W904" i="3"/>
  <c r="R905" i="3" l="1"/>
  <c r="S905" i="3"/>
  <c r="G906" i="3"/>
  <c r="N906" i="3"/>
  <c r="O906" i="3"/>
  <c r="Q906" i="3" l="1" a="1"/>
  <c r="Q906" i="3" s="1"/>
  <c r="P906" i="3"/>
  <c r="I906" i="3"/>
  <c r="T905" i="3"/>
  <c r="U905" i="3" s="1"/>
  <c r="V905" i="3"/>
  <c r="R906" i="3" l="1"/>
  <c r="B907" i="3"/>
  <c r="W905" i="3"/>
  <c r="D907" i="3" l="1"/>
  <c r="K907" i="3"/>
  <c r="L906" i="3"/>
  <c r="S906" i="3" s="1"/>
  <c r="N907" i="3" l="1"/>
  <c r="G907" i="3"/>
  <c r="I907" i="3" s="1"/>
  <c r="O907" i="3"/>
  <c r="T906" i="3"/>
  <c r="U906" i="3" s="1"/>
  <c r="V906" i="3"/>
  <c r="B908" i="3" l="1"/>
  <c r="W906" i="3"/>
  <c r="P907" i="3"/>
  <c r="Q907" i="3" a="1"/>
  <c r="Q907" i="3" s="1"/>
  <c r="R907" i="3" s="1"/>
  <c r="K908" i="3" l="1"/>
  <c r="D908" i="3"/>
  <c r="L907" i="3"/>
  <c r="S907" i="3" s="1"/>
  <c r="T907" i="3" l="1"/>
  <c r="U907" i="3" s="1"/>
  <c r="V907" i="3"/>
  <c r="G908" i="3"/>
  <c r="I908" i="3" s="1"/>
  <c r="O908" i="3"/>
  <c r="N908" i="3"/>
  <c r="P908" i="3" l="1"/>
  <c r="Q908" i="3" a="1"/>
  <c r="Q908" i="3" s="1"/>
  <c r="R908" i="3" s="1"/>
  <c r="B909" i="3"/>
  <c r="L908" i="3" s="1"/>
  <c r="W907" i="3"/>
  <c r="D909" i="3" l="1"/>
  <c r="K909" i="3"/>
  <c r="S908" i="3"/>
  <c r="O909" i="3" l="1"/>
  <c r="G909" i="3"/>
  <c r="I909" i="3" s="1"/>
  <c r="N909" i="3"/>
  <c r="T908" i="3"/>
  <c r="U908" i="3" s="1"/>
  <c r="V908" i="3"/>
  <c r="W908" i="3" s="1"/>
  <c r="B910" i="3" l="1"/>
  <c r="P909" i="3"/>
  <c r="Q909" i="3" a="1"/>
  <c r="Q909" i="3" s="1"/>
  <c r="R909" i="3" l="1"/>
  <c r="K910" i="3"/>
  <c r="D910" i="3"/>
  <c r="L909" i="3"/>
  <c r="S909" i="3" s="1"/>
  <c r="V909" i="3" l="1"/>
  <c r="T909" i="3"/>
  <c r="U909" i="3" s="1"/>
  <c r="O910" i="3"/>
  <c r="N910" i="3"/>
  <c r="G910" i="3"/>
  <c r="W909" i="3" l="1"/>
  <c r="I910" i="3"/>
  <c r="P910" i="3"/>
  <c r="Q910" i="3" a="1"/>
  <c r="Q910" i="3" s="1"/>
  <c r="R910" i="3" s="1"/>
  <c r="B911" i="3" l="1"/>
  <c r="L910" i="3" s="1"/>
  <c r="S910" i="3" s="1"/>
  <c r="T910" i="3" l="1"/>
  <c r="U910" i="3" s="1"/>
  <c r="V910" i="3"/>
  <c r="W910" i="3" s="1"/>
  <c r="K911" i="3"/>
  <c r="D911" i="3"/>
  <c r="N911" i="3" l="1"/>
  <c r="O911" i="3"/>
  <c r="G911" i="3"/>
  <c r="I911" i="3" s="1"/>
  <c r="B912" i="3" l="1"/>
  <c r="Q911" i="3" a="1"/>
  <c r="Q911" i="3" s="1"/>
  <c r="P911" i="3"/>
  <c r="R911" i="3" l="1"/>
  <c r="K912" i="3"/>
  <c r="D912" i="3"/>
  <c r="L911" i="3"/>
  <c r="S911" i="3" s="1"/>
  <c r="G912" i="3" l="1"/>
  <c r="I912" i="3" s="1"/>
  <c r="B913" i="3" s="1"/>
  <c r="L912" i="3" s="1"/>
  <c r="V911" i="3"/>
  <c r="T911" i="3"/>
  <c r="U911" i="3" s="1"/>
  <c r="N912" i="3"/>
  <c r="O912" i="3"/>
  <c r="P912" i="3" l="1"/>
  <c r="S912" i="3" s="1"/>
  <c r="V912" i="3" s="1"/>
  <c r="Q912" i="3" a="1"/>
  <c r="Q912" i="3" s="1"/>
  <c r="W911" i="3"/>
  <c r="D913" i="3"/>
  <c r="K913" i="3"/>
  <c r="R912" i="3" l="1"/>
  <c r="W912" i="3"/>
  <c r="N913" i="3"/>
  <c r="G913" i="3"/>
  <c r="I913" i="3" s="1"/>
  <c r="O913" i="3"/>
  <c r="T912" i="3"/>
  <c r="U912" i="3" s="1"/>
  <c r="B914" i="3" l="1"/>
  <c r="P913" i="3"/>
  <c r="Q913" i="3" a="1"/>
  <c r="Q913" i="3" s="1"/>
  <c r="R913" i="3" l="1"/>
  <c r="D914" i="3"/>
  <c r="K914" i="3"/>
  <c r="L913" i="3"/>
  <c r="S913" i="3" s="1"/>
  <c r="T913" i="3" l="1"/>
  <c r="U913" i="3" s="1"/>
  <c r="V913" i="3"/>
  <c r="N914" i="3"/>
  <c r="O914" i="3"/>
  <c r="G914" i="3"/>
  <c r="I914" i="3" s="1"/>
  <c r="Q914" i="3" l="1" a="1"/>
  <c r="Q914" i="3" s="1"/>
  <c r="P914" i="3"/>
  <c r="W913" i="3"/>
  <c r="B915" i="3"/>
  <c r="L914" i="3" s="1"/>
  <c r="R914" i="3" l="1"/>
  <c r="K915" i="3"/>
  <c r="D915" i="3"/>
  <c r="S914" i="3"/>
  <c r="T914" i="3" l="1"/>
  <c r="U914" i="3" s="1"/>
  <c r="V914" i="3"/>
  <c r="O915" i="3"/>
  <c r="N915" i="3"/>
  <c r="G915" i="3"/>
  <c r="I915" i="3" s="1"/>
  <c r="W914" i="3" l="1"/>
  <c r="B916" i="3"/>
  <c r="Q915" i="3" a="1"/>
  <c r="Q915" i="3" s="1"/>
  <c r="R915" i="3" s="1"/>
  <c r="P915" i="3"/>
  <c r="K916" i="3" l="1"/>
  <c r="D916" i="3"/>
  <c r="L915" i="3"/>
  <c r="S915" i="3" s="1"/>
  <c r="T915" i="3" l="1"/>
  <c r="U915" i="3" s="1"/>
  <c r="V915" i="3"/>
  <c r="G916" i="3"/>
  <c r="I916" i="3" s="1"/>
  <c r="O916" i="3"/>
  <c r="N916" i="3"/>
  <c r="Q916" i="3" l="1" a="1"/>
  <c r="Q916" i="3" s="1"/>
  <c r="P916" i="3"/>
  <c r="B917" i="3"/>
  <c r="W915" i="3"/>
  <c r="R916" i="3" l="1"/>
  <c r="D917" i="3"/>
  <c r="K917" i="3"/>
  <c r="L916" i="3"/>
  <c r="S916" i="3" s="1"/>
  <c r="G917" i="3" l="1"/>
  <c r="I917" i="3" s="1"/>
  <c r="N917" i="3"/>
  <c r="O917" i="3"/>
  <c r="T916" i="3"/>
  <c r="U916" i="3" s="1"/>
  <c r="V916" i="3"/>
  <c r="B918" i="3" l="1"/>
  <c r="P917" i="3"/>
  <c r="Q917" i="3" a="1"/>
  <c r="Q917" i="3" s="1"/>
  <c r="W916" i="3"/>
  <c r="R917" i="3" l="1"/>
  <c r="D918" i="3"/>
  <c r="K918" i="3"/>
  <c r="L917" i="3"/>
  <c r="S917" i="3" s="1"/>
  <c r="T917" i="3" l="1"/>
  <c r="U917" i="3" s="1"/>
  <c r="V917" i="3"/>
  <c r="N918" i="3"/>
  <c r="O918" i="3"/>
  <c r="G918" i="3"/>
  <c r="I918" i="3" s="1"/>
  <c r="Q918" i="3" l="1" a="1"/>
  <c r="Q918" i="3" s="1"/>
  <c r="P918" i="3"/>
  <c r="W917" i="3"/>
  <c r="B919" i="3"/>
  <c r="L918" i="3" s="1"/>
  <c r="R918" i="3" l="1"/>
  <c r="K919" i="3"/>
  <c r="D919" i="3"/>
  <c r="S918" i="3"/>
  <c r="T918" i="3" l="1"/>
  <c r="U918" i="3" s="1"/>
  <c r="V918" i="3"/>
  <c r="G919" i="3"/>
  <c r="I919" i="3" s="1"/>
  <c r="O919" i="3"/>
  <c r="N919" i="3"/>
  <c r="P919" i="3" l="1"/>
  <c r="Q919" i="3" a="1"/>
  <c r="Q919" i="3" s="1"/>
  <c r="B920" i="3"/>
  <c r="W918" i="3"/>
  <c r="R919" i="3" l="1"/>
  <c r="K920" i="3"/>
  <c r="D920" i="3"/>
  <c r="L919" i="3"/>
  <c r="S919" i="3" s="1"/>
  <c r="T919" i="3" l="1"/>
  <c r="U919" i="3" s="1"/>
  <c r="V919" i="3"/>
  <c r="G920" i="3"/>
  <c r="I920" i="3" s="1"/>
  <c r="N920" i="3"/>
  <c r="O920" i="3"/>
  <c r="B921" i="3" l="1"/>
  <c r="W919" i="3"/>
  <c r="Q920" i="3" a="1"/>
  <c r="Q920" i="3" s="1"/>
  <c r="R920" i="3" s="1"/>
  <c r="P920" i="3"/>
  <c r="D921" i="3" l="1"/>
  <c r="K921" i="3"/>
  <c r="L920" i="3"/>
  <c r="S920" i="3" s="1"/>
  <c r="T920" i="3" l="1"/>
  <c r="U920" i="3" s="1"/>
  <c r="V920" i="3"/>
  <c r="O921" i="3"/>
  <c r="G921" i="3"/>
  <c r="I921" i="3" s="1"/>
  <c r="N921" i="3"/>
  <c r="B922" i="3" l="1"/>
  <c r="L921" i="3" s="1"/>
  <c r="W920" i="3"/>
  <c r="P921" i="3"/>
  <c r="Q921" i="3" a="1"/>
  <c r="Q921" i="3" s="1"/>
  <c r="R921" i="3" s="1"/>
  <c r="D922" i="3" l="1"/>
  <c r="K922" i="3"/>
  <c r="S921" i="3"/>
  <c r="O922" i="3" l="1"/>
  <c r="G922" i="3"/>
  <c r="I922" i="3" s="1"/>
  <c r="N922" i="3"/>
  <c r="T921" i="3"/>
  <c r="U921" i="3" s="1"/>
  <c r="V921" i="3"/>
  <c r="W921" i="3" s="1"/>
  <c r="B923" i="3" l="1"/>
  <c r="P922" i="3"/>
  <c r="Q922" i="3" a="1"/>
  <c r="Q922" i="3" s="1"/>
  <c r="R922" i="3" l="1"/>
  <c r="K923" i="3"/>
  <c r="D923" i="3"/>
  <c r="L922" i="3"/>
  <c r="S922" i="3" s="1"/>
  <c r="V922" i="3" l="1"/>
  <c r="T922" i="3"/>
  <c r="U922" i="3" s="1"/>
  <c r="O923" i="3"/>
  <c r="N923" i="3"/>
  <c r="G923" i="3"/>
  <c r="I923" i="3" s="1"/>
  <c r="Q923" i="3" l="1" a="1"/>
  <c r="Q923" i="3" s="1"/>
  <c r="P923" i="3"/>
  <c r="B924" i="3"/>
  <c r="W922" i="3"/>
  <c r="R923" i="3" l="1"/>
  <c r="K924" i="3"/>
  <c r="D924" i="3"/>
  <c r="L923" i="3"/>
  <c r="S923" i="3" s="1"/>
  <c r="T923" i="3" l="1"/>
  <c r="U923" i="3" s="1"/>
  <c r="V923" i="3"/>
  <c r="G924" i="3"/>
  <c r="I924" i="3" s="1"/>
  <c r="N924" i="3"/>
  <c r="O924" i="3"/>
  <c r="B925" i="3" l="1"/>
  <c r="W923" i="3"/>
  <c r="P924" i="3"/>
  <c r="Q924" i="3" a="1"/>
  <c r="Q924" i="3" s="1"/>
  <c r="R924" i="3" l="1"/>
  <c r="D925" i="3"/>
  <c r="K925" i="3"/>
  <c r="L924" i="3"/>
  <c r="S924" i="3" s="1"/>
  <c r="N925" i="3" l="1"/>
  <c r="G925" i="3"/>
  <c r="I925" i="3" s="1"/>
  <c r="O925" i="3"/>
  <c r="T924" i="3"/>
  <c r="U924" i="3" s="1"/>
  <c r="V924" i="3"/>
  <c r="Q925" i="3" l="1" a="1"/>
  <c r="Q925" i="3" s="1"/>
  <c r="P925" i="3"/>
  <c r="B926" i="3"/>
  <c r="W924" i="3"/>
  <c r="R925" i="3" l="1"/>
  <c r="K926" i="3"/>
  <c r="D926" i="3"/>
  <c r="L925" i="3"/>
  <c r="S925" i="3" s="1"/>
  <c r="T925" i="3" l="1"/>
  <c r="U925" i="3" s="1"/>
  <c r="V925" i="3"/>
  <c r="O926" i="3"/>
  <c r="N926" i="3"/>
  <c r="G926" i="3"/>
  <c r="I926" i="3" s="1"/>
  <c r="P926" i="3" l="1"/>
  <c r="Q926" i="3" a="1"/>
  <c r="Q926" i="3" s="1"/>
  <c r="W925" i="3"/>
  <c r="B927" i="3"/>
  <c r="R926" i="3" l="1"/>
  <c r="D927" i="3"/>
  <c r="K927" i="3"/>
  <c r="L926" i="3"/>
  <c r="S926" i="3" s="1"/>
  <c r="T926" i="3" l="1"/>
  <c r="U926" i="3" s="1"/>
  <c r="V926" i="3"/>
  <c r="N927" i="3"/>
  <c r="G927" i="3"/>
  <c r="O927" i="3"/>
  <c r="I927" i="3" l="1"/>
  <c r="W926" i="3"/>
  <c r="P927" i="3"/>
  <c r="Q927" i="3" a="1"/>
  <c r="Q927" i="3" s="1"/>
  <c r="R927" i="3" s="1"/>
  <c r="B928" i="3" l="1"/>
  <c r="D928" i="3" l="1"/>
  <c r="K928" i="3"/>
  <c r="L927" i="3"/>
  <c r="S927" i="3" s="1"/>
  <c r="N928" i="3" l="1"/>
  <c r="G928" i="3"/>
  <c r="I928" i="3" s="1"/>
  <c r="O928" i="3"/>
  <c r="T927" i="3"/>
  <c r="U927" i="3" s="1"/>
  <c r="V927" i="3"/>
  <c r="Q928" i="3" l="1" a="1"/>
  <c r="Q928" i="3" s="1"/>
  <c r="P928" i="3"/>
  <c r="B929" i="3"/>
  <c r="W927" i="3"/>
  <c r="R928" i="3" l="1"/>
  <c r="K929" i="3"/>
  <c r="D929" i="3"/>
  <c r="L928" i="3"/>
  <c r="S928" i="3" s="1"/>
  <c r="T928" i="3" l="1"/>
  <c r="U928" i="3" s="1"/>
  <c r="V928" i="3"/>
  <c r="O929" i="3"/>
  <c r="N929" i="3"/>
  <c r="G929" i="3"/>
  <c r="I929" i="3" s="1"/>
  <c r="Q929" i="3" l="1" a="1"/>
  <c r="Q929" i="3" s="1"/>
  <c r="P929" i="3"/>
  <c r="W928" i="3"/>
  <c r="B930" i="3"/>
  <c r="L929" i="3" s="1"/>
  <c r="R929" i="3" l="1"/>
  <c r="K930" i="3"/>
  <c r="D930" i="3"/>
  <c r="S929" i="3"/>
  <c r="T929" i="3" l="1"/>
  <c r="U929" i="3" s="1"/>
  <c r="V929" i="3"/>
  <c r="W929" i="3" s="1"/>
  <c r="G930" i="3"/>
  <c r="I930" i="3" s="1"/>
  <c r="O930" i="3"/>
  <c r="N930" i="3"/>
  <c r="P930" i="3" l="1"/>
  <c r="Q930" i="3" a="1"/>
  <c r="Q930" i="3" s="1"/>
  <c r="R930" i="3" s="1"/>
  <c r="B931" i="3"/>
  <c r="K931" i="3" l="1"/>
  <c r="D931" i="3"/>
  <c r="L930" i="3"/>
  <c r="S930" i="3" s="1"/>
  <c r="V930" i="3" l="1"/>
  <c r="T930" i="3"/>
  <c r="U930" i="3" s="1"/>
  <c r="O931" i="3"/>
  <c r="N931" i="3"/>
  <c r="G931" i="3"/>
  <c r="I931" i="3" s="1"/>
  <c r="Q931" i="3" l="1" a="1"/>
  <c r="Q931" i="3" s="1"/>
  <c r="P931" i="3"/>
  <c r="B932" i="3"/>
  <c r="W930" i="3"/>
  <c r="R931" i="3" l="1"/>
  <c r="D932" i="3"/>
  <c r="K932" i="3"/>
  <c r="L931" i="3"/>
  <c r="S931" i="3" s="1"/>
  <c r="T931" i="3" l="1"/>
  <c r="U931" i="3" s="1"/>
  <c r="V931" i="3"/>
  <c r="G932" i="3"/>
  <c r="I932" i="3" s="1"/>
  <c r="N932" i="3"/>
  <c r="O932" i="3"/>
  <c r="B933" i="3" l="1"/>
  <c r="L932" i="3" s="1"/>
  <c r="W931" i="3"/>
  <c r="P932" i="3"/>
  <c r="Q932" i="3" a="1"/>
  <c r="Q932" i="3" s="1"/>
  <c r="R932" i="3" s="1"/>
  <c r="S932" i="3" l="1"/>
  <c r="D933" i="3"/>
  <c r="K933" i="3"/>
  <c r="N933" i="3" l="1"/>
  <c r="O933" i="3"/>
  <c r="G933" i="3"/>
  <c r="T932" i="3"/>
  <c r="U932" i="3" s="1"/>
  <c r="V932" i="3"/>
  <c r="I933" i="3" l="1"/>
  <c r="P933" i="3"/>
  <c r="Q933" i="3" a="1"/>
  <c r="Q933" i="3" s="1"/>
  <c r="W932" i="3"/>
  <c r="R933" i="3" l="1"/>
  <c r="B934" i="3"/>
  <c r="L933" i="3" s="1"/>
  <c r="S933" i="3" s="1"/>
  <c r="T933" i="3" l="1"/>
  <c r="U933" i="3" s="1"/>
  <c r="V933" i="3"/>
  <c r="K934" i="3"/>
  <c r="D934" i="3"/>
  <c r="G934" i="3" l="1"/>
  <c r="I934" i="3" s="1"/>
  <c r="N934" i="3"/>
  <c r="O934" i="3"/>
  <c r="W933" i="3"/>
  <c r="P934" i="3" l="1"/>
  <c r="Q934" i="3" a="1"/>
  <c r="Q934" i="3" s="1"/>
  <c r="R934" i="3" s="1"/>
  <c r="B935" i="3"/>
  <c r="D935" i="3" l="1"/>
  <c r="K935" i="3"/>
  <c r="L934" i="3"/>
  <c r="S934" i="3" s="1"/>
  <c r="T934" i="3" l="1"/>
  <c r="U934" i="3" s="1"/>
  <c r="V934" i="3"/>
  <c r="W934" i="3" s="1"/>
  <c r="N935" i="3"/>
  <c r="O935" i="3"/>
  <c r="G935" i="3"/>
  <c r="I935" i="3" s="1"/>
  <c r="Q935" i="3" l="1" a="1"/>
  <c r="Q935" i="3" s="1"/>
  <c r="P935" i="3"/>
  <c r="B936" i="3"/>
  <c r="L935" i="3" s="1"/>
  <c r="R935" i="3" l="1"/>
  <c r="D936" i="3"/>
  <c r="K936" i="3"/>
  <c r="S935" i="3"/>
  <c r="O936" i="3" l="1"/>
  <c r="G936" i="3"/>
  <c r="I936" i="3" s="1"/>
  <c r="N936" i="3"/>
  <c r="V935" i="3"/>
  <c r="T935" i="3"/>
  <c r="U935" i="3" s="1"/>
  <c r="W935" i="3" l="1"/>
  <c r="B937" i="3"/>
  <c r="Q936" i="3" a="1"/>
  <c r="Q936" i="3" s="1"/>
  <c r="P936" i="3"/>
  <c r="R936" i="3" l="1"/>
  <c r="K937" i="3"/>
  <c r="D937" i="3"/>
  <c r="L936" i="3"/>
  <c r="S936" i="3" s="1"/>
  <c r="T936" i="3" l="1"/>
  <c r="U936" i="3" s="1"/>
  <c r="V936" i="3"/>
  <c r="G937" i="3"/>
  <c r="O937" i="3"/>
  <c r="N937" i="3"/>
  <c r="P937" i="3" l="1"/>
  <c r="Q937" i="3" a="1"/>
  <c r="Q937" i="3" s="1"/>
  <c r="R937" i="3" s="1"/>
  <c r="I937" i="3"/>
  <c r="W936" i="3"/>
  <c r="B938" i="3" l="1"/>
  <c r="D938" i="3" l="1"/>
  <c r="K938" i="3"/>
  <c r="L937" i="3"/>
  <c r="S937" i="3" s="1"/>
  <c r="T937" i="3" l="1"/>
  <c r="U937" i="3" s="1"/>
  <c r="V937" i="3"/>
  <c r="N938" i="3"/>
  <c r="G938" i="3"/>
  <c r="O938" i="3"/>
  <c r="I938" i="3" l="1"/>
  <c r="W937" i="3"/>
  <c r="P938" i="3"/>
  <c r="Q938" i="3" a="1"/>
  <c r="Q938" i="3" s="1"/>
  <c r="R938" i="3" s="1"/>
  <c r="B939" i="3" l="1"/>
  <c r="K939" i="3" l="1"/>
  <c r="D939" i="3"/>
  <c r="L938" i="3"/>
  <c r="S938" i="3" s="1"/>
  <c r="G939" i="3" l="1"/>
  <c r="I939" i="3" s="1"/>
  <c r="N939" i="3"/>
  <c r="O939" i="3"/>
  <c r="T938" i="3"/>
  <c r="U938" i="3" s="1"/>
  <c r="V938" i="3"/>
  <c r="W938" i="3" l="1"/>
  <c r="Q939" i="3" a="1"/>
  <c r="Q939" i="3" s="1"/>
  <c r="P939" i="3"/>
  <c r="B940" i="3"/>
  <c r="R939" i="3" l="1"/>
  <c r="K940" i="3"/>
  <c r="D940" i="3"/>
  <c r="L939" i="3"/>
  <c r="S939" i="3" s="1"/>
  <c r="T939" i="3" l="1"/>
  <c r="U939" i="3" s="1"/>
  <c r="V939" i="3"/>
  <c r="G940" i="3"/>
  <c r="I940" i="3" s="1"/>
  <c r="N940" i="3"/>
  <c r="O940" i="3"/>
  <c r="B941" i="3" l="1"/>
  <c r="W939" i="3"/>
  <c r="P940" i="3"/>
  <c r="Q940" i="3" a="1"/>
  <c r="Q940" i="3" s="1"/>
  <c r="R940" i="3" s="1"/>
  <c r="D941" i="3" l="1"/>
  <c r="K941" i="3"/>
  <c r="L940" i="3"/>
  <c r="S940" i="3" s="1"/>
  <c r="T940" i="3" l="1"/>
  <c r="U940" i="3" s="1"/>
  <c r="V940" i="3"/>
  <c r="O941" i="3"/>
  <c r="G941" i="3"/>
  <c r="I941" i="3" s="1"/>
  <c r="N941" i="3"/>
  <c r="B942" i="3" l="1"/>
  <c r="P941" i="3"/>
  <c r="Q941" i="3" a="1"/>
  <c r="Q941" i="3" s="1"/>
  <c r="W940" i="3"/>
  <c r="R941" i="3" l="1"/>
  <c r="D942" i="3"/>
  <c r="K942" i="3"/>
  <c r="L941" i="3"/>
  <c r="S941" i="3" s="1"/>
  <c r="T941" i="3" l="1"/>
  <c r="U941" i="3" s="1"/>
  <c r="V941" i="3"/>
  <c r="W941" i="3" s="1"/>
  <c r="G942" i="3"/>
  <c r="I942" i="3" s="1"/>
  <c r="N942" i="3"/>
  <c r="O942" i="3"/>
  <c r="B943" i="3" l="1"/>
  <c r="Q942" i="3" a="1"/>
  <c r="Q942" i="3" s="1"/>
  <c r="P942" i="3"/>
  <c r="R942" i="3" l="1"/>
  <c r="D943" i="3"/>
  <c r="K943" i="3"/>
  <c r="L942" i="3"/>
  <c r="S942" i="3" s="1"/>
  <c r="V942" i="3" l="1"/>
  <c r="W942" i="3" s="1"/>
  <c r="T942" i="3"/>
  <c r="U942" i="3" s="1"/>
  <c r="O943" i="3"/>
  <c r="G943" i="3"/>
  <c r="I943" i="3" s="1"/>
  <c r="N943" i="3"/>
  <c r="B944" i="3" l="1"/>
  <c r="Q943" i="3" a="1"/>
  <c r="Q943" i="3" s="1"/>
  <c r="P943" i="3"/>
  <c r="R943" i="3" l="1"/>
  <c r="K944" i="3"/>
  <c r="D944" i="3"/>
  <c r="L943" i="3"/>
  <c r="S943" i="3" s="1"/>
  <c r="V943" i="3" l="1"/>
  <c r="W943" i="3" s="1"/>
  <c r="T943" i="3"/>
  <c r="U943" i="3" s="1"/>
  <c r="N944" i="3"/>
  <c r="G944" i="3"/>
  <c r="I944" i="3" s="1"/>
  <c r="O944" i="3"/>
  <c r="B945" i="3" l="1"/>
  <c r="P944" i="3"/>
  <c r="Q944" i="3" a="1"/>
  <c r="Q944" i="3" s="1"/>
  <c r="R944" i="3" l="1"/>
  <c r="D945" i="3"/>
  <c r="K945" i="3"/>
  <c r="L944" i="3"/>
  <c r="S944" i="3" s="1"/>
  <c r="V944" i="3" l="1"/>
  <c r="T944" i="3"/>
  <c r="U944" i="3" s="1"/>
  <c r="N945" i="3"/>
  <c r="O945" i="3"/>
  <c r="G945" i="3"/>
  <c r="P945" i="3" l="1"/>
  <c r="Q945" i="3" a="1"/>
  <c r="Q945" i="3" s="1"/>
  <c r="I945" i="3"/>
  <c r="W944" i="3"/>
  <c r="R945" i="3" l="1"/>
  <c r="B946" i="3"/>
  <c r="K946" i="3" l="1"/>
  <c r="D946" i="3"/>
  <c r="L945" i="3"/>
  <c r="S945" i="3" s="1"/>
  <c r="T945" i="3" l="1"/>
  <c r="U945" i="3" s="1"/>
  <c r="V945" i="3"/>
  <c r="G946" i="3"/>
  <c r="I946" i="3" s="1"/>
  <c r="N946" i="3"/>
  <c r="O946" i="3"/>
  <c r="B947" i="3" l="1"/>
  <c r="W945" i="3"/>
  <c r="P946" i="3"/>
  <c r="Q946" i="3" a="1"/>
  <c r="Q946" i="3" s="1"/>
  <c r="R946" i="3" s="1"/>
  <c r="K947" i="3" l="1"/>
  <c r="D947" i="3"/>
  <c r="L946" i="3"/>
  <c r="S946" i="3" s="1"/>
  <c r="T946" i="3" l="1"/>
  <c r="U946" i="3" s="1"/>
  <c r="V946" i="3"/>
  <c r="O947" i="3"/>
  <c r="N947" i="3"/>
  <c r="G947" i="3"/>
  <c r="I947" i="3" s="1"/>
  <c r="Q947" i="3" l="1" a="1"/>
  <c r="Q947" i="3" s="1"/>
  <c r="P947" i="3"/>
  <c r="W946" i="3"/>
  <c r="B948" i="3"/>
  <c r="L947" i="3" s="1"/>
  <c r="R947" i="3" l="1"/>
  <c r="D948" i="3"/>
  <c r="K948" i="3"/>
  <c r="S947" i="3"/>
  <c r="O948" i="3" l="1"/>
  <c r="G948" i="3"/>
  <c r="I948" i="3" s="1"/>
  <c r="N948" i="3"/>
  <c r="T947" i="3"/>
  <c r="U947" i="3" s="1"/>
  <c r="V947" i="3"/>
  <c r="W947" i="3" s="1"/>
  <c r="B949" i="3" l="1"/>
  <c r="Q948" i="3" a="1"/>
  <c r="Q948" i="3" s="1"/>
  <c r="P948" i="3"/>
  <c r="R948" i="3" l="1"/>
  <c r="K949" i="3"/>
  <c r="D949" i="3"/>
  <c r="L948" i="3"/>
  <c r="S948" i="3" s="1"/>
  <c r="V948" i="3" l="1"/>
  <c r="T948" i="3"/>
  <c r="U948" i="3" s="1"/>
  <c r="O949" i="3"/>
  <c r="G949" i="3"/>
  <c r="I949" i="3" s="1"/>
  <c r="N949" i="3"/>
  <c r="B950" i="3" l="1"/>
  <c r="Q949" i="3" a="1"/>
  <c r="Q949" i="3" s="1"/>
  <c r="P949" i="3"/>
  <c r="W948" i="3"/>
  <c r="R949" i="3" l="1"/>
  <c r="K950" i="3"/>
  <c r="D950" i="3"/>
  <c r="L949" i="3"/>
  <c r="S949" i="3" s="1"/>
  <c r="T949" i="3" l="1"/>
  <c r="U949" i="3" s="1"/>
  <c r="V949" i="3"/>
  <c r="O950" i="3"/>
  <c r="N950" i="3"/>
  <c r="G950" i="3"/>
  <c r="I950" i="3" s="1"/>
  <c r="P950" i="3" l="1"/>
  <c r="Q950" i="3" a="1"/>
  <c r="Q950" i="3" s="1"/>
  <c r="W949" i="3"/>
  <c r="B951" i="3"/>
  <c r="R950" i="3" l="1"/>
  <c r="D951" i="3"/>
  <c r="K951" i="3"/>
  <c r="L950" i="3"/>
  <c r="S950" i="3" s="1"/>
  <c r="T950" i="3" l="1"/>
  <c r="U950" i="3" s="1"/>
  <c r="V950" i="3"/>
  <c r="G951" i="3"/>
  <c r="I951" i="3" s="1"/>
  <c r="N951" i="3"/>
  <c r="O951" i="3"/>
  <c r="B952" i="3" l="1"/>
  <c r="W950" i="3"/>
  <c r="Q951" i="3" a="1"/>
  <c r="Q951" i="3" s="1"/>
  <c r="R951" i="3" s="1"/>
  <c r="P951" i="3"/>
  <c r="D952" i="3" l="1"/>
  <c r="K952" i="3"/>
  <c r="L951" i="3"/>
  <c r="S951" i="3" s="1"/>
  <c r="T951" i="3" l="1"/>
  <c r="U951" i="3" s="1"/>
  <c r="V951" i="3"/>
  <c r="N952" i="3"/>
  <c r="O952" i="3"/>
  <c r="G952" i="3"/>
  <c r="I952" i="3" s="1"/>
  <c r="Q952" i="3" l="1" a="1"/>
  <c r="Q952" i="3" s="1"/>
  <c r="P952" i="3"/>
  <c r="W951" i="3"/>
  <c r="B953" i="3"/>
  <c r="L952" i="3" s="1"/>
  <c r="R952" i="3" l="1"/>
  <c r="D953" i="3"/>
  <c r="K953" i="3"/>
  <c r="S952" i="3"/>
  <c r="T952" i="3" l="1"/>
  <c r="U952" i="3" s="1"/>
  <c r="V952" i="3"/>
  <c r="N953" i="3"/>
  <c r="O953" i="3"/>
  <c r="G953" i="3"/>
  <c r="Q953" i="3" l="1" a="1"/>
  <c r="Q953" i="3" s="1"/>
  <c r="P953" i="3"/>
  <c r="W952" i="3"/>
  <c r="I953" i="3"/>
  <c r="B954" i="3" s="1"/>
  <c r="R953" i="3" l="1"/>
  <c r="K954" i="3"/>
  <c r="D954" i="3"/>
  <c r="L953" i="3"/>
  <c r="S953" i="3" s="1"/>
  <c r="T953" i="3" l="1"/>
  <c r="U953" i="3" s="1"/>
  <c r="V953" i="3"/>
  <c r="O954" i="3"/>
  <c r="N954" i="3"/>
  <c r="G954" i="3"/>
  <c r="I954" i="3" s="1"/>
  <c r="P954" i="3" l="1"/>
  <c r="Q954" i="3" a="1"/>
  <c r="Q954" i="3" s="1"/>
  <c r="W953" i="3"/>
  <c r="B955" i="3"/>
  <c r="R954" i="3" l="1"/>
  <c r="D955" i="3"/>
  <c r="K955" i="3"/>
  <c r="L954" i="3"/>
  <c r="S954" i="3" s="1"/>
  <c r="T954" i="3" l="1"/>
  <c r="U954" i="3" s="1"/>
  <c r="V954" i="3"/>
  <c r="O955" i="3"/>
  <c r="G955" i="3"/>
  <c r="I955" i="3" s="1"/>
  <c r="N955" i="3"/>
  <c r="B956" i="3" l="1"/>
  <c r="Q955" i="3" a="1"/>
  <c r="Q955" i="3" s="1"/>
  <c r="P955" i="3"/>
  <c r="W954" i="3"/>
  <c r="R955" i="3" l="1"/>
  <c r="D956" i="3"/>
  <c r="K956" i="3"/>
  <c r="L955" i="3"/>
  <c r="S955" i="3" s="1"/>
  <c r="T955" i="3" l="1"/>
  <c r="U955" i="3" s="1"/>
  <c r="V955" i="3"/>
  <c r="G956" i="3"/>
  <c r="I956" i="3" s="1"/>
  <c r="O956" i="3"/>
  <c r="N956" i="3"/>
  <c r="P956" i="3" l="1"/>
  <c r="Q956" i="3" a="1"/>
  <c r="Q956" i="3" s="1"/>
  <c r="R956" i="3" s="1"/>
  <c r="B957" i="3"/>
  <c r="W955" i="3"/>
  <c r="D957" i="3" l="1"/>
  <c r="K957" i="3"/>
  <c r="L956" i="3"/>
  <c r="S956" i="3" s="1"/>
  <c r="T956" i="3" l="1"/>
  <c r="U956" i="3" s="1"/>
  <c r="V956" i="3"/>
  <c r="W956" i="3" s="1"/>
  <c r="N957" i="3"/>
  <c r="G957" i="3"/>
  <c r="O957" i="3"/>
  <c r="I957" i="3" l="1"/>
  <c r="P957" i="3"/>
  <c r="Q957" i="3" a="1"/>
  <c r="Q957" i="3" s="1"/>
  <c r="R957" i="3" s="1"/>
  <c r="B958" i="3" l="1"/>
  <c r="D958" i="3" l="1"/>
  <c r="K958" i="3"/>
  <c r="L957" i="3"/>
  <c r="S957" i="3" s="1"/>
  <c r="O958" i="3" l="1"/>
  <c r="G958" i="3"/>
  <c r="I958" i="3" s="1"/>
  <c r="N958" i="3"/>
  <c r="V957" i="3"/>
  <c r="T957" i="3"/>
  <c r="U957" i="3" s="1"/>
  <c r="W957" i="3" l="1"/>
  <c r="B959" i="3"/>
  <c r="P958" i="3"/>
  <c r="Q958" i="3" a="1"/>
  <c r="Q958" i="3" s="1"/>
  <c r="R958" i="3" s="1"/>
  <c r="D959" i="3" l="1"/>
  <c r="K959" i="3"/>
  <c r="L958" i="3"/>
  <c r="S958" i="3" s="1"/>
  <c r="T958" i="3" l="1"/>
  <c r="U958" i="3" s="1"/>
  <c r="V958" i="3"/>
  <c r="O959" i="3"/>
  <c r="N959" i="3"/>
  <c r="G959" i="3"/>
  <c r="Q959" i="3" l="1" a="1"/>
  <c r="Q959" i="3" s="1"/>
  <c r="P959" i="3"/>
  <c r="W958" i="3"/>
  <c r="I959" i="3"/>
  <c r="B960" i="3" s="1"/>
  <c r="R959" i="3" l="1"/>
  <c r="D960" i="3"/>
  <c r="K960" i="3"/>
  <c r="L959" i="3"/>
  <c r="S959" i="3" s="1"/>
  <c r="T959" i="3" l="1"/>
  <c r="U959" i="3" s="1"/>
  <c r="V959" i="3"/>
  <c r="W959" i="3" s="1"/>
  <c r="G960" i="3"/>
  <c r="I960" i="3" s="1"/>
  <c r="N960" i="3"/>
  <c r="O960" i="3"/>
  <c r="B961" i="3" l="1"/>
  <c r="Q960" i="3" a="1"/>
  <c r="Q960" i="3" s="1"/>
  <c r="P960" i="3"/>
  <c r="R960" i="3" l="1"/>
  <c r="D961" i="3"/>
  <c r="K961" i="3"/>
  <c r="L960" i="3"/>
  <c r="S960" i="3" s="1"/>
  <c r="V960" i="3" l="1"/>
  <c r="T960" i="3"/>
  <c r="U960" i="3" s="1"/>
  <c r="O961" i="3"/>
  <c r="N961" i="3"/>
  <c r="G961" i="3"/>
  <c r="I961" i="3" s="1"/>
  <c r="Q961" i="3" l="1" a="1"/>
  <c r="Q961" i="3" s="1"/>
  <c r="P961" i="3"/>
  <c r="B962" i="3"/>
  <c r="W960" i="3"/>
  <c r="R961" i="3" l="1"/>
  <c r="D962" i="3"/>
  <c r="K962" i="3"/>
  <c r="L961" i="3"/>
  <c r="S961" i="3" s="1"/>
  <c r="T961" i="3" l="1"/>
  <c r="U961" i="3" s="1"/>
  <c r="V961" i="3"/>
  <c r="G962" i="3"/>
  <c r="I962" i="3" s="1"/>
  <c r="O962" i="3"/>
  <c r="N962" i="3"/>
  <c r="P962" i="3" l="1"/>
  <c r="Q962" i="3" a="1"/>
  <c r="Q962" i="3" s="1"/>
  <c r="B963" i="3"/>
  <c r="W961" i="3"/>
  <c r="R962" i="3" l="1"/>
  <c r="K963" i="3"/>
  <c r="D963" i="3"/>
  <c r="L962" i="3"/>
  <c r="S962" i="3" s="1"/>
  <c r="T962" i="3" l="1"/>
  <c r="U962" i="3" s="1"/>
  <c r="V962" i="3"/>
  <c r="O963" i="3"/>
  <c r="G963" i="3"/>
  <c r="I963" i="3" s="1"/>
  <c r="N963" i="3"/>
  <c r="B964" i="3" l="1"/>
  <c r="P963" i="3"/>
  <c r="Q963" i="3" a="1"/>
  <c r="Q963" i="3" s="1"/>
  <c r="R963" i="3" s="1"/>
  <c r="W962" i="3"/>
  <c r="K964" i="3" l="1"/>
  <c r="D964" i="3"/>
  <c r="L963" i="3"/>
  <c r="S963" i="3" s="1"/>
  <c r="T963" i="3" l="1"/>
  <c r="U963" i="3" s="1"/>
  <c r="V963" i="3"/>
  <c r="N964" i="3"/>
  <c r="G964" i="3"/>
  <c r="I964" i="3" s="1"/>
  <c r="O964" i="3"/>
  <c r="B965" i="3" l="1"/>
  <c r="W963" i="3"/>
  <c r="P964" i="3"/>
  <c r="Q964" i="3" a="1"/>
  <c r="Q964" i="3" s="1"/>
  <c r="R964" i="3" s="1"/>
  <c r="K965" i="3" l="1"/>
  <c r="D965" i="3"/>
  <c r="L964" i="3"/>
  <c r="S964" i="3" s="1"/>
  <c r="T964" i="3" l="1"/>
  <c r="U964" i="3" s="1"/>
  <c r="V964" i="3"/>
  <c r="O965" i="3"/>
  <c r="N965" i="3"/>
  <c r="G965" i="3"/>
  <c r="I965" i="3" s="1"/>
  <c r="Q965" i="3" l="1" a="1"/>
  <c r="Q965" i="3" s="1"/>
  <c r="P965" i="3"/>
  <c r="W964" i="3"/>
  <c r="B966" i="3"/>
  <c r="L965" i="3" s="1"/>
  <c r="R965" i="3" l="1"/>
  <c r="D966" i="3"/>
  <c r="K966" i="3"/>
  <c r="S965" i="3"/>
  <c r="G966" i="3" l="1"/>
  <c r="I966" i="3" s="1"/>
  <c r="O966" i="3"/>
  <c r="N966" i="3"/>
  <c r="T965" i="3"/>
  <c r="U965" i="3" s="1"/>
  <c r="V965" i="3"/>
  <c r="W965" i="3" l="1"/>
  <c r="Q966" i="3" a="1"/>
  <c r="Q966" i="3" s="1"/>
  <c r="P966" i="3"/>
  <c r="B967" i="3"/>
  <c r="R966" i="3" l="1"/>
  <c r="K967" i="3"/>
  <c r="D967" i="3"/>
  <c r="L966" i="3"/>
  <c r="S966" i="3" s="1"/>
  <c r="T966" i="3" l="1"/>
  <c r="U966" i="3" s="1"/>
  <c r="V966" i="3"/>
  <c r="G967" i="3"/>
  <c r="I967" i="3" s="1"/>
  <c r="O967" i="3"/>
  <c r="N967" i="3"/>
  <c r="Q967" i="3" l="1" a="1"/>
  <c r="Q967" i="3" s="1"/>
  <c r="P967" i="3"/>
  <c r="B968" i="3"/>
  <c r="W966" i="3"/>
  <c r="R967" i="3" l="1"/>
  <c r="K968" i="3"/>
  <c r="D968" i="3"/>
  <c r="L967" i="3"/>
  <c r="S967" i="3" s="1"/>
  <c r="T967" i="3" l="1"/>
  <c r="U967" i="3" s="1"/>
  <c r="V967" i="3"/>
  <c r="G968" i="3"/>
  <c r="I968" i="3" s="1"/>
  <c r="O968" i="3"/>
  <c r="N968" i="3"/>
  <c r="Q968" i="3" l="1" a="1"/>
  <c r="Q968" i="3" s="1"/>
  <c r="P968" i="3"/>
  <c r="B969" i="3"/>
  <c r="W967" i="3"/>
  <c r="D969" i="3" l="1"/>
  <c r="K969" i="3"/>
  <c r="L968" i="3"/>
  <c r="S968" i="3" s="1"/>
  <c r="R968" i="3"/>
  <c r="G969" i="3" l="1"/>
  <c r="I969" i="3" s="1"/>
  <c r="N969" i="3"/>
  <c r="O969" i="3"/>
  <c r="T968" i="3"/>
  <c r="U968" i="3" s="1"/>
  <c r="V968" i="3"/>
  <c r="W968" i="3" l="1"/>
  <c r="P969" i="3"/>
  <c r="Q969" i="3" a="1"/>
  <c r="Q969" i="3" s="1"/>
  <c r="B970" i="3"/>
  <c r="R969" i="3" l="1"/>
  <c r="K970" i="3"/>
  <c r="D970" i="3"/>
  <c r="L969" i="3"/>
  <c r="S969" i="3" s="1"/>
  <c r="T969" i="3" l="1"/>
  <c r="U969" i="3" s="1"/>
  <c r="V969" i="3"/>
  <c r="O970" i="3"/>
  <c r="N970" i="3"/>
  <c r="G970" i="3"/>
  <c r="I970" i="3" s="1"/>
  <c r="Q970" i="3" l="1" a="1"/>
  <c r="Q970" i="3" s="1"/>
  <c r="P970" i="3"/>
  <c r="W969" i="3"/>
  <c r="B971" i="3"/>
  <c r="L970" i="3" s="1"/>
  <c r="R970" i="3" l="1"/>
  <c r="D971" i="3"/>
  <c r="K971" i="3"/>
  <c r="S970" i="3"/>
  <c r="O971" i="3" l="1"/>
  <c r="N971" i="3"/>
  <c r="G971" i="3"/>
  <c r="I971" i="3" s="1"/>
  <c r="T970" i="3"/>
  <c r="U970" i="3" s="1"/>
  <c r="V970" i="3"/>
  <c r="B972" i="3" l="1"/>
  <c r="W970" i="3"/>
  <c r="P971" i="3"/>
  <c r="Q971" i="3" a="1"/>
  <c r="Q971" i="3" s="1"/>
  <c r="R971" i="3" s="1"/>
  <c r="K972" i="3" l="1"/>
  <c r="D972" i="3"/>
  <c r="L971" i="3"/>
  <c r="S971" i="3" s="1"/>
  <c r="T971" i="3" l="1"/>
  <c r="U971" i="3" s="1"/>
  <c r="V971" i="3"/>
  <c r="N972" i="3"/>
  <c r="O972" i="3"/>
  <c r="G972" i="3"/>
  <c r="Q972" i="3" l="1" a="1"/>
  <c r="Q972" i="3" s="1"/>
  <c r="P972" i="3"/>
  <c r="W971" i="3"/>
  <c r="I972" i="3"/>
  <c r="B973" i="3" s="1"/>
  <c r="R972" i="3" l="1"/>
  <c r="D973" i="3"/>
  <c r="K973" i="3"/>
  <c r="L972" i="3"/>
  <c r="S972" i="3" s="1"/>
  <c r="O973" i="3" l="1"/>
  <c r="G973" i="3"/>
  <c r="I973" i="3" s="1"/>
  <c r="N973" i="3"/>
  <c r="T972" i="3"/>
  <c r="U972" i="3" s="1"/>
  <c r="V972" i="3"/>
  <c r="W972" i="3" l="1"/>
  <c r="B974" i="3"/>
  <c r="Q973" i="3" a="1"/>
  <c r="Q973" i="3" s="1"/>
  <c r="P973" i="3"/>
  <c r="R973" i="3" l="1"/>
  <c r="K974" i="3"/>
  <c r="D974" i="3"/>
  <c r="L973" i="3"/>
  <c r="S973" i="3" s="1"/>
  <c r="T973" i="3" l="1"/>
  <c r="U973" i="3" s="1"/>
  <c r="V973" i="3"/>
  <c r="G974" i="3"/>
  <c r="I974" i="3" s="1"/>
  <c r="N974" i="3"/>
  <c r="O974" i="3"/>
  <c r="B975" i="3" l="1"/>
  <c r="W973" i="3"/>
  <c r="P974" i="3"/>
  <c r="Q974" i="3" a="1"/>
  <c r="Q974" i="3" s="1"/>
  <c r="R974" i="3" s="1"/>
  <c r="K975" i="3" l="1"/>
  <c r="D975" i="3"/>
  <c r="L974" i="3"/>
  <c r="S974" i="3" s="1"/>
  <c r="T974" i="3" l="1"/>
  <c r="U974" i="3" s="1"/>
  <c r="V974" i="3"/>
  <c r="O975" i="3"/>
  <c r="G975" i="3"/>
  <c r="N975" i="3"/>
  <c r="I975" i="3" l="1"/>
  <c r="Q975" i="3" a="1"/>
  <c r="Q975" i="3" s="1"/>
  <c r="P975" i="3"/>
  <c r="W974" i="3"/>
  <c r="R975" i="3" l="1"/>
  <c r="B976" i="3"/>
  <c r="K976" i="3" l="1"/>
  <c r="D976" i="3"/>
  <c r="L975" i="3"/>
  <c r="S975" i="3" s="1"/>
  <c r="O976" i="3" l="1"/>
  <c r="N976" i="3"/>
  <c r="G976" i="3"/>
  <c r="I976" i="3" s="1"/>
  <c r="T975" i="3"/>
  <c r="U975" i="3" s="1"/>
  <c r="V975" i="3"/>
  <c r="B977" i="3" l="1"/>
  <c r="W975" i="3"/>
  <c r="P976" i="3"/>
  <c r="Q976" i="3" a="1"/>
  <c r="Q976" i="3" s="1"/>
  <c r="R976" i="3" s="1"/>
  <c r="K977" i="3" l="1"/>
  <c r="D977" i="3"/>
  <c r="L976" i="3"/>
  <c r="S976" i="3" s="1"/>
  <c r="T976" i="3" l="1"/>
  <c r="U976" i="3" s="1"/>
  <c r="V976" i="3"/>
  <c r="G977" i="3"/>
  <c r="I977" i="3" s="1"/>
  <c r="O977" i="3"/>
  <c r="N977" i="3"/>
  <c r="Q977" i="3" l="1" a="1"/>
  <c r="Q977" i="3" s="1"/>
  <c r="P977" i="3"/>
  <c r="B978" i="3"/>
  <c r="W976" i="3"/>
  <c r="R977" i="3" l="1"/>
  <c r="D978" i="3"/>
  <c r="K978" i="3"/>
  <c r="L977" i="3"/>
  <c r="S977" i="3" s="1"/>
  <c r="N978" i="3" l="1"/>
  <c r="G978" i="3"/>
  <c r="I978" i="3" s="1"/>
  <c r="O978" i="3"/>
  <c r="T977" i="3"/>
  <c r="U977" i="3" s="1"/>
  <c r="V977" i="3"/>
  <c r="W977" i="3" s="1"/>
  <c r="Q978" i="3" l="1" a="1"/>
  <c r="Q978" i="3" s="1"/>
  <c r="P978" i="3"/>
  <c r="B979" i="3"/>
  <c r="R978" i="3" l="1"/>
  <c r="K979" i="3"/>
  <c r="D979" i="3"/>
  <c r="L978" i="3"/>
  <c r="S978" i="3" s="1"/>
  <c r="V978" i="3" l="1"/>
  <c r="T978" i="3"/>
  <c r="U978" i="3" s="1"/>
  <c r="N979" i="3"/>
  <c r="O979" i="3"/>
  <c r="G979" i="3"/>
  <c r="I979" i="3" s="1"/>
  <c r="P979" i="3" l="1"/>
  <c r="Q979" i="3" a="1"/>
  <c r="Q979" i="3" s="1"/>
  <c r="B980" i="3"/>
  <c r="W978" i="3"/>
  <c r="R979" i="3" l="1"/>
  <c r="D980" i="3"/>
  <c r="K980" i="3"/>
  <c r="L979" i="3"/>
  <c r="S979" i="3" s="1"/>
  <c r="T979" i="3" l="1"/>
  <c r="U979" i="3" s="1"/>
  <c r="V979" i="3"/>
  <c r="W979" i="3" s="1"/>
  <c r="G980" i="3"/>
  <c r="I980" i="3" s="1"/>
  <c r="N980" i="3"/>
  <c r="O980" i="3"/>
  <c r="B981" i="3" l="1"/>
  <c r="Q980" i="3" a="1"/>
  <c r="Q980" i="3" s="1"/>
  <c r="P980" i="3"/>
  <c r="R980" i="3" l="1"/>
  <c r="K981" i="3"/>
  <c r="D981" i="3"/>
  <c r="L980" i="3"/>
  <c r="S980" i="3" s="1"/>
  <c r="V980" i="3" l="1"/>
  <c r="T980" i="3"/>
  <c r="U980" i="3" s="1"/>
  <c r="O981" i="3"/>
  <c r="N981" i="3"/>
  <c r="G981" i="3"/>
  <c r="P981" i="3" l="1"/>
  <c r="Q981" i="3" a="1"/>
  <c r="Q981" i="3" s="1"/>
  <c r="I981" i="3"/>
  <c r="W980" i="3"/>
  <c r="R981" i="3" l="1"/>
  <c r="B982" i="3"/>
  <c r="D982" i="3" l="1"/>
  <c r="K982" i="3"/>
  <c r="L981" i="3"/>
  <c r="S981" i="3" s="1"/>
  <c r="N982" i="3" l="1"/>
  <c r="O982" i="3"/>
  <c r="T981" i="3"/>
  <c r="U981" i="3" s="1"/>
  <c r="V981" i="3"/>
  <c r="W981" i="3" s="1"/>
  <c r="G982" i="3"/>
  <c r="I982" i="3" s="1"/>
  <c r="Q982" i="3" l="1" a="1"/>
  <c r="Q982" i="3" s="1"/>
  <c r="P982" i="3"/>
  <c r="B983" i="3"/>
  <c r="R982" i="3" l="1"/>
  <c r="D983" i="3"/>
  <c r="K983" i="3"/>
  <c r="L982" i="3"/>
  <c r="S982" i="3" s="1"/>
  <c r="V982" i="3" l="1"/>
  <c r="T982" i="3"/>
  <c r="U982" i="3" s="1"/>
  <c r="N983" i="3"/>
  <c r="G983" i="3"/>
  <c r="O983" i="3"/>
  <c r="I983" i="3" l="1"/>
  <c r="P983" i="3"/>
  <c r="Q983" i="3" a="1"/>
  <c r="Q983" i="3" s="1"/>
  <c r="R983" i="3" s="1"/>
  <c r="W982" i="3"/>
  <c r="B984" i="3" l="1"/>
  <c r="L983" i="3" s="1"/>
  <c r="S983" i="3" s="1"/>
  <c r="T983" i="3" l="1"/>
  <c r="U983" i="3" s="1"/>
  <c r="V983" i="3"/>
  <c r="K984" i="3"/>
  <c r="D984" i="3"/>
  <c r="G984" i="3" l="1"/>
  <c r="N984" i="3"/>
  <c r="O984" i="3"/>
  <c r="W983" i="3"/>
  <c r="Q984" i="3" l="1" a="1"/>
  <c r="Q984" i="3" s="1"/>
  <c r="P984" i="3"/>
  <c r="I984" i="3"/>
  <c r="R984" i="3" l="1"/>
  <c r="B985" i="3"/>
  <c r="K985" i="3" l="1"/>
  <c r="D985" i="3"/>
  <c r="L984" i="3"/>
  <c r="S984" i="3" s="1"/>
  <c r="O985" i="3" l="1"/>
  <c r="G985" i="3"/>
  <c r="I985" i="3" s="1"/>
  <c r="N985" i="3"/>
  <c r="T984" i="3"/>
  <c r="U984" i="3" s="1"/>
  <c r="V984" i="3"/>
  <c r="W984" i="3" s="1"/>
  <c r="B986" i="3" l="1"/>
  <c r="Q985" i="3" a="1"/>
  <c r="Q985" i="3" s="1"/>
  <c r="P985" i="3"/>
  <c r="R985" i="3" l="1"/>
  <c r="K986" i="3"/>
  <c r="D986" i="3"/>
  <c r="L985" i="3"/>
  <c r="S985" i="3" s="1"/>
  <c r="V985" i="3" l="1"/>
  <c r="T985" i="3"/>
  <c r="U985" i="3" s="1"/>
  <c r="O986" i="3"/>
  <c r="N986" i="3"/>
  <c r="G986" i="3"/>
  <c r="I986" i="3" s="1"/>
  <c r="P986" i="3" l="1"/>
  <c r="Q986" i="3" a="1"/>
  <c r="Q986" i="3" s="1"/>
  <c r="B987" i="3"/>
  <c r="W985" i="3"/>
  <c r="R986" i="3" l="1"/>
  <c r="D987" i="3"/>
  <c r="K987" i="3"/>
  <c r="L986" i="3"/>
  <c r="S986" i="3" s="1"/>
  <c r="T986" i="3" l="1"/>
  <c r="U986" i="3" s="1"/>
  <c r="V986" i="3"/>
  <c r="G987" i="3"/>
  <c r="I987" i="3" s="1"/>
  <c r="N987" i="3"/>
  <c r="O987" i="3"/>
  <c r="B988" i="3" l="1"/>
  <c r="W986" i="3"/>
  <c r="P987" i="3"/>
  <c r="Q987" i="3" a="1"/>
  <c r="Q987" i="3" s="1"/>
  <c r="R987" i="3" s="1"/>
  <c r="D988" i="3" l="1"/>
  <c r="K988" i="3"/>
  <c r="L987" i="3"/>
  <c r="S987" i="3" s="1"/>
  <c r="T987" i="3" l="1"/>
  <c r="U987" i="3" s="1"/>
  <c r="V987" i="3"/>
  <c r="G988" i="3"/>
  <c r="O988" i="3"/>
  <c r="N988" i="3"/>
  <c r="P988" i="3" l="1"/>
  <c r="Q988" i="3" a="1"/>
  <c r="Q988" i="3" s="1"/>
  <c r="I988" i="3"/>
  <c r="W987" i="3"/>
  <c r="R988" i="3" l="1"/>
  <c r="B989" i="3"/>
  <c r="D989" i="3" l="1"/>
  <c r="K989" i="3"/>
  <c r="L988" i="3"/>
  <c r="S988" i="3" s="1"/>
  <c r="O989" i="3" l="1"/>
  <c r="G989" i="3"/>
  <c r="I989" i="3" s="1"/>
  <c r="N989" i="3"/>
  <c r="T988" i="3"/>
  <c r="U988" i="3" s="1"/>
  <c r="V988" i="3"/>
  <c r="B990" i="3" l="1"/>
  <c r="W988" i="3"/>
  <c r="Q989" i="3" a="1"/>
  <c r="Q989" i="3" s="1"/>
  <c r="P989" i="3"/>
  <c r="R989" i="3" l="1"/>
  <c r="K990" i="3"/>
  <c r="D990" i="3"/>
  <c r="L989" i="3"/>
  <c r="S989" i="3" s="1"/>
  <c r="T989" i="3" l="1"/>
  <c r="U989" i="3" s="1"/>
  <c r="V989" i="3"/>
  <c r="G990" i="3"/>
  <c r="I990" i="3" s="1"/>
  <c r="N990" i="3"/>
  <c r="O990" i="3"/>
  <c r="B991" i="3" l="1"/>
  <c r="W989" i="3"/>
  <c r="Q990" i="3" a="1"/>
  <c r="Q990" i="3" s="1"/>
  <c r="P990" i="3"/>
  <c r="R990" i="3" l="1"/>
  <c r="D991" i="3"/>
  <c r="K991" i="3"/>
  <c r="L990" i="3"/>
  <c r="S990" i="3" s="1"/>
  <c r="T990" i="3" l="1"/>
  <c r="U990" i="3" s="1"/>
  <c r="V990" i="3"/>
  <c r="G991" i="3"/>
  <c r="O991" i="3"/>
  <c r="N991" i="3"/>
  <c r="Q991" i="3" l="1" a="1"/>
  <c r="Q991" i="3" s="1"/>
  <c r="P991" i="3"/>
  <c r="I991" i="3"/>
  <c r="W990" i="3"/>
  <c r="R991" i="3" l="1"/>
  <c r="B992" i="3"/>
  <c r="D992" i="3" l="1"/>
  <c r="K992" i="3"/>
  <c r="L991" i="3"/>
  <c r="S991" i="3" s="1"/>
  <c r="T991" i="3" l="1"/>
  <c r="U991" i="3" s="1"/>
  <c r="V991" i="3"/>
  <c r="O992" i="3"/>
  <c r="N992" i="3"/>
  <c r="G992" i="3"/>
  <c r="Q992" i="3" l="1" a="1"/>
  <c r="Q992" i="3" s="1"/>
  <c r="P992" i="3"/>
  <c r="W991" i="3"/>
  <c r="I992" i="3"/>
  <c r="B993" i="3" s="1"/>
  <c r="R992" i="3" l="1"/>
  <c r="K993" i="3"/>
  <c r="D993" i="3"/>
  <c r="L992" i="3"/>
  <c r="S992" i="3" s="1"/>
  <c r="T992" i="3" l="1"/>
  <c r="U992" i="3" s="1"/>
  <c r="V992" i="3"/>
  <c r="G993" i="3"/>
  <c r="I993" i="3" s="1"/>
  <c r="O993" i="3"/>
  <c r="N993" i="3"/>
  <c r="P993" i="3" l="1"/>
  <c r="Q993" i="3" a="1"/>
  <c r="Q993" i="3" s="1"/>
  <c r="B994" i="3"/>
  <c r="W992" i="3"/>
  <c r="R993" i="3" l="1"/>
  <c r="D994" i="3"/>
  <c r="K994" i="3"/>
  <c r="L993" i="3"/>
  <c r="S993" i="3" s="1"/>
  <c r="T993" i="3" l="1"/>
  <c r="U993" i="3" s="1"/>
  <c r="V993" i="3"/>
  <c r="O994" i="3"/>
  <c r="N994" i="3"/>
  <c r="G994" i="3"/>
  <c r="Q994" i="3" l="1" a="1"/>
  <c r="Q994" i="3" s="1"/>
  <c r="P994" i="3"/>
  <c r="W993" i="3"/>
  <c r="I994" i="3"/>
  <c r="B995" i="3" s="1"/>
  <c r="R994" i="3" l="1"/>
  <c r="D995" i="3"/>
  <c r="K995" i="3"/>
  <c r="L994" i="3"/>
  <c r="S994" i="3" s="1"/>
  <c r="G995" i="3" l="1"/>
  <c r="I995" i="3" s="1"/>
  <c r="O995" i="3"/>
  <c r="N995" i="3"/>
  <c r="T994" i="3"/>
  <c r="U994" i="3" s="1"/>
  <c r="V994" i="3"/>
  <c r="W994" i="3" s="1"/>
  <c r="P995" i="3" l="1"/>
  <c r="Q995" i="3" a="1"/>
  <c r="Q995" i="3" s="1"/>
  <c r="R995" i="3" s="1"/>
  <c r="B996" i="3"/>
  <c r="K996" i="3" l="1"/>
  <c r="D996" i="3"/>
  <c r="L995" i="3"/>
  <c r="S995" i="3" s="1"/>
  <c r="N996" i="3" l="1"/>
  <c r="O996" i="3"/>
  <c r="G996" i="3"/>
  <c r="I996" i="3" s="1"/>
  <c r="V995" i="3"/>
  <c r="T995" i="3"/>
  <c r="U995" i="3" s="1"/>
  <c r="W995" i="3" l="1"/>
  <c r="B997" i="3"/>
  <c r="P996" i="3"/>
  <c r="Q996" i="3" a="1"/>
  <c r="Q996" i="3" s="1"/>
  <c r="R996" i="3" s="1"/>
  <c r="K997" i="3" l="1"/>
  <c r="D997" i="3"/>
  <c r="L996" i="3"/>
  <c r="S996" i="3" s="1"/>
  <c r="T996" i="3" l="1"/>
  <c r="U996" i="3" s="1"/>
  <c r="V996" i="3"/>
  <c r="W996" i="3" s="1"/>
  <c r="G997" i="3"/>
  <c r="N997" i="3"/>
  <c r="O997" i="3"/>
  <c r="I997" i="3" l="1"/>
  <c r="Q997" i="3" a="1"/>
  <c r="Q997" i="3" s="1"/>
  <c r="P997" i="3"/>
  <c r="R997" i="3" l="1"/>
  <c r="B998" i="3"/>
  <c r="K998" i="3" l="1"/>
  <c r="D998" i="3"/>
  <c r="L997" i="3"/>
  <c r="S997" i="3" s="1"/>
  <c r="G998" i="3" l="1"/>
  <c r="I998" i="3" s="1"/>
  <c r="O998" i="3"/>
  <c r="N998" i="3"/>
  <c r="V997" i="3"/>
  <c r="T997" i="3"/>
  <c r="U997" i="3" s="1"/>
  <c r="W997" i="3" l="1"/>
  <c r="P998" i="3"/>
  <c r="Q998" i="3" a="1"/>
  <c r="Q998" i="3" s="1"/>
  <c r="B999" i="3"/>
  <c r="R998" i="3" l="1"/>
  <c r="K999" i="3"/>
  <c r="D999" i="3"/>
  <c r="L998" i="3"/>
  <c r="S998" i="3" s="1"/>
  <c r="T998" i="3" l="1"/>
  <c r="U998" i="3" s="1"/>
  <c r="V998" i="3"/>
  <c r="G999" i="3"/>
  <c r="I999" i="3" s="1"/>
  <c r="O999" i="3"/>
  <c r="N999" i="3"/>
  <c r="P999" i="3" l="1"/>
  <c r="Q999" i="3" a="1"/>
  <c r="Q999" i="3" s="1"/>
  <c r="B1000" i="3"/>
  <c r="W998" i="3"/>
  <c r="R999" i="3" l="1"/>
  <c r="K1000" i="3"/>
  <c r="D1000" i="3"/>
  <c r="L999" i="3"/>
  <c r="S999" i="3" s="1"/>
  <c r="T999" i="3" l="1"/>
  <c r="U999" i="3" s="1"/>
  <c r="V999" i="3"/>
  <c r="G1000" i="3"/>
  <c r="N1000" i="3"/>
  <c r="O1000" i="3"/>
  <c r="I1000" i="3" l="1"/>
  <c r="W999" i="3"/>
  <c r="P1000" i="3"/>
  <c r="Q1000" i="3" a="1"/>
  <c r="Q1000" i="3" s="1"/>
  <c r="R1000" i="3" s="1"/>
  <c r="B1001" i="3" l="1"/>
  <c r="D1001" i="3" l="1"/>
  <c r="K1001" i="3"/>
  <c r="L1000" i="3"/>
  <c r="S1000" i="3" s="1"/>
  <c r="O1001" i="3" l="1"/>
  <c r="G1001" i="3"/>
  <c r="I1001" i="3" s="1"/>
  <c r="N1001" i="3"/>
  <c r="T1000" i="3"/>
  <c r="U1000" i="3" s="1"/>
  <c r="V1000" i="3"/>
  <c r="B1002" i="3" l="1"/>
  <c r="W1000" i="3"/>
  <c r="Q1001" i="3" a="1"/>
  <c r="Q1001" i="3" s="1"/>
  <c r="R1001" i="3" s="1"/>
  <c r="P1001" i="3"/>
  <c r="K1002" i="3" l="1"/>
  <c r="D1002" i="3"/>
  <c r="L1001" i="3"/>
  <c r="S1001" i="3" s="1"/>
  <c r="T1001" i="3" l="1"/>
  <c r="U1001" i="3" s="1"/>
  <c r="V1001" i="3"/>
  <c r="G1002" i="3"/>
  <c r="I1002" i="3" s="1"/>
  <c r="N1002" i="3"/>
  <c r="O1002" i="3"/>
  <c r="B1003" i="3" l="1"/>
  <c r="W1001" i="3"/>
  <c r="Q1002" i="3" a="1"/>
  <c r="Q1002" i="3" s="1"/>
  <c r="R1002" i="3" s="1"/>
  <c r="P1002" i="3"/>
  <c r="K1003" i="3" l="1"/>
  <c r="D1003" i="3"/>
  <c r="L1002" i="3"/>
  <c r="S1002" i="3" s="1"/>
  <c r="T1002" i="3" l="1"/>
  <c r="U1002" i="3" s="1"/>
  <c r="V1002" i="3"/>
  <c r="O1003" i="3"/>
  <c r="N1003" i="3"/>
  <c r="G1003" i="3"/>
  <c r="I1003" i="3" s="1"/>
  <c r="Q1003" i="3" l="1" a="1"/>
  <c r="Q1003" i="3" s="1"/>
  <c r="P1003" i="3"/>
  <c r="W1002" i="3"/>
  <c r="B1004" i="3"/>
  <c r="L1003" i="3" s="1"/>
  <c r="R1003" i="3" l="1"/>
  <c r="D1004" i="3"/>
  <c r="K1004" i="3"/>
  <c r="S1003" i="3"/>
  <c r="O1004" i="3" l="1"/>
  <c r="N1004" i="3"/>
  <c r="G1004" i="3"/>
  <c r="I1004" i="3" s="1"/>
  <c r="T1003" i="3"/>
  <c r="U1003" i="3" s="1"/>
  <c r="V1003" i="3"/>
  <c r="W1003" i="3" s="1"/>
  <c r="B1005" i="3" l="1"/>
  <c r="P1004" i="3"/>
  <c r="Q1004" i="3" a="1"/>
  <c r="Q1004" i="3" s="1"/>
  <c r="R1004" i="3" s="1"/>
  <c r="D1005" i="3" l="1"/>
  <c r="K1005" i="3"/>
  <c r="L1004" i="3"/>
  <c r="S1004" i="3" s="1"/>
  <c r="V1004" i="3" l="1"/>
  <c r="T1004" i="3"/>
  <c r="U1004" i="3" s="1"/>
  <c r="N1005" i="3"/>
  <c r="G1005" i="3"/>
  <c r="I1005" i="3" s="1"/>
  <c r="O1005" i="3"/>
  <c r="B1006" i="3" l="1"/>
  <c r="P1005" i="3"/>
  <c r="Q1005" i="3" a="1"/>
  <c r="Q1005" i="3" s="1"/>
  <c r="W1004" i="3"/>
  <c r="R1005" i="3" l="1"/>
  <c r="K1006" i="3"/>
  <c r="D1006" i="3"/>
  <c r="L1005" i="3"/>
  <c r="S1005" i="3" s="1"/>
  <c r="T1005" i="3" l="1"/>
  <c r="U1005" i="3" s="1"/>
  <c r="V1005" i="3"/>
  <c r="W1005" i="3" s="1"/>
  <c r="G1006" i="3"/>
  <c r="N1006" i="3"/>
  <c r="O1006" i="3"/>
  <c r="I1006" i="3" l="1"/>
  <c r="P1006" i="3"/>
  <c r="Q1006" i="3" a="1"/>
  <c r="Q1006" i="3" s="1"/>
  <c r="R1006" i="3" s="1"/>
  <c r="B1007" i="3" l="1"/>
  <c r="D1007" i="3" l="1"/>
  <c r="K1007" i="3"/>
  <c r="L1006" i="3"/>
  <c r="S1006" i="3" s="1"/>
  <c r="N1007" i="3" l="1"/>
  <c r="G1007" i="3"/>
  <c r="I1007" i="3" s="1"/>
  <c r="O1007" i="3"/>
  <c r="V1006" i="3"/>
  <c r="T1006" i="3"/>
  <c r="U1006" i="3" s="1"/>
  <c r="W1006" i="3" l="1"/>
  <c r="Q1007" i="3" a="1"/>
  <c r="Q1007" i="3" s="1"/>
  <c r="P1007" i="3"/>
  <c r="B1008" i="3"/>
  <c r="R1007" i="3" l="1"/>
  <c r="K1008" i="3"/>
  <c r="D1008" i="3"/>
  <c r="L1007" i="3"/>
  <c r="S1007" i="3" s="1"/>
  <c r="T1007" i="3" l="1"/>
  <c r="U1007" i="3" s="1"/>
  <c r="V1007" i="3"/>
  <c r="O1008" i="3"/>
  <c r="G1008" i="3"/>
  <c r="I1008" i="3" s="1"/>
  <c r="N1008" i="3"/>
  <c r="B1009" i="3" l="1"/>
  <c r="P1008" i="3"/>
  <c r="Q1008" i="3" a="1"/>
  <c r="Q1008" i="3" s="1"/>
  <c r="W1007" i="3"/>
  <c r="R1008" i="3" l="1"/>
  <c r="K1009" i="3"/>
  <c r="D1009" i="3"/>
  <c r="L1008" i="3"/>
  <c r="S1008" i="3" s="1"/>
  <c r="T1008" i="3" l="1"/>
  <c r="U1008" i="3" s="1"/>
  <c r="V1008" i="3"/>
  <c r="G1009" i="3"/>
  <c r="O1009" i="3"/>
  <c r="N1009" i="3"/>
  <c r="Q1009" i="3" l="1" a="1"/>
  <c r="Q1009" i="3" s="1"/>
  <c r="P1009" i="3"/>
  <c r="I1009" i="3"/>
  <c r="W1008" i="3"/>
  <c r="R1009" i="3" l="1"/>
  <c r="B1010" i="3"/>
  <c r="D1010" i="3" l="1"/>
  <c r="K1010" i="3"/>
  <c r="L1009" i="3"/>
  <c r="S1009" i="3" s="1"/>
  <c r="N1010" i="3" l="1"/>
  <c r="G1010" i="3"/>
  <c r="I1010" i="3" s="1"/>
  <c r="O1010" i="3"/>
  <c r="T1009" i="3"/>
  <c r="U1009" i="3" s="1"/>
  <c r="V1009" i="3"/>
  <c r="W1009" i="3" l="1"/>
  <c r="Q1010" i="3" a="1"/>
  <c r="Q1010" i="3" s="1"/>
  <c r="P1010" i="3"/>
  <c r="B1011" i="3"/>
  <c r="R1010" i="3" l="1"/>
  <c r="K1011" i="3"/>
  <c r="D1011" i="3"/>
  <c r="L1010" i="3"/>
  <c r="S1010" i="3" s="1"/>
  <c r="T1010" i="3" l="1"/>
  <c r="U1010" i="3" s="1"/>
  <c r="V1010" i="3"/>
  <c r="G1011" i="3"/>
  <c r="I1011" i="3" s="1"/>
  <c r="O1011" i="3"/>
  <c r="N1011" i="3"/>
  <c r="P1011" i="3" l="1"/>
  <c r="Q1011" i="3" a="1"/>
  <c r="Q1011" i="3" s="1"/>
  <c r="R1011" i="3" s="1"/>
  <c r="B1012" i="3"/>
  <c r="W1010" i="3"/>
  <c r="D1012" i="3" l="1"/>
  <c r="K1012" i="3"/>
  <c r="L1011" i="3"/>
  <c r="S1011" i="3" s="1"/>
  <c r="T1011" i="3" l="1"/>
  <c r="U1011" i="3" s="1"/>
  <c r="V1011" i="3"/>
  <c r="N1012" i="3"/>
  <c r="O1012" i="3"/>
  <c r="G1012" i="3"/>
  <c r="P1012" i="3" l="1"/>
  <c r="Q1012" i="3" a="1"/>
  <c r="Q1012" i="3" s="1"/>
  <c r="W1011" i="3"/>
  <c r="I1012" i="3"/>
  <c r="R1012" i="3" l="1"/>
  <c r="B1013" i="3"/>
  <c r="D1013" i="3" l="1"/>
  <c r="K1013" i="3"/>
  <c r="L1012" i="3"/>
  <c r="S1012" i="3" s="1"/>
  <c r="O1013" i="3" l="1"/>
  <c r="G1013" i="3"/>
  <c r="I1013" i="3" s="1"/>
  <c r="N1013" i="3"/>
  <c r="T1012" i="3"/>
  <c r="U1012" i="3" s="1"/>
  <c r="V1012" i="3"/>
  <c r="W1012" i="3" s="1"/>
  <c r="B1014" i="3" l="1"/>
  <c r="Q1013" i="3" a="1"/>
  <c r="Q1013" i="3" s="1"/>
  <c r="P1013" i="3"/>
  <c r="R1013" i="3" l="1"/>
  <c r="K1014" i="3"/>
  <c r="D1014" i="3"/>
  <c r="L1013" i="3"/>
  <c r="S1013" i="3" s="1"/>
  <c r="V1013" i="3" l="1"/>
  <c r="T1013" i="3"/>
  <c r="U1013" i="3" s="1"/>
  <c r="O1014" i="3"/>
  <c r="G1014" i="3"/>
  <c r="I1014" i="3" s="1"/>
  <c r="N1014" i="3"/>
  <c r="B1015" i="3" l="1"/>
  <c r="P1014" i="3"/>
  <c r="Q1014" i="3" a="1"/>
  <c r="Q1014" i="3" s="1"/>
  <c r="W1013" i="3"/>
  <c r="R1014" i="3" l="1"/>
  <c r="D1015" i="3"/>
  <c r="K1015" i="3"/>
  <c r="L1014" i="3"/>
  <c r="S1014" i="3" s="1"/>
  <c r="T1014" i="3" l="1"/>
  <c r="U1014" i="3" s="1"/>
  <c r="V1014" i="3"/>
  <c r="W1014" i="3" s="1"/>
  <c r="O1015" i="3"/>
  <c r="N1015" i="3"/>
  <c r="G1015" i="3"/>
  <c r="P1015" i="3" l="1"/>
  <c r="Q1015" i="3" a="1"/>
  <c r="Q1015" i="3" s="1"/>
  <c r="R1015" i="3" s="1"/>
  <c r="I1015" i="3"/>
  <c r="B1016" i="3" l="1"/>
  <c r="D1016" i="3" l="1"/>
  <c r="K1016" i="3"/>
  <c r="L1015" i="3"/>
  <c r="S1015" i="3" s="1"/>
  <c r="V1015" i="3" l="1"/>
  <c r="T1015" i="3"/>
  <c r="U1015" i="3" s="1"/>
  <c r="O1016" i="3"/>
  <c r="N1016" i="3"/>
  <c r="G1016" i="3"/>
  <c r="Q1016" i="3" l="1" a="1"/>
  <c r="Q1016" i="3" s="1"/>
  <c r="P1016" i="3"/>
  <c r="I1016" i="3"/>
  <c r="W1015" i="3"/>
  <c r="R1016" i="3" l="1"/>
  <c r="B1017" i="3"/>
  <c r="K1017" i="3" l="1"/>
  <c r="D1017" i="3"/>
  <c r="L1016" i="3"/>
  <c r="S1016" i="3" s="1"/>
  <c r="T1016" i="3" l="1"/>
  <c r="U1016" i="3" s="1"/>
  <c r="V1016" i="3"/>
  <c r="G1017" i="3"/>
  <c r="N1017" i="3"/>
  <c r="O1017" i="3"/>
  <c r="I1017" i="3" l="1"/>
  <c r="W1016" i="3"/>
  <c r="P1017" i="3"/>
  <c r="Q1017" i="3" a="1"/>
  <c r="Q1017" i="3" s="1"/>
  <c r="R1017" i="3" s="1"/>
  <c r="B1018" i="3" l="1"/>
  <c r="D1018" i="3" l="1"/>
  <c r="K1018" i="3"/>
  <c r="L1017" i="3"/>
  <c r="S1017" i="3" s="1"/>
  <c r="T1017" i="3" l="1"/>
  <c r="U1017" i="3" s="1"/>
  <c r="V1017" i="3"/>
  <c r="W1017" i="3" s="1"/>
  <c r="O1018" i="3"/>
  <c r="N1018" i="3"/>
  <c r="G1018" i="3"/>
  <c r="Q1018" i="3" l="1" a="1"/>
  <c r="Q1018" i="3" s="1"/>
  <c r="P1018" i="3"/>
  <c r="I1018" i="3"/>
  <c r="R1018" i="3" l="1"/>
  <c r="B1019" i="3"/>
  <c r="K1019" i="3" l="1"/>
  <c r="D1019" i="3"/>
  <c r="L1018" i="3"/>
  <c r="S1018" i="3" s="1"/>
  <c r="V1018" i="3" l="1"/>
  <c r="T1018" i="3"/>
  <c r="U1018" i="3" s="1"/>
  <c r="G1019" i="3"/>
  <c r="I1019" i="3" s="1"/>
  <c r="O1019" i="3"/>
  <c r="N1019" i="3"/>
  <c r="P1019" i="3" l="1"/>
  <c r="Q1019" i="3" a="1"/>
  <c r="Q1019" i="3" s="1"/>
  <c r="B1020" i="3"/>
  <c r="L1019" i="3" s="1"/>
  <c r="W1018" i="3"/>
  <c r="R1019" i="3" l="1"/>
  <c r="D1020" i="3"/>
  <c r="K1020" i="3"/>
  <c r="S1019" i="3"/>
  <c r="O1020" i="3" l="1"/>
  <c r="G1020" i="3"/>
  <c r="I1020" i="3" s="1"/>
  <c r="N1020" i="3"/>
  <c r="T1019" i="3"/>
  <c r="U1019" i="3" s="1"/>
  <c r="V1019" i="3"/>
  <c r="B1021" i="3" l="1"/>
  <c r="W1019" i="3"/>
  <c r="Q1020" i="3" a="1"/>
  <c r="Q1020" i="3" s="1"/>
  <c r="P1020" i="3"/>
  <c r="R1020" i="3" l="1"/>
  <c r="D1021" i="3"/>
  <c r="K1021" i="3"/>
  <c r="L1020" i="3"/>
  <c r="S1020" i="3" s="1"/>
  <c r="T1020" i="3" l="1"/>
  <c r="U1020" i="3" s="1"/>
  <c r="V1020" i="3"/>
  <c r="O1021" i="3"/>
  <c r="N1021" i="3"/>
  <c r="G1021" i="3"/>
  <c r="I1021" i="3" s="1"/>
  <c r="P1021" i="3" l="1"/>
  <c r="Q1021" i="3" a="1"/>
  <c r="Q1021" i="3" s="1"/>
  <c r="W1020" i="3"/>
  <c r="B1022" i="3"/>
  <c r="R1021" i="3" l="1"/>
  <c r="D1022" i="3"/>
  <c r="K1022" i="3"/>
  <c r="L1021" i="3"/>
  <c r="S1021" i="3" s="1"/>
  <c r="T1021" i="3" l="1"/>
  <c r="U1021" i="3" s="1"/>
  <c r="V1021" i="3"/>
  <c r="N1022" i="3"/>
  <c r="O1022" i="3"/>
  <c r="G1022" i="3"/>
  <c r="P1022" i="3" l="1"/>
  <c r="Q1022" i="3" a="1"/>
  <c r="Q1022" i="3" s="1"/>
  <c r="R1022" i="3" s="1"/>
  <c r="W1021" i="3"/>
  <c r="I1022" i="3"/>
  <c r="B1023" i="3" l="1"/>
  <c r="K1023" i="3" l="1"/>
  <c r="D1023" i="3"/>
  <c r="L1022" i="3"/>
  <c r="S1022" i="3" s="1"/>
  <c r="T1022" i="3" l="1"/>
  <c r="U1022" i="3" s="1"/>
  <c r="V1022" i="3"/>
  <c r="G1023" i="3"/>
  <c r="I1023" i="3" s="1"/>
  <c r="O1023" i="3"/>
  <c r="N1023" i="3"/>
  <c r="P1023" i="3" l="1"/>
  <c r="Q1023" i="3" a="1"/>
  <c r="Q1023" i="3" s="1"/>
  <c r="B1024" i="3"/>
  <c r="W1022" i="3"/>
  <c r="R1023" i="3" l="1"/>
  <c r="D1024" i="3"/>
  <c r="K1024" i="3"/>
  <c r="L1023" i="3"/>
  <c r="S1023" i="3" s="1"/>
  <c r="T1023" i="3" l="1"/>
  <c r="U1023" i="3" s="1"/>
  <c r="V1023" i="3"/>
  <c r="G1024" i="3"/>
  <c r="I1024" i="3" s="1"/>
  <c r="O1024" i="3"/>
  <c r="N1024" i="3"/>
  <c r="P1024" i="3" l="1"/>
  <c r="Q1024" i="3" a="1"/>
  <c r="Q1024" i="3" s="1"/>
  <c r="B1025" i="3"/>
  <c r="W1023" i="3"/>
  <c r="R1024" i="3" l="1"/>
  <c r="K1025" i="3"/>
  <c r="D1025" i="3"/>
  <c r="L1024" i="3"/>
  <c r="S1024" i="3" s="1"/>
  <c r="T1024" i="3" l="1"/>
  <c r="U1024" i="3" s="1"/>
  <c r="V1024" i="3"/>
  <c r="G1025" i="3"/>
  <c r="O1025" i="3"/>
  <c r="N1025" i="3"/>
  <c r="Q1025" i="3" l="1" a="1"/>
  <c r="Q1025" i="3" s="1"/>
  <c r="P1025" i="3"/>
  <c r="I1025" i="3"/>
  <c r="W1024" i="3"/>
  <c r="R1025" i="3" l="1"/>
  <c r="B1026" i="3"/>
  <c r="K1026" i="3" l="1"/>
  <c r="D1026" i="3"/>
  <c r="L1025" i="3"/>
  <c r="S1025" i="3" s="1"/>
  <c r="T1025" i="3" l="1"/>
  <c r="U1025" i="3" s="1"/>
  <c r="V1025" i="3"/>
  <c r="G1026" i="3"/>
  <c r="I1026" i="3" s="1"/>
  <c r="N1026" i="3"/>
  <c r="O1026" i="3"/>
  <c r="B1027" i="3" l="1"/>
  <c r="W1025" i="3"/>
  <c r="P1026" i="3"/>
  <c r="Q1026" i="3" a="1"/>
  <c r="Q1026" i="3" s="1"/>
  <c r="R1026" i="3" s="1"/>
  <c r="K1027" i="3" l="1"/>
  <c r="D1027" i="3"/>
  <c r="L1026" i="3"/>
  <c r="S1026" i="3" s="1"/>
  <c r="T1026" i="3" l="1"/>
  <c r="U1026" i="3" s="1"/>
  <c r="V1026" i="3"/>
  <c r="W1026" i="3" s="1"/>
  <c r="N1027" i="3"/>
  <c r="O1027" i="3"/>
  <c r="G1027" i="3"/>
  <c r="I1027" i="3" s="1"/>
  <c r="Q1027" i="3" l="1" a="1"/>
  <c r="Q1027" i="3" s="1"/>
  <c r="P1027" i="3"/>
  <c r="B1028" i="3"/>
  <c r="R1027" i="3" l="1"/>
  <c r="K1028" i="3"/>
  <c r="D1028" i="3"/>
  <c r="L1027" i="3"/>
  <c r="S1027" i="3" s="1"/>
  <c r="V1027" i="3" l="1"/>
  <c r="T1027" i="3"/>
  <c r="U1027" i="3" s="1"/>
  <c r="G1028" i="3"/>
  <c r="I1028" i="3" s="1"/>
  <c r="N1028" i="3"/>
  <c r="O1028" i="3"/>
  <c r="B1029" i="3" l="1"/>
  <c r="P1028" i="3"/>
  <c r="Q1028" i="3" a="1"/>
  <c r="Q1028" i="3" s="1"/>
  <c r="W1027" i="3"/>
  <c r="R1028" i="3" l="1"/>
  <c r="D1029" i="3"/>
  <c r="K1029" i="3"/>
  <c r="L1028" i="3"/>
  <c r="S1028" i="3" s="1"/>
  <c r="G1029" i="3" l="1"/>
  <c r="I1029" i="3" s="1"/>
  <c r="O1029" i="3"/>
  <c r="N1029" i="3"/>
  <c r="T1028" i="3"/>
  <c r="U1028" i="3" s="1"/>
  <c r="V1028" i="3"/>
  <c r="P1029" i="3" l="1"/>
  <c r="Q1029" i="3" a="1"/>
  <c r="Q1029" i="3" s="1"/>
  <c r="W1028" i="3"/>
  <c r="B1030" i="3"/>
  <c r="R1029" i="3" l="1"/>
  <c r="K1030" i="3"/>
  <c r="D1030" i="3"/>
  <c r="L1029" i="3"/>
  <c r="S1029" i="3" s="1"/>
  <c r="G1030" i="3" l="1"/>
  <c r="I1030" i="3" s="1"/>
  <c r="N1030" i="3"/>
  <c r="O1030" i="3"/>
  <c r="T1029" i="3"/>
  <c r="U1029" i="3" s="1"/>
  <c r="V1029" i="3"/>
  <c r="W1029" i="3" l="1"/>
  <c r="Q1030" i="3" a="1"/>
  <c r="Q1030" i="3" s="1"/>
  <c r="P1030" i="3"/>
  <c r="B1031" i="3"/>
  <c r="R1030" i="3" l="1"/>
  <c r="D1031" i="3"/>
  <c r="K1031" i="3"/>
  <c r="L1030" i="3"/>
  <c r="S1030" i="3" s="1"/>
  <c r="T1030" i="3" l="1"/>
  <c r="U1030" i="3" s="1"/>
  <c r="V1030" i="3"/>
  <c r="O1031" i="3"/>
  <c r="G1031" i="3"/>
  <c r="I1031" i="3" s="1"/>
  <c r="N1031" i="3"/>
  <c r="B1032" i="3" l="1"/>
  <c r="Q1031" i="3" a="1"/>
  <c r="Q1031" i="3" s="1"/>
  <c r="P1031" i="3"/>
  <c r="W1030" i="3"/>
  <c r="R1031" i="3" l="1"/>
  <c r="D1032" i="3"/>
  <c r="K1032" i="3"/>
  <c r="L1031" i="3"/>
  <c r="S1031" i="3" s="1"/>
  <c r="T1031" i="3" l="1"/>
  <c r="U1031" i="3" s="1"/>
  <c r="V1031" i="3"/>
  <c r="N1032" i="3"/>
  <c r="G1032" i="3"/>
  <c r="O1032" i="3"/>
  <c r="I1032" i="3" l="1"/>
  <c r="W1031" i="3"/>
  <c r="Q1032" i="3" a="1"/>
  <c r="Q1032" i="3" s="1"/>
  <c r="P1032" i="3"/>
  <c r="R1032" i="3" l="1"/>
  <c r="B1033" i="3"/>
  <c r="K1033" i="3" l="1"/>
  <c r="D1033" i="3"/>
  <c r="L1032" i="3"/>
  <c r="S1032" i="3" s="1"/>
  <c r="N1033" i="3" l="1"/>
  <c r="O1033" i="3"/>
  <c r="G1033" i="3"/>
  <c r="I1033" i="3" s="1"/>
  <c r="T1032" i="3"/>
  <c r="U1032" i="3" s="1"/>
  <c r="V1032" i="3"/>
  <c r="B1034" i="3" l="1"/>
  <c r="P1033" i="3"/>
  <c r="Q1033" i="3" a="1"/>
  <c r="Q1033" i="3" s="1"/>
  <c r="W1032" i="3"/>
  <c r="R1033" i="3" l="1"/>
  <c r="D1034" i="3"/>
  <c r="K1034" i="3"/>
  <c r="L1033" i="3"/>
  <c r="S1033" i="3" s="1"/>
  <c r="T1033" i="3" l="1"/>
  <c r="U1033" i="3" s="1"/>
  <c r="V1033" i="3"/>
  <c r="G1034" i="3"/>
  <c r="I1034" i="3" s="1"/>
  <c r="N1034" i="3"/>
  <c r="O1034" i="3"/>
  <c r="B1035" i="3" l="1"/>
  <c r="W1033" i="3"/>
  <c r="Q1034" i="3" a="1"/>
  <c r="Q1034" i="3" s="1"/>
  <c r="R1034" i="3" s="1"/>
  <c r="P1034" i="3"/>
  <c r="D1035" i="3" l="1"/>
  <c r="K1035" i="3"/>
  <c r="L1034" i="3"/>
  <c r="S1034" i="3" s="1"/>
  <c r="T1034" i="3" l="1"/>
  <c r="U1034" i="3" s="1"/>
  <c r="V1034" i="3"/>
  <c r="W1034" i="3" s="1"/>
  <c r="N1035" i="3"/>
  <c r="G1035" i="3"/>
  <c r="O1035" i="3"/>
  <c r="I1035" i="3" l="1"/>
  <c r="Q1035" i="3" a="1"/>
  <c r="Q1035" i="3" s="1"/>
  <c r="P1035" i="3"/>
  <c r="R1035" i="3" l="1"/>
  <c r="B1036" i="3"/>
  <c r="D1036" i="3" l="1"/>
  <c r="K1036" i="3"/>
  <c r="L1035" i="3"/>
  <c r="S1035" i="3" s="1"/>
  <c r="G1036" i="3" l="1"/>
  <c r="I1036" i="3" s="1"/>
  <c r="N1036" i="3"/>
  <c r="O1036" i="3"/>
  <c r="V1035" i="3"/>
  <c r="W1035" i="3" s="1"/>
  <c r="T1035" i="3"/>
  <c r="U1035" i="3" s="1"/>
  <c r="Q1036" i="3" l="1" a="1"/>
  <c r="Q1036" i="3" s="1"/>
  <c r="P1036" i="3"/>
  <c r="B1037" i="3"/>
  <c r="R1036" i="3" l="1"/>
  <c r="K1037" i="3"/>
  <c r="D1037" i="3"/>
  <c r="L1036" i="3"/>
  <c r="S1036" i="3" s="1"/>
  <c r="G1037" i="3" l="1"/>
  <c r="I1037" i="3" s="1"/>
  <c r="B1038" i="3" s="1"/>
  <c r="V1036" i="3"/>
  <c r="T1036" i="3"/>
  <c r="U1036" i="3" s="1"/>
  <c r="O1037" i="3"/>
  <c r="N1037" i="3"/>
  <c r="K1038" i="3" l="1"/>
  <c r="D1038" i="3"/>
  <c r="L1037" i="3"/>
  <c r="Q1037" i="3" a="1"/>
  <c r="Q1037" i="3" s="1"/>
  <c r="P1037" i="3"/>
  <c r="W1036" i="3"/>
  <c r="R1037" i="3" l="1"/>
  <c r="S1037" i="3"/>
  <c r="T1037" i="3" s="1"/>
  <c r="U1037" i="3" s="1"/>
  <c r="O1038" i="3"/>
  <c r="G1038" i="3"/>
  <c r="I1038" i="3" s="1"/>
  <c r="N1038" i="3"/>
  <c r="V1037" i="3" l="1"/>
  <c r="W1037" i="3" s="1"/>
  <c r="B1039" i="3"/>
  <c r="P1038" i="3"/>
  <c r="Q1038" i="3" a="1"/>
  <c r="Q1038" i="3" s="1"/>
  <c r="R1038" i="3" s="1"/>
  <c r="K1039" i="3" l="1"/>
  <c r="D1039" i="3"/>
  <c r="L1038" i="3"/>
  <c r="S1038" i="3" s="1"/>
  <c r="T1038" i="3" l="1"/>
  <c r="U1038" i="3" s="1"/>
  <c r="V1038" i="3"/>
  <c r="G1039" i="3"/>
  <c r="N1039" i="3"/>
  <c r="O1039" i="3"/>
  <c r="I1039" i="3" l="1"/>
  <c r="W1038" i="3"/>
  <c r="P1039" i="3"/>
  <c r="Q1039" i="3" a="1"/>
  <c r="Q1039" i="3" s="1"/>
  <c r="R1039" i="3" l="1"/>
  <c r="B1040" i="3"/>
  <c r="D1040" i="3" l="1"/>
  <c r="K1040" i="3"/>
  <c r="L1039" i="3"/>
  <c r="S1039" i="3" s="1"/>
  <c r="O1040" i="3" l="1"/>
  <c r="G1040" i="3"/>
  <c r="I1040" i="3" s="1"/>
  <c r="N1040" i="3"/>
  <c r="T1039" i="3"/>
  <c r="U1039" i="3" s="1"/>
  <c r="V1039" i="3"/>
  <c r="W1039" i="3" l="1"/>
  <c r="B1041" i="3"/>
  <c r="P1040" i="3"/>
  <c r="Q1040" i="3" a="1"/>
  <c r="Q1040" i="3" s="1"/>
  <c r="R1040" i="3" s="1"/>
  <c r="K1041" i="3" l="1"/>
  <c r="D1041" i="3"/>
  <c r="L1040" i="3"/>
  <c r="S1040" i="3" s="1"/>
  <c r="T1040" i="3" l="1"/>
  <c r="U1040" i="3" s="1"/>
  <c r="V1040" i="3"/>
  <c r="W1040" i="3" s="1"/>
  <c r="N1041" i="3"/>
  <c r="G1041" i="3"/>
  <c r="I1041" i="3" s="1"/>
  <c r="O1041" i="3"/>
  <c r="B1042" i="3" l="1"/>
  <c r="Q1041" i="3" a="1"/>
  <c r="Q1041" i="3" s="1"/>
  <c r="P1041" i="3"/>
  <c r="R1041" i="3" l="1"/>
  <c r="K1042" i="3"/>
  <c r="D1042" i="3"/>
  <c r="L1041" i="3"/>
  <c r="S1041" i="3" s="1"/>
  <c r="V1041" i="3" l="1"/>
  <c r="T1041" i="3"/>
  <c r="U1041" i="3" s="1"/>
  <c r="O1042" i="3"/>
  <c r="N1042" i="3"/>
  <c r="G1042" i="3"/>
  <c r="Q1042" i="3" l="1" a="1"/>
  <c r="Q1042" i="3" s="1"/>
  <c r="P1042" i="3"/>
  <c r="I1042" i="3"/>
  <c r="B1043" i="3" s="1"/>
  <c r="W1041" i="3"/>
  <c r="R1042" i="3" l="1"/>
  <c r="K1043" i="3"/>
  <c r="D1043" i="3"/>
  <c r="L1042" i="3"/>
  <c r="S1042" i="3" s="1"/>
  <c r="T1042" i="3" l="1"/>
  <c r="U1042" i="3" s="1"/>
  <c r="V1042" i="3"/>
  <c r="G1043" i="3"/>
  <c r="I1043" i="3" s="1"/>
  <c r="N1043" i="3"/>
  <c r="O1043" i="3"/>
  <c r="B1044" i="3" l="1"/>
  <c r="W1042" i="3"/>
  <c r="Q1043" i="3" a="1"/>
  <c r="Q1043" i="3" s="1"/>
  <c r="R1043" i="3" s="1"/>
  <c r="P1043" i="3"/>
  <c r="D1044" i="3" l="1"/>
  <c r="K1044" i="3"/>
  <c r="L1043" i="3"/>
  <c r="S1043" i="3" s="1"/>
  <c r="T1043" i="3" l="1"/>
  <c r="U1043" i="3" s="1"/>
  <c r="V1043" i="3"/>
  <c r="O1044" i="3"/>
  <c r="G1044" i="3"/>
  <c r="I1044" i="3" s="1"/>
  <c r="N1044" i="3"/>
  <c r="B1045" i="3" l="1"/>
  <c r="P1044" i="3"/>
  <c r="Q1044" i="3" a="1"/>
  <c r="Q1044" i="3" s="1"/>
  <c r="W1043" i="3"/>
  <c r="R1044" i="3" l="1"/>
  <c r="K1045" i="3"/>
  <c r="D1045" i="3"/>
  <c r="L1044" i="3"/>
  <c r="S1044" i="3" s="1"/>
  <c r="T1044" i="3" l="1"/>
  <c r="U1044" i="3" s="1"/>
  <c r="V1044" i="3"/>
  <c r="G1045" i="3"/>
  <c r="I1045" i="3" s="1"/>
  <c r="N1045" i="3"/>
  <c r="O1045" i="3"/>
  <c r="B1046" i="3" l="1"/>
  <c r="W1044" i="3"/>
  <c r="P1045" i="3"/>
  <c r="Q1045" i="3" a="1"/>
  <c r="Q1045" i="3" s="1"/>
  <c r="R1045" i="3" s="1"/>
  <c r="K1046" i="3" l="1"/>
  <c r="D1046" i="3"/>
  <c r="L1045" i="3"/>
  <c r="S1045" i="3" s="1"/>
  <c r="T1045" i="3" l="1"/>
  <c r="U1045" i="3" s="1"/>
  <c r="V1045" i="3"/>
  <c r="G1046" i="3"/>
  <c r="I1046" i="3" s="1"/>
  <c r="O1046" i="3"/>
  <c r="N1046" i="3"/>
  <c r="P1046" i="3" l="1"/>
  <c r="Q1046" i="3" a="1"/>
  <c r="Q1046" i="3" s="1"/>
  <c r="B1047" i="3"/>
  <c r="W1045" i="3"/>
  <c r="R1046" i="3" l="1"/>
  <c r="D1047" i="3"/>
  <c r="K1047" i="3"/>
  <c r="L1046" i="3"/>
  <c r="S1046" i="3" s="1"/>
  <c r="T1046" i="3" l="1"/>
  <c r="U1046" i="3" s="1"/>
  <c r="V1046" i="3"/>
  <c r="N1047" i="3"/>
  <c r="O1047" i="3"/>
  <c r="G1047" i="3"/>
  <c r="I1047" i="3" s="1"/>
  <c r="Q1047" i="3" l="1" a="1"/>
  <c r="Q1047" i="3" s="1"/>
  <c r="P1047" i="3"/>
  <c r="W1046" i="3"/>
  <c r="B1048" i="3"/>
  <c r="L1047" i="3" s="1"/>
  <c r="R1047" i="3" l="1"/>
  <c r="K1048" i="3"/>
  <c r="D1048" i="3"/>
  <c r="S1047" i="3"/>
  <c r="G1048" i="3" l="1"/>
  <c r="I1048" i="3" s="1"/>
  <c r="B1049" i="3" s="1"/>
  <c r="T1047" i="3"/>
  <c r="U1047" i="3" s="1"/>
  <c r="V1047" i="3"/>
  <c r="N1048" i="3"/>
  <c r="O1048" i="3"/>
  <c r="W1047" i="3" l="1"/>
  <c r="P1048" i="3"/>
  <c r="Q1048" i="3" a="1"/>
  <c r="Q1048" i="3" s="1"/>
  <c r="D1049" i="3"/>
  <c r="K1049" i="3"/>
  <c r="L1048" i="3"/>
  <c r="R1048" i="3" l="1"/>
  <c r="O1049" i="3"/>
  <c r="N1049" i="3"/>
  <c r="G1049" i="3"/>
  <c r="I1049" i="3" s="1"/>
  <c r="S1048" i="3"/>
  <c r="T1048" i="3" l="1"/>
  <c r="U1048" i="3" s="1"/>
  <c r="V1048" i="3"/>
  <c r="B1050" i="3"/>
  <c r="P1049" i="3"/>
  <c r="Q1049" i="3" a="1"/>
  <c r="Q1049" i="3" s="1"/>
  <c r="R1049" i="3" l="1"/>
  <c r="D1050" i="3"/>
  <c r="K1050" i="3"/>
  <c r="L1049" i="3"/>
  <c r="S1049" i="3" s="1"/>
  <c r="T1049" i="3" s="1"/>
  <c r="U1049" i="3" s="1"/>
  <c r="W1048" i="3"/>
  <c r="G1050" i="3" l="1"/>
  <c r="O1050" i="3"/>
  <c r="N1050" i="3"/>
  <c r="V1049" i="3"/>
  <c r="W1049" i="3" l="1"/>
  <c r="Q1050" i="3" a="1"/>
  <c r="Q1050" i="3" s="1"/>
  <c r="P1050" i="3"/>
  <c r="I1050" i="3"/>
  <c r="R1050" i="3" l="1"/>
  <c r="B1051" i="3"/>
  <c r="K1051" i="3" l="1"/>
  <c r="D1051" i="3"/>
  <c r="L1050" i="3"/>
  <c r="S1050" i="3" s="1"/>
  <c r="G1051" i="3" l="1"/>
  <c r="I1051" i="3" s="1"/>
  <c r="O1051" i="3"/>
  <c r="N1051" i="3"/>
  <c r="T1050" i="3"/>
  <c r="U1050" i="3" s="1"/>
  <c r="V1050" i="3"/>
  <c r="W1050" i="3" l="1"/>
  <c r="Q1051" i="3" a="1"/>
  <c r="Q1051" i="3" s="1"/>
  <c r="P1051" i="3"/>
  <c r="B1052" i="3"/>
  <c r="R1051" i="3" l="1"/>
  <c r="K1052" i="3"/>
  <c r="D1052" i="3"/>
  <c r="L1051" i="3"/>
  <c r="S1051" i="3" s="1"/>
  <c r="T1051" i="3" l="1"/>
  <c r="U1051" i="3" s="1"/>
  <c r="V1051" i="3"/>
  <c r="G1052" i="3"/>
  <c r="O1052" i="3"/>
  <c r="N1052" i="3"/>
  <c r="P1052" i="3" l="1"/>
  <c r="Q1052" i="3" a="1"/>
  <c r="Q1052" i="3" s="1"/>
  <c r="R1052" i="3" s="1"/>
  <c r="I1052" i="3"/>
  <c r="W1051" i="3"/>
  <c r="B1053" i="3" l="1"/>
  <c r="K1053" i="3" l="1"/>
  <c r="D1053" i="3"/>
  <c r="L1052" i="3"/>
  <c r="S1052" i="3" s="1"/>
  <c r="T1052" i="3" l="1"/>
  <c r="U1052" i="3" s="1"/>
  <c r="V1052" i="3"/>
  <c r="G1053" i="3"/>
  <c r="O1053" i="3"/>
  <c r="N1053" i="3"/>
  <c r="Q1053" i="3" l="1" a="1"/>
  <c r="Q1053" i="3" s="1"/>
  <c r="P1053" i="3"/>
  <c r="I1053" i="3"/>
  <c r="W1052" i="3"/>
  <c r="R1053" i="3" l="1"/>
  <c r="B1054" i="3"/>
  <c r="K1054" i="3" l="1"/>
  <c r="D1054" i="3"/>
  <c r="L1053" i="3"/>
  <c r="S1053" i="3" s="1"/>
  <c r="G1054" i="3" l="1"/>
  <c r="I1054" i="3" s="1"/>
  <c r="O1054" i="3"/>
  <c r="N1054" i="3"/>
  <c r="T1053" i="3"/>
  <c r="U1053" i="3" s="1"/>
  <c r="V1053" i="3"/>
  <c r="W1053" i="3" l="1"/>
  <c r="Q1054" i="3" a="1"/>
  <c r="Q1054" i="3" s="1"/>
  <c r="P1054" i="3"/>
  <c r="B1055" i="3"/>
  <c r="R1054" i="3" l="1"/>
  <c r="D1055" i="3"/>
  <c r="K1055" i="3"/>
  <c r="L1054" i="3"/>
  <c r="S1054" i="3" s="1"/>
  <c r="T1054" i="3" l="1"/>
  <c r="U1054" i="3" s="1"/>
  <c r="V1054" i="3"/>
  <c r="W1054" i="3" s="1"/>
  <c r="G1055" i="3"/>
  <c r="N1055" i="3"/>
  <c r="O1055" i="3"/>
  <c r="I1055" i="3" l="1"/>
  <c r="P1055" i="3"/>
  <c r="Q1055" i="3" a="1"/>
  <c r="Q1055" i="3" s="1"/>
  <c r="R1055" i="3" s="1"/>
  <c r="B1056" i="3" l="1"/>
  <c r="D1056" i="3" l="1"/>
  <c r="K1056" i="3"/>
  <c r="L1055" i="3"/>
  <c r="S1055" i="3" s="1"/>
  <c r="V1055" i="3" l="1"/>
  <c r="T1055" i="3"/>
  <c r="U1055" i="3" s="1"/>
  <c r="G1056" i="3"/>
  <c r="N1056" i="3"/>
  <c r="O1056" i="3"/>
  <c r="I1056" i="3" l="1"/>
  <c r="P1056" i="3"/>
  <c r="Q1056" i="3" a="1"/>
  <c r="Q1056" i="3" s="1"/>
  <c r="R1056" i="3" s="1"/>
  <c r="W1055" i="3"/>
  <c r="B1057" i="3" l="1"/>
  <c r="D1057" i="3" l="1"/>
  <c r="K1057" i="3"/>
  <c r="L1056" i="3"/>
  <c r="S1056" i="3" s="1"/>
  <c r="T1056" i="3" l="1"/>
  <c r="U1056" i="3" s="1"/>
  <c r="V1056" i="3"/>
  <c r="O1057" i="3"/>
  <c r="G1057" i="3"/>
  <c r="N1057" i="3"/>
  <c r="I1057" i="3" l="1"/>
  <c r="P1057" i="3"/>
  <c r="Q1057" i="3" a="1"/>
  <c r="Q1057" i="3" s="1"/>
  <c r="W1056" i="3"/>
  <c r="R1057" i="3" l="1"/>
  <c r="B1058" i="3"/>
  <c r="L1057" i="3" s="1"/>
  <c r="S1057" i="3" s="1"/>
  <c r="T1057" i="3" l="1"/>
  <c r="U1057" i="3" s="1"/>
  <c r="V1057" i="3"/>
  <c r="W1057" i="3" s="1"/>
  <c r="D1058" i="3"/>
  <c r="K1058" i="3"/>
  <c r="G1058" i="3" l="1"/>
  <c r="N1058" i="3"/>
  <c r="O1058" i="3"/>
  <c r="Q1058" i="3" l="1" a="1"/>
  <c r="Q1058" i="3" s="1"/>
  <c r="P1058" i="3"/>
  <c r="I1058" i="3"/>
  <c r="R1058" i="3" l="1"/>
  <c r="B1059" i="3"/>
  <c r="D1059" i="3" l="1"/>
  <c r="K1059" i="3"/>
  <c r="L1058" i="3"/>
  <c r="S1058" i="3" s="1"/>
  <c r="O1059" i="3" l="1"/>
  <c r="G1059" i="3"/>
  <c r="I1059" i="3" s="1"/>
  <c r="N1059" i="3"/>
  <c r="V1058" i="3"/>
  <c r="T1058" i="3"/>
  <c r="U1058" i="3" s="1"/>
  <c r="W1058" i="3" l="1"/>
  <c r="B1060" i="3"/>
  <c r="P1059" i="3"/>
  <c r="Q1059" i="3" a="1"/>
  <c r="Q1059" i="3" s="1"/>
  <c r="R1059" i="3" s="1"/>
  <c r="K1060" i="3" l="1"/>
  <c r="D1060" i="3"/>
  <c r="L1059" i="3"/>
  <c r="S1059" i="3" s="1"/>
  <c r="T1059" i="3" l="1"/>
  <c r="U1059" i="3" s="1"/>
  <c r="V1059" i="3"/>
  <c r="N1060" i="3"/>
  <c r="O1060" i="3"/>
  <c r="G1060" i="3"/>
  <c r="I1060" i="3" s="1"/>
  <c r="Q1060" i="3" l="1" a="1"/>
  <c r="Q1060" i="3" s="1"/>
  <c r="P1060" i="3"/>
  <c r="W1059" i="3"/>
  <c r="B1061" i="3"/>
  <c r="R1060" i="3" l="1"/>
  <c r="D1061" i="3"/>
  <c r="K1061" i="3"/>
  <c r="L1060" i="3"/>
  <c r="S1060" i="3" s="1"/>
  <c r="T1060" i="3" l="1"/>
  <c r="U1060" i="3" s="1"/>
  <c r="V1060" i="3"/>
  <c r="N1061" i="3"/>
  <c r="G1061" i="3"/>
  <c r="I1061" i="3" s="1"/>
  <c r="O1061" i="3"/>
  <c r="B1062" i="3" l="1"/>
  <c r="W1060" i="3"/>
  <c r="Q1061" i="3" a="1"/>
  <c r="Q1061" i="3" s="1"/>
  <c r="R1061" i="3" s="1"/>
  <c r="P1061" i="3"/>
  <c r="D1062" i="3" l="1"/>
  <c r="K1062" i="3"/>
  <c r="L1061" i="3"/>
  <c r="S1061" i="3" s="1"/>
  <c r="T1061" i="3" l="1"/>
  <c r="U1061" i="3" s="1"/>
  <c r="V1061" i="3"/>
  <c r="O1062" i="3"/>
  <c r="N1062" i="3"/>
  <c r="G1062" i="3"/>
  <c r="I1062" i="3" s="1"/>
  <c r="P1062" i="3" l="1"/>
  <c r="Q1062" i="3" a="1"/>
  <c r="Q1062" i="3" s="1"/>
  <c r="W1061" i="3"/>
  <c r="B1063" i="3"/>
  <c r="R1062" i="3" l="1"/>
  <c r="D1063" i="3"/>
  <c r="K1063" i="3"/>
  <c r="L1062" i="3"/>
  <c r="S1062" i="3" s="1"/>
  <c r="T1062" i="3" l="1"/>
  <c r="U1062" i="3" s="1"/>
  <c r="V1062" i="3"/>
  <c r="W1062" i="3" s="1"/>
  <c r="N1063" i="3"/>
  <c r="O1063" i="3"/>
  <c r="G1063" i="3"/>
  <c r="P1063" i="3" l="1"/>
  <c r="Q1063" i="3" a="1"/>
  <c r="Q1063" i="3" s="1"/>
  <c r="R1063" i="3" s="1"/>
  <c r="I1063" i="3"/>
  <c r="B1064" i="3" l="1"/>
  <c r="K1064" i="3" l="1"/>
  <c r="D1064" i="3"/>
  <c r="L1063" i="3"/>
  <c r="S1063" i="3" s="1"/>
  <c r="V1063" i="3" l="1"/>
  <c r="T1063" i="3"/>
  <c r="U1063" i="3" s="1"/>
  <c r="O1064" i="3"/>
  <c r="N1064" i="3"/>
  <c r="G1064" i="3"/>
  <c r="I1064" i="3" s="1"/>
  <c r="P1064" i="3" l="1"/>
  <c r="Q1064" i="3" a="1"/>
  <c r="Q1064" i="3" s="1"/>
  <c r="R1064" i="3" s="1"/>
  <c r="B1065" i="3"/>
  <c r="W1063" i="3"/>
  <c r="D1065" i="3" l="1"/>
  <c r="K1065" i="3"/>
  <c r="L1064" i="3"/>
  <c r="S1064" i="3" s="1"/>
  <c r="T1064" i="3" l="1"/>
  <c r="U1064" i="3" s="1"/>
  <c r="V1064" i="3"/>
  <c r="W1064" i="3" s="1"/>
  <c r="N1065" i="3"/>
  <c r="G1065" i="3"/>
  <c r="I1065" i="3" s="1"/>
  <c r="O1065" i="3"/>
  <c r="B1066" i="3" l="1"/>
  <c r="P1065" i="3"/>
  <c r="Q1065" i="3" a="1"/>
  <c r="Q1065" i="3" s="1"/>
  <c r="R1065" i="3" s="1"/>
  <c r="K1066" i="3" l="1"/>
  <c r="D1066" i="3"/>
  <c r="L1065" i="3"/>
  <c r="S1065" i="3" s="1"/>
  <c r="V1065" i="3" l="1"/>
  <c r="T1065" i="3"/>
  <c r="U1065" i="3" s="1"/>
  <c r="O1066" i="3"/>
  <c r="G1066" i="3"/>
  <c r="N1066" i="3"/>
  <c r="I1066" i="3" l="1"/>
  <c r="P1066" i="3"/>
  <c r="Q1066" i="3" a="1"/>
  <c r="Q1066" i="3" s="1"/>
  <c r="R1066" i="3" s="1"/>
  <c r="W1065" i="3"/>
  <c r="B1067" i="3" l="1"/>
  <c r="D1067" i="3" l="1"/>
  <c r="K1067" i="3"/>
  <c r="L1066" i="3"/>
  <c r="S1066" i="3" s="1"/>
  <c r="N1067" i="3" l="1"/>
  <c r="O1067" i="3"/>
  <c r="G1067" i="3"/>
  <c r="I1067" i="3" s="1"/>
  <c r="T1066" i="3"/>
  <c r="U1066" i="3" s="1"/>
  <c r="V1066" i="3"/>
  <c r="B1068" i="3" l="1"/>
  <c r="P1067" i="3"/>
  <c r="Q1067" i="3" a="1"/>
  <c r="Q1067" i="3" s="1"/>
  <c r="W1066" i="3"/>
  <c r="R1067" i="3" l="1"/>
  <c r="D1068" i="3"/>
  <c r="K1068" i="3"/>
  <c r="L1067" i="3"/>
  <c r="S1067" i="3" s="1"/>
  <c r="T1067" i="3" l="1"/>
  <c r="U1067" i="3" s="1"/>
  <c r="V1067" i="3"/>
  <c r="G1068" i="3"/>
  <c r="N1068" i="3"/>
  <c r="O1068" i="3"/>
  <c r="I1068" i="3" l="1"/>
  <c r="W1067" i="3"/>
  <c r="P1068" i="3"/>
  <c r="Q1068" i="3" a="1"/>
  <c r="Q1068" i="3" s="1"/>
  <c r="R1068" i="3" s="1"/>
  <c r="B1069" i="3" l="1"/>
  <c r="K1069" i="3" l="1"/>
  <c r="D1069" i="3"/>
  <c r="L1068" i="3"/>
  <c r="S1068" i="3" s="1"/>
  <c r="T1068" i="3" l="1"/>
  <c r="U1068" i="3" s="1"/>
  <c r="V1068" i="3"/>
  <c r="O1069" i="3"/>
  <c r="N1069" i="3"/>
  <c r="G1069" i="3"/>
  <c r="I1069" i="3" s="1"/>
  <c r="Q1069" i="3" l="1" a="1"/>
  <c r="Q1069" i="3" s="1"/>
  <c r="P1069" i="3"/>
  <c r="W1068" i="3"/>
  <c r="B1070" i="3"/>
  <c r="L1069" i="3" s="1"/>
  <c r="R1069" i="3" l="1"/>
  <c r="D1070" i="3"/>
  <c r="K1070" i="3"/>
  <c r="S1069" i="3"/>
  <c r="N1070" i="3" l="1"/>
  <c r="O1070" i="3"/>
  <c r="G1070" i="3"/>
  <c r="I1070" i="3" s="1"/>
  <c r="T1069" i="3"/>
  <c r="U1069" i="3" s="1"/>
  <c r="V1069" i="3"/>
  <c r="B1071" i="3" l="1"/>
  <c r="Q1070" i="3" a="1"/>
  <c r="Q1070" i="3" s="1"/>
  <c r="P1070" i="3"/>
  <c r="W1069" i="3"/>
  <c r="R1070" i="3" l="1"/>
  <c r="D1071" i="3"/>
  <c r="K1071" i="3"/>
  <c r="L1070" i="3"/>
  <c r="S1070" i="3" s="1"/>
  <c r="T1070" i="3" l="1"/>
  <c r="U1070" i="3" s="1"/>
  <c r="V1070" i="3"/>
  <c r="G1071" i="3"/>
  <c r="I1071" i="3" s="1"/>
  <c r="O1071" i="3"/>
  <c r="N1071" i="3"/>
  <c r="Q1071" i="3" l="1" a="1"/>
  <c r="Q1071" i="3" s="1"/>
  <c r="P1071" i="3"/>
  <c r="B1072" i="3"/>
  <c r="W1070" i="3"/>
  <c r="R1071" i="3" l="1"/>
  <c r="D1072" i="3"/>
  <c r="K1072" i="3"/>
  <c r="L1071" i="3"/>
  <c r="S1071" i="3" s="1"/>
  <c r="N1072" i="3" l="1"/>
  <c r="O1072" i="3"/>
  <c r="G1072" i="3"/>
  <c r="I1072" i="3" s="1"/>
  <c r="T1071" i="3"/>
  <c r="U1071" i="3" s="1"/>
  <c r="V1071" i="3"/>
  <c r="W1071" i="3" s="1"/>
  <c r="B1073" i="3" l="1"/>
  <c r="Q1072" i="3" a="1"/>
  <c r="Q1072" i="3" s="1"/>
  <c r="P1072" i="3"/>
  <c r="R1072" i="3" l="1"/>
  <c r="D1073" i="3"/>
  <c r="K1073" i="3"/>
  <c r="L1072" i="3"/>
  <c r="S1072" i="3" s="1"/>
  <c r="V1072" i="3" l="1"/>
  <c r="W1072" i="3" s="1"/>
  <c r="T1072" i="3"/>
  <c r="U1072" i="3" s="1"/>
  <c r="N1073" i="3"/>
  <c r="O1073" i="3"/>
  <c r="G1073" i="3"/>
  <c r="I1073" i="3" s="1"/>
  <c r="Q1073" i="3" l="1" a="1"/>
  <c r="Q1073" i="3" s="1"/>
  <c r="P1073" i="3"/>
  <c r="B1074" i="3"/>
  <c r="R1073" i="3" l="1"/>
  <c r="D1074" i="3"/>
  <c r="K1074" i="3"/>
  <c r="L1073" i="3"/>
  <c r="S1073" i="3" s="1"/>
  <c r="O1074" i="3" l="1"/>
  <c r="N1074" i="3"/>
  <c r="G1074" i="3"/>
  <c r="I1074" i="3" s="1"/>
  <c r="V1073" i="3"/>
  <c r="T1073" i="3"/>
  <c r="U1073" i="3" s="1"/>
  <c r="W1073" i="3" l="1"/>
  <c r="B1075" i="3"/>
  <c r="L1074" i="3" s="1"/>
  <c r="P1074" i="3"/>
  <c r="Q1074" i="3" a="1"/>
  <c r="Q1074" i="3" s="1"/>
  <c r="R1074" i="3" s="1"/>
  <c r="S1074" i="3" l="1"/>
  <c r="D1075" i="3"/>
  <c r="K1075" i="3"/>
  <c r="G1075" i="3" l="1"/>
  <c r="I1075" i="3" s="1"/>
  <c r="O1075" i="3"/>
  <c r="N1075" i="3"/>
  <c r="T1074" i="3"/>
  <c r="U1074" i="3" s="1"/>
  <c r="V1074" i="3"/>
  <c r="W1074" i="3" l="1"/>
  <c r="Q1075" i="3" a="1"/>
  <c r="Q1075" i="3" s="1"/>
  <c r="P1075" i="3"/>
  <c r="B1076" i="3"/>
  <c r="R1075" i="3" l="1"/>
  <c r="K1076" i="3"/>
  <c r="D1076" i="3"/>
  <c r="L1075" i="3"/>
  <c r="S1075" i="3" s="1"/>
  <c r="T1075" i="3" l="1"/>
  <c r="U1075" i="3" s="1"/>
  <c r="V1075" i="3"/>
  <c r="N1076" i="3"/>
  <c r="G1076" i="3"/>
  <c r="I1076" i="3" s="1"/>
  <c r="O1076" i="3"/>
  <c r="B1077" i="3" l="1"/>
  <c r="W1075" i="3"/>
  <c r="Q1076" i="3" a="1"/>
  <c r="Q1076" i="3" s="1"/>
  <c r="P1076" i="3"/>
  <c r="R1076" i="3" l="1"/>
  <c r="D1077" i="3"/>
  <c r="K1077" i="3"/>
  <c r="L1076" i="3"/>
  <c r="S1076" i="3" s="1"/>
  <c r="T1076" i="3" l="1"/>
  <c r="U1076" i="3" s="1"/>
  <c r="V1076" i="3"/>
  <c r="G1077" i="3"/>
  <c r="I1077" i="3" s="1"/>
  <c r="N1077" i="3"/>
  <c r="O1077" i="3"/>
  <c r="B1078" i="3" l="1"/>
  <c r="W1076" i="3"/>
  <c r="Q1077" i="3" a="1"/>
  <c r="Q1077" i="3" s="1"/>
  <c r="P1077" i="3"/>
  <c r="R1077" i="3" l="1"/>
  <c r="K1078" i="3"/>
  <c r="D1078" i="3"/>
  <c r="L1077" i="3"/>
  <c r="S1077" i="3" s="1"/>
  <c r="T1077" i="3" l="1"/>
  <c r="U1077" i="3" s="1"/>
  <c r="V1077" i="3"/>
  <c r="G1078" i="3"/>
  <c r="I1078" i="3" s="1"/>
  <c r="O1078" i="3"/>
  <c r="N1078" i="3"/>
  <c r="P1078" i="3" l="1"/>
  <c r="Q1078" i="3" a="1"/>
  <c r="Q1078" i="3" s="1"/>
  <c r="B1079" i="3"/>
  <c r="L1078" i="3" s="1"/>
  <c r="W1077" i="3"/>
  <c r="R1078" i="3" l="1"/>
  <c r="D1079" i="3"/>
  <c r="K1079" i="3"/>
  <c r="S1078" i="3"/>
  <c r="O1079" i="3" l="1"/>
  <c r="G1079" i="3"/>
  <c r="I1079" i="3" s="1"/>
  <c r="N1079" i="3"/>
  <c r="T1078" i="3"/>
  <c r="U1078" i="3" s="1"/>
  <c r="V1078" i="3"/>
  <c r="W1078" i="3" s="1"/>
  <c r="B1080" i="3" l="1"/>
  <c r="Q1079" i="3" a="1"/>
  <c r="Q1079" i="3" s="1"/>
  <c r="P1079" i="3"/>
  <c r="R1079" i="3" l="1"/>
  <c r="D1080" i="3"/>
  <c r="K1080" i="3"/>
  <c r="L1079" i="3"/>
  <c r="S1079" i="3" s="1"/>
  <c r="V1079" i="3" l="1"/>
  <c r="T1079" i="3"/>
  <c r="U1079" i="3" s="1"/>
  <c r="N1080" i="3"/>
  <c r="O1080" i="3"/>
  <c r="G1080" i="3"/>
  <c r="I1080" i="3" s="1"/>
  <c r="P1080" i="3" l="1"/>
  <c r="Q1080" i="3" a="1"/>
  <c r="Q1080" i="3" s="1"/>
  <c r="R1080" i="3" s="1"/>
  <c r="B1081" i="3"/>
  <c r="W1079" i="3"/>
  <c r="D1081" i="3" l="1"/>
  <c r="K1081" i="3"/>
  <c r="L1080" i="3"/>
  <c r="S1080" i="3" s="1"/>
  <c r="T1080" i="3" l="1"/>
  <c r="U1080" i="3" s="1"/>
  <c r="V1080" i="3"/>
  <c r="W1080" i="3" s="1"/>
  <c r="G1081" i="3"/>
  <c r="I1081" i="3" s="1"/>
  <c r="O1081" i="3"/>
  <c r="N1081" i="3"/>
  <c r="Q1081" i="3" l="1" a="1"/>
  <c r="Q1081" i="3" s="1"/>
  <c r="P1081" i="3"/>
  <c r="B1082" i="3"/>
  <c r="R1081" i="3" l="1"/>
  <c r="K1082" i="3"/>
  <c r="D1082" i="3"/>
  <c r="L1081" i="3"/>
  <c r="S1081" i="3" s="1"/>
  <c r="V1081" i="3" l="1"/>
  <c r="T1081" i="3"/>
  <c r="U1081" i="3" s="1"/>
  <c r="G1082" i="3"/>
  <c r="I1082" i="3" s="1"/>
  <c r="O1082" i="3"/>
  <c r="N1082" i="3"/>
  <c r="P1082" i="3" l="1"/>
  <c r="Q1082" i="3" a="1"/>
  <c r="Q1082" i="3" s="1"/>
  <c r="B1083" i="3"/>
  <c r="W1081" i="3"/>
  <c r="R1082" i="3" l="1"/>
  <c r="K1083" i="3"/>
  <c r="D1083" i="3"/>
  <c r="L1082" i="3"/>
  <c r="S1082" i="3" s="1"/>
  <c r="T1082" i="3" l="1"/>
  <c r="U1082" i="3" s="1"/>
  <c r="V1082" i="3"/>
  <c r="W1082" i="3" s="1"/>
  <c r="G1083" i="3"/>
  <c r="I1083" i="3" s="1"/>
  <c r="O1083" i="3"/>
  <c r="N1083" i="3"/>
  <c r="Q1083" i="3" l="1" a="1"/>
  <c r="Q1083" i="3" s="1"/>
  <c r="P1083" i="3"/>
  <c r="B1084" i="3"/>
  <c r="R1083" i="3" l="1"/>
  <c r="K1084" i="3"/>
  <c r="D1084" i="3"/>
  <c r="L1083" i="3"/>
  <c r="S1083" i="3" s="1"/>
  <c r="V1083" i="3" l="1"/>
  <c r="T1083" i="3"/>
  <c r="U1083" i="3" s="1"/>
  <c r="G1084" i="3"/>
  <c r="I1084" i="3" s="1"/>
  <c r="O1084" i="3"/>
  <c r="N1084" i="3"/>
  <c r="Q1084" i="3" l="1" a="1"/>
  <c r="Q1084" i="3" s="1"/>
  <c r="P1084" i="3"/>
  <c r="B1085" i="3"/>
  <c r="W1083" i="3"/>
  <c r="R1084" i="3" l="1"/>
  <c r="K1085" i="3"/>
  <c r="D1085" i="3"/>
  <c r="L1084" i="3"/>
  <c r="S1084" i="3" s="1"/>
  <c r="G1085" i="3" l="1"/>
  <c r="I1085" i="3" s="1"/>
  <c r="O1085" i="3"/>
  <c r="N1085" i="3"/>
  <c r="T1084" i="3"/>
  <c r="U1084" i="3" s="1"/>
  <c r="V1084" i="3"/>
  <c r="W1084" i="3" l="1"/>
  <c r="P1085" i="3"/>
  <c r="Q1085" i="3" a="1"/>
  <c r="Q1085" i="3" s="1"/>
  <c r="B1086" i="3"/>
  <c r="R1085" i="3" l="1"/>
  <c r="D1086" i="3"/>
  <c r="K1086" i="3"/>
  <c r="L1085" i="3"/>
  <c r="S1085" i="3" s="1"/>
  <c r="T1085" i="3" l="1"/>
  <c r="U1085" i="3" s="1"/>
  <c r="V1085" i="3"/>
  <c r="O1086" i="3"/>
  <c r="N1086" i="3"/>
  <c r="G1086" i="3"/>
  <c r="I1086" i="3" s="1"/>
  <c r="P1086" i="3" l="1"/>
  <c r="Q1086" i="3" a="1"/>
  <c r="Q1086" i="3" s="1"/>
  <c r="W1085" i="3"/>
  <c r="B1087" i="3"/>
  <c r="R1086" i="3" l="1"/>
  <c r="D1087" i="3"/>
  <c r="K1087" i="3"/>
  <c r="L1086" i="3"/>
  <c r="S1086" i="3" s="1"/>
  <c r="T1086" i="3" l="1"/>
  <c r="U1086" i="3" s="1"/>
  <c r="V1086" i="3"/>
  <c r="O1087" i="3"/>
  <c r="G1087" i="3"/>
  <c r="I1087" i="3" s="1"/>
  <c r="N1087" i="3"/>
  <c r="B1088" i="3" l="1"/>
  <c r="P1087" i="3"/>
  <c r="Q1087" i="3" a="1"/>
  <c r="Q1087" i="3" s="1"/>
  <c r="W1086" i="3"/>
  <c r="R1087" i="3" l="1"/>
  <c r="K1088" i="3"/>
  <c r="D1088" i="3"/>
  <c r="L1087" i="3"/>
  <c r="S1087" i="3" s="1"/>
  <c r="T1087" i="3" l="1"/>
  <c r="U1087" i="3" s="1"/>
  <c r="V1087" i="3"/>
  <c r="G1088" i="3"/>
  <c r="I1088" i="3" s="1"/>
  <c r="N1088" i="3"/>
  <c r="O1088" i="3"/>
  <c r="B1089" i="3" l="1"/>
  <c r="W1087" i="3"/>
  <c r="P1088" i="3"/>
  <c r="Q1088" i="3" a="1"/>
  <c r="Q1088" i="3" s="1"/>
  <c r="R1088" i="3" s="1"/>
  <c r="D1089" i="3" l="1"/>
  <c r="K1089" i="3"/>
  <c r="L1088" i="3"/>
  <c r="S1088" i="3" s="1"/>
  <c r="T1088" i="3" l="1"/>
  <c r="U1088" i="3" s="1"/>
  <c r="V1088" i="3"/>
  <c r="W1088" i="3" s="1"/>
  <c r="O1089" i="3"/>
  <c r="N1089" i="3"/>
  <c r="G1089" i="3"/>
  <c r="I1089" i="3" s="1"/>
  <c r="P1089" i="3" l="1"/>
  <c r="Q1089" i="3" a="1"/>
  <c r="Q1089" i="3" s="1"/>
  <c r="R1089" i="3" s="1"/>
  <c r="B1090" i="3"/>
  <c r="K1090" i="3" l="1"/>
  <c r="D1090" i="3"/>
  <c r="L1089" i="3"/>
  <c r="S1089" i="3" s="1"/>
  <c r="V1089" i="3" l="1"/>
  <c r="T1089" i="3"/>
  <c r="U1089" i="3" s="1"/>
  <c r="N1090" i="3"/>
  <c r="G1090" i="3"/>
  <c r="I1090" i="3" s="1"/>
  <c r="O1090" i="3"/>
  <c r="B1091" i="3" l="1"/>
  <c r="P1090" i="3"/>
  <c r="Q1090" i="3" a="1"/>
  <c r="Q1090" i="3" s="1"/>
  <c r="W1089" i="3"/>
  <c r="R1090" i="3" l="1"/>
  <c r="D1091" i="3"/>
  <c r="K1091" i="3"/>
  <c r="L1090" i="3"/>
  <c r="S1090" i="3" s="1"/>
  <c r="T1090" i="3" l="1"/>
  <c r="U1090" i="3" s="1"/>
  <c r="V1090" i="3"/>
  <c r="G1091" i="3"/>
  <c r="I1091" i="3" s="1"/>
  <c r="N1091" i="3"/>
  <c r="O1091" i="3"/>
  <c r="B1092" i="3" l="1"/>
  <c r="W1090" i="3"/>
  <c r="P1091" i="3"/>
  <c r="Q1091" i="3" a="1"/>
  <c r="Q1091" i="3" s="1"/>
  <c r="R1091" i="3" s="1"/>
  <c r="D1092" i="3" l="1"/>
  <c r="K1092" i="3"/>
  <c r="L1091" i="3"/>
  <c r="S1091" i="3" s="1"/>
  <c r="T1091" i="3" l="1"/>
  <c r="U1091" i="3" s="1"/>
  <c r="V1091" i="3"/>
  <c r="O1092" i="3"/>
  <c r="G1092" i="3"/>
  <c r="I1092" i="3" s="1"/>
  <c r="N1092" i="3"/>
  <c r="B1093" i="3" l="1"/>
  <c r="Q1092" i="3" a="1"/>
  <c r="Q1092" i="3" s="1"/>
  <c r="P1092" i="3"/>
  <c r="W1091" i="3"/>
  <c r="R1092" i="3" l="1"/>
  <c r="K1093" i="3"/>
  <c r="D1093" i="3"/>
  <c r="L1092" i="3"/>
  <c r="S1092" i="3" s="1"/>
  <c r="T1092" i="3" l="1"/>
  <c r="U1092" i="3" s="1"/>
  <c r="V1092" i="3"/>
  <c r="W1092" i="3" s="1"/>
  <c r="O1093" i="3"/>
  <c r="N1093" i="3"/>
  <c r="G1093" i="3"/>
  <c r="I1093" i="3" s="1"/>
  <c r="Q1093" i="3" l="1" a="1"/>
  <c r="Q1093" i="3" s="1"/>
  <c r="P1093" i="3"/>
  <c r="B1094" i="3"/>
  <c r="R1093" i="3" l="1"/>
  <c r="D1094" i="3"/>
  <c r="K1094" i="3"/>
  <c r="L1093" i="3"/>
  <c r="S1093" i="3" s="1"/>
  <c r="V1093" i="3" l="1"/>
  <c r="W1093" i="3" s="1"/>
  <c r="T1093" i="3"/>
  <c r="U1093" i="3" s="1"/>
  <c r="G1094" i="3"/>
  <c r="I1094" i="3" s="1"/>
  <c r="O1094" i="3"/>
  <c r="N1094" i="3"/>
  <c r="Q1094" i="3" l="1" a="1"/>
  <c r="Q1094" i="3" s="1"/>
  <c r="P1094" i="3"/>
  <c r="B1095" i="3"/>
  <c r="R1094" i="3" l="1"/>
  <c r="D1095" i="3"/>
  <c r="K1095" i="3"/>
  <c r="L1094" i="3"/>
  <c r="S1094" i="3" s="1"/>
  <c r="V1094" i="3" l="1"/>
  <c r="T1094" i="3"/>
  <c r="U1094" i="3" s="1"/>
  <c r="N1095" i="3"/>
  <c r="G1095" i="3"/>
  <c r="I1095" i="3" s="1"/>
  <c r="O1095" i="3"/>
  <c r="B1096" i="3" l="1"/>
  <c r="P1095" i="3"/>
  <c r="Q1095" i="3" a="1"/>
  <c r="Q1095" i="3" s="1"/>
  <c r="W1094" i="3"/>
  <c r="R1095" i="3" l="1"/>
  <c r="D1096" i="3"/>
  <c r="K1096" i="3"/>
  <c r="L1095" i="3"/>
  <c r="S1095" i="3" s="1"/>
  <c r="T1095" i="3" l="1"/>
  <c r="U1095" i="3" s="1"/>
  <c r="V1095" i="3"/>
  <c r="N1096" i="3"/>
  <c r="G1096" i="3"/>
  <c r="I1096" i="3" s="1"/>
  <c r="O1096" i="3"/>
  <c r="B1097" i="3" l="1"/>
  <c r="W1095" i="3"/>
  <c r="Q1096" i="3" a="1"/>
  <c r="Q1096" i="3" s="1"/>
  <c r="R1096" i="3" s="1"/>
  <c r="P1096" i="3"/>
  <c r="D1097" i="3" l="1"/>
  <c r="K1097" i="3"/>
  <c r="L1096" i="3"/>
  <c r="S1096" i="3" s="1"/>
  <c r="T1096" i="3" l="1"/>
  <c r="U1096" i="3" s="1"/>
  <c r="V1096" i="3"/>
  <c r="O1097" i="3"/>
  <c r="G1097" i="3"/>
  <c r="I1097" i="3" s="1"/>
  <c r="N1097" i="3"/>
  <c r="B1098" i="3" l="1"/>
  <c r="P1097" i="3"/>
  <c r="Q1097" i="3" a="1"/>
  <c r="Q1097" i="3" s="1"/>
  <c r="W1096" i="3"/>
  <c r="R1097" i="3" l="1"/>
  <c r="K1098" i="3"/>
  <c r="D1098" i="3"/>
  <c r="L1097" i="3"/>
  <c r="S1097" i="3" s="1"/>
  <c r="G1098" i="3" l="1"/>
  <c r="I1098" i="3" s="1"/>
  <c r="B1099" i="3" s="1"/>
  <c r="T1097" i="3"/>
  <c r="U1097" i="3" s="1"/>
  <c r="V1097" i="3"/>
  <c r="W1097" i="3" s="1"/>
  <c r="N1098" i="3"/>
  <c r="O1098" i="3"/>
  <c r="K1099" i="3" l="1"/>
  <c r="D1099" i="3"/>
  <c r="L1098" i="3"/>
  <c r="P1098" i="3"/>
  <c r="Q1098" i="3" a="1"/>
  <c r="Q1098" i="3" s="1"/>
  <c r="R1098" i="3" l="1"/>
  <c r="S1098" i="3"/>
  <c r="N1099" i="3"/>
  <c r="G1099" i="3"/>
  <c r="I1099" i="3" s="1"/>
  <c r="O1099" i="3"/>
  <c r="Q1099" i="3" l="1" a="1"/>
  <c r="Q1099" i="3" s="1"/>
  <c r="P1099" i="3"/>
  <c r="B1100" i="3"/>
  <c r="V1098" i="3"/>
  <c r="T1098" i="3"/>
  <c r="U1098" i="3" s="1"/>
  <c r="R1099" i="3" l="1"/>
  <c r="D1100" i="3"/>
  <c r="K1100" i="3"/>
  <c r="W1098" i="3"/>
  <c r="L1099" i="3"/>
  <c r="S1099" i="3" s="1"/>
  <c r="T1099" i="3" l="1"/>
  <c r="U1099" i="3" s="1"/>
  <c r="V1099" i="3"/>
  <c r="W1099" i="3" s="1"/>
  <c r="N1100" i="3"/>
  <c r="O1100" i="3"/>
  <c r="G1100" i="3"/>
  <c r="I1100" i="3" s="1"/>
  <c r="Q1100" i="3" l="1" a="1"/>
  <c r="Q1100" i="3" s="1"/>
  <c r="P1100" i="3"/>
  <c r="B1101" i="3"/>
  <c r="R1100" i="3" l="1"/>
  <c r="K1101" i="3"/>
  <c r="D1101" i="3"/>
  <c r="L1100" i="3"/>
  <c r="S1100" i="3" s="1"/>
  <c r="V1100" i="3" l="1"/>
  <c r="W1100" i="3" s="1"/>
  <c r="T1100" i="3"/>
  <c r="U1100" i="3" s="1"/>
  <c r="G1101" i="3"/>
  <c r="I1101" i="3" s="1"/>
  <c r="N1101" i="3"/>
  <c r="O1101" i="3"/>
  <c r="B1102" i="3" l="1"/>
  <c r="Q1101" i="3" a="1"/>
  <c r="Q1101" i="3" s="1"/>
  <c r="P1101" i="3"/>
  <c r="R1101" i="3" l="1"/>
  <c r="D1102" i="3"/>
  <c r="K1102" i="3"/>
  <c r="L1101" i="3"/>
  <c r="S1101" i="3" s="1"/>
  <c r="G1102" i="3" l="1"/>
  <c r="I1102" i="3" s="1"/>
  <c r="N1102" i="3"/>
  <c r="O1102" i="3"/>
  <c r="V1101" i="3"/>
  <c r="T1101" i="3"/>
  <c r="U1101" i="3" s="1"/>
  <c r="W1101" i="3" l="1"/>
  <c r="Q1102" i="3" a="1"/>
  <c r="Q1102" i="3" s="1"/>
  <c r="P1102" i="3"/>
  <c r="B1103" i="3"/>
  <c r="R1102" i="3" l="1"/>
  <c r="D1103" i="3"/>
  <c r="K1103" i="3"/>
  <c r="L1102" i="3"/>
  <c r="S1102" i="3" s="1"/>
  <c r="T1102" i="3" l="1"/>
  <c r="U1102" i="3" s="1"/>
  <c r="V1102" i="3"/>
  <c r="W1102" i="3" s="1"/>
  <c r="G1103" i="3"/>
  <c r="I1103" i="3" s="1"/>
  <c r="O1103" i="3"/>
  <c r="N1103" i="3"/>
  <c r="Q1103" i="3" l="1" a="1"/>
  <c r="Q1103" i="3" s="1"/>
  <c r="P1103" i="3"/>
  <c r="B1104" i="3"/>
  <c r="R1103" i="3" l="1"/>
  <c r="K1104" i="3"/>
  <c r="D1104" i="3"/>
  <c r="L1103" i="3"/>
  <c r="S1103" i="3" s="1"/>
  <c r="V1103" i="3" l="1"/>
  <c r="W1103" i="3" s="1"/>
  <c r="T1103" i="3"/>
  <c r="U1103" i="3" s="1"/>
  <c r="O1104" i="3"/>
  <c r="G1104" i="3"/>
  <c r="I1104" i="3" s="1"/>
  <c r="N1104" i="3"/>
  <c r="B1105" i="3" l="1"/>
  <c r="P1104" i="3"/>
  <c r="Q1104" i="3" a="1"/>
  <c r="Q1104" i="3" s="1"/>
  <c r="R1104" i="3" s="1"/>
  <c r="K1105" i="3" l="1"/>
  <c r="D1105" i="3"/>
  <c r="L1104" i="3"/>
  <c r="S1104" i="3" s="1"/>
  <c r="V1104" i="3" l="1"/>
  <c r="T1104" i="3"/>
  <c r="U1104" i="3" s="1"/>
  <c r="O1105" i="3"/>
  <c r="N1105" i="3"/>
  <c r="G1105" i="3"/>
  <c r="I1105" i="3" s="1"/>
  <c r="Q1105" i="3" l="1" a="1"/>
  <c r="Q1105" i="3" s="1"/>
  <c r="P1105" i="3"/>
  <c r="B1106" i="3"/>
  <c r="W1104" i="3"/>
  <c r="R1105" i="3" l="1"/>
  <c r="K1106" i="3"/>
  <c r="D1106" i="3"/>
  <c r="L1105" i="3"/>
  <c r="S1105" i="3" s="1"/>
  <c r="T1105" i="3" l="1"/>
  <c r="U1105" i="3" s="1"/>
  <c r="V1105" i="3"/>
  <c r="O1106" i="3"/>
  <c r="G1106" i="3"/>
  <c r="I1106" i="3" s="1"/>
  <c r="N1106" i="3"/>
  <c r="B1107" i="3" l="1"/>
  <c r="P1106" i="3"/>
  <c r="Q1106" i="3" a="1"/>
  <c r="Q1106" i="3" s="1"/>
  <c r="W1105" i="3"/>
  <c r="R1106" i="3" l="1"/>
  <c r="D1107" i="3"/>
  <c r="K1107" i="3"/>
  <c r="L1106" i="3"/>
  <c r="S1106" i="3" s="1"/>
  <c r="T1106" i="3" l="1"/>
  <c r="U1106" i="3" s="1"/>
  <c r="V1106" i="3"/>
  <c r="W1106" i="3" s="1"/>
  <c r="G1107" i="3"/>
  <c r="I1107" i="3" s="1"/>
  <c r="O1107" i="3"/>
  <c r="N1107" i="3"/>
  <c r="Q1107" i="3" l="1" a="1"/>
  <c r="Q1107" i="3" s="1"/>
  <c r="P1107" i="3"/>
  <c r="B1108" i="3"/>
  <c r="R1107" i="3" l="1"/>
  <c r="D1108" i="3"/>
  <c r="K1108" i="3"/>
  <c r="L1107" i="3"/>
  <c r="S1107" i="3" s="1"/>
  <c r="V1107" i="3" l="1"/>
  <c r="T1107" i="3"/>
  <c r="U1107" i="3" s="1"/>
  <c r="O1108" i="3"/>
  <c r="N1108" i="3"/>
  <c r="G1108" i="3"/>
  <c r="I1108" i="3" s="1"/>
  <c r="Q1108" i="3" l="1" a="1"/>
  <c r="Q1108" i="3" s="1"/>
  <c r="P1108" i="3"/>
  <c r="B1109" i="3"/>
  <c r="W1107" i="3"/>
  <c r="R1108" i="3" l="1"/>
  <c r="D1109" i="3"/>
  <c r="K1109" i="3"/>
  <c r="L1108" i="3"/>
  <c r="S1108" i="3" s="1"/>
  <c r="T1108" i="3" l="1"/>
  <c r="U1108" i="3" s="1"/>
  <c r="V1108" i="3"/>
  <c r="O1109" i="3"/>
  <c r="G1109" i="3"/>
  <c r="I1109" i="3" s="1"/>
  <c r="N1109" i="3"/>
  <c r="B1110" i="3" l="1"/>
  <c r="P1109" i="3"/>
  <c r="Q1109" i="3" a="1"/>
  <c r="Q1109" i="3" s="1"/>
  <c r="W1108" i="3"/>
  <c r="R1109" i="3" l="1"/>
  <c r="K1110" i="3"/>
  <c r="D1110" i="3"/>
  <c r="L1109" i="3"/>
  <c r="S1109" i="3" s="1"/>
  <c r="T1109" i="3" l="1"/>
  <c r="U1109" i="3" s="1"/>
  <c r="V1109" i="3"/>
  <c r="W1109" i="3" s="1"/>
  <c r="G1110" i="3"/>
  <c r="I1110" i="3" s="1"/>
  <c r="O1110" i="3"/>
  <c r="N1110" i="3"/>
  <c r="P1110" i="3" l="1"/>
  <c r="Q1110" i="3" a="1"/>
  <c r="Q1110" i="3" s="1"/>
  <c r="R1110" i="3" s="1"/>
  <c r="B1111" i="3"/>
  <c r="K1111" i="3" l="1"/>
  <c r="D1111" i="3"/>
  <c r="L1110" i="3"/>
  <c r="S1110" i="3" s="1"/>
  <c r="V1110" i="3" l="1"/>
  <c r="T1110" i="3"/>
  <c r="U1110" i="3" s="1"/>
  <c r="O1111" i="3"/>
  <c r="N1111" i="3"/>
  <c r="G1111" i="3"/>
  <c r="I1111" i="3" s="1"/>
  <c r="Q1111" i="3" l="1" a="1"/>
  <c r="Q1111" i="3" s="1"/>
  <c r="P1111" i="3"/>
  <c r="B1112" i="3"/>
  <c r="W1110" i="3"/>
  <c r="R1111" i="3" l="1"/>
  <c r="D1112" i="3"/>
  <c r="K1112" i="3"/>
  <c r="L1111" i="3"/>
  <c r="S1111" i="3" s="1"/>
  <c r="T1111" i="3" l="1"/>
  <c r="U1111" i="3" s="1"/>
  <c r="V1111" i="3"/>
  <c r="N1112" i="3"/>
  <c r="O1112" i="3"/>
  <c r="G1112" i="3"/>
  <c r="I1112" i="3" s="1"/>
  <c r="Q1112" i="3" l="1" a="1"/>
  <c r="Q1112" i="3" s="1"/>
  <c r="P1112" i="3"/>
  <c r="W1111" i="3"/>
  <c r="B1113" i="3"/>
  <c r="L1112" i="3" s="1"/>
  <c r="S1112" i="3" l="1"/>
  <c r="V1112" i="3" s="1"/>
  <c r="W1112" i="3" s="1"/>
  <c r="R1112" i="3"/>
  <c r="K1113" i="3"/>
  <c r="D1113" i="3"/>
  <c r="T1112" i="3" l="1"/>
  <c r="U1112" i="3" s="1"/>
  <c r="G1113" i="3"/>
  <c r="I1113" i="3" s="1"/>
  <c r="N1113" i="3"/>
  <c r="O1113" i="3"/>
  <c r="P1113" i="3" l="1"/>
  <c r="Q1113" i="3" a="1"/>
  <c r="Q1113" i="3" s="1"/>
  <c r="R1113" i="3" s="1"/>
  <c r="B1114" i="3"/>
  <c r="D1114" i="3" l="1"/>
  <c r="K1114" i="3"/>
  <c r="L1113" i="3"/>
  <c r="S1113" i="3" s="1"/>
  <c r="O1114" i="3" l="1"/>
  <c r="N1114" i="3"/>
  <c r="G1114" i="3"/>
  <c r="I1114" i="3" s="1"/>
  <c r="T1113" i="3"/>
  <c r="U1113" i="3" s="1"/>
  <c r="V1113" i="3"/>
  <c r="W1113" i="3" l="1"/>
  <c r="B1115" i="3"/>
  <c r="Q1114" i="3" a="1"/>
  <c r="Q1114" i="3" s="1"/>
  <c r="R1114" i="3" s="1"/>
  <c r="P1114" i="3"/>
  <c r="K1115" i="3" l="1"/>
  <c r="D1115" i="3"/>
  <c r="L1114" i="3"/>
  <c r="S1114" i="3" s="1"/>
  <c r="N1115" i="3" l="1"/>
  <c r="O1115" i="3"/>
  <c r="G1115" i="3"/>
  <c r="I1115" i="3" s="1"/>
  <c r="T1114" i="3"/>
  <c r="U1114" i="3" s="1"/>
  <c r="V1114" i="3"/>
  <c r="B1116" i="3" l="1"/>
  <c r="Q1115" i="3" a="1"/>
  <c r="Q1115" i="3" s="1"/>
  <c r="P1115" i="3"/>
  <c r="W1114" i="3"/>
  <c r="R1115" i="3" l="1"/>
  <c r="D1116" i="3"/>
  <c r="K1116" i="3"/>
  <c r="L1115" i="3"/>
  <c r="S1115" i="3" s="1"/>
  <c r="T1115" i="3" l="1"/>
  <c r="U1115" i="3" s="1"/>
  <c r="V1115" i="3"/>
  <c r="G1116" i="3"/>
  <c r="I1116" i="3" s="1"/>
  <c r="N1116" i="3"/>
  <c r="O1116" i="3"/>
  <c r="B1117" i="3" l="1"/>
  <c r="W1115" i="3"/>
  <c r="Q1116" i="3" a="1"/>
  <c r="Q1116" i="3" s="1"/>
  <c r="P1116" i="3"/>
  <c r="R1116" i="3" l="1"/>
  <c r="K1117" i="3"/>
  <c r="D1117" i="3"/>
  <c r="L1116" i="3"/>
  <c r="S1116" i="3" s="1"/>
  <c r="T1116" i="3" l="1"/>
  <c r="U1116" i="3" s="1"/>
  <c r="V1116" i="3"/>
  <c r="W1116" i="3" s="1"/>
  <c r="G1117" i="3"/>
  <c r="I1117" i="3" s="1"/>
  <c r="O1117" i="3"/>
  <c r="N1117" i="3"/>
  <c r="Q1117" i="3" l="1" a="1"/>
  <c r="Q1117" i="3" s="1"/>
  <c r="P1117" i="3"/>
  <c r="B1118" i="3"/>
  <c r="R1117" i="3" l="1"/>
  <c r="K1118" i="3"/>
  <c r="D1118" i="3"/>
  <c r="L1117" i="3"/>
  <c r="S1117" i="3" s="1"/>
  <c r="G1118" i="3" l="1"/>
  <c r="I1118" i="3" s="1"/>
  <c r="B1119" i="3" s="1"/>
  <c r="V1117" i="3"/>
  <c r="T1117" i="3"/>
  <c r="U1117" i="3" s="1"/>
  <c r="N1118" i="3"/>
  <c r="O1118" i="3"/>
  <c r="W1117" i="3" l="1"/>
  <c r="Q1118" i="3" a="1"/>
  <c r="Q1118" i="3" s="1"/>
  <c r="P1118" i="3"/>
  <c r="K1119" i="3"/>
  <c r="D1119" i="3"/>
  <c r="L1118" i="3"/>
  <c r="R1118" i="3" l="1"/>
  <c r="S1118" i="3"/>
  <c r="T1118" i="3" s="1"/>
  <c r="U1118" i="3" s="1"/>
  <c r="N1119" i="3"/>
  <c r="O1119" i="3"/>
  <c r="G1119" i="3"/>
  <c r="I1119" i="3" s="1"/>
  <c r="V1118" i="3" l="1"/>
  <c r="W1118" i="3" s="1"/>
  <c r="B1120" i="3"/>
  <c r="Q1119" i="3" a="1"/>
  <c r="Q1119" i="3" s="1"/>
  <c r="P1119" i="3"/>
  <c r="R1119" i="3" l="1"/>
  <c r="K1120" i="3"/>
  <c r="D1120" i="3"/>
  <c r="L1119" i="3"/>
  <c r="S1119" i="3" s="1"/>
  <c r="G1120" i="3" l="1"/>
  <c r="I1120" i="3" s="1"/>
  <c r="B1121" i="3" s="1"/>
  <c r="T1119" i="3"/>
  <c r="U1119" i="3" s="1"/>
  <c r="V1119" i="3"/>
  <c r="O1120" i="3"/>
  <c r="N1120" i="3"/>
  <c r="D1121" i="3" l="1"/>
  <c r="K1121" i="3"/>
  <c r="L1120" i="3"/>
  <c r="W1119" i="3"/>
  <c r="Q1120" i="3" a="1"/>
  <c r="Q1120" i="3" s="1"/>
  <c r="P1120" i="3"/>
  <c r="S1120" i="3" l="1"/>
  <c r="V1120" i="3" s="1"/>
  <c r="W1120" i="3" s="1"/>
  <c r="R1120" i="3"/>
  <c r="N1121" i="3"/>
  <c r="O1121" i="3"/>
  <c r="G1121" i="3"/>
  <c r="I1121" i="3" s="1"/>
  <c r="T1120" i="3" l="1"/>
  <c r="U1120" i="3" s="1"/>
  <c r="Q1121" i="3" a="1"/>
  <c r="Q1121" i="3" s="1"/>
  <c r="P1121" i="3"/>
  <c r="B1122" i="3"/>
  <c r="R1121" i="3" l="1"/>
  <c r="K1122" i="3"/>
  <c r="D1122" i="3"/>
  <c r="L1121" i="3"/>
  <c r="S1121" i="3" s="1"/>
  <c r="T1121" i="3" l="1"/>
  <c r="U1121" i="3" s="1"/>
  <c r="V1121" i="3"/>
  <c r="G1122" i="3"/>
  <c r="I1122" i="3" s="1"/>
  <c r="O1122" i="3"/>
  <c r="N1122" i="3"/>
  <c r="P1122" i="3" l="1"/>
  <c r="Q1122" i="3" a="1"/>
  <c r="Q1122" i="3" s="1"/>
  <c r="B1123" i="3"/>
  <c r="W1121" i="3"/>
  <c r="R1122" i="3" l="1"/>
  <c r="K1123" i="3"/>
  <c r="D1123" i="3"/>
  <c r="L1122" i="3"/>
  <c r="S1122" i="3" s="1"/>
  <c r="T1122" i="3" l="1"/>
  <c r="U1122" i="3" s="1"/>
  <c r="V1122" i="3"/>
  <c r="W1122" i="3" s="1"/>
  <c r="N1123" i="3"/>
  <c r="O1123" i="3"/>
  <c r="G1123" i="3"/>
  <c r="I1123" i="3" s="1"/>
  <c r="Q1123" i="3" l="1" a="1"/>
  <c r="Q1123" i="3" s="1"/>
  <c r="P1123" i="3"/>
  <c r="B1124" i="3"/>
  <c r="R1123" i="3" l="1"/>
  <c r="D1124" i="3"/>
  <c r="K1124" i="3"/>
  <c r="L1123" i="3"/>
  <c r="S1123" i="3" s="1"/>
  <c r="O1124" i="3" l="1"/>
  <c r="G1124" i="3"/>
  <c r="I1124" i="3" s="1"/>
  <c r="N1124" i="3"/>
  <c r="V1123" i="3"/>
  <c r="W1123" i="3" s="1"/>
  <c r="T1123" i="3"/>
  <c r="U1123" i="3" s="1"/>
  <c r="B1125" i="3" l="1"/>
  <c r="Q1124" i="3" a="1"/>
  <c r="Q1124" i="3" s="1"/>
  <c r="P1124" i="3"/>
  <c r="R1124" i="3" l="1"/>
  <c r="D1125" i="3"/>
  <c r="K1125" i="3"/>
  <c r="L1124" i="3"/>
  <c r="S1124" i="3" s="1"/>
  <c r="V1124" i="3" l="1"/>
  <c r="T1124" i="3"/>
  <c r="U1124" i="3" s="1"/>
  <c r="G1125" i="3"/>
  <c r="I1125" i="3" s="1"/>
  <c r="O1125" i="3"/>
  <c r="N1125" i="3"/>
  <c r="Q1125" i="3" l="1" a="1"/>
  <c r="Q1125" i="3" s="1"/>
  <c r="P1125" i="3"/>
  <c r="B1126" i="3"/>
  <c r="W1124" i="3"/>
  <c r="R1125" i="3" l="1"/>
  <c r="D1126" i="3"/>
  <c r="K1126" i="3"/>
  <c r="L1125" i="3"/>
  <c r="S1125" i="3" s="1"/>
  <c r="T1125" i="3" l="1"/>
  <c r="U1125" i="3" s="1"/>
  <c r="V1125" i="3"/>
  <c r="G1126" i="3"/>
  <c r="I1126" i="3" s="1"/>
  <c r="O1126" i="3"/>
  <c r="N1126" i="3"/>
  <c r="P1126" i="3" l="1"/>
  <c r="Q1126" i="3" a="1"/>
  <c r="Q1126" i="3" s="1"/>
  <c r="B1127" i="3"/>
  <c r="W1125" i="3"/>
  <c r="R1126" i="3" l="1"/>
  <c r="D1127" i="3"/>
  <c r="K1127" i="3"/>
  <c r="L1126" i="3"/>
  <c r="S1126" i="3" s="1"/>
  <c r="T1126" i="3" l="1"/>
  <c r="U1126" i="3" s="1"/>
  <c r="V1126" i="3"/>
  <c r="N1127" i="3"/>
  <c r="O1127" i="3"/>
  <c r="G1127" i="3"/>
  <c r="I1127" i="3" s="1"/>
  <c r="Q1127" i="3" l="1" a="1"/>
  <c r="Q1127" i="3" s="1"/>
  <c r="P1127" i="3"/>
  <c r="W1126" i="3"/>
  <c r="B1128" i="3"/>
  <c r="L1127" i="3" s="1"/>
  <c r="R1127" i="3" l="1"/>
  <c r="K1128" i="3"/>
  <c r="D1128" i="3"/>
  <c r="S1127" i="3"/>
  <c r="O1128" i="3" l="1"/>
  <c r="N1128" i="3"/>
  <c r="G1128" i="3"/>
  <c r="I1128" i="3" s="1"/>
  <c r="T1127" i="3"/>
  <c r="U1127" i="3" s="1"/>
  <c r="V1127" i="3"/>
  <c r="B1129" i="3" l="1"/>
  <c r="W1127" i="3"/>
  <c r="P1128" i="3"/>
  <c r="Q1128" i="3" a="1"/>
  <c r="Q1128" i="3" s="1"/>
  <c r="R1128" i="3" s="1"/>
  <c r="D1129" i="3" l="1"/>
  <c r="K1129" i="3"/>
  <c r="L1128" i="3"/>
  <c r="S1128" i="3" s="1"/>
  <c r="T1128" i="3" l="1"/>
  <c r="U1128" i="3" s="1"/>
  <c r="V1128" i="3"/>
  <c r="N1129" i="3"/>
  <c r="G1129" i="3"/>
  <c r="I1129" i="3" s="1"/>
  <c r="O1129" i="3"/>
  <c r="B1130" i="3" l="1"/>
  <c r="W1128" i="3"/>
  <c r="Q1129" i="3" a="1"/>
  <c r="Q1129" i="3" s="1"/>
  <c r="P1129" i="3"/>
  <c r="R1129" i="3" l="1"/>
  <c r="K1130" i="3"/>
  <c r="D1130" i="3"/>
  <c r="L1129" i="3"/>
  <c r="S1129" i="3" s="1"/>
  <c r="T1129" i="3" l="1"/>
  <c r="U1129" i="3" s="1"/>
  <c r="V1129" i="3"/>
  <c r="O1130" i="3"/>
  <c r="N1130" i="3"/>
  <c r="G1130" i="3"/>
  <c r="I1130" i="3" s="1"/>
  <c r="Q1130" i="3" l="1" a="1"/>
  <c r="Q1130" i="3" s="1"/>
  <c r="P1130" i="3"/>
  <c r="W1129" i="3"/>
  <c r="B1131" i="3"/>
  <c r="L1130" i="3" s="1"/>
  <c r="R1130" i="3" l="1"/>
  <c r="D1131" i="3"/>
  <c r="K1131" i="3"/>
  <c r="S1130" i="3"/>
  <c r="G1131" i="3" l="1"/>
  <c r="I1131" i="3" s="1"/>
  <c r="O1131" i="3"/>
  <c r="N1131" i="3"/>
  <c r="T1130" i="3"/>
  <c r="U1130" i="3" s="1"/>
  <c r="V1130" i="3"/>
  <c r="P1131" i="3" l="1"/>
  <c r="Q1131" i="3" a="1"/>
  <c r="Q1131" i="3" s="1"/>
  <c r="W1130" i="3"/>
  <c r="B1132" i="3"/>
  <c r="R1131" i="3" l="1"/>
  <c r="K1132" i="3"/>
  <c r="D1132" i="3"/>
  <c r="L1131" i="3"/>
  <c r="S1131" i="3" s="1"/>
  <c r="T1131" i="3" l="1"/>
  <c r="U1131" i="3" s="1"/>
  <c r="V1131" i="3"/>
  <c r="G1132" i="3"/>
  <c r="I1132" i="3" s="1"/>
  <c r="N1132" i="3"/>
  <c r="O1132" i="3"/>
  <c r="B1133" i="3" l="1"/>
  <c r="W1131" i="3"/>
  <c r="Q1132" i="3" a="1"/>
  <c r="Q1132" i="3" s="1"/>
  <c r="R1132" i="3" s="1"/>
  <c r="P1132" i="3"/>
  <c r="K1133" i="3" l="1"/>
  <c r="D1133" i="3"/>
  <c r="L1132" i="3"/>
  <c r="S1132" i="3" s="1"/>
  <c r="T1132" i="3" l="1"/>
  <c r="U1132" i="3" s="1"/>
  <c r="V1132" i="3"/>
  <c r="N1133" i="3"/>
  <c r="O1133" i="3"/>
  <c r="G1133" i="3"/>
  <c r="I1133" i="3" s="1"/>
  <c r="P1133" i="3" l="1"/>
  <c r="Q1133" i="3" a="1"/>
  <c r="Q1133" i="3" s="1"/>
  <c r="W1132" i="3"/>
  <c r="B1134" i="3"/>
  <c r="R1133" i="3" l="1"/>
  <c r="K1134" i="3"/>
  <c r="D1134" i="3"/>
  <c r="L1133" i="3"/>
  <c r="S1133" i="3" s="1"/>
  <c r="O1134" i="3" l="1"/>
  <c r="N1134" i="3"/>
  <c r="G1134" i="3"/>
  <c r="I1134" i="3" s="1"/>
  <c r="T1133" i="3"/>
  <c r="U1133" i="3" s="1"/>
  <c r="V1133" i="3"/>
  <c r="B1135" i="3" l="1"/>
  <c r="W1133" i="3"/>
  <c r="Q1134" i="3" a="1"/>
  <c r="Q1134" i="3" s="1"/>
  <c r="P1134" i="3"/>
  <c r="R1134" i="3" l="1"/>
  <c r="D1135" i="3"/>
  <c r="K1135" i="3"/>
  <c r="L1134" i="3"/>
  <c r="S1134" i="3" s="1"/>
  <c r="T1134" i="3" l="1"/>
  <c r="U1134" i="3" s="1"/>
  <c r="V1134" i="3"/>
  <c r="G1135" i="3"/>
  <c r="I1135" i="3" s="1"/>
  <c r="O1135" i="3"/>
  <c r="N1135" i="3"/>
  <c r="P1135" i="3" l="1"/>
  <c r="Q1135" i="3" a="1"/>
  <c r="Q1135" i="3" s="1"/>
  <c r="B1136" i="3"/>
  <c r="W1134" i="3"/>
  <c r="R1135" i="3" l="1"/>
  <c r="D1136" i="3"/>
  <c r="K1136" i="3"/>
  <c r="L1135" i="3"/>
  <c r="S1135" i="3" s="1"/>
  <c r="T1135" i="3" l="1"/>
  <c r="U1135" i="3" s="1"/>
  <c r="V1135" i="3"/>
  <c r="N1136" i="3"/>
  <c r="G1136" i="3"/>
  <c r="I1136" i="3" s="1"/>
  <c r="O1136" i="3"/>
  <c r="B1137" i="3" l="1"/>
  <c r="W1135" i="3"/>
  <c r="P1136" i="3"/>
  <c r="Q1136" i="3" a="1"/>
  <c r="Q1136" i="3" s="1"/>
  <c r="R1136" i="3" s="1"/>
  <c r="K1137" i="3" l="1"/>
  <c r="D1137" i="3"/>
  <c r="L1136" i="3"/>
  <c r="S1136" i="3" s="1"/>
  <c r="T1136" i="3" l="1"/>
  <c r="U1136" i="3" s="1"/>
  <c r="V1136" i="3"/>
  <c r="W1136" i="3" s="1"/>
  <c r="G1137" i="3"/>
  <c r="I1137" i="3" s="1"/>
  <c r="N1137" i="3"/>
  <c r="O1137" i="3"/>
  <c r="B1138" i="3" l="1"/>
  <c r="Q1137" i="3" a="1"/>
  <c r="Q1137" i="3" s="1"/>
  <c r="P1137" i="3"/>
  <c r="R1137" i="3" l="1"/>
  <c r="K1138" i="3"/>
  <c r="D1138" i="3"/>
  <c r="L1137" i="3"/>
  <c r="S1137" i="3" s="1"/>
  <c r="G1138" i="3" l="1"/>
  <c r="I1138" i="3" s="1"/>
  <c r="B1139" i="3" s="1"/>
  <c r="V1137" i="3"/>
  <c r="W1137" i="3" s="1"/>
  <c r="T1137" i="3"/>
  <c r="U1137" i="3" s="1"/>
  <c r="N1138" i="3"/>
  <c r="O1138" i="3"/>
  <c r="D1139" i="3" l="1"/>
  <c r="K1139" i="3"/>
  <c r="L1138" i="3"/>
  <c r="Q1138" i="3" a="1"/>
  <c r="Q1138" i="3" s="1"/>
  <c r="R1138" i="3" s="1"/>
  <c r="P1138" i="3"/>
  <c r="G1139" i="3" l="1"/>
  <c r="I1139" i="3" s="1"/>
  <c r="O1139" i="3"/>
  <c r="N1139" i="3"/>
  <c r="S1138" i="3"/>
  <c r="V1138" i="3" l="1"/>
  <c r="T1138" i="3"/>
  <c r="U1138" i="3" s="1"/>
  <c r="P1139" i="3"/>
  <c r="Q1139" i="3" a="1"/>
  <c r="Q1139" i="3" s="1"/>
  <c r="R1139" i="3" s="1"/>
  <c r="B1140" i="3"/>
  <c r="D1140" i="3" l="1"/>
  <c r="K1140" i="3"/>
  <c r="L1139" i="3"/>
  <c r="S1139" i="3" s="1"/>
  <c r="W1138" i="3"/>
  <c r="T1139" i="3" l="1"/>
  <c r="U1139" i="3" s="1"/>
  <c r="V1139" i="3"/>
  <c r="W1139" i="3" s="1"/>
  <c r="G1140" i="3"/>
  <c r="I1140" i="3" s="1"/>
  <c r="N1140" i="3"/>
  <c r="O1140" i="3"/>
  <c r="B1141" i="3" l="1"/>
  <c r="P1140" i="3"/>
  <c r="Q1140" i="3" a="1"/>
  <c r="Q1140" i="3" s="1"/>
  <c r="R1140" i="3" l="1"/>
  <c r="K1141" i="3"/>
  <c r="D1141" i="3"/>
  <c r="L1140" i="3"/>
  <c r="S1140" i="3" s="1"/>
  <c r="G1141" i="3" l="1"/>
  <c r="I1141" i="3" s="1"/>
  <c r="B1142" i="3" s="1"/>
  <c r="V1140" i="3"/>
  <c r="T1140" i="3"/>
  <c r="U1140" i="3" s="1"/>
  <c r="O1141" i="3"/>
  <c r="N1141" i="3"/>
  <c r="K1142" i="3" l="1"/>
  <c r="D1142" i="3"/>
  <c r="L1141" i="3"/>
  <c r="Q1141" i="3" a="1"/>
  <c r="Q1141" i="3" s="1"/>
  <c r="P1141" i="3"/>
  <c r="W1140" i="3"/>
  <c r="R1141" i="3" l="1"/>
  <c r="G1142" i="3"/>
  <c r="I1142" i="3" s="1"/>
  <c r="B1143" i="3" s="1"/>
  <c r="S1141" i="3"/>
  <c r="T1141" i="3" s="1"/>
  <c r="U1141" i="3" s="1"/>
  <c r="O1142" i="3"/>
  <c r="N1142" i="3"/>
  <c r="V1141" i="3" l="1"/>
  <c r="W1141" i="3" s="1"/>
  <c r="D1143" i="3"/>
  <c r="K1143" i="3"/>
  <c r="P1142" i="3"/>
  <c r="Q1142" i="3" a="1"/>
  <c r="Q1142" i="3" s="1"/>
  <c r="L1142" i="3"/>
  <c r="R1142" i="3" l="1"/>
  <c r="S1142" i="3"/>
  <c r="T1142" i="3" s="1"/>
  <c r="U1142" i="3" s="1"/>
  <c r="N1143" i="3"/>
  <c r="G1143" i="3"/>
  <c r="I1143" i="3" s="1"/>
  <c r="O1143" i="3"/>
  <c r="V1142" i="3" l="1"/>
  <c r="W1142" i="3" s="1"/>
  <c r="Q1143" i="3" a="1"/>
  <c r="Q1143" i="3" s="1"/>
  <c r="P1143" i="3"/>
  <c r="B1144" i="3"/>
  <c r="R1143" i="3" l="1"/>
  <c r="D1144" i="3"/>
  <c r="K1144" i="3"/>
  <c r="L1143" i="3"/>
  <c r="S1143" i="3" s="1"/>
  <c r="T1143" i="3" l="1"/>
  <c r="U1143" i="3" s="1"/>
  <c r="V1143" i="3"/>
  <c r="O1144" i="3"/>
  <c r="G1144" i="3"/>
  <c r="I1144" i="3" s="1"/>
  <c r="N1144" i="3"/>
  <c r="B1145" i="3" l="1"/>
  <c r="P1144" i="3"/>
  <c r="Q1144" i="3" a="1"/>
  <c r="Q1144" i="3" s="1"/>
  <c r="W1143" i="3"/>
  <c r="R1144" i="3" l="1"/>
  <c r="D1145" i="3"/>
  <c r="K1145" i="3"/>
  <c r="L1144" i="3"/>
  <c r="S1144" i="3" s="1"/>
  <c r="T1144" i="3" l="1"/>
  <c r="U1144" i="3" s="1"/>
  <c r="V1144" i="3"/>
  <c r="N1145" i="3"/>
  <c r="O1145" i="3"/>
  <c r="G1145" i="3"/>
  <c r="I1145" i="3" s="1"/>
  <c r="Q1145" i="3" l="1" a="1"/>
  <c r="Q1145" i="3" s="1"/>
  <c r="P1145" i="3"/>
  <c r="W1144" i="3"/>
  <c r="B1146" i="3"/>
  <c r="L1145" i="3" s="1"/>
  <c r="R1145" i="3" l="1"/>
  <c r="K1146" i="3"/>
  <c r="D1146" i="3"/>
  <c r="S1145" i="3"/>
  <c r="G1146" i="3" l="1"/>
  <c r="I1146" i="3" s="1"/>
  <c r="T1145" i="3"/>
  <c r="U1145" i="3" s="1"/>
  <c r="V1145" i="3"/>
  <c r="N1146" i="3"/>
  <c r="O1146" i="3"/>
  <c r="Q1146" i="3" l="1" a="1"/>
  <c r="Q1146" i="3" s="1"/>
  <c r="P1146" i="3"/>
  <c r="W1145" i="3"/>
  <c r="B1147" i="3"/>
  <c r="R1146" i="3" l="1"/>
  <c r="D1147" i="3"/>
  <c r="K1147" i="3"/>
  <c r="L1146" i="3"/>
  <c r="S1146" i="3" s="1"/>
  <c r="T1146" i="3" l="1"/>
  <c r="U1146" i="3" s="1"/>
  <c r="V1146" i="3"/>
  <c r="G1147" i="3"/>
  <c r="I1147" i="3" s="1"/>
  <c r="N1147" i="3"/>
  <c r="O1147" i="3"/>
  <c r="B1148" i="3" l="1"/>
  <c r="W1146" i="3"/>
  <c r="P1147" i="3"/>
  <c r="Q1147" i="3" a="1"/>
  <c r="Q1147" i="3" s="1"/>
  <c r="R1147" i="3" s="1"/>
  <c r="K1148" i="3" l="1"/>
  <c r="D1148" i="3"/>
  <c r="L1147" i="3"/>
  <c r="S1147" i="3" s="1"/>
  <c r="T1147" i="3" l="1"/>
  <c r="U1147" i="3" s="1"/>
  <c r="V1147" i="3"/>
  <c r="O1148" i="3"/>
  <c r="G1148" i="3"/>
  <c r="I1148" i="3" s="1"/>
  <c r="N1148" i="3"/>
  <c r="B1149" i="3" l="1"/>
  <c r="Q1148" i="3" a="1"/>
  <c r="Q1148" i="3" s="1"/>
  <c r="P1148" i="3"/>
  <c r="W1147" i="3"/>
  <c r="R1148" i="3" l="1"/>
  <c r="K1149" i="3"/>
  <c r="D1149" i="3"/>
  <c r="L1148" i="3"/>
  <c r="S1148" i="3" s="1"/>
  <c r="T1148" i="3" l="1"/>
  <c r="U1148" i="3" s="1"/>
  <c r="V1148" i="3"/>
  <c r="N1149" i="3"/>
  <c r="O1149" i="3"/>
  <c r="G1149" i="3"/>
  <c r="I1149" i="3" s="1"/>
  <c r="Q1149" i="3" l="1" a="1"/>
  <c r="Q1149" i="3" s="1"/>
  <c r="P1149" i="3"/>
  <c r="W1148" i="3"/>
  <c r="B1150" i="3"/>
  <c r="L1149" i="3" s="1"/>
  <c r="R1149" i="3" l="1"/>
  <c r="K1150" i="3"/>
  <c r="D1150" i="3"/>
  <c r="S1149" i="3"/>
  <c r="T1149" i="3" l="1"/>
  <c r="U1149" i="3" s="1"/>
  <c r="V1149" i="3"/>
  <c r="W1149" i="3" s="1"/>
  <c r="G1150" i="3"/>
  <c r="I1150" i="3" s="1"/>
  <c r="N1150" i="3"/>
  <c r="O1150" i="3"/>
  <c r="B1151" i="3" l="1"/>
  <c r="Q1150" i="3" a="1"/>
  <c r="Q1150" i="3" s="1"/>
  <c r="P1150" i="3"/>
  <c r="R1150" i="3" l="1"/>
  <c r="D1151" i="3"/>
  <c r="K1151" i="3"/>
  <c r="L1150" i="3"/>
  <c r="S1150" i="3" s="1"/>
  <c r="V1150" i="3" l="1"/>
  <c r="T1150" i="3"/>
  <c r="U1150" i="3" s="1"/>
  <c r="G1151" i="3"/>
  <c r="I1151" i="3" s="1"/>
  <c r="N1151" i="3"/>
  <c r="O1151" i="3"/>
  <c r="B1152" i="3" l="1"/>
  <c r="P1151" i="3"/>
  <c r="Q1151" i="3" a="1"/>
  <c r="Q1151" i="3" s="1"/>
  <c r="W1150" i="3"/>
  <c r="R1151" i="3" l="1"/>
  <c r="K1152" i="3"/>
  <c r="D1152" i="3"/>
  <c r="L1151" i="3"/>
  <c r="S1151" i="3" s="1"/>
  <c r="T1151" i="3" l="1"/>
  <c r="U1151" i="3" s="1"/>
  <c r="V1151" i="3"/>
  <c r="O1152" i="3"/>
  <c r="G1152" i="3"/>
  <c r="I1152" i="3" s="1"/>
  <c r="N1152" i="3"/>
  <c r="B1153" i="3" l="1"/>
  <c r="P1152" i="3"/>
  <c r="Q1152" i="3" a="1"/>
  <c r="Q1152" i="3" s="1"/>
  <c r="W1151" i="3"/>
  <c r="R1152" i="3" l="1"/>
  <c r="D1153" i="3"/>
  <c r="K1153" i="3"/>
  <c r="L1152" i="3"/>
  <c r="S1152" i="3" s="1"/>
  <c r="T1152" i="3" l="1"/>
  <c r="U1152" i="3" s="1"/>
  <c r="V1152" i="3"/>
  <c r="W1152" i="3" s="1"/>
  <c r="O1153" i="3"/>
  <c r="N1153" i="3"/>
  <c r="G1153" i="3"/>
  <c r="I1153" i="3" s="1"/>
  <c r="P1153" i="3" l="1"/>
  <c r="Q1153" i="3" a="1"/>
  <c r="Q1153" i="3" s="1"/>
  <c r="R1153" i="3" s="1"/>
  <c r="B1154" i="3"/>
  <c r="D1154" i="3" l="1"/>
  <c r="K1154" i="3"/>
  <c r="L1153" i="3"/>
  <c r="S1153" i="3" s="1"/>
  <c r="V1153" i="3" l="1"/>
  <c r="T1153" i="3"/>
  <c r="U1153" i="3" s="1"/>
  <c r="O1154" i="3"/>
  <c r="N1154" i="3"/>
  <c r="G1154" i="3"/>
  <c r="I1154" i="3" s="1"/>
  <c r="P1154" i="3" l="1"/>
  <c r="Q1154" i="3" a="1"/>
  <c r="Q1154" i="3" s="1"/>
  <c r="B1155" i="3"/>
  <c r="W1153" i="3"/>
  <c r="R1154" i="3" l="1"/>
  <c r="D1155" i="3"/>
  <c r="K1155" i="3"/>
  <c r="L1154" i="3"/>
  <c r="S1154" i="3" s="1"/>
  <c r="O1155" i="3" l="1"/>
  <c r="N1155" i="3"/>
  <c r="G1155" i="3"/>
  <c r="I1155" i="3" s="1"/>
  <c r="T1154" i="3"/>
  <c r="U1154" i="3" s="1"/>
  <c r="V1154" i="3"/>
  <c r="B1156" i="3" l="1"/>
  <c r="W1154" i="3"/>
  <c r="Q1155" i="3" a="1"/>
  <c r="Q1155" i="3" s="1"/>
  <c r="R1155" i="3" s="1"/>
  <c r="P1155" i="3"/>
  <c r="K1156" i="3" l="1"/>
  <c r="D1156" i="3"/>
  <c r="L1155" i="3"/>
  <c r="S1155" i="3" s="1"/>
  <c r="T1155" i="3" l="1"/>
  <c r="U1155" i="3" s="1"/>
  <c r="V1155" i="3"/>
  <c r="O1156" i="3"/>
  <c r="N1156" i="3"/>
  <c r="G1156" i="3"/>
  <c r="I1156" i="3" s="1"/>
  <c r="P1156" i="3" l="1"/>
  <c r="Q1156" i="3" a="1"/>
  <c r="Q1156" i="3" s="1"/>
  <c r="W1155" i="3"/>
  <c r="B1157" i="3"/>
  <c r="R1156" i="3" l="1"/>
  <c r="D1157" i="3"/>
  <c r="K1157" i="3"/>
  <c r="L1156" i="3"/>
  <c r="S1156" i="3" s="1"/>
  <c r="T1156" i="3" l="1"/>
  <c r="U1156" i="3" s="1"/>
  <c r="V1156" i="3"/>
  <c r="N1157" i="3"/>
  <c r="O1157" i="3"/>
  <c r="G1157" i="3"/>
  <c r="I1157" i="3" s="1"/>
  <c r="Q1157" i="3" l="1" a="1"/>
  <c r="Q1157" i="3" s="1"/>
  <c r="P1157" i="3"/>
  <c r="W1156" i="3"/>
  <c r="B1158" i="3"/>
  <c r="L1157" i="3" s="1"/>
  <c r="R1157" i="3" l="1"/>
  <c r="K1158" i="3"/>
  <c r="D1158" i="3"/>
  <c r="S1157" i="3"/>
  <c r="O1158" i="3" l="1"/>
  <c r="N1158" i="3"/>
  <c r="G1158" i="3"/>
  <c r="I1158" i="3" s="1"/>
  <c r="T1157" i="3"/>
  <c r="U1157" i="3" s="1"/>
  <c r="V1157" i="3"/>
  <c r="B1159" i="3" l="1"/>
  <c r="W1157" i="3"/>
  <c r="P1158" i="3"/>
  <c r="Q1158" i="3" a="1"/>
  <c r="Q1158" i="3" s="1"/>
  <c r="R1158" i="3" s="1"/>
  <c r="K1159" i="3" l="1"/>
  <c r="D1159" i="3"/>
  <c r="L1158" i="3"/>
  <c r="S1158" i="3" s="1"/>
  <c r="T1158" i="3" l="1"/>
  <c r="U1158" i="3" s="1"/>
  <c r="V1158" i="3"/>
  <c r="O1159" i="3"/>
  <c r="N1159" i="3"/>
  <c r="G1159" i="3"/>
  <c r="I1159" i="3" s="1"/>
  <c r="P1159" i="3" l="1"/>
  <c r="Q1159" i="3" a="1"/>
  <c r="Q1159" i="3" s="1"/>
  <c r="W1158" i="3"/>
  <c r="B1160" i="3"/>
  <c r="R1159" i="3" l="1"/>
  <c r="D1160" i="3"/>
  <c r="K1160" i="3"/>
  <c r="L1159" i="3"/>
  <c r="S1159" i="3" s="1"/>
  <c r="O1160" i="3" l="1"/>
  <c r="N1160" i="3"/>
  <c r="G1160" i="3"/>
  <c r="I1160" i="3" s="1"/>
  <c r="T1159" i="3"/>
  <c r="U1159" i="3" s="1"/>
  <c r="V1159" i="3"/>
  <c r="B1161" i="3" l="1"/>
  <c r="W1159" i="3"/>
  <c r="Q1160" i="3" a="1"/>
  <c r="Q1160" i="3" s="1"/>
  <c r="P1160" i="3"/>
  <c r="R1160" i="3" l="1"/>
  <c r="K1161" i="3"/>
  <c r="D1161" i="3"/>
  <c r="L1160" i="3"/>
  <c r="S1160" i="3" s="1"/>
  <c r="T1160" i="3" l="1"/>
  <c r="U1160" i="3" s="1"/>
  <c r="V1160" i="3"/>
  <c r="O1161" i="3"/>
  <c r="N1161" i="3"/>
  <c r="G1161" i="3"/>
  <c r="I1161" i="3" s="1"/>
  <c r="P1161" i="3" l="1"/>
  <c r="Q1161" i="3" a="1"/>
  <c r="Q1161" i="3" s="1"/>
  <c r="W1160" i="3"/>
  <c r="B1162" i="3"/>
  <c r="R1161" i="3" l="1"/>
  <c r="K1162" i="3"/>
  <c r="D1162" i="3"/>
  <c r="L1161" i="3"/>
  <c r="S1161" i="3" s="1"/>
  <c r="T1161" i="3" l="1"/>
  <c r="U1161" i="3" s="1"/>
  <c r="V1161" i="3"/>
  <c r="W1161" i="3" s="1"/>
  <c r="O1162" i="3"/>
  <c r="G1162" i="3"/>
  <c r="I1162" i="3" s="1"/>
  <c r="N1162" i="3"/>
  <c r="B1163" i="3" l="1"/>
  <c r="Q1162" i="3" a="1"/>
  <c r="Q1162" i="3" s="1"/>
  <c r="P1162" i="3"/>
  <c r="R1162" i="3" l="1"/>
  <c r="D1163" i="3"/>
  <c r="K1163" i="3"/>
  <c r="L1162" i="3"/>
  <c r="S1162" i="3" s="1"/>
  <c r="V1162" i="3" l="1"/>
  <c r="T1162" i="3"/>
  <c r="U1162" i="3" s="1"/>
  <c r="N1163" i="3"/>
  <c r="O1163" i="3"/>
  <c r="G1163" i="3"/>
  <c r="I1163" i="3" s="1"/>
  <c r="P1163" i="3" l="1"/>
  <c r="Q1163" i="3" a="1"/>
  <c r="Q1163" i="3" s="1"/>
  <c r="R1163" i="3" s="1"/>
  <c r="B1164" i="3"/>
  <c r="W1162" i="3"/>
  <c r="D1164" i="3" l="1"/>
  <c r="K1164" i="3"/>
  <c r="L1163" i="3"/>
  <c r="S1163" i="3" s="1"/>
  <c r="O1164" i="3" l="1"/>
  <c r="N1164" i="3"/>
  <c r="G1164" i="3"/>
  <c r="I1164" i="3" s="1"/>
  <c r="T1163" i="3"/>
  <c r="U1163" i="3" s="1"/>
  <c r="V1163" i="3"/>
  <c r="W1163" i="3" l="1"/>
  <c r="B1165" i="3"/>
  <c r="Q1164" i="3" a="1"/>
  <c r="Q1164" i="3" s="1"/>
  <c r="P1164" i="3"/>
  <c r="R1164" i="3" l="1"/>
  <c r="K1165" i="3"/>
  <c r="D1165" i="3"/>
  <c r="L1164" i="3"/>
  <c r="S1164" i="3" s="1"/>
  <c r="T1164" i="3" l="1"/>
  <c r="U1164" i="3" s="1"/>
  <c r="V1164" i="3"/>
  <c r="G1165" i="3"/>
  <c r="I1165" i="3" s="1"/>
  <c r="N1165" i="3"/>
  <c r="O1165" i="3"/>
  <c r="B1166" i="3" l="1"/>
  <c r="W1164" i="3"/>
  <c r="P1165" i="3"/>
  <c r="Q1165" i="3" a="1"/>
  <c r="Q1165" i="3" s="1"/>
  <c r="R1165" i="3" s="1"/>
  <c r="K1166" i="3" l="1"/>
  <c r="D1166" i="3"/>
  <c r="L1165" i="3"/>
  <c r="S1165" i="3" s="1"/>
  <c r="T1165" i="3" l="1"/>
  <c r="U1165" i="3" s="1"/>
  <c r="V1165" i="3"/>
  <c r="G1166" i="3"/>
  <c r="I1166" i="3" s="1"/>
  <c r="O1166" i="3"/>
  <c r="N1166" i="3"/>
  <c r="Q1166" i="3" l="1" a="1"/>
  <c r="Q1166" i="3" s="1"/>
  <c r="P1166" i="3"/>
  <c r="B1167" i="3"/>
  <c r="W1165" i="3"/>
  <c r="R1166" i="3" l="1"/>
  <c r="D1167" i="3"/>
  <c r="K1167" i="3"/>
  <c r="L1166" i="3"/>
  <c r="S1166" i="3" s="1"/>
  <c r="T1166" i="3" l="1"/>
  <c r="U1166" i="3" s="1"/>
  <c r="V1166" i="3"/>
  <c r="G1167" i="3"/>
  <c r="I1167" i="3" s="1"/>
  <c r="N1167" i="3"/>
  <c r="O1167" i="3"/>
  <c r="B1168" i="3" l="1"/>
  <c r="W1166" i="3"/>
  <c r="Q1167" i="3" a="1"/>
  <c r="Q1167" i="3" s="1"/>
  <c r="P1167" i="3"/>
  <c r="R1167" i="3" l="1"/>
  <c r="D1168" i="3"/>
  <c r="K1168" i="3"/>
  <c r="L1167" i="3"/>
  <c r="S1167" i="3" s="1"/>
  <c r="T1167" i="3" l="1"/>
  <c r="U1167" i="3" s="1"/>
  <c r="V1167" i="3"/>
  <c r="N1168" i="3"/>
  <c r="O1168" i="3"/>
  <c r="G1168" i="3"/>
  <c r="I1168" i="3" s="1"/>
  <c r="P1168" i="3" l="1"/>
  <c r="Q1168" i="3" a="1"/>
  <c r="Q1168" i="3" s="1"/>
  <c r="W1167" i="3"/>
  <c r="B1169" i="3"/>
  <c r="R1168" i="3" l="1"/>
  <c r="D1169" i="3"/>
  <c r="K1169" i="3"/>
  <c r="L1168" i="3"/>
  <c r="S1168" i="3" s="1"/>
  <c r="T1168" i="3" l="1"/>
  <c r="U1168" i="3" s="1"/>
  <c r="V1168" i="3"/>
  <c r="G1169" i="3"/>
  <c r="I1169" i="3" s="1"/>
  <c r="O1169" i="3"/>
  <c r="N1169" i="3"/>
  <c r="P1169" i="3" l="1"/>
  <c r="Q1169" i="3" a="1"/>
  <c r="Q1169" i="3" s="1"/>
  <c r="B1170" i="3"/>
  <c r="W1168" i="3"/>
  <c r="R1169" i="3" l="1"/>
  <c r="K1170" i="3"/>
  <c r="D1170" i="3"/>
  <c r="L1169" i="3"/>
  <c r="S1169" i="3" s="1"/>
  <c r="T1169" i="3" l="1"/>
  <c r="U1169" i="3" s="1"/>
  <c r="V1169" i="3"/>
  <c r="N1170" i="3"/>
  <c r="O1170" i="3"/>
  <c r="G1170" i="3"/>
  <c r="I1170" i="3" s="1"/>
  <c r="Q1170" i="3" l="1" a="1"/>
  <c r="Q1170" i="3" s="1"/>
  <c r="P1170" i="3"/>
  <c r="W1169" i="3"/>
  <c r="B1171" i="3"/>
  <c r="L1170" i="3" s="1"/>
  <c r="R1170" i="3" l="1"/>
  <c r="K1171" i="3"/>
  <c r="D1171" i="3"/>
  <c r="S1170" i="3"/>
  <c r="T1170" i="3" l="1"/>
  <c r="U1170" i="3" s="1"/>
  <c r="V1170" i="3"/>
  <c r="O1171" i="3"/>
  <c r="G1171" i="3"/>
  <c r="I1171" i="3" s="1"/>
  <c r="N1171" i="3"/>
  <c r="B1172" i="3" l="1"/>
  <c r="P1171" i="3"/>
  <c r="Q1171" i="3" a="1"/>
  <c r="Q1171" i="3" s="1"/>
  <c r="R1171" i="3" s="1"/>
  <c r="W1170" i="3"/>
  <c r="K1172" i="3" l="1"/>
  <c r="D1172" i="3"/>
  <c r="L1171" i="3"/>
  <c r="S1171" i="3" s="1"/>
  <c r="T1171" i="3" l="1"/>
  <c r="U1171" i="3" s="1"/>
  <c r="V1171" i="3"/>
  <c r="O1172" i="3"/>
  <c r="G1172" i="3"/>
  <c r="I1172" i="3" s="1"/>
  <c r="N1172" i="3"/>
  <c r="Q1172" i="3" l="1" a="1"/>
  <c r="Q1172" i="3" s="1"/>
  <c r="P1172" i="3"/>
  <c r="B1173" i="3"/>
  <c r="W1171" i="3"/>
  <c r="R1172" i="3" l="1"/>
  <c r="K1173" i="3"/>
  <c r="D1173" i="3"/>
  <c r="L1172" i="3"/>
  <c r="S1172" i="3" s="1"/>
  <c r="T1172" i="3" l="1"/>
  <c r="U1172" i="3" s="1"/>
  <c r="V1172" i="3"/>
  <c r="G1173" i="3"/>
  <c r="I1173" i="3" s="1"/>
  <c r="O1173" i="3"/>
  <c r="N1173" i="3"/>
  <c r="B1174" i="3" l="1"/>
  <c r="Q1173" i="3" a="1"/>
  <c r="Q1173" i="3" s="1"/>
  <c r="P1173" i="3"/>
  <c r="W1172" i="3"/>
  <c r="R1173" i="3" l="1"/>
  <c r="D1174" i="3"/>
  <c r="K1174" i="3"/>
  <c r="L1173" i="3"/>
  <c r="S1173" i="3" s="1"/>
  <c r="O1174" i="3" l="1"/>
  <c r="N1174" i="3"/>
  <c r="G1174" i="3"/>
  <c r="I1174" i="3" s="1"/>
  <c r="T1173" i="3"/>
  <c r="U1173" i="3" s="1"/>
  <c r="V1173" i="3"/>
  <c r="B1175" i="3" l="1"/>
  <c r="W1173" i="3"/>
  <c r="P1174" i="3"/>
  <c r="Q1174" i="3" a="1"/>
  <c r="Q1174" i="3" s="1"/>
  <c r="R1174" i="3" l="1"/>
  <c r="K1175" i="3"/>
  <c r="D1175" i="3"/>
  <c r="L1174" i="3"/>
  <c r="S1174" i="3" s="1"/>
  <c r="T1174" i="3" l="1"/>
  <c r="U1174" i="3" s="1"/>
  <c r="V1174" i="3"/>
  <c r="W1174" i="3" s="1"/>
  <c r="G1175" i="3"/>
  <c r="I1175" i="3" s="1"/>
  <c r="N1175" i="3"/>
  <c r="O1175" i="3"/>
  <c r="B1176" i="3" l="1"/>
  <c r="Q1175" i="3" a="1"/>
  <c r="Q1175" i="3" s="1"/>
  <c r="P1175" i="3"/>
  <c r="R1175" i="3" l="1"/>
  <c r="D1176" i="3"/>
  <c r="K1176" i="3"/>
  <c r="L1175" i="3"/>
  <c r="S1175" i="3" s="1"/>
  <c r="V1175" i="3" l="1"/>
  <c r="T1175" i="3"/>
  <c r="U1175" i="3" s="1"/>
  <c r="G1176" i="3"/>
  <c r="I1176" i="3" s="1"/>
  <c r="O1176" i="3"/>
  <c r="N1176" i="3"/>
  <c r="P1176" i="3" l="1"/>
  <c r="Q1176" i="3" a="1"/>
  <c r="Q1176" i="3" s="1"/>
  <c r="B1177" i="3"/>
  <c r="W1175" i="3"/>
  <c r="R1176" i="3" l="1"/>
  <c r="K1177" i="3"/>
  <c r="D1177" i="3"/>
  <c r="L1176" i="3"/>
  <c r="S1176" i="3" s="1"/>
  <c r="T1176" i="3" l="1"/>
  <c r="U1176" i="3" s="1"/>
  <c r="V1176" i="3"/>
  <c r="G1177" i="3"/>
  <c r="I1177" i="3" s="1"/>
  <c r="N1177" i="3"/>
  <c r="O1177" i="3"/>
  <c r="B1178" i="3" l="1"/>
  <c r="W1176" i="3"/>
  <c r="P1177" i="3"/>
  <c r="Q1177" i="3" a="1"/>
  <c r="Q1177" i="3" s="1"/>
  <c r="R1177" i="3" s="1"/>
  <c r="K1178" i="3" l="1"/>
  <c r="D1178" i="3"/>
  <c r="L1177" i="3"/>
  <c r="S1177" i="3" s="1"/>
  <c r="T1177" i="3" l="1"/>
  <c r="U1177" i="3" s="1"/>
  <c r="V1177" i="3"/>
  <c r="G1178" i="3"/>
  <c r="I1178" i="3" s="1"/>
  <c r="N1178" i="3"/>
  <c r="O1178" i="3"/>
  <c r="B1179" i="3" l="1"/>
  <c r="W1177" i="3"/>
  <c r="P1178" i="3"/>
  <c r="Q1178" i="3" a="1"/>
  <c r="Q1178" i="3" s="1"/>
  <c r="R1178" i="3" s="1"/>
  <c r="K1179" i="3" l="1"/>
  <c r="D1179" i="3"/>
  <c r="L1178" i="3"/>
  <c r="S1178" i="3" s="1"/>
  <c r="G1179" i="3" l="1"/>
  <c r="I1179" i="3" s="1"/>
  <c r="B1180" i="3" s="1"/>
  <c r="T1178" i="3"/>
  <c r="U1178" i="3" s="1"/>
  <c r="V1178" i="3"/>
  <c r="N1179" i="3"/>
  <c r="O1179" i="3"/>
  <c r="W1178" i="3" l="1"/>
  <c r="P1179" i="3"/>
  <c r="Q1179" i="3" a="1"/>
  <c r="Q1179" i="3" s="1"/>
  <c r="K1180" i="3"/>
  <c r="D1180" i="3"/>
  <c r="L1179" i="3"/>
  <c r="R1179" i="3" l="1"/>
  <c r="G1180" i="3"/>
  <c r="I1180" i="3" s="1"/>
  <c r="S1179" i="3"/>
  <c r="N1180" i="3"/>
  <c r="O1180" i="3"/>
  <c r="Q1180" i="3" l="1" a="1"/>
  <c r="Q1180" i="3" s="1"/>
  <c r="P1180" i="3"/>
  <c r="T1179" i="3"/>
  <c r="U1179" i="3" s="1"/>
  <c r="V1179" i="3"/>
  <c r="B1181" i="3"/>
  <c r="L1180" i="3" s="1"/>
  <c r="R1180" i="3" l="1"/>
  <c r="W1179" i="3"/>
  <c r="K1181" i="3"/>
  <c r="D1181" i="3"/>
  <c r="S1180" i="3"/>
  <c r="T1180" i="3" s="1"/>
  <c r="U1180" i="3" s="1"/>
  <c r="N1181" i="3" l="1"/>
  <c r="G1181" i="3"/>
  <c r="I1181" i="3" s="1"/>
  <c r="O1181" i="3"/>
  <c r="V1180" i="3"/>
  <c r="W1180" i="3" l="1"/>
  <c r="P1181" i="3"/>
  <c r="Q1181" i="3" a="1"/>
  <c r="Q1181" i="3" s="1"/>
  <c r="R1181" i="3" s="1"/>
  <c r="B1182" i="3"/>
  <c r="D1182" i="3" l="1"/>
  <c r="K1182" i="3"/>
  <c r="L1181" i="3"/>
  <c r="S1181" i="3" s="1"/>
  <c r="T1181" i="3" l="1"/>
  <c r="U1181" i="3" s="1"/>
  <c r="V1181" i="3"/>
  <c r="W1181" i="3" s="1"/>
  <c r="G1182" i="3"/>
  <c r="I1182" i="3" s="1"/>
  <c r="N1182" i="3"/>
  <c r="O1182" i="3"/>
  <c r="B1183" i="3" l="1"/>
  <c r="Q1182" i="3" a="1"/>
  <c r="Q1182" i="3" s="1"/>
  <c r="P1182" i="3"/>
  <c r="R1182" i="3" l="1"/>
  <c r="K1183" i="3"/>
  <c r="D1183" i="3"/>
  <c r="L1182" i="3"/>
  <c r="S1182" i="3" s="1"/>
  <c r="V1182" i="3" l="1"/>
  <c r="T1182" i="3"/>
  <c r="U1182" i="3" s="1"/>
  <c r="G1183" i="3"/>
  <c r="I1183" i="3" s="1"/>
  <c r="O1183" i="3"/>
  <c r="N1183" i="3"/>
  <c r="Q1183" i="3" l="1" a="1"/>
  <c r="Q1183" i="3" s="1"/>
  <c r="P1183" i="3"/>
  <c r="B1184" i="3"/>
  <c r="W1182" i="3"/>
  <c r="R1183" i="3" l="1"/>
  <c r="D1184" i="3"/>
  <c r="K1184" i="3"/>
  <c r="L1183" i="3"/>
  <c r="S1183" i="3" s="1"/>
  <c r="T1183" i="3" l="1"/>
  <c r="U1183" i="3" s="1"/>
  <c r="V1183" i="3"/>
  <c r="N1184" i="3"/>
  <c r="G1184" i="3"/>
  <c r="I1184" i="3" s="1"/>
  <c r="O1184" i="3"/>
  <c r="B1185" i="3" l="1"/>
  <c r="W1183" i="3"/>
  <c r="Q1184" i="3" a="1"/>
  <c r="Q1184" i="3" s="1"/>
  <c r="R1184" i="3" s="1"/>
  <c r="P1184" i="3"/>
  <c r="K1185" i="3" l="1"/>
  <c r="D1185" i="3"/>
  <c r="L1184" i="3"/>
  <c r="S1184" i="3" s="1"/>
  <c r="T1184" i="3" l="1"/>
  <c r="U1184" i="3" s="1"/>
  <c r="V1184" i="3"/>
  <c r="O1185" i="3"/>
  <c r="G1185" i="3"/>
  <c r="I1185" i="3" s="1"/>
  <c r="N1185" i="3"/>
  <c r="B1186" i="3" l="1"/>
  <c r="Q1185" i="3" a="1"/>
  <c r="Q1185" i="3" s="1"/>
  <c r="P1185" i="3"/>
  <c r="W1184" i="3"/>
  <c r="R1185" i="3" l="1"/>
  <c r="K1186" i="3"/>
  <c r="D1186" i="3"/>
  <c r="L1185" i="3"/>
  <c r="S1185" i="3" s="1"/>
  <c r="T1185" i="3" l="1"/>
  <c r="U1185" i="3" s="1"/>
  <c r="V1185" i="3"/>
  <c r="G1186" i="3"/>
  <c r="I1186" i="3" s="1"/>
  <c r="N1186" i="3"/>
  <c r="O1186" i="3"/>
  <c r="B1187" i="3" l="1"/>
  <c r="W1185" i="3"/>
  <c r="P1186" i="3"/>
  <c r="Q1186" i="3" a="1"/>
  <c r="Q1186" i="3" s="1"/>
  <c r="R1186" i="3" s="1"/>
  <c r="D1187" i="3" l="1"/>
  <c r="K1187" i="3"/>
  <c r="L1186" i="3"/>
  <c r="S1186" i="3" s="1"/>
  <c r="T1186" i="3" l="1"/>
  <c r="U1186" i="3" s="1"/>
  <c r="V1186" i="3"/>
  <c r="G1187" i="3"/>
  <c r="I1187" i="3" s="1"/>
  <c r="O1187" i="3"/>
  <c r="N1187" i="3"/>
  <c r="Q1187" i="3" l="1" a="1"/>
  <c r="Q1187" i="3" s="1"/>
  <c r="P1187" i="3"/>
  <c r="B1188" i="3"/>
  <c r="W1186" i="3"/>
  <c r="R1187" i="3" l="1"/>
  <c r="D1188" i="3"/>
  <c r="K1188" i="3"/>
  <c r="L1187" i="3"/>
  <c r="S1187" i="3" s="1"/>
  <c r="T1187" i="3" l="1"/>
  <c r="U1187" i="3" s="1"/>
  <c r="V1187" i="3"/>
  <c r="G1188" i="3"/>
  <c r="I1188" i="3" s="1"/>
  <c r="O1188" i="3"/>
  <c r="N1188" i="3"/>
  <c r="P1188" i="3" l="1"/>
  <c r="Q1188" i="3" a="1"/>
  <c r="Q1188" i="3" s="1"/>
  <c r="B1189" i="3"/>
  <c r="W1187" i="3"/>
  <c r="R1188" i="3" l="1"/>
  <c r="K1189" i="3"/>
  <c r="D1189" i="3"/>
  <c r="L1188" i="3"/>
  <c r="S1188" i="3" s="1"/>
  <c r="T1188" i="3" l="1"/>
  <c r="U1188" i="3" s="1"/>
  <c r="V1188" i="3"/>
  <c r="N1189" i="3"/>
  <c r="G1189" i="3"/>
  <c r="I1189" i="3" s="1"/>
  <c r="O1189" i="3"/>
  <c r="B1190" i="3" l="1"/>
  <c r="W1188" i="3"/>
  <c r="P1189" i="3"/>
  <c r="Q1189" i="3" a="1"/>
  <c r="Q1189" i="3" s="1"/>
  <c r="R1189" i="3" s="1"/>
  <c r="D1190" i="3" l="1"/>
  <c r="K1190" i="3"/>
  <c r="L1189" i="3"/>
  <c r="S1189" i="3" s="1"/>
  <c r="T1189" i="3" l="1"/>
  <c r="U1189" i="3" s="1"/>
  <c r="V1189" i="3"/>
  <c r="G1190" i="3"/>
  <c r="I1190" i="3" s="1"/>
  <c r="O1190" i="3"/>
  <c r="N1190" i="3"/>
  <c r="Q1190" i="3" l="1" a="1"/>
  <c r="Q1190" i="3" s="1"/>
  <c r="P1190" i="3"/>
  <c r="B1191" i="3"/>
  <c r="W1189" i="3"/>
  <c r="R1190" i="3" l="1"/>
  <c r="K1191" i="3"/>
  <c r="D1191" i="3"/>
  <c r="L1190" i="3"/>
  <c r="S1190" i="3" s="1"/>
  <c r="T1190" i="3" l="1"/>
  <c r="U1190" i="3" s="1"/>
  <c r="V1190" i="3"/>
  <c r="G1191" i="3"/>
  <c r="I1191" i="3" s="1"/>
  <c r="O1191" i="3"/>
  <c r="N1191" i="3"/>
  <c r="P1191" i="3" l="1"/>
  <c r="Q1191" i="3" a="1"/>
  <c r="Q1191" i="3" s="1"/>
  <c r="R1191" i="3" s="1"/>
  <c r="B1192" i="3"/>
  <c r="W1190" i="3"/>
  <c r="K1192" i="3" l="1"/>
  <c r="D1192" i="3"/>
  <c r="L1191" i="3"/>
  <c r="S1191" i="3" s="1"/>
  <c r="T1191" i="3" l="1"/>
  <c r="U1191" i="3" s="1"/>
  <c r="V1191" i="3"/>
  <c r="O1192" i="3"/>
  <c r="G1192" i="3"/>
  <c r="I1192" i="3" s="1"/>
  <c r="N1192" i="3"/>
  <c r="B1193" i="3" l="1"/>
  <c r="P1192" i="3"/>
  <c r="Q1192" i="3" a="1"/>
  <c r="Q1192" i="3" s="1"/>
  <c r="W1191" i="3"/>
  <c r="R1192" i="3" l="1"/>
  <c r="K1193" i="3"/>
  <c r="D1193" i="3"/>
  <c r="L1192" i="3"/>
  <c r="S1192" i="3" s="1"/>
  <c r="T1192" i="3" l="1"/>
  <c r="U1192" i="3" s="1"/>
  <c r="V1192" i="3"/>
  <c r="G1193" i="3"/>
  <c r="I1193" i="3" s="1"/>
  <c r="N1193" i="3"/>
  <c r="O1193" i="3"/>
  <c r="B1194" i="3" l="1"/>
  <c r="W1192" i="3"/>
  <c r="P1193" i="3"/>
  <c r="Q1193" i="3" a="1"/>
  <c r="Q1193" i="3" s="1"/>
  <c r="R1193" i="3" s="1"/>
  <c r="D1194" i="3" l="1"/>
  <c r="K1194" i="3"/>
  <c r="L1193" i="3"/>
  <c r="S1193" i="3" s="1"/>
  <c r="T1193" i="3" l="1"/>
  <c r="U1193" i="3" s="1"/>
  <c r="V1193" i="3"/>
  <c r="W1193" i="3" s="1"/>
  <c r="O1194" i="3"/>
  <c r="G1194" i="3"/>
  <c r="I1194" i="3" s="1"/>
  <c r="N1194" i="3"/>
  <c r="B1195" i="3" l="1"/>
  <c r="Q1194" i="3" a="1"/>
  <c r="Q1194" i="3" s="1"/>
  <c r="P1194" i="3"/>
  <c r="R1194" i="3" l="1"/>
  <c r="D1195" i="3"/>
  <c r="K1195" i="3"/>
  <c r="L1194" i="3"/>
  <c r="S1194" i="3" s="1"/>
  <c r="V1194" i="3" l="1"/>
  <c r="T1194" i="3"/>
  <c r="U1194" i="3" s="1"/>
  <c r="N1195" i="3"/>
  <c r="G1195" i="3"/>
  <c r="I1195" i="3" s="1"/>
  <c r="O1195" i="3"/>
  <c r="B1196" i="3" l="1"/>
  <c r="Q1195" i="3" a="1"/>
  <c r="Q1195" i="3" s="1"/>
  <c r="P1195" i="3"/>
  <c r="W1194" i="3"/>
  <c r="R1195" i="3" l="1"/>
  <c r="K1196" i="3"/>
  <c r="D1196" i="3"/>
  <c r="L1195" i="3"/>
  <c r="S1195" i="3" s="1"/>
  <c r="T1195" i="3" l="1"/>
  <c r="U1195" i="3" s="1"/>
  <c r="V1195" i="3"/>
  <c r="N1196" i="3"/>
  <c r="O1196" i="3"/>
  <c r="G1196" i="3"/>
  <c r="I1196" i="3" s="1"/>
  <c r="Q1196" i="3" l="1" a="1"/>
  <c r="Q1196" i="3" s="1"/>
  <c r="P1196" i="3"/>
  <c r="W1195" i="3"/>
  <c r="B1197" i="3"/>
  <c r="L1196" i="3" s="1"/>
  <c r="R1196" i="3" l="1"/>
  <c r="D1197" i="3"/>
  <c r="K1197" i="3"/>
  <c r="S1196" i="3"/>
  <c r="N1197" i="3" l="1"/>
  <c r="G1197" i="3"/>
  <c r="I1197" i="3" s="1"/>
  <c r="O1197" i="3"/>
  <c r="T1196" i="3"/>
  <c r="U1196" i="3" s="1"/>
  <c r="V1196" i="3"/>
  <c r="Q1197" i="3" l="1" a="1"/>
  <c r="Q1197" i="3" s="1"/>
  <c r="P1197" i="3"/>
  <c r="B1198" i="3"/>
  <c r="W1196" i="3"/>
  <c r="R1197" i="3" l="1"/>
  <c r="K1198" i="3"/>
  <c r="D1198" i="3"/>
  <c r="L1197" i="3"/>
  <c r="S1197" i="3" s="1"/>
  <c r="T1197" i="3" l="1"/>
  <c r="U1197" i="3" s="1"/>
  <c r="V1197" i="3"/>
  <c r="N1198" i="3"/>
  <c r="O1198" i="3"/>
  <c r="G1198" i="3"/>
  <c r="I1198" i="3" s="1"/>
  <c r="Q1198" i="3" l="1" a="1"/>
  <c r="Q1198" i="3" s="1"/>
  <c r="P1198" i="3"/>
  <c r="W1197" i="3"/>
  <c r="B1199" i="3"/>
  <c r="L1198" i="3" s="1"/>
  <c r="R1198" i="3" l="1"/>
  <c r="K1199" i="3"/>
  <c r="D1199" i="3"/>
  <c r="S1198" i="3"/>
  <c r="N1199" i="3" l="1"/>
  <c r="G1199" i="3"/>
  <c r="I1199" i="3" s="1"/>
  <c r="O1199" i="3"/>
  <c r="T1198" i="3"/>
  <c r="U1198" i="3" s="1"/>
  <c r="V1198" i="3"/>
  <c r="W1198" i="3" s="1"/>
  <c r="Q1199" i="3" l="1" a="1"/>
  <c r="Q1199" i="3" s="1"/>
  <c r="P1199" i="3"/>
  <c r="B1200" i="3"/>
  <c r="R1199" i="3" l="1"/>
  <c r="K1200" i="3"/>
  <c r="D1200" i="3"/>
  <c r="L1199" i="3"/>
  <c r="S1199" i="3" s="1"/>
  <c r="V1199" i="3" l="1"/>
  <c r="W1199" i="3" s="1"/>
  <c r="T1199" i="3"/>
  <c r="U1199" i="3" s="1"/>
  <c r="G1200" i="3"/>
  <c r="I1200" i="3" s="1"/>
  <c r="N1200" i="3"/>
  <c r="O1200" i="3"/>
  <c r="B1201" i="3" l="1"/>
  <c r="Q1200" i="3" a="1"/>
  <c r="Q1200" i="3" s="1"/>
  <c r="P1200" i="3"/>
  <c r="R1200" i="3" l="1"/>
  <c r="K1201" i="3"/>
  <c r="D1201" i="3"/>
  <c r="L1200" i="3"/>
  <c r="S1200" i="3" s="1"/>
  <c r="V1200" i="3" l="1"/>
  <c r="T1200" i="3"/>
  <c r="U1200" i="3" s="1"/>
  <c r="N1201" i="3"/>
  <c r="O1201" i="3"/>
  <c r="G1201" i="3"/>
  <c r="I1201" i="3" s="1"/>
  <c r="Q1201" i="3" l="1" a="1"/>
  <c r="Q1201" i="3" s="1"/>
  <c r="P1201" i="3"/>
  <c r="B1202" i="3"/>
  <c r="W1200" i="3"/>
  <c r="R1201" i="3" l="1"/>
  <c r="D1202" i="3"/>
  <c r="K1202" i="3"/>
  <c r="L1201" i="3"/>
  <c r="S1201" i="3" s="1"/>
  <c r="T1201" i="3" l="1"/>
  <c r="U1201" i="3" s="1"/>
  <c r="V1201" i="3"/>
  <c r="G1202" i="3"/>
  <c r="I1202" i="3" s="1"/>
  <c r="O1202" i="3"/>
  <c r="N1202" i="3"/>
  <c r="Q1202" i="3" l="1" a="1"/>
  <c r="Q1202" i="3" s="1"/>
  <c r="P1202" i="3"/>
  <c r="B1203" i="3"/>
  <c r="W1201" i="3"/>
  <c r="R1202" i="3" l="1"/>
  <c r="K1203" i="3"/>
  <c r="D1203" i="3"/>
  <c r="L1202" i="3"/>
  <c r="S1202" i="3" s="1"/>
  <c r="O1203" i="3" l="1"/>
  <c r="N1203" i="3"/>
  <c r="G1203" i="3"/>
  <c r="I1203" i="3" s="1"/>
  <c r="T1202" i="3"/>
  <c r="U1202" i="3" s="1"/>
  <c r="V1202" i="3"/>
  <c r="W1202" i="3" l="1"/>
  <c r="B1204" i="3"/>
  <c r="P1203" i="3"/>
  <c r="Q1203" i="3" a="1"/>
  <c r="Q1203" i="3" s="1"/>
  <c r="R1203" i="3" s="1"/>
  <c r="K1204" i="3" l="1"/>
  <c r="D1204" i="3"/>
  <c r="L1203" i="3"/>
  <c r="S1203" i="3" s="1"/>
  <c r="T1203" i="3" l="1"/>
  <c r="U1203" i="3" s="1"/>
  <c r="V1203" i="3"/>
  <c r="G1204" i="3"/>
  <c r="I1204" i="3" s="1"/>
  <c r="O1204" i="3"/>
  <c r="N1204" i="3"/>
  <c r="B1205" i="3" l="1"/>
  <c r="P1204" i="3"/>
  <c r="Q1204" i="3" a="1"/>
  <c r="Q1204" i="3" s="1"/>
  <c r="W1203" i="3"/>
  <c r="R1204" i="3" l="1"/>
  <c r="K1205" i="3"/>
  <c r="D1205" i="3"/>
  <c r="L1204" i="3"/>
  <c r="S1204" i="3" s="1"/>
  <c r="G1205" i="3" l="1"/>
  <c r="I1205" i="3" s="1"/>
  <c r="B1206" i="3" s="1"/>
  <c r="T1204" i="3"/>
  <c r="U1204" i="3" s="1"/>
  <c r="V1204" i="3"/>
  <c r="O1205" i="3"/>
  <c r="N1205" i="3"/>
  <c r="D1206" i="3" l="1"/>
  <c r="K1206" i="3"/>
  <c r="L1205" i="3"/>
  <c r="W1204" i="3"/>
  <c r="P1205" i="3"/>
  <c r="Q1205" i="3" a="1"/>
  <c r="Q1205" i="3" s="1"/>
  <c r="R1205" i="3" s="1"/>
  <c r="S1205" i="3" l="1"/>
  <c r="T1205" i="3" s="1"/>
  <c r="U1205" i="3" s="1"/>
  <c r="O1206" i="3"/>
  <c r="N1206" i="3"/>
  <c r="G1206" i="3"/>
  <c r="I1206" i="3" s="1"/>
  <c r="V1205" i="3" l="1"/>
  <c r="W1205" i="3" s="1"/>
  <c r="Q1206" i="3" a="1"/>
  <c r="Q1206" i="3" s="1"/>
  <c r="P1206" i="3"/>
  <c r="B1207" i="3"/>
  <c r="R1206" i="3" l="1"/>
  <c r="K1207" i="3"/>
  <c r="D1207" i="3"/>
  <c r="L1206" i="3"/>
  <c r="S1206" i="3" s="1"/>
  <c r="T1206" i="3" l="1"/>
  <c r="U1206" i="3" s="1"/>
  <c r="V1206" i="3"/>
  <c r="N1207" i="3"/>
  <c r="O1207" i="3"/>
  <c r="G1207" i="3"/>
  <c r="I1207" i="3" s="1"/>
  <c r="Q1207" i="3" l="1" a="1"/>
  <c r="Q1207" i="3" s="1"/>
  <c r="P1207" i="3"/>
  <c r="W1206" i="3"/>
  <c r="B1208" i="3"/>
  <c r="R1207" i="3" l="1"/>
  <c r="K1208" i="3"/>
  <c r="D1208" i="3"/>
  <c r="L1207" i="3"/>
  <c r="S1207" i="3" s="1"/>
  <c r="G1208" i="3" l="1"/>
  <c r="I1208" i="3" s="1"/>
  <c r="B1209" i="3" s="1"/>
  <c r="T1207" i="3"/>
  <c r="U1207" i="3" s="1"/>
  <c r="V1207" i="3"/>
  <c r="N1208" i="3"/>
  <c r="O1208" i="3"/>
  <c r="D1209" i="3" l="1"/>
  <c r="K1209" i="3"/>
  <c r="L1208" i="3"/>
  <c r="P1208" i="3"/>
  <c r="Q1208" i="3" a="1"/>
  <c r="Q1208" i="3" s="1"/>
  <c r="W1207" i="3"/>
  <c r="R1208" i="3" l="1"/>
  <c r="G1209" i="3"/>
  <c r="I1209" i="3" s="1"/>
  <c r="N1209" i="3"/>
  <c r="O1209" i="3"/>
  <c r="S1208" i="3"/>
  <c r="T1208" i="3" l="1"/>
  <c r="U1208" i="3" s="1"/>
  <c r="V1208" i="3"/>
  <c r="P1209" i="3"/>
  <c r="Q1209" i="3" a="1"/>
  <c r="Q1209" i="3" s="1"/>
  <c r="R1209" i="3" s="1"/>
  <c r="B1210" i="3"/>
  <c r="D1210" i="3" l="1"/>
  <c r="K1210" i="3"/>
  <c r="W1208" i="3"/>
  <c r="L1209" i="3"/>
  <c r="S1209" i="3" s="1"/>
  <c r="T1209" i="3" l="1"/>
  <c r="U1209" i="3" s="1"/>
  <c r="V1209" i="3"/>
  <c r="O1210" i="3"/>
  <c r="G1210" i="3"/>
  <c r="I1210" i="3" s="1"/>
  <c r="N1210" i="3"/>
  <c r="B1211" i="3" l="1"/>
  <c r="P1210" i="3"/>
  <c r="Q1210" i="3" a="1"/>
  <c r="Q1210" i="3" s="1"/>
  <c r="W1209" i="3"/>
  <c r="R1210" i="3" l="1"/>
  <c r="D1211" i="3"/>
  <c r="K1211" i="3"/>
  <c r="L1210" i="3"/>
  <c r="S1210" i="3" s="1"/>
  <c r="T1210" i="3" l="1"/>
  <c r="U1210" i="3" s="1"/>
  <c r="V1210" i="3"/>
  <c r="G1211" i="3"/>
  <c r="I1211" i="3" s="1"/>
  <c r="N1211" i="3"/>
  <c r="O1211" i="3"/>
  <c r="B1212" i="3" l="1"/>
  <c r="W1210" i="3"/>
  <c r="Q1211" i="3" a="1"/>
  <c r="Q1211" i="3" s="1"/>
  <c r="R1211" i="3" s="1"/>
  <c r="P1211" i="3"/>
  <c r="K1212" i="3" l="1"/>
  <c r="D1212" i="3"/>
  <c r="L1211" i="3"/>
  <c r="S1211" i="3" s="1"/>
  <c r="T1211" i="3" l="1"/>
  <c r="U1211" i="3" s="1"/>
  <c r="V1211" i="3"/>
  <c r="O1212" i="3"/>
  <c r="N1212" i="3"/>
  <c r="G1212" i="3"/>
  <c r="I1212" i="3" s="1"/>
  <c r="Q1212" i="3" l="1" a="1"/>
  <c r="Q1212" i="3" s="1"/>
  <c r="P1212" i="3"/>
  <c r="W1211" i="3"/>
  <c r="B1213" i="3"/>
  <c r="L1212" i="3" s="1"/>
  <c r="R1212" i="3" l="1"/>
  <c r="D1213" i="3"/>
  <c r="K1213" i="3"/>
  <c r="S1212" i="3"/>
  <c r="N1213" i="3" l="1"/>
  <c r="O1213" i="3"/>
  <c r="G1213" i="3"/>
  <c r="I1213" i="3" s="1"/>
  <c r="T1212" i="3"/>
  <c r="U1212" i="3" s="1"/>
  <c r="V1212" i="3"/>
  <c r="W1212" i="3" l="1"/>
  <c r="B1214" i="3"/>
  <c r="Q1213" i="3" a="1"/>
  <c r="Q1213" i="3" s="1"/>
  <c r="P1213" i="3"/>
  <c r="R1213" i="3" l="1"/>
  <c r="D1214" i="3"/>
  <c r="K1214" i="3"/>
  <c r="L1213" i="3"/>
  <c r="S1213" i="3" s="1"/>
  <c r="T1213" i="3" l="1"/>
  <c r="U1213" i="3" s="1"/>
  <c r="V1213" i="3"/>
  <c r="G1214" i="3"/>
  <c r="I1214" i="3" s="1"/>
  <c r="O1214" i="3"/>
  <c r="N1214" i="3"/>
  <c r="P1214" i="3" l="1"/>
  <c r="Q1214" i="3" a="1"/>
  <c r="Q1214" i="3" s="1"/>
  <c r="B1215" i="3"/>
  <c r="L1214" i="3" s="1"/>
  <c r="W1213" i="3"/>
  <c r="R1214" i="3" l="1"/>
  <c r="D1215" i="3"/>
  <c r="K1215" i="3"/>
  <c r="S1214" i="3"/>
  <c r="O1215" i="3" l="1"/>
  <c r="N1215" i="3"/>
  <c r="G1215" i="3"/>
  <c r="I1215" i="3" s="1"/>
  <c r="T1214" i="3"/>
  <c r="U1214" i="3" s="1"/>
  <c r="V1214" i="3"/>
  <c r="W1214" i="3" l="1"/>
  <c r="B1216" i="3"/>
  <c r="Q1215" i="3" a="1"/>
  <c r="Q1215" i="3" s="1"/>
  <c r="R1215" i="3" s="1"/>
  <c r="P1215" i="3"/>
  <c r="D1216" i="3" l="1"/>
  <c r="K1216" i="3"/>
  <c r="L1215" i="3"/>
  <c r="S1215" i="3" s="1"/>
  <c r="T1215" i="3" l="1"/>
  <c r="U1215" i="3" s="1"/>
  <c r="V1215" i="3"/>
  <c r="N1216" i="3"/>
  <c r="O1216" i="3"/>
  <c r="G1216" i="3"/>
  <c r="I1216" i="3" s="1"/>
  <c r="P1216" i="3" l="1"/>
  <c r="Q1216" i="3" a="1"/>
  <c r="Q1216" i="3" s="1"/>
  <c r="W1215" i="3"/>
  <c r="B1217" i="3"/>
  <c r="L1216" i="3" s="1"/>
  <c r="R1216" i="3" l="1"/>
  <c r="D1217" i="3"/>
  <c r="K1217" i="3"/>
  <c r="S1216" i="3"/>
  <c r="O1217" i="3" l="1"/>
  <c r="N1217" i="3"/>
  <c r="G1217" i="3"/>
  <c r="I1217" i="3" s="1"/>
  <c r="T1216" i="3"/>
  <c r="U1216" i="3" s="1"/>
  <c r="V1216" i="3"/>
  <c r="W1216" i="3" l="1"/>
  <c r="B1218" i="3"/>
  <c r="P1217" i="3"/>
  <c r="Q1217" i="3" a="1"/>
  <c r="Q1217" i="3" s="1"/>
  <c r="R1217" i="3" s="1"/>
  <c r="D1218" i="3" l="1"/>
  <c r="K1218" i="3"/>
  <c r="L1217" i="3"/>
  <c r="S1217" i="3" s="1"/>
  <c r="T1217" i="3" l="1"/>
  <c r="U1217" i="3" s="1"/>
  <c r="V1217" i="3"/>
  <c r="W1217" i="3" s="1"/>
  <c r="G1218" i="3"/>
  <c r="I1218" i="3" s="1"/>
  <c r="N1218" i="3"/>
  <c r="O1218" i="3"/>
  <c r="B1219" i="3" l="1"/>
  <c r="P1218" i="3"/>
  <c r="Q1218" i="3" a="1"/>
  <c r="Q1218" i="3" s="1"/>
  <c r="R1218" i="3" s="1"/>
  <c r="K1219" i="3" l="1"/>
  <c r="D1219" i="3"/>
  <c r="L1218" i="3"/>
  <c r="S1218" i="3" s="1"/>
  <c r="V1218" i="3" l="1"/>
  <c r="T1218" i="3"/>
  <c r="U1218" i="3" s="1"/>
  <c r="O1219" i="3"/>
  <c r="G1219" i="3"/>
  <c r="I1219" i="3" s="1"/>
  <c r="N1219" i="3"/>
  <c r="P1219" i="3" l="1"/>
  <c r="Q1219" i="3" a="1"/>
  <c r="Q1219" i="3" s="1"/>
  <c r="B1220" i="3"/>
  <c r="W1218" i="3"/>
  <c r="R1219" i="3" l="1"/>
  <c r="K1220" i="3"/>
  <c r="D1220" i="3"/>
  <c r="L1219" i="3"/>
  <c r="S1219" i="3" s="1"/>
  <c r="T1219" i="3" l="1"/>
  <c r="U1219" i="3" s="1"/>
  <c r="V1219" i="3"/>
  <c r="G1220" i="3"/>
  <c r="I1220" i="3" s="1"/>
  <c r="O1220" i="3"/>
  <c r="N1220" i="3"/>
  <c r="B1221" i="3" l="1"/>
  <c r="P1220" i="3"/>
  <c r="Q1220" i="3" a="1"/>
  <c r="Q1220" i="3" s="1"/>
  <c r="W1219" i="3"/>
  <c r="R1220" i="3" l="1"/>
  <c r="D1221" i="3"/>
  <c r="K1221" i="3"/>
  <c r="L1220" i="3"/>
  <c r="S1220" i="3" s="1"/>
  <c r="T1220" i="3" l="1"/>
  <c r="U1220" i="3" s="1"/>
  <c r="V1220" i="3"/>
  <c r="W1220" i="3" s="1"/>
  <c r="N1221" i="3"/>
  <c r="G1221" i="3"/>
  <c r="I1221" i="3" s="1"/>
  <c r="O1221" i="3"/>
  <c r="B1222" i="3" l="1"/>
  <c r="Q1221" i="3" a="1"/>
  <c r="Q1221" i="3" s="1"/>
  <c r="P1221" i="3"/>
  <c r="R1221" i="3" l="1"/>
  <c r="K1222" i="3"/>
  <c r="D1222" i="3"/>
  <c r="L1221" i="3"/>
  <c r="S1221" i="3" s="1"/>
  <c r="V1221" i="3" l="1"/>
  <c r="T1221" i="3"/>
  <c r="U1221" i="3" s="1"/>
  <c r="G1222" i="3"/>
  <c r="I1222" i="3" s="1"/>
  <c r="N1222" i="3"/>
  <c r="O1222" i="3"/>
  <c r="B1223" i="3" l="1"/>
  <c r="P1222" i="3"/>
  <c r="Q1222" i="3" a="1"/>
  <c r="Q1222" i="3" s="1"/>
  <c r="W1221" i="3"/>
  <c r="R1222" i="3" l="1"/>
  <c r="K1223" i="3"/>
  <c r="D1223" i="3"/>
  <c r="L1222" i="3"/>
  <c r="S1222" i="3" s="1"/>
  <c r="T1222" i="3" l="1"/>
  <c r="U1222" i="3" s="1"/>
  <c r="V1222" i="3"/>
  <c r="G1223" i="3"/>
  <c r="I1223" i="3" s="1"/>
  <c r="N1223" i="3"/>
  <c r="O1223" i="3"/>
  <c r="B1224" i="3" l="1"/>
  <c r="W1222" i="3"/>
  <c r="Q1223" i="3" a="1"/>
  <c r="Q1223" i="3" s="1"/>
  <c r="R1223" i="3" s="1"/>
  <c r="P1223" i="3"/>
  <c r="K1224" i="3" l="1"/>
  <c r="D1224" i="3"/>
  <c r="L1223" i="3"/>
  <c r="S1223" i="3" s="1"/>
  <c r="T1223" i="3" l="1"/>
  <c r="U1223" i="3" s="1"/>
  <c r="V1223" i="3"/>
  <c r="O1224" i="3"/>
  <c r="N1224" i="3"/>
  <c r="G1224" i="3"/>
  <c r="I1224" i="3" s="1"/>
  <c r="Q1224" i="3" l="1" a="1"/>
  <c r="Q1224" i="3" s="1"/>
  <c r="P1224" i="3"/>
  <c r="W1223" i="3"/>
  <c r="B1225" i="3"/>
  <c r="L1224" i="3" s="1"/>
  <c r="R1224" i="3" l="1"/>
  <c r="D1225" i="3"/>
  <c r="K1225" i="3"/>
  <c r="S1224" i="3"/>
  <c r="O1225" i="3" l="1"/>
  <c r="G1225" i="3"/>
  <c r="I1225" i="3" s="1"/>
  <c r="N1225" i="3"/>
  <c r="T1224" i="3"/>
  <c r="U1224" i="3" s="1"/>
  <c r="V1224" i="3"/>
  <c r="W1224" i="3" l="1"/>
  <c r="B1226" i="3"/>
  <c r="L1225" i="3" s="1"/>
  <c r="P1225" i="3"/>
  <c r="Q1225" i="3" a="1"/>
  <c r="Q1225" i="3" s="1"/>
  <c r="R1225" i="3" s="1"/>
  <c r="D1226" i="3" l="1"/>
  <c r="K1226" i="3"/>
  <c r="S1225" i="3"/>
  <c r="G1226" i="3" l="1"/>
  <c r="I1226" i="3" s="1"/>
  <c r="N1226" i="3"/>
  <c r="O1226" i="3"/>
  <c r="T1225" i="3"/>
  <c r="U1225" i="3" s="1"/>
  <c r="V1225" i="3"/>
  <c r="W1225" i="3" l="1"/>
  <c r="P1226" i="3"/>
  <c r="Q1226" i="3" a="1"/>
  <c r="Q1226" i="3" s="1"/>
  <c r="B1227" i="3"/>
  <c r="R1226" i="3" l="1"/>
  <c r="D1227" i="3"/>
  <c r="K1227" i="3"/>
  <c r="L1226" i="3"/>
  <c r="S1226" i="3" s="1"/>
  <c r="T1226" i="3" l="1"/>
  <c r="U1226" i="3" s="1"/>
  <c r="V1226" i="3"/>
  <c r="O1227" i="3"/>
  <c r="G1227" i="3"/>
  <c r="I1227" i="3" s="1"/>
  <c r="N1227" i="3"/>
  <c r="B1228" i="3" l="1"/>
  <c r="P1227" i="3"/>
  <c r="Q1227" i="3" a="1"/>
  <c r="Q1227" i="3" s="1"/>
  <c r="W1226" i="3"/>
  <c r="R1227" i="3" l="1"/>
  <c r="K1228" i="3"/>
  <c r="D1228" i="3"/>
  <c r="L1227" i="3"/>
  <c r="S1227" i="3" s="1"/>
  <c r="T1227" i="3" l="1"/>
  <c r="U1227" i="3" s="1"/>
  <c r="V1227" i="3"/>
  <c r="O1228" i="3"/>
  <c r="N1228" i="3"/>
  <c r="G1228" i="3"/>
  <c r="I1228" i="3" s="1"/>
  <c r="P1228" i="3" l="1"/>
  <c r="Q1228" i="3" a="1"/>
  <c r="Q1228" i="3" s="1"/>
  <c r="W1227" i="3"/>
  <c r="B1229" i="3"/>
  <c r="R1228" i="3" l="1"/>
  <c r="D1229" i="3"/>
  <c r="K1229" i="3"/>
  <c r="L1228" i="3"/>
  <c r="S1228" i="3" s="1"/>
  <c r="G1229" i="3" l="1"/>
  <c r="I1229" i="3" s="1"/>
  <c r="N1229" i="3"/>
  <c r="O1229" i="3"/>
  <c r="T1228" i="3"/>
  <c r="U1228" i="3" s="1"/>
  <c r="V1228" i="3"/>
  <c r="W1228" i="3" l="1"/>
  <c r="P1229" i="3"/>
  <c r="Q1229" i="3" a="1"/>
  <c r="Q1229" i="3" s="1"/>
  <c r="B1230" i="3"/>
  <c r="R1229" i="3" l="1"/>
  <c r="D1230" i="3"/>
  <c r="K1230" i="3"/>
  <c r="L1229" i="3"/>
  <c r="S1229" i="3" s="1"/>
  <c r="T1229" i="3" l="1"/>
  <c r="U1229" i="3" s="1"/>
  <c r="V1229" i="3"/>
  <c r="G1230" i="3"/>
  <c r="I1230" i="3" s="1"/>
  <c r="O1230" i="3"/>
  <c r="N1230" i="3"/>
  <c r="B1231" i="3" l="1"/>
  <c r="Q1230" i="3" a="1"/>
  <c r="Q1230" i="3" s="1"/>
  <c r="P1230" i="3"/>
  <c r="W1229" i="3"/>
  <c r="R1230" i="3" l="1"/>
  <c r="K1231" i="3"/>
  <c r="D1231" i="3"/>
  <c r="L1230" i="3"/>
  <c r="S1230" i="3" s="1"/>
  <c r="T1230" i="3" l="1"/>
  <c r="U1230" i="3" s="1"/>
  <c r="V1230" i="3"/>
  <c r="O1231" i="3"/>
  <c r="G1231" i="3"/>
  <c r="I1231" i="3" s="1"/>
  <c r="N1231" i="3"/>
  <c r="P1231" i="3" l="1"/>
  <c r="Q1231" i="3" a="1"/>
  <c r="Q1231" i="3" s="1"/>
  <c r="R1231" i="3" s="1"/>
  <c r="B1232" i="3"/>
  <c r="L1231" i="3" s="1"/>
  <c r="W1230" i="3"/>
  <c r="D1232" i="3" l="1"/>
  <c r="K1232" i="3"/>
  <c r="S1231" i="3"/>
  <c r="G1232" i="3" l="1"/>
  <c r="I1232" i="3" s="1"/>
  <c r="O1232" i="3"/>
  <c r="N1232" i="3"/>
  <c r="T1231" i="3"/>
  <c r="U1231" i="3" s="1"/>
  <c r="V1231" i="3"/>
  <c r="W1231" i="3" l="1"/>
  <c r="P1232" i="3"/>
  <c r="Q1232" i="3" a="1"/>
  <c r="Q1232" i="3" s="1"/>
  <c r="B1233" i="3"/>
  <c r="R1232" i="3" l="1"/>
  <c r="D1233" i="3"/>
  <c r="K1233" i="3"/>
  <c r="L1232" i="3"/>
  <c r="S1232" i="3" s="1"/>
  <c r="T1232" i="3" l="1"/>
  <c r="U1232" i="3" s="1"/>
  <c r="V1232" i="3"/>
  <c r="G1233" i="3"/>
  <c r="I1233" i="3" s="1"/>
  <c r="N1233" i="3"/>
  <c r="O1233" i="3"/>
  <c r="B1234" i="3" l="1"/>
  <c r="W1232" i="3"/>
  <c r="P1233" i="3"/>
  <c r="Q1233" i="3" a="1"/>
  <c r="Q1233" i="3" s="1"/>
  <c r="R1233" i="3" s="1"/>
  <c r="K1234" i="3" l="1"/>
  <c r="D1234" i="3"/>
  <c r="L1233" i="3"/>
  <c r="S1233" i="3" s="1"/>
  <c r="T1233" i="3" l="1"/>
  <c r="U1233" i="3" s="1"/>
  <c r="V1233" i="3"/>
  <c r="N1234" i="3"/>
  <c r="G1234" i="3"/>
  <c r="I1234" i="3" s="1"/>
  <c r="O1234" i="3"/>
  <c r="B1235" i="3" l="1"/>
  <c r="W1233" i="3"/>
  <c r="P1234" i="3"/>
  <c r="Q1234" i="3" a="1"/>
  <c r="Q1234" i="3" s="1"/>
  <c r="R1234" i="3" s="1"/>
  <c r="K1235" i="3" l="1"/>
  <c r="D1235" i="3"/>
  <c r="L1234" i="3"/>
  <c r="S1234" i="3" s="1"/>
  <c r="T1234" i="3" l="1"/>
  <c r="U1234" i="3" s="1"/>
  <c r="V1234" i="3"/>
  <c r="O1235" i="3"/>
  <c r="G1235" i="3"/>
  <c r="I1235" i="3" s="1"/>
  <c r="N1235" i="3"/>
  <c r="P1235" i="3" l="1"/>
  <c r="Q1235" i="3" a="1"/>
  <c r="Q1235" i="3" s="1"/>
  <c r="B1236" i="3"/>
  <c r="W1234" i="3"/>
  <c r="R1235" i="3" l="1"/>
  <c r="D1236" i="3"/>
  <c r="K1236" i="3"/>
  <c r="L1235" i="3"/>
  <c r="S1235" i="3" s="1"/>
  <c r="T1235" i="3" l="1"/>
  <c r="U1235" i="3" s="1"/>
  <c r="V1235" i="3"/>
  <c r="W1235" i="3" s="1"/>
  <c r="O1236" i="3"/>
  <c r="G1236" i="3"/>
  <c r="I1236" i="3" s="1"/>
  <c r="N1236" i="3"/>
  <c r="B1237" i="3" l="1"/>
  <c r="Q1236" i="3" a="1"/>
  <c r="Q1236" i="3" s="1"/>
  <c r="P1236" i="3"/>
  <c r="R1236" i="3" l="1"/>
  <c r="D1237" i="3"/>
  <c r="K1237" i="3"/>
  <c r="L1236" i="3"/>
  <c r="S1236" i="3" s="1"/>
  <c r="V1236" i="3" l="1"/>
  <c r="T1236" i="3"/>
  <c r="U1236" i="3" s="1"/>
  <c r="G1237" i="3"/>
  <c r="I1237" i="3" s="1"/>
  <c r="N1237" i="3"/>
  <c r="O1237" i="3"/>
  <c r="B1238" i="3" l="1"/>
  <c r="P1237" i="3"/>
  <c r="Q1237" i="3" a="1"/>
  <c r="Q1237" i="3" s="1"/>
  <c r="W1236" i="3"/>
  <c r="R1237" i="3" l="1"/>
  <c r="D1238" i="3"/>
  <c r="K1238" i="3"/>
  <c r="L1237" i="3"/>
  <c r="S1237" i="3" s="1"/>
  <c r="T1237" i="3" l="1"/>
  <c r="U1237" i="3" s="1"/>
  <c r="V1237" i="3"/>
  <c r="W1237" i="3" s="1"/>
  <c r="N1238" i="3"/>
  <c r="O1238" i="3"/>
  <c r="G1238" i="3"/>
  <c r="I1238" i="3" s="1"/>
  <c r="P1238" i="3" l="1"/>
  <c r="Q1238" i="3" a="1"/>
  <c r="Q1238" i="3" s="1"/>
  <c r="R1238" i="3" s="1"/>
  <c r="B1239" i="3"/>
  <c r="L1238" i="3" s="1"/>
  <c r="D1239" i="3" l="1"/>
  <c r="K1239" i="3"/>
  <c r="S1238" i="3"/>
  <c r="N1239" i="3" l="1"/>
  <c r="G1239" i="3"/>
  <c r="I1239" i="3" s="1"/>
  <c r="O1239" i="3"/>
  <c r="V1238" i="3"/>
  <c r="T1238" i="3"/>
  <c r="U1238" i="3" s="1"/>
  <c r="W1238" i="3" l="1"/>
  <c r="Q1239" i="3" a="1"/>
  <c r="Q1239" i="3" s="1"/>
  <c r="P1239" i="3"/>
  <c r="B1240" i="3"/>
  <c r="R1239" i="3" l="1"/>
  <c r="K1240" i="3"/>
  <c r="D1240" i="3"/>
  <c r="L1239" i="3"/>
  <c r="S1239" i="3" s="1"/>
  <c r="T1239" i="3" l="1"/>
  <c r="U1239" i="3" s="1"/>
  <c r="V1239" i="3"/>
  <c r="O1240" i="3"/>
  <c r="N1240" i="3"/>
  <c r="G1240" i="3"/>
  <c r="I1240" i="3" s="1"/>
  <c r="Q1240" i="3" l="1" a="1"/>
  <c r="Q1240" i="3" s="1"/>
  <c r="P1240" i="3"/>
  <c r="W1239" i="3"/>
  <c r="B1241" i="3"/>
  <c r="L1240" i="3" s="1"/>
  <c r="R1240" i="3" l="1"/>
  <c r="D1241" i="3"/>
  <c r="K1241" i="3"/>
  <c r="S1240" i="3"/>
  <c r="O1241" i="3" l="1"/>
  <c r="N1241" i="3"/>
  <c r="G1241" i="3"/>
  <c r="I1241" i="3" s="1"/>
  <c r="T1240" i="3"/>
  <c r="U1240" i="3" s="1"/>
  <c r="V1240" i="3"/>
  <c r="W1240" i="3" l="1"/>
  <c r="B1242" i="3"/>
  <c r="Q1241" i="3" a="1"/>
  <c r="Q1241" i="3" s="1"/>
  <c r="P1241" i="3"/>
  <c r="R1241" i="3" l="1"/>
  <c r="K1242" i="3"/>
  <c r="D1242" i="3"/>
  <c r="L1241" i="3"/>
  <c r="S1241" i="3" s="1"/>
  <c r="T1241" i="3" l="1"/>
  <c r="U1241" i="3" s="1"/>
  <c r="V1241" i="3"/>
  <c r="N1242" i="3"/>
  <c r="O1242" i="3"/>
  <c r="G1242" i="3"/>
  <c r="I1242" i="3" s="1"/>
  <c r="Q1242" i="3" l="1" a="1"/>
  <c r="Q1242" i="3" s="1"/>
  <c r="P1242" i="3"/>
  <c r="W1241" i="3"/>
  <c r="B1243" i="3"/>
  <c r="L1242" i="3" s="1"/>
  <c r="R1242" i="3" l="1"/>
  <c r="K1243" i="3"/>
  <c r="D1243" i="3"/>
  <c r="S1242" i="3"/>
  <c r="G1243" i="3" l="1"/>
  <c r="I1243" i="3" s="1"/>
  <c r="B1244" i="3" s="1"/>
  <c r="T1242" i="3"/>
  <c r="U1242" i="3" s="1"/>
  <c r="V1242" i="3"/>
  <c r="N1243" i="3"/>
  <c r="O1243" i="3"/>
  <c r="W1242" i="3" l="1"/>
  <c r="P1243" i="3"/>
  <c r="Q1243" i="3" a="1"/>
  <c r="Q1243" i="3" s="1"/>
  <c r="K1244" i="3"/>
  <c r="D1244" i="3"/>
  <c r="L1243" i="3"/>
  <c r="R1243" i="3" l="1"/>
  <c r="G1244" i="3"/>
  <c r="I1244" i="3" s="1"/>
  <c r="B1245" i="3" s="1"/>
  <c r="S1243" i="3"/>
  <c r="N1244" i="3"/>
  <c r="O1244" i="3"/>
  <c r="T1243" i="3" l="1"/>
  <c r="U1243" i="3" s="1"/>
  <c r="V1243" i="3"/>
  <c r="W1243" i="3" s="1"/>
  <c r="D1245" i="3"/>
  <c r="K1245" i="3"/>
  <c r="Q1244" i="3" a="1"/>
  <c r="Q1244" i="3" s="1"/>
  <c r="P1244" i="3"/>
  <c r="L1244" i="3"/>
  <c r="R1244" i="3" l="1"/>
  <c r="S1244" i="3"/>
  <c r="N1245" i="3"/>
  <c r="O1245" i="3"/>
  <c r="G1245" i="3"/>
  <c r="I1245" i="3" s="1"/>
  <c r="B1246" i="3" l="1"/>
  <c r="Q1245" i="3" a="1"/>
  <c r="Q1245" i="3" s="1"/>
  <c r="P1245" i="3"/>
  <c r="V1244" i="3"/>
  <c r="W1244" i="3" s="1"/>
  <c r="T1244" i="3"/>
  <c r="U1244" i="3" s="1"/>
  <c r="R1245" i="3" l="1"/>
  <c r="D1246" i="3"/>
  <c r="K1246" i="3"/>
  <c r="L1245" i="3"/>
  <c r="S1245" i="3" s="1"/>
  <c r="V1245" i="3" l="1"/>
  <c r="T1245" i="3"/>
  <c r="U1245" i="3" s="1"/>
  <c r="G1246" i="3"/>
  <c r="I1246" i="3" s="1"/>
  <c r="N1246" i="3"/>
  <c r="O1246" i="3"/>
  <c r="B1247" i="3" l="1"/>
  <c r="Q1246" i="3" a="1"/>
  <c r="Q1246" i="3" s="1"/>
  <c r="P1246" i="3"/>
  <c r="W1245" i="3"/>
  <c r="R1246" i="3" l="1"/>
  <c r="D1247" i="3"/>
  <c r="K1247" i="3"/>
  <c r="L1246" i="3"/>
  <c r="S1246" i="3" s="1"/>
  <c r="T1246" i="3" l="1"/>
  <c r="U1246" i="3" s="1"/>
  <c r="V1246" i="3"/>
  <c r="N1247" i="3"/>
  <c r="O1247" i="3"/>
  <c r="G1247" i="3"/>
  <c r="I1247" i="3" s="1"/>
  <c r="P1247" i="3" l="1"/>
  <c r="Q1247" i="3" a="1"/>
  <c r="Q1247" i="3" s="1"/>
  <c r="W1246" i="3"/>
  <c r="B1248" i="3"/>
  <c r="R1247" i="3" l="1"/>
  <c r="D1248" i="3"/>
  <c r="K1248" i="3"/>
  <c r="L1247" i="3"/>
  <c r="S1247" i="3" s="1"/>
  <c r="T1247" i="3" l="1"/>
  <c r="U1247" i="3" s="1"/>
  <c r="V1247" i="3"/>
  <c r="O1248" i="3"/>
  <c r="N1248" i="3"/>
  <c r="G1248" i="3"/>
  <c r="I1248" i="3" s="1"/>
  <c r="P1248" i="3" l="1"/>
  <c r="Q1248" i="3" a="1"/>
  <c r="Q1248" i="3" s="1"/>
  <c r="W1247" i="3"/>
  <c r="B1249" i="3"/>
  <c r="R1248" i="3" l="1"/>
  <c r="D1249" i="3"/>
  <c r="K1249" i="3"/>
  <c r="L1248" i="3"/>
  <c r="S1248" i="3" s="1"/>
  <c r="O1249" i="3" l="1"/>
  <c r="G1249" i="3"/>
  <c r="I1249" i="3" s="1"/>
  <c r="N1249" i="3"/>
  <c r="T1248" i="3"/>
  <c r="U1248" i="3" s="1"/>
  <c r="V1248" i="3"/>
  <c r="W1248" i="3" l="1"/>
  <c r="B1250" i="3"/>
  <c r="Q1249" i="3" a="1"/>
  <c r="Q1249" i="3" s="1"/>
  <c r="P1249" i="3"/>
  <c r="R1249" i="3" l="1"/>
  <c r="K1250" i="3"/>
  <c r="D1250" i="3"/>
  <c r="L1249" i="3"/>
  <c r="S1249" i="3" s="1"/>
  <c r="T1249" i="3" l="1"/>
  <c r="U1249" i="3" s="1"/>
  <c r="V1249" i="3"/>
  <c r="G1250" i="3"/>
  <c r="I1250" i="3" s="1"/>
  <c r="N1250" i="3"/>
  <c r="O1250" i="3"/>
  <c r="B1251" i="3" l="1"/>
  <c r="W1249" i="3"/>
  <c r="Q1250" i="3" a="1"/>
  <c r="Q1250" i="3" s="1"/>
  <c r="R1250" i="3" s="1"/>
  <c r="P1250" i="3"/>
  <c r="D1251" i="3" l="1"/>
  <c r="K1251" i="3"/>
  <c r="L1250" i="3"/>
  <c r="S1250" i="3" s="1"/>
  <c r="G1251" i="3" l="1"/>
  <c r="I1251" i="3" s="1"/>
  <c r="N1251" i="3"/>
  <c r="O1251" i="3"/>
  <c r="T1250" i="3"/>
  <c r="U1250" i="3" s="1"/>
  <c r="V1250" i="3"/>
  <c r="W1250" i="3" l="1"/>
  <c r="P1251" i="3"/>
  <c r="Q1251" i="3" a="1"/>
  <c r="Q1251" i="3" s="1"/>
  <c r="B1252" i="3"/>
  <c r="R1251" i="3" l="1"/>
  <c r="K1252" i="3"/>
  <c r="D1252" i="3"/>
  <c r="L1251" i="3"/>
  <c r="S1251" i="3" s="1"/>
  <c r="G1252" i="3" l="1"/>
  <c r="I1252" i="3" s="1"/>
  <c r="B1253" i="3" s="1"/>
  <c r="T1251" i="3"/>
  <c r="U1251" i="3" s="1"/>
  <c r="V1251" i="3"/>
  <c r="N1252" i="3"/>
  <c r="O1252" i="3"/>
  <c r="K1253" i="3" l="1"/>
  <c r="D1253" i="3"/>
  <c r="L1252" i="3"/>
  <c r="Q1252" i="3" a="1"/>
  <c r="Q1252" i="3" s="1"/>
  <c r="P1252" i="3"/>
  <c r="W1251" i="3"/>
  <c r="R1252" i="3" l="1"/>
  <c r="G1253" i="3"/>
  <c r="I1253" i="3" s="1"/>
  <c r="B1254" i="3" s="1"/>
  <c r="S1252" i="3"/>
  <c r="N1253" i="3"/>
  <c r="O1253" i="3"/>
  <c r="T1252" i="3" l="1"/>
  <c r="U1252" i="3" s="1"/>
  <c r="V1252" i="3"/>
  <c r="W1252" i="3" s="1"/>
  <c r="K1254" i="3"/>
  <c r="D1254" i="3"/>
  <c r="Q1253" i="3" a="1"/>
  <c r="Q1253" i="3" s="1"/>
  <c r="P1253" i="3"/>
  <c r="L1253" i="3"/>
  <c r="R1253" i="3" l="1"/>
  <c r="S1253" i="3"/>
  <c r="T1253" i="3" s="1"/>
  <c r="U1253" i="3" s="1"/>
  <c r="G1254" i="3"/>
  <c r="I1254" i="3" s="1"/>
  <c r="O1254" i="3"/>
  <c r="N1254" i="3"/>
  <c r="V1253" i="3" l="1"/>
  <c r="W1253" i="3" s="1"/>
  <c r="P1254" i="3"/>
  <c r="Q1254" i="3" a="1"/>
  <c r="Q1254" i="3" s="1"/>
  <c r="B1255" i="3"/>
  <c r="L1254" i="3" s="1"/>
  <c r="R1254" i="3" l="1"/>
  <c r="D1255" i="3"/>
  <c r="K1255" i="3"/>
  <c r="S1254" i="3"/>
  <c r="G1255" i="3" l="1"/>
  <c r="I1255" i="3" s="1"/>
  <c r="N1255" i="3"/>
  <c r="O1255" i="3"/>
  <c r="T1254" i="3"/>
  <c r="U1254" i="3" s="1"/>
  <c r="V1254" i="3"/>
  <c r="W1254" i="3" l="1"/>
  <c r="P1255" i="3"/>
  <c r="Q1255" i="3" a="1"/>
  <c r="Q1255" i="3" s="1"/>
  <c r="B1256" i="3"/>
  <c r="R1255" i="3" l="1"/>
  <c r="K1256" i="3"/>
  <c r="D1256" i="3"/>
  <c r="L1255" i="3"/>
  <c r="S1255" i="3" s="1"/>
  <c r="T1255" i="3" l="1"/>
  <c r="U1255" i="3" s="1"/>
  <c r="V1255" i="3"/>
  <c r="N1256" i="3"/>
  <c r="O1256" i="3"/>
  <c r="G1256" i="3"/>
  <c r="I1256" i="3" s="1"/>
  <c r="P1256" i="3" l="1"/>
  <c r="Q1256" i="3" a="1"/>
  <c r="Q1256" i="3" s="1"/>
  <c r="W1255" i="3"/>
  <c r="B1257" i="3"/>
  <c r="L1256" i="3" s="1"/>
  <c r="R1256" i="3" l="1"/>
  <c r="D1257" i="3"/>
  <c r="K1257" i="3"/>
  <c r="S1256" i="3"/>
  <c r="N1257" i="3" l="1"/>
  <c r="G1257" i="3"/>
  <c r="I1257" i="3" s="1"/>
  <c r="O1257" i="3"/>
  <c r="T1256" i="3"/>
  <c r="U1256" i="3" s="1"/>
  <c r="V1256" i="3"/>
  <c r="W1256" i="3" s="1"/>
  <c r="Q1257" i="3" l="1" a="1"/>
  <c r="Q1257" i="3" s="1"/>
  <c r="P1257" i="3"/>
  <c r="B1258" i="3"/>
  <c r="L1257" i="3" s="1"/>
  <c r="R1257" i="3" l="1"/>
  <c r="K1258" i="3"/>
  <c r="D1258" i="3"/>
  <c r="S1257" i="3"/>
  <c r="O1258" i="3" l="1"/>
  <c r="G1258" i="3"/>
  <c r="I1258" i="3" s="1"/>
  <c r="N1258" i="3"/>
  <c r="V1257" i="3"/>
  <c r="T1257" i="3"/>
  <c r="U1257" i="3" s="1"/>
  <c r="W1257" i="3" l="1"/>
  <c r="B1259" i="3"/>
  <c r="P1258" i="3"/>
  <c r="Q1258" i="3" a="1"/>
  <c r="Q1258" i="3" s="1"/>
  <c r="R1258" i="3" s="1"/>
  <c r="K1259" i="3" l="1"/>
  <c r="D1259" i="3"/>
  <c r="L1258" i="3"/>
  <c r="S1258" i="3" s="1"/>
  <c r="T1258" i="3" l="1"/>
  <c r="U1258" i="3" s="1"/>
  <c r="V1258" i="3"/>
  <c r="N1259" i="3"/>
  <c r="O1259" i="3"/>
  <c r="G1259" i="3"/>
  <c r="I1259" i="3" s="1"/>
  <c r="P1259" i="3" l="1"/>
  <c r="Q1259" i="3" a="1"/>
  <c r="Q1259" i="3" s="1"/>
  <c r="W1258" i="3"/>
  <c r="B1260" i="3"/>
  <c r="R1259" i="3" l="1"/>
  <c r="K1260" i="3"/>
  <c r="D1260" i="3"/>
  <c r="L1259" i="3"/>
  <c r="S1259" i="3" s="1"/>
  <c r="T1259" i="3" l="1"/>
  <c r="U1259" i="3" s="1"/>
  <c r="V1259" i="3"/>
  <c r="N1260" i="3"/>
  <c r="G1260" i="3"/>
  <c r="I1260" i="3" s="1"/>
  <c r="O1260" i="3"/>
  <c r="B1261" i="3" l="1"/>
  <c r="W1259" i="3"/>
  <c r="P1260" i="3"/>
  <c r="Q1260" i="3" a="1"/>
  <c r="Q1260" i="3" s="1"/>
  <c r="R1260" i="3" s="1"/>
  <c r="K1261" i="3" l="1"/>
  <c r="D1261" i="3"/>
  <c r="L1260" i="3"/>
  <c r="S1260" i="3" s="1"/>
  <c r="T1260" i="3" l="1"/>
  <c r="U1260" i="3" s="1"/>
  <c r="V1260" i="3"/>
  <c r="N1261" i="3"/>
  <c r="O1261" i="3"/>
  <c r="G1261" i="3"/>
  <c r="I1261" i="3" s="1"/>
  <c r="P1261" i="3" l="1"/>
  <c r="Q1261" i="3" a="1"/>
  <c r="Q1261" i="3" s="1"/>
  <c r="W1260" i="3"/>
  <c r="B1262" i="3"/>
  <c r="R1261" i="3" l="1"/>
  <c r="K1262" i="3"/>
  <c r="D1262" i="3"/>
  <c r="L1261" i="3"/>
  <c r="S1261" i="3" s="1"/>
  <c r="G1262" i="3" l="1"/>
  <c r="I1262" i="3" s="1"/>
  <c r="B1263" i="3" s="1"/>
  <c r="T1261" i="3"/>
  <c r="U1261" i="3" s="1"/>
  <c r="V1261" i="3"/>
  <c r="W1261" i="3" s="1"/>
  <c r="N1262" i="3"/>
  <c r="O1262" i="3"/>
  <c r="D1263" i="3" l="1"/>
  <c r="K1263" i="3"/>
  <c r="L1262" i="3"/>
  <c r="Q1262" i="3" a="1"/>
  <c r="Q1262" i="3" s="1"/>
  <c r="P1262" i="3"/>
  <c r="R1262" i="3" l="1"/>
  <c r="S1262" i="3"/>
  <c r="V1262" i="3" s="1"/>
  <c r="W1262" i="3" s="1"/>
  <c r="N1263" i="3"/>
  <c r="O1263" i="3"/>
  <c r="G1263" i="3"/>
  <c r="I1263" i="3" s="1"/>
  <c r="T1262" i="3" l="1"/>
  <c r="U1262" i="3" s="1"/>
  <c r="B1264" i="3"/>
  <c r="Q1263" i="3" a="1"/>
  <c r="Q1263" i="3" s="1"/>
  <c r="R1263" i="3" s="1"/>
  <c r="P1263" i="3"/>
  <c r="D1264" i="3" l="1"/>
  <c r="K1264" i="3"/>
  <c r="L1263" i="3"/>
  <c r="S1263" i="3" s="1"/>
  <c r="V1263" i="3" l="1"/>
  <c r="W1263" i="3" s="1"/>
  <c r="T1263" i="3"/>
  <c r="U1263" i="3" s="1"/>
  <c r="G1264" i="3"/>
  <c r="I1264" i="3" s="1"/>
  <c r="N1264" i="3"/>
  <c r="O1264" i="3"/>
  <c r="B1265" i="3" l="1"/>
  <c r="Q1264" i="3" a="1"/>
  <c r="Q1264" i="3" s="1"/>
  <c r="P1264" i="3"/>
  <c r="R1264" i="3" l="1"/>
  <c r="K1265" i="3"/>
  <c r="D1265" i="3"/>
  <c r="L1264" i="3"/>
  <c r="S1264" i="3" s="1"/>
  <c r="V1264" i="3" l="1"/>
  <c r="T1264" i="3"/>
  <c r="U1264" i="3" s="1"/>
  <c r="N1265" i="3"/>
  <c r="O1265" i="3"/>
  <c r="G1265" i="3"/>
  <c r="I1265" i="3" s="1"/>
  <c r="P1265" i="3" l="1"/>
  <c r="Q1265" i="3" a="1"/>
  <c r="Q1265" i="3" s="1"/>
  <c r="B1266" i="3"/>
  <c r="W1264" i="3"/>
  <c r="R1265" i="3" l="1"/>
  <c r="D1266" i="3"/>
  <c r="K1266" i="3"/>
  <c r="L1265" i="3"/>
  <c r="S1265" i="3" s="1"/>
  <c r="T1265" i="3" l="1"/>
  <c r="U1265" i="3" s="1"/>
  <c r="V1265" i="3"/>
  <c r="N1266" i="3"/>
  <c r="G1266" i="3"/>
  <c r="I1266" i="3" s="1"/>
  <c r="O1266" i="3"/>
  <c r="B1267" i="3" l="1"/>
  <c r="W1265" i="3"/>
  <c r="P1266" i="3"/>
  <c r="Q1266" i="3" a="1"/>
  <c r="Q1266" i="3" s="1"/>
  <c r="R1266" i="3" s="1"/>
  <c r="D1267" i="3" l="1"/>
  <c r="K1267" i="3"/>
  <c r="L1266" i="3"/>
  <c r="S1266" i="3" s="1"/>
  <c r="T1266" i="3" l="1"/>
  <c r="U1266" i="3" s="1"/>
  <c r="V1266" i="3"/>
  <c r="G1267" i="3"/>
  <c r="I1267" i="3" s="1"/>
  <c r="N1267" i="3"/>
  <c r="O1267" i="3"/>
  <c r="B1268" i="3" l="1"/>
  <c r="W1266" i="3"/>
  <c r="P1267" i="3"/>
  <c r="Q1267" i="3" a="1"/>
  <c r="Q1267" i="3" s="1"/>
  <c r="R1267" i="3" s="1"/>
  <c r="K1268" i="3" l="1"/>
  <c r="D1268" i="3"/>
  <c r="L1267" i="3"/>
  <c r="S1267" i="3" s="1"/>
  <c r="T1267" i="3" l="1"/>
  <c r="U1267" i="3" s="1"/>
  <c r="V1267" i="3"/>
  <c r="O1268" i="3"/>
  <c r="G1268" i="3"/>
  <c r="I1268" i="3" s="1"/>
  <c r="N1268" i="3"/>
  <c r="Q1268" i="3" l="1" a="1"/>
  <c r="Q1268" i="3" s="1"/>
  <c r="P1268" i="3"/>
  <c r="B1269" i="3"/>
  <c r="W1267" i="3"/>
  <c r="R1268" i="3" l="1"/>
  <c r="D1269" i="3"/>
  <c r="K1269" i="3"/>
  <c r="L1268" i="3"/>
  <c r="S1268" i="3" s="1"/>
  <c r="T1268" i="3" l="1"/>
  <c r="U1268" i="3" s="1"/>
  <c r="V1268" i="3"/>
  <c r="O1269" i="3"/>
  <c r="G1269" i="3"/>
  <c r="I1269" i="3" s="1"/>
  <c r="N1269" i="3"/>
  <c r="B1270" i="3" l="1"/>
  <c r="Q1269" i="3" a="1"/>
  <c r="Q1269" i="3" s="1"/>
  <c r="P1269" i="3"/>
  <c r="W1268" i="3"/>
  <c r="R1269" i="3" l="1"/>
  <c r="K1270" i="3"/>
  <c r="D1270" i="3"/>
  <c r="L1269" i="3"/>
  <c r="S1269" i="3" s="1"/>
  <c r="G1270" i="3" l="1"/>
  <c r="I1270" i="3" s="1"/>
  <c r="B1271" i="3" s="1"/>
  <c r="T1269" i="3"/>
  <c r="U1269" i="3" s="1"/>
  <c r="V1269" i="3"/>
  <c r="O1270" i="3"/>
  <c r="N1270" i="3"/>
  <c r="K1271" i="3" l="1"/>
  <c r="D1271" i="3"/>
  <c r="L1270" i="3"/>
  <c r="W1269" i="3"/>
  <c r="P1270" i="3"/>
  <c r="Q1270" i="3" a="1"/>
  <c r="Q1270" i="3" s="1"/>
  <c r="R1270" i="3" l="1"/>
  <c r="G1271" i="3"/>
  <c r="I1271" i="3" s="1"/>
  <c r="B1272" i="3" s="1"/>
  <c r="S1270" i="3"/>
  <c r="T1270" i="3" s="1"/>
  <c r="U1270" i="3" s="1"/>
  <c r="O1271" i="3"/>
  <c r="N1271" i="3"/>
  <c r="V1270" i="3" l="1"/>
  <c r="W1270" i="3" s="1"/>
  <c r="K1272" i="3"/>
  <c r="D1272" i="3"/>
  <c r="Q1271" i="3" a="1"/>
  <c r="Q1271" i="3" s="1"/>
  <c r="P1271" i="3"/>
  <c r="L1271" i="3"/>
  <c r="R1271" i="3" l="1"/>
  <c r="S1271" i="3"/>
  <c r="N1272" i="3"/>
  <c r="G1272" i="3"/>
  <c r="I1272" i="3" s="1"/>
  <c r="O1272" i="3"/>
  <c r="P1272" i="3" l="1"/>
  <c r="Q1272" i="3" a="1"/>
  <c r="Q1272" i="3" s="1"/>
  <c r="B1273" i="3"/>
  <c r="T1271" i="3"/>
  <c r="U1271" i="3" s="1"/>
  <c r="V1271" i="3"/>
  <c r="R1272" i="3" l="1"/>
  <c r="D1273" i="3"/>
  <c r="K1273" i="3"/>
  <c r="L1272" i="3"/>
  <c r="S1272" i="3" s="1"/>
  <c r="T1272" i="3" s="1"/>
  <c r="U1272" i="3" s="1"/>
  <c r="W1271" i="3"/>
  <c r="G1273" i="3" l="1"/>
  <c r="I1273" i="3" s="1"/>
  <c r="N1273" i="3"/>
  <c r="O1273" i="3"/>
  <c r="V1272" i="3"/>
  <c r="W1272" i="3" l="1"/>
  <c r="P1273" i="3"/>
  <c r="Q1273" i="3" a="1"/>
  <c r="Q1273" i="3" s="1"/>
  <c r="B1274" i="3"/>
  <c r="R1273" i="3" l="1"/>
  <c r="D1274" i="3"/>
  <c r="K1274" i="3"/>
  <c r="L1273" i="3"/>
  <c r="S1273" i="3" s="1"/>
  <c r="T1273" i="3" l="1"/>
  <c r="U1273" i="3" s="1"/>
  <c r="V1273" i="3"/>
  <c r="N1274" i="3"/>
  <c r="G1274" i="3"/>
  <c r="I1274" i="3" s="1"/>
  <c r="O1274" i="3"/>
  <c r="B1275" i="3" l="1"/>
  <c r="W1273" i="3"/>
  <c r="P1274" i="3"/>
  <c r="Q1274" i="3" a="1"/>
  <c r="Q1274" i="3" s="1"/>
  <c r="R1274" i="3" s="1"/>
  <c r="K1275" i="3" l="1"/>
  <c r="D1275" i="3"/>
  <c r="L1274" i="3"/>
  <c r="S1274" i="3" s="1"/>
  <c r="T1274" i="3" l="1"/>
  <c r="U1274" i="3" s="1"/>
  <c r="V1274" i="3"/>
  <c r="O1275" i="3"/>
  <c r="N1275" i="3"/>
  <c r="G1275" i="3"/>
  <c r="I1275" i="3" s="1"/>
  <c r="P1275" i="3" l="1"/>
  <c r="Q1275" i="3" a="1"/>
  <c r="Q1275" i="3" s="1"/>
  <c r="W1274" i="3"/>
  <c r="B1276" i="3"/>
  <c r="R1275" i="3" l="1"/>
  <c r="K1276" i="3"/>
  <c r="D1276" i="3"/>
  <c r="L1275" i="3"/>
  <c r="S1275" i="3" s="1"/>
  <c r="G1276" i="3" l="1"/>
  <c r="I1276" i="3" s="1"/>
  <c r="B1277" i="3" s="1"/>
  <c r="T1275" i="3"/>
  <c r="U1275" i="3" s="1"/>
  <c r="V1275" i="3"/>
  <c r="O1276" i="3"/>
  <c r="N1276" i="3"/>
  <c r="K1277" i="3" l="1"/>
  <c r="D1277" i="3"/>
  <c r="L1276" i="3"/>
  <c r="W1275" i="3"/>
  <c r="Q1276" i="3" a="1"/>
  <c r="Q1276" i="3" s="1"/>
  <c r="P1276" i="3"/>
  <c r="R1276" i="3" l="1"/>
  <c r="S1276" i="3"/>
  <c r="G1277" i="3"/>
  <c r="I1277" i="3" s="1"/>
  <c r="O1277" i="3"/>
  <c r="N1277" i="3"/>
  <c r="B1278" i="3" l="1"/>
  <c r="L1277" i="3" s="1"/>
  <c r="Q1277" i="3" a="1"/>
  <c r="Q1277" i="3" s="1"/>
  <c r="P1277" i="3"/>
  <c r="T1276" i="3"/>
  <c r="U1276" i="3" s="1"/>
  <c r="V1276" i="3"/>
  <c r="W1276" i="3" s="1"/>
  <c r="R1277" i="3" l="1"/>
  <c r="S1277" i="3"/>
  <c r="T1277" i="3" s="1"/>
  <c r="U1277" i="3" s="1"/>
  <c r="K1278" i="3"/>
  <c r="D1278" i="3"/>
  <c r="V1277" i="3" l="1"/>
  <c r="W1277" i="3" s="1"/>
  <c r="G1278" i="3"/>
  <c r="I1278" i="3" s="1"/>
  <c r="N1278" i="3"/>
  <c r="O1278" i="3"/>
  <c r="Q1278" i="3" l="1" a="1"/>
  <c r="Q1278" i="3" s="1"/>
  <c r="P1278" i="3"/>
  <c r="B1279" i="3"/>
  <c r="R1278" i="3" l="1"/>
  <c r="K1279" i="3"/>
  <c r="D1279" i="3"/>
  <c r="L1278" i="3"/>
  <c r="S1278" i="3" s="1"/>
  <c r="T1278" i="3" l="1"/>
  <c r="U1278" i="3" s="1"/>
  <c r="V1278" i="3"/>
  <c r="G1279" i="3"/>
  <c r="I1279" i="3" s="1"/>
  <c r="O1279" i="3"/>
  <c r="N1279" i="3"/>
  <c r="Q1279" i="3" l="1" a="1"/>
  <c r="Q1279" i="3" s="1"/>
  <c r="P1279" i="3"/>
  <c r="B1280" i="3"/>
  <c r="W1278" i="3"/>
  <c r="R1279" i="3" l="1"/>
  <c r="D1280" i="3"/>
  <c r="K1280" i="3"/>
  <c r="L1279" i="3"/>
  <c r="S1279" i="3" s="1"/>
  <c r="T1279" i="3" l="1"/>
  <c r="U1279" i="3" s="1"/>
  <c r="V1279" i="3"/>
  <c r="N1280" i="3"/>
  <c r="G1280" i="3"/>
  <c r="I1280" i="3" s="1"/>
  <c r="O1280" i="3"/>
  <c r="B1281" i="3" l="1"/>
  <c r="W1279" i="3"/>
  <c r="Q1280" i="3" a="1"/>
  <c r="Q1280" i="3" s="1"/>
  <c r="P1280" i="3"/>
  <c r="R1280" i="3" l="1"/>
  <c r="D1281" i="3"/>
  <c r="K1281" i="3"/>
  <c r="L1280" i="3"/>
  <c r="S1280" i="3" s="1"/>
  <c r="T1280" i="3" l="1"/>
  <c r="U1280" i="3" s="1"/>
  <c r="V1280" i="3"/>
  <c r="W1280" i="3" s="1"/>
  <c r="N1281" i="3"/>
  <c r="G1281" i="3"/>
  <c r="I1281" i="3" s="1"/>
  <c r="O1281" i="3"/>
  <c r="B1282" i="3" l="1"/>
  <c r="P1281" i="3"/>
  <c r="Q1281" i="3" a="1"/>
  <c r="Q1281" i="3" s="1"/>
  <c r="R1281" i="3" l="1"/>
  <c r="K1282" i="3"/>
  <c r="D1282" i="3"/>
  <c r="L1281" i="3"/>
  <c r="S1281" i="3" s="1"/>
  <c r="V1281" i="3" l="1"/>
  <c r="T1281" i="3"/>
  <c r="U1281" i="3" s="1"/>
  <c r="N1282" i="3"/>
  <c r="G1282" i="3"/>
  <c r="I1282" i="3" s="1"/>
  <c r="O1282" i="3"/>
  <c r="B1283" i="3" l="1"/>
  <c r="Q1282" i="3" a="1"/>
  <c r="Q1282" i="3" s="1"/>
  <c r="P1282" i="3"/>
  <c r="W1281" i="3"/>
  <c r="R1282" i="3" l="1"/>
  <c r="D1283" i="3"/>
  <c r="K1283" i="3"/>
  <c r="L1282" i="3"/>
  <c r="S1282" i="3" s="1"/>
  <c r="T1282" i="3" l="1"/>
  <c r="U1282" i="3" s="1"/>
  <c r="V1282" i="3"/>
  <c r="N1283" i="3"/>
  <c r="G1283" i="3"/>
  <c r="I1283" i="3" s="1"/>
  <c r="O1283" i="3"/>
  <c r="B1284" i="3" l="1"/>
  <c r="W1282" i="3"/>
  <c r="Q1283" i="3" a="1"/>
  <c r="Q1283" i="3" s="1"/>
  <c r="R1283" i="3" s="1"/>
  <c r="P1283" i="3"/>
  <c r="K1284" i="3" l="1"/>
  <c r="D1284" i="3"/>
  <c r="L1283" i="3"/>
  <c r="S1283" i="3" s="1"/>
  <c r="T1283" i="3" l="1"/>
  <c r="U1283" i="3" s="1"/>
  <c r="V1283" i="3"/>
  <c r="O1284" i="3"/>
  <c r="N1284" i="3"/>
  <c r="G1284" i="3"/>
  <c r="I1284" i="3" s="1"/>
  <c r="P1284" i="3" l="1"/>
  <c r="Q1284" i="3" a="1"/>
  <c r="Q1284" i="3" s="1"/>
  <c r="W1283" i="3"/>
  <c r="B1285" i="3"/>
  <c r="L1284" i="3" s="1"/>
  <c r="R1284" i="3" l="1"/>
  <c r="K1285" i="3"/>
  <c r="D1285" i="3"/>
  <c r="S1284" i="3"/>
  <c r="G1285" i="3" l="1"/>
  <c r="I1285" i="3" s="1"/>
  <c r="B1286" i="3" s="1"/>
  <c r="T1284" i="3"/>
  <c r="U1284" i="3" s="1"/>
  <c r="V1284" i="3"/>
  <c r="O1285" i="3"/>
  <c r="N1285" i="3"/>
  <c r="W1284" i="3" l="1"/>
  <c r="D1286" i="3"/>
  <c r="K1286" i="3"/>
  <c r="P1285" i="3"/>
  <c r="Q1285" i="3" a="1"/>
  <c r="Q1285" i="3" s="1"/>
  <c r="L1285" i="3"/>
  <c r="R1285" i="3" l="1"/>
  <c r="S1285" i="3"/>
  <c r="G1286" i="3"/>
  <c r="I1286" i="3" s="1"/>
  <c r="N1286" i="3"/>
  <c r="O1286" i="3"/>
  <c r="B1287" i="3" l="1"/>
  <c r="Q1286" i="3" a="1"/>
  <c r="Q1286" i="3" s="1"/>
  <c r="P1286" i="3"/>
  <c r="T1285" i="3"/>
  <c r="U1285" i="3" s="1"/>
  <c r="V1285" i="3"/>
  <c r="W1285" i="3" s="1"/>
  <c r="R1286" i="3" l="1"/>
  <c r="K1287" i="3"/>
  <c r="D1287" i="3"/>
  <c r="L1286" i="3"/>
  <c r="S1286" i="3" s="1"/>
  <c r="V1286" i="3" l="1"/>
  <c r="T1286" i="3"/>
  <c r="U1286" i="3" s="1"/>
  <c r="N1287" i="3"/>
  <c r="G1287" i="3"/>
  <c r="I1287" i="3" s="1"/>
  <c r="O1287" i="3"/>
  <c r="B1288" i="3" l="1"/>
  <c r="Q1287" i="3" a="1"/>
  <c r="Q1287" i="3" s="1"/>
  <c r="P1287" i="3"/>
  <c r="W1286" i="3"/>
  <c r="R1287" i="3" l="1"/>
  <c r="D1288" i="3"/>
  <c r="K1288" i="3"/>
  <c r="L1287" i="3"/>
  <c r="S1287" i="3" s="1"/>
  <c r="T1287" i="3" l="1"/>
  <c r="U1287" i="3" s="1"/>
  <c r="V1287" i="3"/>
  <c r="W1287" i="3" s="1"/>
  <c r="G1288" i="3"/>
  <c r="I1288" i="3" s="1"/>
  <c r="O1288" i="3"/>
  <c r="N1288" i="3"/>
  <c r="B1289" i="3" l="1"/>
  <c r="Q1288" i="3" a="1"/>
  <c r="Q1288" i="3" s="1"/>
  <c r="P1288" i="3"/>
  <c r="R1288" i="3" l="1"/>
  <c r="D1289" i="3"/>
  <c r="K1289" i="3"/>
  <c r="L1288" i="3"/>
  <c r="S1288" i="3" s="1"/>
  <c r="V1288" i="3" l="1"/>
  <c r="T1288" i="3"/>
  <c r="U1288" i="3" s="1"/>
  <c r="N1289" i="3"/>
  <c r="G1289" i="3"/>
  <c r="I1289" i="3" s="1"/>
  <c r="O1289" i="3"/>
  <c r="B1290" i="3" l="1"/>
  <c r="P1289" i="3"/>
  <c r="Q1289" i="3" a="1"/>
  <c r="Q1289" i="3" s="1"/>
  <c r="W1288" i="3"/>
  <c r="R1289" i="3" l="1"/>
  <c r="D1290" i="3"/>
  <c r="K1290" i="3"/>
  <c r="L1289" i="3"/>
  <c r="S1289" i="3" s="1"/>
  <c r="T1289" i="3" l="1"/>
  <c r="U1289" i="3" s="1"/>
  <c r="V1289" i="3"/>
  <c r="W1289" i="3" s="1"/>
  <c r="G1290" i="3"/>
  <c r="I1290" i="3" s="1"/>
  <c r="O1290" i="3"/>
  <c r="N1290" i="3"/>
  <c r="B1291" i="3" l="1"/>
  <c r="Q1290" i="3" a="1"/>
  <c r="Q1290" i="3" s="1"/>
  <c r="P1290" i="3"/>
  <c r="R1290" i="3" l="1"/>
  <c r="D1291" i="3"/>
  <c r="K1291" i="3"/>
  <c r="L1290" i="3"/>
  <c r="S1290" i="3" s="1"/>
  <c r="V1290" i="3" l="1"/>
  <c r="T1290" i="3"/>
  <c r="U1290" i="3" s="1"/>
  <c r="N1291" i="3"/>
  <c r="G1291" i="3"/>
  <c r="I1291" i="3" s="1"/>
  <c r="O1291" i="3"/>
  <c r="B1292" i="3" l="1"/>
  <c r="P1291" i="3"/>
  <c r="Q1291" i="3" a="1"/>
  <c r="Q1291" i="3" s="1"/>
  <c r="W1290" i="3"/>
  <c r="R1291" i="3" l="1"/>
  <c r="D1292" i="3"/>
  <c r="K1292" i="3"/>
  <c r="L1291" i="3"/>
  <c r="S1291" i="3" s="1"/>
  <c r="T1291" i="3" l="1"/>
  <c r="U1291" i="3" s="1"/>
  <c r="V1291" i="3"/>
  <c r="O1292" i="3"/>
  <c r="N1292" i="3"/>
  <c r="G1292" i="3"/>
  <c r="I1292" i="3" s="1"/>
  <c r="Q1292" i="3" l="1" a="1"/>
  <c r="Q1292" i="3" s="1"/>
  <c r="P1292" i="3"/>
  <c r="W1291" i="3"/>
  <c r="B1293" i="3"/>
  <c r="L1292" i="3" s="1"/>
  <c r="R1292" i="3" l="1"/>
  <c r="K1293" i="3"/>
  <c r="D1293" i="3"/>
  <c r="S1292" i="3"/>
  <c r="G1293" i="3" l="1"/>
  <c r="I1293" i="3" s="1"/>
  <c r="B1294" i="3" s="1"/>
  <c r="L1293" i="3" s="1"/>
  <c r="T1292" i="3"/>
  <c r="U1292" i="3" s="1"/>
  <c r="V1292" i="3"/>
  <c r="W1292" i="3" s="1"/>
  <c r="N1293" i="3"/>
  <c r="O1293" i="3"/>
  <c r="Q1293" i="3" l="1" a="1"/>
  <c r="Q1293" i="3" s="1"/>
  <c r="R1293" i="3" s="1"/>
  <c r="P1293" i="3"/>
  <c r="S1293" i="3" s="1"/>
  <c r="K1294" i="3"/>
  <c r="D1294" i="3"/>
  <c r="V1293" i="3" l="1"/>
  <c r="T1293" i="3"/>
  <c r="U1293" i="3" s="1"/>
  <c r="N1294" i="3"/>
  <c r="G1294" i="3"/>
  <c r="O1294" i="3"/>
  <c r="I1294" i="3" l="1"/>
  <c r="Q1294" i="3" a="1"/>
  <c r="Q1294" i="3" s="1"/>
  <c r="P1294" i="3"/>
  <c r="W1293" i="3"/>
  <c r="R1294" i="3" l="1"/>
  <c r="B1295" i="3"/>
  <c r="K1295" i="3" l="1"/>
  <c r="D1295" i="3"/>
  <c r="L1294" i="3"/>
  <c r="S1294" i="3" s="1"/>
  <c r="T1294" i="3" l="1"/>
  <c r="U1294" i="3" s="1"/>
  <c r="V1294" i="3"/>
  <c r="G1295" i="3"/>
  <c r="I1295" i="3" s="1"/>
  <c r="N1295" i="3"/>
  <c r="O1295" i="3"/>
  <c r="B1296" i="3" l="1"/>
  <c r="W1294" i="3"/>
  <c r="Q1295" i="3" a="1"/>
  <c r="Q1295" i="3" s="1"/>
  <c r="R1295" i="3" s="1"/>
  <c r="P1295" i="3"/>
  <c r="D1296" i="3" l="1"/>
  <c r="K1296" i="3"/>
  <c r="L1295" i="3"/>
  <c r="S1295" i="3" s="1"/>
  <c r="T1295" i="3" l="1"/>
  <c r="U1295" i="3" s="1"/>
  <c r="V1295" i="3"/>
  <c r="O1296" i="3"/>
  <c r="G1296" i="3"/>
  <c r="I1296" i="3" s="1"/>
  <c r="N1296" i="3"/>
  <c r="Q1296" i="3" l="1" a="1"/>
  <c r="Q1296" i="3" s="1"/>
  <c r="P1296" i="3"/>
  <c r="B1297" i="3"/>
  <c r="L1296" i="3" s="1"/>
  <c r="W1295" i="3"/>
  <c r="R1296" i="3" l="1"/>
  <c r="K1297" i="3"/>
  <c r="D1297" i="3"/>
  <c r="S1296" i="3"/>
  <c r="N1297" i="3" l="1"/>
  <c r="O1297" i="3"/>
  <c r="G1297" i="3"/>
  <c r="T1296" i="3"/>
  <c r="U1296" i="3" s="1"/>
  <c r="V1296" i="3"/>
  <c r="W1296" i="3" s="1"/>
  <c r="I1297" i="3" l="1"/>
  <c r="Q1297" i="3" a="1"/>
  <c r="Q1297" i="3" s="1"/>
  <c r="P1297" i="3"/>
  <c r="R1297" i="3" l="1"/>
  <c r="B1298" i="3"/>
  <c r="L1297" i="3" s="1"/>
  <c r="S1297" i="3" s="1"/>
  <c r="V1297" i="3" l="1"/>
  <c r="T1297" i="3"/>
  <c r="U1297" i="3" s="1"/>
  <c r="K1298" i="3"/>
  <c r="D1298" i="3"/>
  <c r="G1298" i="3" l="1"/>
  <c r="I1298" i="3" s="1"/>
  <c r="O1298" i="3"/>
  <c r="N1298" i="3"/>
  <c r="W1297" i="3"/>
  <c r="P1298" i="3" l="1"/>
  <c r="Q1298" i="3" a="1"/>
  <c r="Q1298" i="3" s="1"/>
  <c r="R1298" i="3" s="1"/>
  <c r="B1299" i="3"/>
  <c r="L1298" i="3" s="1"/>
  <c r="D1299" i="3" l="1"/>
  <c r="K1299" i="3"/>
  <c r="S1298" i="3"/>
  <c r="O1299" i="3" l="1"/>
  <c r="N1299" i="3"/>
  <c r="G1299" i="3"/>
  <c r="T1298" i="3"/>
  <c r="U1298" i="3" s="1"/>
  <c r="V1298" i="3"/>
  <c r="W1298" i="3" l="1"/>
  <c r="I1299" i="3"/>
  <c r="B1300" i="3" s="1"/>
  <c r="P1299" i="3"/>
  <c r="Q1299" i="3" a="1"/>
  <c r="Q1299" i="3" s="1"/>
  <c r="R1299" i="3" s="1"/>
  <c r="D1300" i="3" l="1"/>
  <c r="K1300" i="3"/>
  <c r="L1299" i="3"/>
  <c r="S1299" i="3" s="1"/>
  <c r="O1300" i="3" l="1"/>
  <c r="G1300" i="3"/>
  <c r="I1300" i="3" s="1"/>
  <c r="N1300" i="3"/>
  <c r="T1299" i="3"/>
  <c r="U1299" i="3" s="1"/>
  <c r="V1299" i="3"/>
  <c r="W1299" i="3" s="1"/>
  <c r="B1301" i="3" l="1"/>
  <c r="Q1300" i="3" a="1"/>
  <c r="Q1300" i="3" s="1"/>
  <c r="P1300" i="3"/>
  <c r="R1300" i="3" l="1"/>
  <c r="D1301" i="3"/>
  <c r="K1301" i="3"/>
  <c r="L1300" i="3"/>
  <c r="S1300" i="3" s="1"/>
  <c r="V1300" i="3" l="1"/>
  <c r="W1300" i="3" s="1"/>
  <c r="T1300" i="3"/>
  <c r="U1300" i="3" s="1"/>
  <c r="G1301" i="3"/>
  <c r="N1301" i="3"/>
  <c r="O1301" i="3"/>
  <c r="I1301" i="3" l="1"/>
  <c r="Q1301" i="3" a="1"/>
  <c r="Q1301" i="3" s="1"/>
  <c r="R1301" i="3" s="1"/>
  <c r="P1301" i="3"/>
  <c r="B1302" i="3" l="1"/>
  <c r="K1302" i="3" l="1"/>
  <c r="D1302" i="3"/>
  <c r="L1301" i="3"/>
  <c r="S1301" i="3" s="1"/>
  <c r="V1301" i="3" l="1"/>
  <c r="T1301" i="3"/>
  <c r="U1301" i="3" s="1"/>
  <c r="G1302" i="3"/>
  <c r="I1302" i="3" s="1"/>
  <c r="N1302" i="3"/>
  <c r="O1302" i="3"/>
  <c r="B1303" i="3" l="1"/>
  <c r="P1302" i="3"/>
  <c r="Q1302" i="3" a="1"/>
  <c r="Q1302" i="3" s="1"/>
  <c r="W1301" i="3"/>
  <c r="R1302" i="3" l="1"/>
  <c r="D1303" i="3"/>
  <c r="K1303" i="3"/>
  <c r="L1302" i="3"/>
  <c r="S1302" i="3" s="1"/>
  <c r="T1302" i="3" l="1"/>
  <c r="U1302" i="3" s="1"/>
  <c r="V1302" i="3"/>
  <c r="G1303" i="3"/>
  <c r="N1303" i="3"/>
  <c r="O1303" i="3"/>
  <c r="I1303" i="3" l="1"/>
  <c r="W1302" i="3"/>
  <c r="P1303" i="3"/>
  <c r="Q1303" i="3" a="1"/>
  <c r="Q1303" i="3" s="1"/>
  <c r="R1303" i="3" s="1"/>
  <c r="B1304" i="3" l="1"/>
  <c r="K1304" i="3" l="1"/>
  <c r="D1304" i="3"/>
  <c r="L1303" i="3"/>
  <c r="S1303" i="3" s="1"/>
  <c r="T1303" i="3" l="1"/>
  <c r="U1303" i="3" s="1"/>
  <c r="V1303" i="3"/>
  <c r="W1303" i="3" s="1"/>
  <c r="O1304" i="3"/>
  <c r="N1304" i="3"/>
  <c r="G1304" i="3"/>
  <c r="I1304" i="3" s="1"/>
  <c r="P1304" i="3" l="1"/>
  <c r="Q1304" i="3" a="1"/>
  <c r="Q1304" i="3" s="1"/>
  <c r="R1304" i="3" s="1"/>
  <c r="B1305" i="3"/>
  <c r="D1305" i="3" l="1"/>
  <c r="K1305" i="3"/>
  <c r="L1304" i="3"/>
  <c r="S1304" i="3" s="1"/>
  <c r="G1305" i="3" l="1"/>
  <c r="I1305" i="3" s="1"/>
  <c r="N1305" i="3"/>
  <c r="O1305" i="3"/>
  <c r="V1304" i="3"/>
  <c r="T1304" i="3"/>
  <c r="U1304" i="3" s="1"/>
  <c r="W1304" i="3" l="1"/>
  <c r="P1305" i="3"/>
  <c r="Q1305" i="3" a="1"/>
  <c r="Q1305" i="3" s="1"/>
  <c r="B1306" i="3"/>
  <c r="R1305" i="3" l="1"/>
  <c r="K1306" i="3"/>
  <c r="D1306" i="3"/>
  <c r="L1305" i="3"/>
  <c r="S1305" i="3" s="1"/>
  <c r="T1305" i="3" l="1"/>
  <c r="U1305" i="3" s="1"/>
  <c r="V1305" i="3"/>
  <c r="N1306" i="3"/>
  <c r="G1306" i="3"/>
  <c r="I1306" i="3" s="1"/>
  <c r="O1306" i="3"/>
  <c r="B1307" i="3" l="1"/>
  <c r="W1305" i="3"/>
  <c r="Q1306" i="3" a="1"/>
  <c r="Q1306" i="3" s="1"/>
  <c r="P1306" i="3"/>
  <c r="R1306" i="3" l="1"/>
  <c r="K1307" i="3"/>
  <c r="D1307" i="3"/>
  <c r="L1306" i="3"/>
  <c r="S1306" i="3" s="1"/>
  <c r="T1306" i="3" l="1"/>
  <c r="U1306" i="3" s="1"/>
  <c r="V1306" i="3"/>
  <c r="N1307" i="3"/>
  <c r="O1307" i="3"/>
  <c r="G1307" i="3"/>
  <c r="I1307" i="3" s="1"/>
  <c r="P1307" i="3" l="1"/>
  <c r="Q1307" i="3" a="1"/>
  <c r="Q1307" i="3" s="1"/>
  <c r="W1306" i="3"/>
  <c r="B1308" i="3"/>
  <c r="R1307" i="3" l="1"/>
  <c r="D1308" i="3"/>
  <c r="K1308" i="3"/>
  <c r="L1307" i="3"/>
  <c r="S1307" i="3" s="1"/>
  <c r="T1307" i="3" l="1"/>
  <c r="U1307" i="3" s="1"/>
  <c r="V1307" i="3"/>
  <c r="N1308" i="3"/>
  <c r="G1308" i="3"/>
  <c r="I1308" i="3" s="1"/>
  <c r="O1308" i="3"/>
  <c r="B1309" i="3" l="1"/>
  <c r="W1307" i="3"/>
  <c r="P1308" i="3"/>
  <c r="Q1308" i="3" a="1"/>
  <c r="Q1308" i="3" s="1"/>
  <c r="R1308" i="3" s="1"/>
  <c r="D1309" i="3" l="1"/>
  <c r="K1309" i="3"/>
  <c r="L1308" i="3"/>
  <c r="S1308" i="3" s="1"/>
  <c r="T1308" i="3" l="1"/>
  <c r="U1308" i="3" s="1"/>
  <c r="V1308" i="3"/>
  <c r="W1308" i="3" s="1"/>
  <c r="G1309" i="3"/>
  <c r="I1309" i="3" s="1"/>
  <c r="O1309" i="3"/>
  <c r="N1309" i="3"/>
  <c r="B1310" i="3" l="1"/>
  <c r="Q1309" i="3" a="1"/>
  <c r="Q1309" i="3" s="1"/>
  <c r="P1309" i="3"/>
  <c r="R1309" i="3" l="1"/>
  <c r="D1310" i="3"/>
  <c r="K1310" i="3"/>
  <c r="L1309" i="3"/>
  <c r="S1309" i="3" s="1"/>
  <c r="V1309" i="3" l="1"/>
  <c r="W1309" i="3" s="1"/>
  <c r="T1309" i="3"/>
  <c r="U1309" i="3" s="1"/>
  <c r="N1310" i="3"/>
  <c r="G1310" i="3"/>
  <c r="I1310" i="3" s="1"/>
  <c r="O1310" i="3"/>
  <c r="B1311" i="3" l="1"/>
  <c r="P1310" i="3"/>
  <c r="Q1310" i="3" a="1"/>
  <c r="Q1310" i="3" s="1"/>
  <c r="R1310" i="3" l="1"/>
  <c r="K1311" i="3"/>
  <c r="D1311" i="3"/>
  <c r="L1310" i="3"/>
  <c r="S1310" i="3" s="1"/>
  <c r="V1310" i="3" l="1"/>
  <c r="T1310" i="3"/>
  <c r="U1310" i="3" s="1"/>
  <c r="N1311" i="3"/>
  <c r="G1311" i="3"/>
  <c r="I1311" i="3" s="1"/>
  <c r="O1311" i="3"/>
  <c r="B1312" i="3" l="1"/>
  <c r="Q1311" i="3" a="1"/>
  <c r="Q1311" i="3" s="1"/>
  <c r="P1311" i="3"/>
  <c r="W1310" i="3"/>
  <c r="R1311" i="3" l="1"/>
  <c r="K1312" i="3"/>
  <c r="D1312" i="3"/>
  <c r="L1311" i="3"/>
  <c r="S1311" i="3" s="1"/>
  <c r="T1311" i="3" l="1"/>
  <c r="U1311" i="3" s="1"/>
  <c r="V1311" i="3"/>
  <c r="O1312" i="3"/>
  <c r="N1312" i="3"/>
  <c r="G1312" i="3"/>
  <c r="I1312" i="3" s="1"/>
  <c r="P1312" i="3" l="1"/>
  <c r="Q1312" i="3" a="1"/>
  <c r="Q1312" i="3" s="1"/>
  <c r="W1311" i="3"/>
  <c r="B1313" i="3"/>
  <c r="R1312" i="3" l="1"/>
  <c r="K1313" i="3"/>
  <c r="D1313" i="3"/>
  <c r="L1312" i="3"/>
  <c r="S1312" i="3" s="1"/>
  <c r="T1312" i="3" l="1"/>
  <c r="U1312" i="3" s="1"/>
  <c r="V1312" i="3"/>
  <c r="O1313" i="3"/>
  <c r="G1313" i="3"/>
  <c r="N1313" i="3"/>
  <c r="I1313" i="3" l="1"/>
  <c r="P1313" i="3"/>
  <c r="Q1313" i="3" a="1"/>
  <c r="Q1313" i="3" s="1"/>
  <c r="R1313" i="3" s="1"/>
  <c r="W1312" i="3"/>
  <c r="B1314" i="3" l="1"/>
  <c r="L1313" i="3" s="1"/>
  <c r="S1313" i="3" s="1"/>
  <c r="T1313" i="3" l="1"/>
  <c r="U1313" i="3" s="1"/>
  <c r="V1313" i="3"/>
  <c r="D1314" i="3"/>
  <c r="K1314" i="3"/>
  <c r="N1314" i="3" l="1"/>
  <c r="G1314" i="3"/>
  <c r="I1314" i="3" s="1"/>
  <c r="O1314" i="3"/>
  <c r="W1313" i="3"/>
  <c r="P1314" i="3" l="1"/>
  <c r="Q1314" i="3" a="1"/>
  <c r="Q1314" i="3" s="1"/>
  <c r="R1314" i="3" s="1"/>
  <c r="B1315" i="3"/>
  <c r="K1315" i="3" l="1"/>
  <c r="D1315" i="3"/>
  <c r="L1314" i="3"/>
  <c r="S1314" i="3" s="1"/>
  <c r="T1314" i="3" l="1"/>
  <c r="U1314" i="3" s="1"/>
  <c r="V1314" i="3"/>
  <c r="G1315" i="3"/>
  <c r="N1315" i="3"/>
  <c r="O1315" i="3"/>
  <c r="I1315" i="3" l="1"/>
  <c r="W1314" i="3"/>
  <c r="Q1315" i="3" a="1"/>
  <c r="Q1315" i="3" s="1"/>
  <c r="P1315" i="3"/>
  <c r="R1315" i="3" l="1"/>
  <c r="B1316" i="3"/>
  <c r="K1316" i="3" l="1"/>
  <c r="D1316" i="3"/>
  <c r="L1315" i="3"/>
  <c r="S1315" i="3" s="1"/>
  <c r="T1315" i="3" l="1"/>
  <c r="U1315" i="3" s="1"/>
  <c r="V1315" i="3"/>
  <c r="O1316" i="3"/>
  <c r="G1316" i="3"/>
  <c r="N1316" i="3"/>
  <c r="I1316" i="3" l="1"/>
  <c r="Q1316" i="3" a="1"/>
  <c r="Q1316" i="3" s="1"/>
  <c r="P1316" i="3"/>
  <c r="W1315" i="3"/>
  <c r="R1316" i="3" l="1"/>
  <c r="B1317" i="3"/>
  <c r="L1316" i="3" s="1"/>
  <c r="S1316" i="3" s="1"/>
  <c r="T1316" i="3" l="1"/>
  <c r="U1316" i="3" s="1"/>
  <c r="V1316" i="3"/>
  <c r="D1317" i="3"/>
  <c r="K1317" i="3"/>
  <c r="N1317" i="3" l="1"/>
  <c r="O1317" i="3"/>
  <c r="G1317" i="3"/>
  <c r="W1316" i="3"/>
  <c r="I1317" i="3" l="1"/>
  <c r="P1317" i="3"/>
  <c r="Q1317" i="3" a="1"/>
  <c r="Q1317" i="3" s="1"/>
  <c r="R1317" i="3" s="1"/>
  <c r="B1318" i="3" l="1"/>
  <c r="D1318" i="3" l="1"/>
  <c r="K1318" i="3"/>
  <c r="L1317" i="3"/>
  <c r="S1317" i="3" s="1"/>
  <c r="T1317" i="3" l="1"/>
  <c r="U1317" i="3" s="1"/>
  <c r="V1317" i="3"/>
  <c r="G1318" i="3"/>
  <c r="N1318" i="3"/>
  <c r="O1318" i="3"/>
  <c r="I1318" i="3" l="1"/>
  <c r="W1317" i="3"/>
  <c r="Q1318" i="3" a="1"/>
  <c r="Q1318" i="3" s="1"/>
  <c r="R1318" i="3" s="1"/>
  <c r="P1318" i="3"/>
  <c r="B1319" i="3" l="1"/>
  <c r="L1318" i="3" s="1"/>
  <c r="S1318" i="3" s="1"/>
  <c r="T1318" i="3" l="1"/>
  <c r="U1318" i="3" s="1"/>
  <c r="V1318" i="3"/>
  <c r="W1318" i="3" s="1"/>
  <c r="K1319" i="3"/>
  <c r="D1319" i="3"/>
  <c r="O1319" i="3" l="1"/>
  <c r="G1319" i="3"/>
  <c r="N1319" i="3"/>
  <c r="I1319" i="3" l="1"/>
  <c r="Q1319" i="3" a="1"/>
  <c r="Q1319" i="3" s="1"/>
  <c r="P1319" i="3"/>
  <c r="R1319" i="3" l="1"/>
  <c r="B1320" i="3"/>
  <c r="D1320" i="3" l="1"/>
  <c r="K1320" i="3"/>
  <c r="L1319" i="3"/>
  <c r="S1319" i="3" s="1"/>
  <c r="N1320" i="3" l="1"/>
  <c r="G1320" i="3"/>
  <c r="I1320" i="3" s="1"/>
  <c r="O1320" i="3"/>
  <c r="V1319" i="3"/>
  <c r="T1319" i="3"/>
  <c r="U1319" i="3" s="1"/>
  <c r="W1319" i="3" l="1"/>
  <c r="Q1320" i="3" a="1"/>
  <c r="Q1320" i="3" s="1"/>
  <c r="P1320" i="3"/>
  <c r="B1321" i="3"/>
  <c r="R1320" i="3" l="1"/>
  <c r="D1321" i="3"/>
  <c r="K1321" i="3"/>
  <c r="L1320" i="3"/>
  <c r="S1320" i="3" s="1"/>
  <c r="T1320" i="3" l="1"/>
  <c r="U1320" i="3" s="1"/>
  <c r="V1320" i="3"/>
  <c r="N1321" i="3"/>
  <c r="O1321" i="3"/>
  <c r="G1321" i="3"/>
  <c r="P1321" i="3" l="1"/>
  <c r="Q1321" i="3" a="1"/>
  <c r="Q1321" i="3" s="1"/>
  <c r="R1321" i="3" s="1"/>
  <c r="W1320" i="3"/>
  <c r="I1321" i="3"/>
  <c r="B1322" i="3" l="1"/>
  <c r="K1322" i="3" l="1"/>
  <c r="D1322" i="3"/>
  <c r="L1321" i="3"/>
  <c r="S1321" i="3" s="1"/>
  <c r="T1321" i="3" l="1"/>
  <c r="U1321" i="3" s="1"/>
  <c r="V1321" i="3"/>
  <c r="W1321" i="3" s="1"/>
  <c r="G1322" i="3"/>
  <c r="N1322" i="3"/>
  <c r="O1322" i="3"/>
  <c r="I1322" i="3" l="1"/>
  <c r="Q1322" i="3" a="1"/>
  <c r="Q1322" i="3" s="1"/>
  <c r="R1322" i="3" s="1"/>
  <c r="P1322" i="3"/>
  <c r="B1323" i="3" l="1"/>
  <c r="K1323" i="3" l="1"/>
  <c r="D1323" i="3"/>
  <c r="L1322" i="3"/>
  <c r="S1322" i="3" s="1"/>
  <c r="O1323" i="3" l="1"/>
  <c r="G1323" i="3"/>
  <c r="I1323" i="3" s="1"/>
  <c r="N1323" i="3"/>
  <c r="V1322" i="3"/>
  <c r="T1322" i="3"/>
  <c r="U1322" i="3" s="1"/>
  <c r="W1322" i="3" l="1"/>
  <c r="B1324" i="3"/>
  <c r="Q1323" i="3" a="1"/>
  <c r="Q1323" i="3" s="1"/>
  <c r="R1323" i="3" s="1"/>
  <c r="P1323" i="3"/>
  <c r="K1324" i="3" l="1"/>
  <c r="D1324" i="3"/>
  <c r="L1323" i="3"/>
  <c r="S1323" i="3" s="1"/>
  <c r="T1323" i="3" l="1"/>
  <c r="U1323" i="3" s="1"/>
  <c r="V1323" i="3"/>
  <c r="G1324" i="3"/>
  <c r="O1324" i="3"/>
  <c r="N1324" i="3"/>
  <c r="I1324" i="3" l="1"/>
  <c r="Q1324" i="3" a="1"/>
  <c r="Q1324" i="3" s="1"/>
  <c r="P1324" i="3"/>
  <c r="W1323" i="3"/>
  <c r="R1324" i="3" l="1"/>
  <c r="B1325" i="3"/>
  <c r="K1325" i="3" l="1"/>
  <c r="D1325" i="3"/>
  <c r="L1324" i="3"/>
  <c r="S1324" i="3" s="1"/>
  <c r="T1324" i="3" l="1"/>
  <c r="U1324" i="3" s="1"/>
  <c r="V1324" i="3"/>
  <c r="N1325" i="3"/>
  <c r="G1325" i="3"/>
  <c r="O1325" i="3"/>
  <c r="I1325" i="3" l="1"/>
  <c r="W1324" i="3"/>
  <c r="Q1325" i="3" a="1"/>
  <c r="Q1325" i="3" s="1"/>
  <c r="R1325" i="3" s="1"/>
  <c r="P1325" i="3"/>
  <c r="B1326" i="3" l="1"/>
  <c r="D1326" i="3" l="1"/>
  <c r="K1326" i="3"/>
  <c r="L1325" i="3"/>
  <c r="S1325" i="3" s="1"/>
  <c r="N1326" i="3" l="1"/>
  <c r="G1326" i="3"/>
  <c r="I1326" i="3" s="1"/>
  <c r="O1326" i="3"/>
  <c r="T1325" i="3"/>
  <c r="U1325" i="3" s="1"/>
  <c r="V1325" i="3"/>
  <c r="W1325" i="3" l="1"/>
  <c r="P1326" i="3"/>
  <c r="Q1326" i="3" a="1"/>
  <c r="Q1326" i="3" s="1"/>
  <c r="B1327" i="3"/>
  <c r="R1326" i="3" l="1"/>
  <c r="K1327" i="3"/>
  <c r="D1327" i="3"/>
  <c r="L1326" i="3"/>
  <c r="S1326" i="3" s="1"/>
  <c r="T1326" i="3" l="1"/>
  <c r="U1326" i="3" s="1"/>
  <c r="V1326" i="3"/>
  <c r="G1327" i="3"/>
  <c r="N1327" i="3"/>
  <c r="O1327" i="3"/>
  <c r="I1327" i="3" l="1"/>
  <c r="W1326" i="3"/>
  <c r="P1327" i="3"/>
  <c r="Q1327" i="3" a="1"/>
  <c r="Q1327" i="3" s="1"/>
  <c r="R1327" i="3" s="1"/>
  <c r="B1328" i="3" l="1"/>
  <c r="K1328" i="3" l="1"/>
  <c r="D1328" i="3"/>
  <c r="L1327" i="3"/>
  <c r="S1327" i="3" s="1"/>
  <c r="T1327" i="3" l="1"/>
  <c r="U1327" i="3" s="1"/>
  <c r="V1327" i="3"/>
  <c r="G1328" i="3"/>
  <c r="N1328" i="3"/>
  <c r="O1328" i="3"/>
  <c r="I1328" i="3" l="1"/>
  <c r="W1327" i="3"/>
  <c r="Q1328" i="3" a="1"/>
  <c r="Q1328" i="3" s="1"/>
  <c r="R1328" i="3" s="1"/>
  <c r="P1328" i="3"/>
  <c r="B1329" i="3" l="1"/>
  <c r="D1329" i="3" l="1"/>
  <c r="K1329" i="3"/>
  <c r="L1328" i="3"/>
  <c r="S1328" i="3" s="1"/>
  <c r="G1329" i="3" l="1"/>
  <c r="N1329" i="3"/>
  <c r="O1329" i="3"/>
  <c r="T1328" i="3"/>
  <c r="U1328" i="3" s="1"/>
  <c r="V1328" i="3"/>
  <c r="W1328" i="3" s="1"/>
  <c r="P1329" i="3" l="1"/>
  <c r="Q1329" i="3" a="1"/>
  <c r="Q1329" i="3" s="1"/>
  <c r="R1329" i="3" s="1"/>
  <c r="I1329" i="3"/>
  <c r="B1330" i="3" l="1"/>
  <c r="K1330" i="3" l="1"/>
  <c r="D1330" i="3"/>
  <c r="L1329" i="3"/>
  <c r="S1329" i="3" s="1"/>
  <c r="V1329" i="3" l="1"/>
  <c r="T1329" i="3"/>
  <c r="U1329" i="3" s="1"/>
  <c r="O1330" i="3"/>
  <c r="N1330" i="3"/>
  <c r="G1330" i="3"/>
  <c r="P1330" i="3" l="1"/>
  <c r="Q1330" i="3" a="1"/>
  <c r="Q1330" i="3" s="1"/>
  <c r="I1330" i="3"/>
  <c r="W1329" i="3"/>
  <c r="R1330" i="3" l="1"/>
  <c r="B1331" i="3"/>
  <c r="D1331" i="3" l="1"/>
  <c r="K1331" i="3"/>
  <c r="L1330" i="3"/>
  <c r="S1330" i="3" s="1"/>
  <c r="O1331" i="3" l="1"/>
  <c r="G1331" i="3"/>
  <c r="N1331" i="3"/>
  <c r="T1330" i="3"/>
  <c r="U1330" i="3" s="1"/>
  <c r="V1330" i="3"/>
  <c r="W1330" i="3" l="1"/>
  <c r="I1331" i="3"/>
  <c r="P1331" i="3"/>
  <c r="Q1331" i="3" a="1"/>
  <c r="Q1331" i="3" s="1"/>
  <c r="R1331" i="3" s="1"/>
  <c r="B1332" i="3" l="1"/>
  <c r="K1332" i="3" l="1"/>
  <c r="D1332" i="3"/>
  <c r="L1331" i="3"/>
  <c r="S1331" i="3" s="1"/>
  <c r="G1332" i="3" l="1"/>
  <c r="O1332" i="3"/>
  <c r="N1332" i="3"/>
  <c r="T1331" i="3"/>
  <c r="U1331" i="3" s="1"/>
  <c r="V1331" i="3"/>
  <c r="W1331" i="3" l="1"/>
  <c r="P1332" i="3"/>
  <c r="Q1332" i="3" a="1"/>
  <c r="Q1332" i="3" s="1"/>
  <c r="R1332" i="3" s="1"/>
  <c r="I1332" i="3"/>
  <c r="B1333" i="3" l="1"/>
  <c r="D1333" i="3" l="1"/>
  <c r="K1333" i="3"/>
  <c r="L1332" i="3"/>
  <c r="S1332" i="3" s="1"/>
  <c r="N1333" i="3" l="1"/>
  <c r="O1333" i="3"/>
  <c r="G1333" i="3"/>
  <c r="T1332" i="3"/>
  <c r="U1332" i="3" s="1"/>
  <c r="V1332" i="3"/>
  <c r="W1332" i="3" s="1"/>
  <c r="I1333" i="3" l="1"/>
  <c r="P1333" i="3"/>
  <c r="Q1333" i="3" a="1"/>
  <c r="Q1333" i="3" s="1"/>
  <c r="R1333" i="3" s="1"/>
  <c r="B1334" i="3" l="1"/>
  <c r="K1334" i="3" l="1"/>
  <c r="D1334" i="3"/>
  <c r="L1333" i="3"/>
  <c r="S1333" i="3" s="1"/>
  <c r="V1333" i="3" l="1"/>
  <c r="T1333" i="3"/>
  <c r="U1333" i="3" s="1"/>
  <c r="G1334" i="3"/>
  <c r="O1334" i="3"/>
  <c r="N1334" i="3"/>
  <c r="P1334" i="3" l="1"/>
  <c r="Q1334" i="3" a="1"/>
  <c r="Q1334" i="3" s="1"/>
  <c r="I1334" i="3"/>
  <c r="W1333" i="3"/>
  <c r="R1334" i="3" l="1"/>
  <c r="B1335" i="3"/>
  <c r="K1335" i="3" l="1"/>
  <c r="D1335" i="3"/>
  <c r="L1334" i="3"/>
  <c r="S1334" i="3" s="1"/>
  <c r="T1334" i="3" l="1"/>
  <c r="U1334" i="3" s="1"/>
  <c r="V1334" i="3"/>
  <c r="W1334" i="3" s="1"/>
  <c r="O1335" i="3"/>
  <c r="G1335" i="3"/>
  <c r="N1335" i="3"/>
  <c r="I1335" i="3" l="1"/>
  <c r="Q1335" i="3" a="1"/>
  <c r="Q1335" i="3" s="1"/>
  <c r="P1335" i="3"/>
  <c r="R1335" i="3" l="1"/>
  <c r="B1336" i="3"/>
  <c r="D1336" i="3" l="1"/>
  <c r="K1336" i="3"/>
  <c r="L1335" i="3"/>
  <c r="S1335" i="3" s="1"/>
  <c r="N1336" i="3" l="1"/>
  <c r="O1336" i="3"/>
  <c r="G1336" i="3"/>
  <c r="V1335" i="3"/>
  <c r="T1335" i="3"/>
  <c r="U1335" i="3" s="1"/>
  <c r="W1335" i="3" l="1"/>
  <c r="I1336" i="3"/>
  <c r="Q1336" i="3" a="1"/>
  <c r="Q1336" i="3" s="1"/>
  <c r="R1336" i="3" s="1"/>
  <c r="P1336" i="3"/>
  <c r="B1337" i="3" l="1"/>
  <c r="K1337" i="3" l="1"/>
  <c r="D1337" i="3"/>
  <c r="L1336" i="3"/>
  <c r="S1336" i="3" s="1"/>
  <c r="O1337" i="3" l="1"/>
  <c r="G1337" i="3"/>
  <c r="N1337" i="3"/>
  <c r="T1336" i="3"/>
  <c r="U1336" i="3" s="1"/>
  <c r="V1336" i="3"/>
  <c r="W1336" i="3" l="1"/>
  <c r="I1337" i="3"/>
  <c r="B1338" i="3" s="1"/>
  <c r="Q1337" i="3" a="1"/>
  <c r="Q1337" i="3" s="1"/>
  <c r="R1337" i="3" s="1"/>
  <c r="P1337" i="3"/>
  <c r="K1338" i="3" l="1"/>
  <c r="D1338" i="3"/>
  <c r="L1337" i="3"/>
  <c r="S1337" i="3" s="1"/>
  <c r="T1337" i="3" l="1"/>
  <c r="U1337" i="3" s="1"/>
  <c r="V1337" i="3"/>
  <c r="W1337" i="3" s="1"/>
  <c r="G1338" i="3"/>
  <c r="O1338" i="3"/>
  <c r="N1338" i="3"/>
  <c r="I1338" i="3" l="1"/>
  <c r="P1338" i="3"/>
  <c r="Q1338" i="3" a="1"/>
  <c r="Q1338" i="3" s="1"/>
  <c r="R1338" i="3" s="1"/>
  <c r="B1339" i="3" l="1"/>
  <c r="K1339" i="3" l="1"/>
  <c r="D1339" i="3"/>
  <c r="L1338" i="3"/>
  <c r="S1338" i="3" s="1"/>
  <c r="G1339" i="3" l="1"/>
  <c r="I1339" i="3" s="1"/>
  <c r="N1339" i="3"/>
  <c r="O1339" i="3"/>
  <c r="V1338" i="3"/>
  <c r="T1338" i="3"/>
  <c r="U1338" i="3" s="1"/>
  <c r="W1338" i="3" l="1"/>
  <c r="Q1339" i="3" a="1"/>
  <c r="Q1339" i="3" s="1"/>
  <c r="P1339" i="3"/>
  <c r="B1340" i="3"/>
  <c r="L1339" i="3" s="1"/>
  <c r="R1339" i="3" l="1"/>
  <c r="S1339" i="3"/>
  <c r="D1340" i="3"/>
  <c r="K1340" i="3"/>
  <c r="G1340" i="3" l="1"/>
  <c r="I1340" i="3" s="1"/>
  <c r="N1340" i="3"/>
  <c r="O1340" i="3"/>
  <c r="T1339" i="3"/>
  <c r="U1339" i="3" s="1"/>
  <c r="V1339" i="3"/>
  <c r="W1339" i="3" l="1"/>
  <c r="P1340" i="3"/>
  <c r="Q1340" i="3" a="1"/>
  <c r="Q1340" i="3" s="1"/>
  <c r="B1341" i="3"/>
  <c r="R1340" i="3" l="1"/>
  <c r="K1341" i="3"/>
  <c r="D1341" i="3"/>
  <c r="L1340" i="3"/>
  <c r="S1340" i="3" s="1"/>
  <c r="T1340" i="3" l="1"/>
  <c r="U1340" i="3" s="1"/>
  <c r="V1340" i="3"/>
  <c r="O1341" i="3"/>
  <c r="N1341" i="3"/>
  <c r="G1341" i="3"/>
  <c r="Q1341" i="3" l="1" a="1"/>
  <c r="Q1341" i="3" s="1"/>
  <c r="P1341" i="3"/>
  <c r="W1340" i="3"/>
  <c r="I1341" i="3"/>
  <c r="B1342" i="3" s="1"/>
  <c r="R1341" i="3" l="1"/>
  <c r="K1342" i="3"/>
  <c r="D1342" i="3"/>
  <c r="L1341" i="3"/>
  <c r="S1341" i="3" s="1"/>
  <c r="T1341" i="3" l="1"/>
  <c r="U1341" i="3" s="1"/>
  <c r="V1341" i="3"/>
  <c r="W1341" i="3" s="1"/>
  <c r="O1342" i="3"/>
  <c r="N1342" i="3"/>
  <c r="G1342" i="3"/>
  <c r="P1342" i="3" l="1"/>
  <c r="Q1342" i="3" a="1"/>
  <c r="Q1342" i="3" s="1"/>
  <c r="R1342" i="3" s="1"/>
  <c r="I1342" i="3"/>
  <c r="B1343" i="3" s="1"/>
  <c r="D1343" i="3" l="1"/>
  <c r="K1343" i="3"/>
  <c r="L1342" i="3"/>
  <c r="S1342" i="3" s="1"/>
  <c r="V1342" i="3" l="1"/>
  <c r="T1342" i="3"/>
  <c r="U1342" i="3" s="1"/>
  <c r="O1343" i="3"/>
  <c r="N1343" i="3"/>
  <c r="G1343" i="3"/>
  <c r="P1343" i="3" l="1"/>
  <c r="Q1343" i="3" a="1"/>
  <c r="Q1343" i="3" s="1"/>
  <c r="R1343" i="3" s="1"/>
  <c r="I1343" i="3"/>
  <c r="W1342" i="3"/>
  <c r="B1344" i="3" l="1"/>
  <c r="D1344" i="3" l="1"/>
  <c r="K1344" i="3"/>
  <c r="L1343" i="3"/>
  <c r="S1343" i="3" s="1"/>
  <c r="G1344" i="3" l="1"/>
  <c r="N1344" i="3"/>
  <c r="O1344" i="3"/>
  <c r="T1343" i="3"/>
  <c r="U1343" i="3" s="1"/>
  <c r="V1343" i="3"/>
  <c r="W1343" i="3" l="1"/>
  <c r="P1344" i="3"/>
  <c r="Q1344" i="3" a="1"/>
  <c r="Q1344" i="3" s="1"/>
  <c r="I1344" i="3"/>
  <c r="R1344" i="3" l="1"/>
  <c r="B1345" i="3"/>
  <c r="D1345" i="3" l="1"/>
  <c r="K1345" i="3"/>
  <c r="L1344" i="3"/>
  <c r="S1344" i="3" s="1"/>
  <c r="G1345" i="3" l="1"/>
  <c r="N1345" i="3"/>
  <c r="O1345" i="3"/>
  <c r="T1344" i="3"/>
  <c r="U1344" i="3" s="1"/>
  <c r="V1344" i="3"/>
  <c r="W1344" i="3" l="1"/>
  <c r="P1345" i="3"/>
  <c r="Q1345" i="3" a="1"/>
  <c r="Q1345" i="3" s="1"/>
  <c r="I1345" i="3"/>
  <c r="R1345" i="3" l="1"/>
  <c r="B1346" i="3"/>
  <c r="L1345" i="3" s="1"/>
  <c r="S1345" i="3" s="1"/>
  <c r="T1345" i="3" l="1"/>
  <c r="U1345" i="3" s="1"/>
  <c r="V1345" i="3"/>
  <c r="D1346" i="3"/>
  <c r="K1346" i="3"/>
  <c r="W1345" i="3" l="1"/>
  <c r="N1346" i="3"/>
  <c r="G1346" i="3"/>
  <c r="O1346" i="3"/>
  <c r="I1346" i="3" l="1"/>
  <c r="Q1346" i="3" a="1"/>
  <c r="Q1346" i="3" s="1"/>
  <c r="P1346" i="3"/>
  <c r="R1346" i="3" l="1"/>
  <c r="B1347" i="3"/>
  <c r="K1347" i="3" l="1"/>
  <c r="D1347" i="3"/>
  <c r="L1346" i="3"/>
  <c r="S1346" i="3" s="1"/>
  <c r="N1347" i="3" l="1"/>
  <c r="G1347" i="3"/>
  <c r="O1347" i="3"/>
  <c r="T1346" i="3"/>
  <c r="U1346" i="3" s="1"/>
  <c r="V1346" i="3"/>
  <c r="W1346" i="3" s="1"/>
  <c r="Q1347" i="3" l="1" a="1"/>
  <c r="Q1347" i="3" s="1"/>
  <c r="P1347" i="3"/>
  <c r="I1347" i="3"/>
  <c r="R1347" i="3" l="1"/>
  <c r="B1348" i="3"/>
  <c r="K1348" i="3" l="1"/>
  <c r="D1348" i="3"/>
  <c r="L1347" i="3"/>
  <c r="S1347" i="3" s="1"/>
  <c r="V1347" i="3" l="1"/>
  <c r="T1347" i="3"/>
  <c r="U1347" i="3" s="1"/>
  <c r="G1348" i="3"/>
  <c r="N1348" i="3"/>
  <c r="O1348" i="3"/>
  <c r="I1348" i="3" l="1"/>
  <c r="P1348" i="3"/>
  <c r="Q1348" i="3" a="1"/>
  <c r="Q1348" i="3" s="1"/>
  <c r="W1347" i="3"/>
  <c r="R1348" i="3" l="1"/>
  <c r="B1349" i="3"/>
  <c r="K1349" i="3" l="1"/>
  <c r="D1349" i="3"/>
  <c r="L1348" i="3"/>
  <c r="S1348" i="3" s="1"/>
  <c r="T1348" i="3" l="1"/>
  <c r="U1348" i="3" s="1"/>
  <c r="V1348" i="3"/>
  <c r="N1349" i="3"/>
  <c r="O1349" i="3"/>
  <c r="G1349" i="3"/>
  <c r="P1349" i="3" l="1"/>
  <c r="Q1349" i="3" a="1"/>
  <c r="Q1349" i="3" s="1"/>
  <c r="R1349" i="3" s="1"/>
  <c r="W1348" i="3"/>
  <c r="I1349" i="3"/>
  <c r="B1350" i="3" l="1"/>
  <c r="K1350" i="3" l="1"/>
  <c r="D1350" i="3"/>
  <c r="L1349" i="3"/>
  <c r="S1349" i="3" s="1"/>
  <c r="T1349" i="3" l="1"/>
  <c r="U1349" i="3" s="1"/>
  <c r="V1349" i="3"/>
  <c r="W1349" i="3" s="1"/>
  <c r="O1350" i="3"/>
  <c r="N1350" i="3"/>
  <c r="G1350" i="3"/>
  <c r="Q1350" i="3" l="1" a="1"/>
  <c r="Q1350" i="3" s="1"/>
  <c r="R1350" i="3" s="1"/>
  <c r="P1350" i="3"/>
  <c r="I1350" i="3"/>
  <c r="B1351" i="3" l="1"/>
  <c r="L1350" i="3" s="1"/>
  <c r="S1350" i="3" s="1"/>
  <c r="V1350" i="3" l="1"/>
  <c r="T1350" i="3"/>
  <c r="U1350" i="3" s="1"/>
  <c r="K1351" i="3"/>
  <c r="D1351" i="3"/>
  <c r="O1351" i="3" l="1"/>
  <c r="N1351" i="3"/>
  <c r="G1351" i="3"/>
  <c r="W1350" i="3"/>
  <c r="I1351" i="3" l="1"/>
  <c r="Q1351" i="3" a="1"/>
  <c r="Q1351" i="3" s="1"/>
  <c r="R1351" i="3" s="1"/>
  <c r="P1351" i="3"/>
  <c r="B1352" i="3" l="1"/>
  <c r="K1352" i="3" l="1"/>
  <c r="D1352" i="3"/>
  <c r="L1351" i="3"/>
  <c r="S1351" i="3" s="1"/>
  <c r="T1351" i="3" l="1"/>
  <c r="U1351" i="3" s="1"/>
  <c r="V1351" i="3"/>
  <c r="W1351" i="3" s="1"/>
  <c r="N1352" i="3"/>
  <c r="O1352" i="3"/>
  <c r="G1352" i="3"/>
  <c r="Q1352" i="3" l="1" a="1"/>
  <c r="Q1352" i="3" s="1"/>
  <c r="P1352" i="3"/>
  <c r="I1352" i="3"/>
  <c r="R1352" i="3" l="1"/>
  <c r="B1353" i="3"/>
  <c r="K1353" i="3" l="1"/>
  <c r="D1353" i="3"/>
  <c r="L1352" i="3"/>
  <c r="S1352" i="3" s="1"/>
  <c r="V1352" i="3" l="1"/>
  <c r="T1352" i="3"/>
  <c r="U1352" i="3" s="1"/>
  <c r="O1353" i="3"/>
  <c r="N1353" i="3"/>
  <c r="G1353" i="3"/>
  <c r="P1353" i="3" l="1"/>
  <c r="Q1353" i="3" a="1"/>
  <c r="Q1353" i="3" s="1"/>
  <c r="I1353" i="3"/>
  <c r="W1352" i="3"/>
  <c r="R1353" i="3" l="1"/>
  <c r="B1354" i="3"/>
  <c r="D1354" i="3" l="1"/>
  <c r="K1354" i="3"/>
  <c r="L1353" i="3"/>
  <c r="S1353" i="3" s="1"/>
  <c r="T1353" i="3" l="1"/>
  <c r="U1353" i="3" s="1"/>
  <c r="V1353" i="3"/>
  <c r="W1353" i="3" s="1"/>
  <c r="O1354" i="3"/>
  <c r="N1354" i="3"/>
  <c r="G1354" i="3"/>
  <c r="P1354" i="3" l="1"/>
  <c r="Q1354" i="3" a="1"/>
  <c r="Q1354" i="3" s="1"/>
  <c r="I1354" i="3"/>
  <c r="R1354" i="3" l="1"/>
  <c r="B1355" i="3"/>
  <c r="K1355" i="3" l="1"/>
  <c r="D1355" i="3"/>
  <c r="L1354" i="3"/>
  <c r="S1354" i="3" s="1"/>
  <c r="V1354" i="3" l="1"/>
  <c r="T1354" i="3"/>
  <c r="U1354" i="3" s="1"/>
  <c r="G1355" i="3"/>
  <c r="I1355" i="3" s="1"/>
  <c r="O1355" i="3"/>
  <c r="N1355" i="3"/>
  <c r="B1356" i="3" l="1"/>
  <c r="Q1355" i="3" a="1"/>
  <c r="Q1355" i="3" s="1"/>
  <c r="P1355" i="3"/>
  <c r="W1354" i="3"/>
  <c r="R1355" i="3" l="1"/>
  <c r="K1356" i="3"/>
  <c r="D1356" i="3"/>
  <c r="L1355" i="3"/>
  <c r="S1355" i="3" s="1"/>
  <c r="G1356" i="3" l="1"/>
  <c r="I1356" i="3" s="1"/>
  <c r="B1357" i="3" s="1"/>
  <c r="T1355" i="3"/>
  <c r="U1355" i="3" s="1"/>
  <c r="V1355" i="3"/>
  <c r="O1356" i="3"/>
  <c r="N1356" i="3"/>
  <c r="K1357" i="3" l="1"/>
  <c r="D1357" i="3"/>
  <c r="L1356" i="3"/>
  <c r="W1355" i="3"/>
  <c r="P1356" i="3"/>
  <c r="Q1356" i="3" a="1"/>
  <c r="Q1356" i="3" s="1"/>
  <c r="R1356" i="3" l="1"/>
  <c r="S1356" i="3"/>
  <c r="N1357" i="3"/>
  <c r="O1357" i="3"/>
  <c r="G1357" i="3"/>
  <c r="P1357" i="3" l="1"/>
  <c r="Q1357" i="3" a="1"/>
  <c r="Q1357" i="3" s="1"/>
  <c r="I1357" i="3"/>
  <c r="T1356" i="3"/>
  <c r="U1356" i="3" s="1"/>
  <c r="V1356" i="3"/>
  <c r="R1357" i="3" l="1"/>
  <c r="B1358" i="3"/>
  <c r="W1356" i="3"/>
  <c r="K1358" i="3" l="1"/>
  <c r="D1358" i="3"/>
  <c r="L1357" i="3"/>
  <c r="S1357" i="3" s="1"/>
  <c r="T1357" i="3" l="1"/>
  <c r="U1357" i="3" s="1"/>
  <c r="V1357" i="3"/>
  <c r="W1357" i="3" s="1"/>
  <c r="G1358" i="3"/>
  <c r="N1358" i="3"/>
  <c r="O1358" i="3"/>
  <c r="I1358" i="3" l="1"/>
  <c r="Q1358" i="3" a="1"/>
  <c r="Q1358" i="3" s="1"/>
  <c r="P1358" i="3"/>
  <c r="R1358" i="3" l="1"/>
  <c r="B1359" i="3"/>
  <c r="D1359" i="3" l="1"/>
  <c r="K1359" i="3"/>
  <c r="L1358" i="3"/>
  <c r="S1358" i="3" s="1"/>
  <c r="G1359" i="3" l="1"/>
  <c r="N1359" i="3"/>
  <c r="O1359" i="3"/>
  <c r="V1358" i="3"/>
  <c r="T1358" i="3"/>
  <c r="U1358" i="3" s="1"/>
  <c r="W1358" i="3" l="1"/>
  <c r="Q1359" i="3" a="1"/>
  <c r="Q1359" i="3" s="1"/>
  <c r="P1359" i="3"/>
  <c r="I1359" i="3"/>
  <c r="R1359" i="3" l="1"/>
  <c r="B1360" i="3"/>
  <c r="K1360" i="3" l="1"/>
  <c r="D1360" i="3"/>
  <c r="L1359" i="3"/>
  <c r="S1359" i="3" s="1"/>
  <c r="T1359" i="3" l="1"/>
  <c r="U1359" i="3" s="1"/>
  <c r="V1359" i="3"/>
  <c r="N1360" i="3"/>
  <c r="O1360" i="3"/>
  <c r="G1360" i="3"/>
  <c r="I1360" i="3" s="1"/>
  <c r="P1360" i="3" l="1"/>
  <c r="Q1360" i="3" a="1"/>
  <c r="Q1360" i="3" s="1"/>
  <c r="W1359" i="3"/>
  <c r="B1361" i="3"/>
  <c r="L1360" i="3" s="1"/>
  <c r="R1360" i="3" l="1"/>
  <c r="K1361" i="3"/>
  <c r="D1361" i="3"/>
  <c r="S1360" i="3"/>
  <c r="T1360" i="3" l="1"/>
  <c r="U1360" i="3" s="1"/>
  <c r="V1360" i="3"/>
  <c r="W1360" i="3" s="1"/>
  <c r="O1361" i="3"/>
  <c r="N1361" i="3"/>
  <c r="G1361" i="3"/>
  <c r="I1361" i="3" s="1"/>
  <c r="Q1361" i="3" l="1" a="1"/>
  <c r="Q1361" i="3" s="1"/>
  <c r="P1361" i="3"/>
  <c r="B1362" i="3"/>
  <c r="L1361" i="3" s="1"/>
  <c r="R1361" i="3" l="1"/>
  <c r="D1362" i="3"/>
  <c r="K1362" i="3"/>
  <c r="S1361" i="3"/>
  <c r="O1362" i="3" l="1"/>
  <c r="N1362" i="3"/>
  <c r="G1362" i="3"/>
  <c r="I1362" i="3" s="1"/>
  <c r="V1361" i="3"/>
  <c r="T1361" i="3"/>
  <c r="U1361" i="3" s="1"/>
  <c r="W1361" i="3" l="1"/>
  <c r="B1363" i="3"/>
  <c r="P1362" i="3"/>
  <c r="Q1362" i="3" a="1"/>
  <c r="Q1362" i="3" s="1"/>
  <c r="R1362" i="3" s="1"/>
  <c r="D1363" i="3" l="1"/>
  <c r="K1363" i="3"/>
  <c r="L1362" i="3"/>
  <c r="S1362" i="3" s="1"/>
  <c r="G1363" i="3" l="1"/>
  <c r="I1363" i="3" s="1"/>
  <c r="N1363" i="3"/>
  <c r="O1363" i="3"/>
  <c r="T1362" i="3"/>
  <c r="U1362" i="3" s="1"/>
  <c r="V1362" i="3"/>
  <c r="W1362" i="3" l="1"/>
  <c r="P1363" i="3"/>
  <c r="Q1363" i="3" a="1"/>
  <c r="Q1363" i="3" s="1"/>
  <c r="B1364" i="3"/>
  <c r="R1363" i="3" l="1"/>
  <c r="D1364" i="3"/>
  <c r="K1364" i="3"/>
  <c r="L1363" i="3"/>
  <c r="S1363" i="3" s="1"/>
  <c r="T1363" i="3" l="1"/>
  <c r="U1363" i="3" s="1"/>
  <c r="V1363" i="3"/>
  <c r="G1364" i="3"/>
  <c r="I1364" i="3" s="1"/>
  <c r="N1364" i="3"/>
  <c r="O1364" i="3"/>
  <c r="B1365" i="3" l="1"/>
  <c r="W1363" i="3"/>
  <c r="P1364" i="3"/>
  <c r="Q1364" i="3" a="1"/>
  <c r="Q1364" i="3" s="1"/>
  <c r="R1364" i="3" s="1"/>
  <c r="K1365" i="3" l="1"/>
  <c r="D1365" i="3"/>
  <c r="L1364" i="3"/>
  <c r="S1364" i="3" s="1"/>
  <c r="T1364" i="3" l="1"/>
  <c r="U1364" i="3" s="1"/>
  <c r="V1364" i="3"/>
  <c r="G1365" i="3"/>
  <c r="O1365" i="3"/>
  <c r="N1365" i="3"/>
  <c r="I1365" i="3" l="1"/>
  <c r="P1365" i="3"/>
  <c r="Q1365" i="3" a="1"/>
  <c r="Q1365" i="3" s="1"/>
  <c r="W1364" i="3"/>
  <c r="R1365" i="3" l="1"/>
  <c r="B1366" i="3"/>
  <c r="L1365" i="3" s="1"/>
  <c r="S1365" i="3" s="1"/>
  <c r="T1365" i="3" l="1"/>
  <c r="U1365" i="3" s="1"/>
  <c r="V1365" i="3"/>
  <c r="K1366" i="3"/>
  <c r="D1366" i="3"/>
  <c r="G1366" i="3" l="1"/>
  <c r="O1366" i="3"/>
  <c r="N1366" i="3"/>
  <c r="W1365" i="3"/>
  <c r="P1366" i="3" l="1"/>
  <c r="Q1366" i="3" a="1"/>
  <c r="Q1366" i="3" s="1"/>
  <c r="R1366" i="3" s="1"/>
  <c r="I1366" i="3"/>
  <c r="B1367" i="3" l="1"/>
  <c r="K1367" i="3" l="1"/>
  <c r="D1367" i="3"/>
  <c r="L1366" i="3"/>
  <c r="S1366" i="3" s="1"/>
  <c r="G1367" i="3" l="1"/>
  <c r="O1367" i="3"/>
  <c r="N1367" i="3"/>
  <c r="T1366" i="3"/>
  <c r="U1366" i="3" s="1"/>
  <c r="V1366" i="3"/>
  <c r="W1366" i="3" l="1"/>
  <c r="P1367" i="3"/>
  <c r="Q1367" i="3" a="1"/>
  <c r="Q1367" i="3" s="1"/>
  <c r="I1367" i="3"/>
  <c r="R1367" i="3" l="1"/>
  <c r="B1368" i="3"/>
  <c r="L1367" i="3" s="1"/>
  <c r="S1367" i="3" s="1"/>
  <c r="T1367" i="3" l="1"/>
  <c r="U1367" i="3" s="1"/>
  <c r="V1367" i="3"/>
  <c r="D1368" i="3"/>
  <c r="K1368" i="3"/>
  <c r="O1368" i="3" l="1"/>
  <c r="G1368" i="3"/>
  <c r="I1368" i="3" s="1"/>
  <c r="N1368" i="3"/>
  <c r="W1367" i="3"/>
  <c r="B1369" i="3" l="1"/>
  <c r="P1368" i="3"/>
  <c r="Q1368" i="3" a="1"/>
  <c r="Q1368" i="3" s="1"/>
  <c r="R1368" i="3" l="1"/>
  <c r="K1369" i="3"/>
  <c r="D1369" i="3"/>
  <c r="L1368" i="3"/>
  <c r="S1368" i="3" s="1"/>
  <c r="N1369" i="3" l="1"/>
  <c r="G1369" i="3"/>
  <c r="I1369" i="3" s="1"/>
  <c r="O1369" i="3"/>
  <c r="T1368" i="3"/>
  <c r="U1368" i="3" s="1"/>
  <c r="V1368" i="3"/>
  <c r="W1368" i="3" l="1"/>
  <c r="Q1369" i="3" a="1"/>
  <c r="Q1369" i="3" s="1"/>
  <c r="P1369" i="3"/>
  <c r="B1370" i="3"/>
  <c r="R1369" i="3" l="1"/>
  <c r="K1370" i="3"/>
  <c r="D1370" i="3"/>
  <c r="L1369" i="3"/>
  <c r="S1369" i="3" s="1"/>
  <c r="T1369" i="3" l="1"/>
  <c r="U1369" i="3" s="1"/>
  <c r="V1369" i="3"/>
  <c r="G1370" i="3"/>
  <c r="I1370" i="3" s="1"/>
  <c r="N1370" i="3"/>
  <c r="O1370" i="3"/>
  <c r="B1371" i="3" l="1"/>
  <c r="W1369" i="3"/>
  <c r="Q1370" i="3" a="1"/>
  <c r="Q1370" i="3" s="1"/>
  <c r="R1370" i="3" s="1"/>
  <c r="P1370" i="3"/>
  <c r="K1371" i="3" l="1"/>
  <c r="D1371" i="3"/>
  <c r="L1370" i="3"/>
  <c r="S1370" i="3" s="1"/>
  <c r="T1370" i="3" l="1"/>
  <c r="U1370" i="3" s="1"/>
  <c r="V1370" i="3"/>
  <c r="G1371" i="3"/>
  <c r="O1371" i="3"/>
  <c r="N1371" i="3"/>
  <c r="I1371" i="3" l="1"/>
  <c r="Q1371" i="3" a="1"/>
  <c r="Q1371" i="3" s="1"/>
  <c r="P1371" i="3"/>
  <c r="W1370" i="3"/>
  <c r="R1371" i="3" l="1"/>
  <c r="B1372" i="3"/>
  <c r="D1372" i="3" l="1"/>
  <c r="K1372" i="3"/>
  <c r="L1371" i="3"/>
  <c r="S1371" i="3" s="1"/>
  <c r="G1372" i="3" l="1"/>
  <c r="I1372" i="3" s="1"/>
  <c r="N1372" i="3"/>
  <c r="O1372" i="3"/>
  <c r="T1371" i="3"/>
  <c r="U1371" i="3" s="1"/>
  <c r="V1371" i="3"/>
  <c r="W1371" i="3" l="1"/>
  <c r="P1372" i="3"/>
  <c r="Q1372" i="3" a="1"/>
  <c r="Q1372" i="3" s="1"/>
  <c r="B1373" i="3"/>
  <c r="R1372" i="3" l="1"/>
  <c r="D1373" i="3"/>
  <c r="K1373" i="3"/>
  <c r="L1372" i="3"/>
  <c r="S1372" i="3" s="1"/>
  <c r="T1372" i="3" l="1"/>
  <c r="U1372" i="3" s="1"/>
  <c r="V1372" i="3"/>
  <c r="W1372" i="3" s="1"/>
  <c r="N1373" i="3"/>
  <c r="G1373" i="3"/>
  <c r="I1373" i="3" s="1"/>
  <c r="O1373" i="3"/>
  <c r="B1374" i="3" l="1"/>
  <c r="Q1373" i="3" a="1"/>
  <c r="Q1373" i="3" s="1"/>
  <c r="P1373" i="3"/>
  <c r="R1373" i="3" l="1"/>
  <c r="D1374" i="3"/>
  <c r="K1374" i="3"/>
  <c r="L1373" i="3"/>
  <c r="S1373" i="3" s="1"/>
  <c r="V1373" i="3" l="1"/>
  <c r="W1373" i="3" s="1"/>
  <c r="T1373" i="3"/>
  <c r="U1373" i="3" s="1"/>
  <c r="N1374" i="3"/>
  <c r="O1374" i="3"/>
  <c r="G1374" i="3"/>
  <c r="I1374" i="3" s="1"/>
  <c r="Q1374" i="3" l="1" a="1"/>
  <c r="Q1374" i="3" s="1"/>
  <c r="P1374" i="3"/>
  <c r="B1375" i="3"/>
  <c r="R1374" i="3" l="1"/>
  <c r="D1375" i="3"/>
  <c r="K1375" i="3"/>
  <c r="L1374" i="3"/>
  <c r="S1374" i="3" s="1"/>
  <c r="G1375" i="3" l="1"/>
  <c r="I1375" i="3" s="1"/>
  <c r="N1375" i="3"/>
  <c r="O1375" i="3"/>
  <c r="V1374" i="3"/>
  <c r="T1374" i="3"/>
  <c r="U1374" i="3" s="1"/>
  <c r="W1374" i="3" l="1"/>
  <c r="Q1375" i="3" a="1"/>
  <c r="Q1375" i="3" s="1"/>
  <c r="P1375" i="3"/>
  <c r="B1376" i="3"/>
  <c r="R1375" i="3" l="1"/>
  <c r="K1376" i="3"/>
  <c r="D1376" i="3"/>
  <c r="L1375" i="3"/>
  <c r="S1375" i="3" s="1"/>
  <c r="T1375" i="3" l="1"/>
  <c r="U1375" i="3" s="1"/>
  <c r="V1375" i="3"/>
  <c r="O1376" i="3"/>
  <c r="G1376" i="3"/>
  <c r="N1376" i="3"/>
  <c r="I1376" i="3" l="1"/>
  <c r="Q1376" i="3" a="1"/>
  <c r="Q1376" i="3" s="1"/>
  <c r="P1376" i="3"/>
  <c r="W1375" i="3"/>
  <c r="R1376" i="3" l="1"/>
  <c r="B1377" i="3"/>
  <c r="K1377" i="3" l="1"/>
  <c r="D1377" i="3"/>
  <c r="L1376" i="3"/>
  <c r="S1376" i="3" s="1"/>
  <c r="T1376" i="3" l="1"/>
  <c r="U1376" i="3" s="1"/>
  <c r="V1376" i="3"/>
  <c r="N1377" i="3"/>
  <c r="G1377" i="3"/>
  <c r="O1377" i="3"/>
  <c r="I1377" i="3" l="1"/>
  <c r="W1376" i="3"/>
  <c r="P1377" i="3"/>
  <c r="Q1377" i="3" a="1"/>
  <c r="Q1377" i="3" s="1"/>
  <c r="R1377" i="3" s="1"/>
  <c r="B1378" i="3" l="1"/>
  <c r="K1378" i="3" l="1"/>
  <c r="D1378" i="3"/>
  <c r="L1377" i="3"/>
  <c r="S1377" i="3" s="1"/>
  <c r="T1377" i="3" l="1"/>
  <c r="U1377" i="3" s="1"/>
  <c r="V1377" i="3"/>
  <c r="G1378" i="3"/>
  <c r="O1378" i="3"/>
  <c r="N1378" i="3"/>
  <c r="Q1378" i="3" l="1" a="1"/>
  <c r="Q1378" i="3" s="1"/>
  <c r="P1378" i="3"/>
  <c r="I1378" i="3"/>
  <c r="W1377" i="3"/>
  <c r="R1378" i="3" l="1"/>
  <c r="B1379" i="3"/>
  <c r="K1379" i="3" l="1"/>
  <c r="D1379" i="3"/>
  <c r="L1378" i="3"/>
  <c r="S1378" i="3" s="1"/>
  <c r="T1378" i="3" l="1"/>
  <c r="U1378" i="3" s="1"/>
  <c r="V1378" i="3"/>
  <c r="N1379" i="3"/>
  <c r="O1379" i="3"/>
  <c r="G1379" i="3"/>
  <c r="Q1379" i="3" l="1" a="1"/>
  <c r="Q1379" i="3" s="1"/>
  <c r="P1379" i="3"/>
  <c r="W1378" i="3"/>
  <c r="I1379" i="3"/>
  <c r="B1380" i="3" s="1"/>
  <c r="R1379" i="3" l="1"/>
  <c r="K1380" i="3"/>
  <c r="D1380" i="3"/>
  <c r="L1379" i="3"/>
  <c r="S1379" i="3" s="1"/>
  <c r="T1379" i="3" l="1"/>
  <c r="U1379" i="3" s="1"/>
  <c r="V1379" i="3"/>
  <c r="G1380" i="3"/>
  <c r="O1380" i="3"/>
  <c r="N1380" i="3"/>
  <c r="Q1380" i="3" l="1" a="1"/>
  <c r="Q1380" i="3" s="1"/>
  <c r="R1380" i="3" s="1"/>
  <c r="P1380" i="3"/>
  <c r="I1380" i="3"/>
  <c r="W1379" i="3"/>
  <c r="B1381" i="3" l="1"/>
  <c r="K1381" i="3" l="1"/>
  <c r="D1381" i="3"/>
  <c r="L1380" i="3"/>
  <c r="S1380" i="3" s="1"/>
  <c r="T1380" i="3" l="1"/>
  <c r="U1380" i="3" s="1"/>
  <c r="V1380" i="3"/>
  <c r="N1381" i="3"/>
  <c r="G1381" i="3"/>
  <c r="O1381" i="3"/>
  <c r="I1381" i="3" l="1"/>
  <c r="W1380" i="3"/>
  <c r="P1381" i="3"/>
  <c r="Q1381" i="3" a="1"/>
  <c r="Q1381" i="3" s="1"/>
  <c r="R1381" i="3" s="1"/>
  <c r="B1382" i="3" l="1"/>
  <c r="K1382" i="3" l="1"/>
  <c r="D1382" i="3"/>
  <c r="L1381" i="3"/>
  <c r="S1381" i="3" s="1"/>
  <c r="T1381" i="3" l="1"/>
  <c r="U1381" i="3" s="1"/>
  <c r="V1381" i="3"/>
  <c r="W1381" i="3" s="1"/>
  <c r="O1382" i="3"/>
  <c r="G1382" i="3"/>
  <c r="N1382" i="3"/>
  <c r="I1382" i="3" l="1"/>
  <c r="Q1382" i="3" a="1"/>
  <c r="Q1382" i="3" s="1"/>
  <c r="P1382" i="3"/>
  <c r="R1382" i="3" l="1"/>
  <c r="B1383" i="3"/>
  <c r="L1382" i="3" s="1"/>
  <c r="S1382" i="3" s="1"/>
  <c r="V1382" i="3" l="1"/>
  <c r="T1382" i="3"/>
  <c r="U1382" i="3" s="1"/>
  <c r="D1383" i="3"/>
  <c r="K1383" i="3"/>
  <c r="O1383" i="3" l="1"/>
  <c r="G1383" i="3"/>
  <c r="N1383" i="3"/>
  <c r="W1382" i="3"/>
  <c r="I1383" i="3" l="1"/>
  <c r="P1383" i="3"/>
  <c r="Q1383" i="3" a="1"/>
  <c r="Q1383" i="3" s="1"/>
  <c r="R1383" i="3" s="1"/>
  <c r="B1384" i="3" l="1"/>
  <c r="L1383" i="3" s="1"/>
  <c r="S1383" i="3" s="1"/>
  <c r="T1383" i="3" l="1"/>
  <c r="U1383" i="3" s="1"/>
  <c r="V1383" i="3"/>
  <c r="W1383" i="3" s="1"/>
  <c r="D1384" i="3"/>
  <c r="K1384" i="3"/>
  <c r="G1384" i="3" l="1"/>
  <c r="N1384" i="3"/>
  <c r="O1384" i="3"/>
  <c r="Q1384" i="3" l="1" a="1"/>
  <c r="Q1384" i="3" s="1"/>
  <c r="P1384" i="3"/>
  <c r="I1384" i="3"/>
  <c r="B1385" i="3" s="1"/>
  <c r="R1384" i="3" l="1"/>
  <c r="D1385" i="3"/>
  <c r="K1385" i="3"/>
  <c r="L1384" i="3"/>
  <c r="S1384" i="3" s="1"/>
  <c r="V1384" i="3" l="1"/>
  <c r="T1384" i="3"/>
  <c r="U1384" i="3" s="1"/>
  <c r="N1385" i="3"/>
  <c r="O1385" i="3"/>
  <c r="G1385" i="3"/>
  <c r="P1385" i="3" l="1"/>
  <c r="Q1385" i="3" a="1"/>
  <c r="Q1385" i="3" s="1"/>
  <c r="I1385" i="3"/>
  <c r="W1384" i="3"/>
  <c r="R1385" i="3" l="1"/>
  <c r="B1386" i="3"/>
  <c r="K1386" i="3" l="1"/>
  <c r="D1386" i="3"/>
  <c r="L1385" i="3"/>
  <c r="S1385" i="3" s="1"/>
  <c r="T1385" i="3" l="1"/>
  <c r="U1385" i="3" s="1"/>
  <c r="V1385" i="3"/>
  <c r="G1386" i="3"/>
  <c r="O1386" i="3"/>
  <c r="N1386" i="3"/>
  <c r="Q1386" i="3" l="1" a="1"/>
  <c r="Q1386" i="3" s="1"/>
  <c r="P1386" i="3"/>
  <c r="I1386" i="3"/>
  <c r="W1385" i="3"/>
  <c r="R1386" i="3" l="1"/>
  <c r="B1387" i="3"/>
  <c r="K1387" i="3" l="1"/>
  <c r="D1387" i="3"/>
  <c r="L1386" i="3"/>
  <c r="S1386" i="3" s="1"/>
  <c r="T1386" i="3" l="1"/>
  <c r="U1386" i="3" s="1"/>
  <c r="V1386" i="3"/>
  <c r="O1387" i="3"/>
  <c r="N1387" i="3"/>
  <c r="G1387" i="3"/>
  <c r="I1387" i="3" s="1"/>
  <c r="P1387" i="3" l="1"/>
  <c r="Q1387" i="3" a="1"/>
  <c r="Q1387" i="3" s="1"/>
  <c r="W1386" i="3"/>
  <c r="B1388" i="3"/>
  <c r="R1387" i="3" l="1"/>
  <c r="D1388" i="3"/>
  <c r="K1388" i="3"/>
  <c r="L1387" i="3"/>
  <c r="S1387" i="3" s="1"/>
  <c r="T1387" i="3" l="1"/>
  <c r="U1387" i="3" s="1"/>
  <c r="V1387" i="3"/>
  <c r="N1388" i="3"/>
  <c r="G1388" i="3"/>
  <c r="I1388" i="3" s="1"/>
  <c r="O1388" i="3"/>
  <c r="B1389" i="3" l="1"/>
  <c r="W1387" i="3"/>
  <c r="Q1388" i="3" a="1"/>
  <c r="Q1388" i="3" s="1"/>
  <c r="R1388" i="3" s="1"/>
  <c r="P1388" i="3"/>
  <c r="K1389" i="3" l="1"/>
  <c r="D1389" i="3"/>
  <c r="L1388" i="3"/>
  <c r="S1388" i="3" s="1"/>
  <c r="T1388" i="3" l="1"/>
  <c r="U1388" i="3" s="1"/>
  <c r="V1388" i="3"/>
  <c r="O1389" i="3"/>
  <c r="G1389" i="3"/>
  <c r="I1389" i="3" s="1"/>
  <c r="N1389" i="3"/>
  <c r="B1390" i="3" l="1"/>
  <c r="Q1389" i="3" a="1"/>
  <c r="Q1389" i="3" s="1"/>
  <c r="P1389" i="3"/>
  <c r="W1388" i="3"/>
  <c r="R1389" i="3" l="1"/>
  <c r="K1390" i="3"/>
  <c r="D1390" i="3"/>
  <c r="L1389" i="3"/>
  <c r="S1389" i="3" s="1"/>
  <c r="T1389" i="3" l="1"/>
  <c r="U1389" i="3" s="1"/>
  <c r="V1389" i="3"/>
  <c r="G1390" i="3"/>
  <c r="I1390" i="3" s="1"/>
  <c r="O1390" i="3"/>
  <c r="N1390" i="3"/>
  <c r="P1390" i="3" l="1"/>
  <c r="Q1390" i="3" a="1"/>
  <c r="Q1390" i="3" s="1"/>
  <c r="B1391" i="3"/>
  <c r="W1389" i="3"/>
  <c r="R1390" i="3" l="1"/>
  <c r="K1391" i="3"/>
  <c r="D1391" i="3"/>
  <c r="L1390" i="3"/>
  <c r="S1390" i="3" s="1"/>
  <c r="T1390" i="3" l="1"/>
  <c r="U1390" i="3" s="1"/>
  <c r="V1390" i="3"/>
  <c r="G1391" i="3"/>
  <c r="I1391" i="3" s="1"/>
  <c r="N1391" i="3"/>
  <c r="O1391" i="3"/>
  <c r="B1392" i="3" l="1"/>
  <c r="W1390" i="3"/>
  <c r="P1391" i="3"/>
  <c r="Q1391" i="3" a="1"/>
  <c r="Q1391" i="3" s="1"/>
  <c r="R1391" i="3" s="1"/>
  <c r="D1392" i="3" l="1"/>
  <c r="K1392" i="3"/>
  <c r="L1391" i="3"/>
  <c r="S1391" i="3" s="1"/>
  <c r="T1391" i="3" l="1"/>
  <c r="U1391" i="3" s="1"/>
  <c r="V1391" i="3"/>
  <c r="W1391" i="3" s="1"/>
  <c r="N1392" i="3"/>
  <c r="O1392" i="3"/>
  <c r="G1392" i="3"/>
  <c r="I1392" i="3" s="1"/>
  <c r="P1392" i="3" l="1"/>
  <c r="Q1392" i="3" a="1"/>
  <c r="Q1392" i="3" s="1"/>
  <c r="B1393" i="3"/>
  <c r="R1392" i="3" l="1"/>
  <c r="K1393" i="3"/>
  <c r="D1393" i="3"/>
  <c r="L1392" i="3"/>
  <c r="S1392" i="3" s="1"/>
  <c r="G1393" i="3" l="1"/>
  <c r="I1393" i="3" s="1"/>
  <c r="B1394" i="3" s="1"/>
  <c r="V1392" i="3"/>
  <c r="W1392" i="3" s="1"/>
  <c r="T1392" i="3"/>
  <c r="U1392" i="3" s="1"/>
  <c r="N1393" i="3"/>
  <c r="O1393" i="3"/>
  <c r="K1394" i="3" l="1"/>
  <c r="D1394" i="3"/>
  <c r="L1393" i="3"/>
  <c r="P1393" i="3"/>
  <c r="Q1393" i="3" a="1"/>
  <c r="Q1393" i="3" s="1"/>
  <c r="R1393" i="3" l="1"/>
  <c r="S1393" i="3"/>
  <c r="V1393" i="3" s="1"/>
  <c r="G1394" i="3"/>
  <c r="O1394" i="3"/>
  <c r="N1394" i="3"/>
  <c r="T1393" i="3" l="1"/>
  <c r="U1393" i="3" s="1"/>
  <c r="P1394" i="3"/>
  <c r="Q1394" i="3" a="1"/>
  <c r="Q1394" i="3" s="1"/>
  <c r="I1394" i="3"/>
  <c r="B1395" i="3" s="1"/>
  <c r="W1393" i="3"/>
  <c r="R1394" i="3" l="1"/>
  <c r="D1395" i="3"/>
  <c r="K1395" i="3"/>
  <c r="L1394" i="3"/>
  <c r="S1394" i="3" s="1"/>
  <c r="O1395" i="3" l="1"/>
  <c r="N1395" i="3"/>
  <c r="G1395" i="3"/>
  <c r="I1395" i="3" s="1"/>
  <c r="T1394" i="3"/>
  <c r="U1394" i="3" s="1"/>
  <c r="V1394" i="3"/>
  <c r="W1394" i="3" l="1"/>
  <c r="B1396" i="3"/>
  <c r="Q1395" i="3" a="1"/>
  <c r="Q1395" i="3" s="1"/>
  <c r="P1395" i="3"/>
  <c r="R1395" i="3" l="1"/>
  <c r="K1396" i="3"/>
  <c r="D1396" i="3"/>
  <c r="L1395" i="3"/>
  <c r="S1395" i="3" s="1"/>
  <c r="T1395" i="3" l="1"/>
  <c r="U1395" i="3" s="1"/>
  <c r="V1395" i="3"/>
  <c r="N1396" i="3"/>
  <c r="O1396" i="3"/>
  <c r="G1396" i="3"/>
  <c r="I1396" i="3" s="1"/>
  <c r="Q1396" i="3" l="1" a="1"/>
  <c r="Q1396" i="3" s="1"/>
  <c r="P1396" i="3"/>
  <c r="W1395" i="3"/>
  <c r="B1397" i="3"/>
  <c r="L1396" i="3" s="1"/>
  <c r="R1396" i="3" l="1"/>
  <c r="K1397" i="3"/>
  <c r="D1397" i="3"/>
  <c r="S1396" i="3"/>
  <c r="T1396" i="3" l="1"/>
  <c r="U1396" i="3" s="1"/>
  <c r="V1396" i="3"/>
  <c r="G1397" i="3"/>
  <c r="N1397" i="3"/>
  <c r="O1397" i="3"/>
  <c r="I1397" i="3" l="1"/>
  <c r="W1396" i="3"/>
  <c r="P1397" i="3"/>
  <c r="Q1397" i="3" a="1"/>
  <c r="Q1397" i="3" s="1"/>
  <c r="R1397" i="3" s="1"/>
  <c r="B1398" i="3" l="1"/>
  <c r="K1398" i="3" l="1"/>
  <c r="D1398" i="3"/>
  <c r="L1397" i="3"/>
  <c r="S1397" i="3" s="1"/>
  <c r="T1397" i="3" l="1"/>
  <c r="U1397" i="3" s="1"/>
  <c r="V1397" i="3"/>
  <c r="O1398" i="3"/>
  <c r="N1398" i="3"/>
  <c r="G1398" i="3"/>
  <c r="I1398" i="3" s="1"/>
  <c r="P1398" i="3" l="1"/>
  <c r="Q1398" i="3" a="1"/>
  <c r="Q1398" i="3" s="1"/>
  <c r="W1397" i="3"/>
  <c r="B1399" i="3"/>
  <c r="R1398" i="3" l="1"/>
  <c r="K1399" i="3"/>
  <c r="D1399" i="3"/>
  <c r="L1398" i="3"/>
  <c r="S1398" i="3" s="1"/>
  <c r="T1398" i="3" l="1"/>
  <c r="U1398" i="3" s="1"/>
  <c r="V1398" i="3"/>
  <c r="N1399" i="3"/>
  <c r="O1399" i="3"/>
  <c r="G1399" i="3"/>
  <c r="P1399" i="3" l="1"/>
  <c r="Q1399" i="3" a="1"/>
  <c r="Q1399" i="3" s="1"/>
  <c r="W1398" i="3"/>
  <c r="I1399" i="3"/>
  <c r="R1399" i="3" l="1"/>
  <c r="B1400" i="3"/>
  <c r="D1400" i="3" l="1"/>
  <c r="K1400" i="3"/>
  <c r="L1399" i="3"/>
  <c r="S1399" i="3" s="1"/>
  <c r="V1399" i="3" l="1"/>
  <c r="W1399" i="3" s="1"/>
  <c r="T1399" i="3"/>
  <c r="U1399" i="3" s="1"/>
  <c r="N1400" i="3"/>
  <c r="O1400" i="3"/>
  <c r="G1400" i="3"/>
  <c r="P1400" i="3" l="1"/>
  <c r="Q1400" i="3" a="1"/>
  <c r="Q1400" i="3" s="1"/>
  <c r="R1400" i="3" s="1"/>
  <c r="I1400" i="3"/>
  <c r="B1401" i="3" l="1"/>
  <c r="K1401" i="3" l="1"/>
  <c r="D1401" i="3"/>
  <c r="L1400" i="3"/>
  <c r="S1400" i="3" s="1"/>
  <c r="G1401" i="3" l="1"/>
  <c r="I1401" i="3" s="1"/>
  <c r="V1400" i="3"/>
  <c r="T1400" i="3"/>
  <c r="U1400" i="3" s="1"/>
  <c r="N1401" i="3"/>
  <c r="O1401" i="3"/>
  <c r="B1402" i="3" l="1"/>
  <c r="P1401" i="3"/>
  <c r="Q1401" i="3" a="1"/>
  <c r="Q1401" i="3" s="1"/>
  <c r="W1400" i="3"/>
  <c r="R1401" i="3" l="1"/>
  <c r="D1402" i="3"/>
  <c r="K1402" i="3"/>
  <c r="L1401" i="3"/>
  <c r="S1401" i="3" s="1"/>
  <c r="T1401" i="3" l="1"/>
  <c r="U1401" i="3" s="1"/>
  <c r="V1401" i="3"/>
  <c r="G1402" i="3"/>
  <c r="I1402" i="3" s="1"/>
  <c r="N1402" i="3"/>
  <c r="O1402" i="3"/>
  <c r="B1403" i="3" l="1"/>
  <c r="W1401" i="3"/>
  <c r="Q1402" i="3" a="1"/>
  <c r="Q1402" i="3" s="1"/>
  <c r="R1402" i="3" s="1"/>
  <c r="P1402" i="3"/>
  <c r="D1403" i="3" l="1"/>
  <c r="K1403" i="3"/>
  <c r="L1402" i="3"/>
  <c r="S1402" i="3" s="1"/>
  <c r="T1402" i="3" l="1"/>
  <c r="U1402" i="3" s="1"/>
  <c r="V1402" i="3"/>
  <c r="O1403" i="3"/>
  <c r="N1403" i="3"/>
  <c r="G1403" i="3"/>
  <c r="I1403" i="3" s="1"/>
  <c r="Q1403" i="3" l="1" a="1"/>
  <c r="Q1403" i="3" s="1"/>
  <c r="R1403" i="3" s="1"/>
  <c r="P1403" i="3"/>
  <c r="W1402" i="3"/>
  <c r="B1404" i="3"/>
  <c r="L1403" i="3" s="1"/>
  <c r="K1404" i="3" l="1"/>
  <c r="D1404" i="3"/>
  <c r="S1403" i="3"/>
  <c r="O1404" i="3" l="1"/>
  <c r="N1404" i="3"/>
  <c r="G1404" i="3"/>
  <c r="I1404" i="3" s="1"/>
  <c r="T1403" i="3"/>
  <c r="U1403" i="3" s="1"/>
  <c r="V1403" i="3"/>
  <c r="W1403" i="3" s="1"/>
  <c r="B1405" i="3" l="1"/>
  <c r="P1404" i="3"/>
  <c r="Q1404" i="3" a="1"/>
  <c r="Q1404" i="3" s="1"/>
  <c r="R1404" i="3" l="1"/>
  <c r="D1405" i="3"/>
  <c r="K1405" i="3"/>
  <c r="L1404" i="3"/>
  <c r="S1404" i="3" s="1"/>
  <c r="V1404" i="3" l="1"/>
  <c r="T1404" i="3"/>
  <c r="U1404" i="3" s="1"/>
  <c r="N1405" i="3"/>
  <c r="O1405" i="3"/>
  <c r="G1405" i="3"/>
  <c r="P1405" i="3" l="1"/>
  <c r="Q1405" i="3" a="1"/>
  <c r="Q1405" i="3" s="1"/>
  <c r="I1405" i="3"/>
  <c r="W1404" i="3"/>
  <c r="R1405" i="3" l="1"/>
  <c r="B1406" i="3"/>
  <c r="K1406" i="3" l="1"/>
  <c r="D1406" i="3"/>
  <c r="L1405" i="3"/>
  <c r="S1405" i="3" s="1"/>
  <c r="T1405" i="3" l="1"/>
  <c r="U1405" i="3" s="1"/>
  <c r="V1405" i="3"/>
  <c r="G1406" i="3"/>
  <c r="I1406" i="3" s="1"/>
  <c r="O1406" i="3"/>
  <c r="N1406" i="3"/>
  <c r="P1406" i="3" l="1"/>
  <c r="Q1406" i="3" a="1"/>
  <c r="Q1406" i="3" s="1"/>
  <c r="B1407" i="3"/>
  <c r="L1406" i="3" s="1"/>
  <c r="W1405" i="3"/>
  <c r="R1406" i="3" l="1"/>
  <c r="D1407" i="3"/>
  <c r="K1407" i="3"/>
  <c r="S1406" i="3"/>
  <c r="N1407" i="3" l="1"/>
  <c r="O1407" i="3"/>
  <c r="G1407" i="3"/>
  <c r="I1407" i="3" s="1"/>
  <c r="T1406" i="3"/>
  <c r="U1406" i="3" s="1"/>
  <c r="V1406" i="3"/>
  <c r="W1406" i="3" l="1"/>
  <c r="B1408" i="3"/>
  <c r="Q1407" i="3" a="1"/>
  <c r="Q1407" i="3" s="1"/>
  <c r="R1407" i="3" s="1"/>
  <c r="P1407" i="3"/>
  <c r="D1408" i="3" l="1"/>
  <c r="K1408" i="3"/>
  <c r="L1407" i="3"/>
  <c r="S1407" i="3" s="1"/>
  <c r="N1408" i="3" l="1"/>
  <c r="O1408" i="3"/>
  <c r="T1407" i="3"/>
  <c r="U1407" i="3" s="1"/>
  <c r="V1407" i="3"/>
  <c r="G1408" i="3"/>
  <c r="I1408" i="3" s="1"/>
  <c r="B1409" i="3" l="1"/>
  <c r="W1407" i="3"/>
  <c r="Q1408" i="3" a="1"/>
  <c r="Q1408" i="3" s="1"/>
  <c r="R1408" i="3" s="1"/>
  <c r="P1408" i="3"/>
  <c r="K1409" i="3" l="1"/>
  <c r="D1409" i="3"/>
  <c r="L1408" i="3"/>
  <c r="S1408" i="3" s="1"/>
  <c r="T1408" i="3" l="1"/>
  <c r="U1408" i="3" s="1"/>
  <c r="V1408" i="3"/>
  <c r="O1409" i="3"/>
  <c r="G1409" i="3"/>
  <c r="N1409" i="3"/>
  <c r="I1409" i="3" l="1"/>
  <c r="Q1409" i="3" a="1"/>
  <c r="Q1409" i="3" s="1"/>
  <c r="P1409" i="3"/>
  <c r="W1408" i="3"/>
  <c r="R1409" i="3" l="1"/>
  <c r="B1410" i="3"/>
  <c r="D1410" i="3" l="1"/>
  <c r="K1410" i="3"/>
  <c r="L1409" i="3"/>
  <c r="S1409" i="3" s="1"/>
  <c r="T1409" i="3" l="1"/>
  <c r="U1409" i="3" s="1"/>
  <c r="V1409" i="3"/>
  <c r="W1409" i="3" s="1"/>
  <c r="N1410" i="3"/>
  <c r="O1410" i="3"/>
  <c r="G1410" i="3"/>
  <c r="Q1410" i="3" l="1" a="1"/>
  <c r="Q1410" i="3" s="1"/>
  <c r="P1410" i="3"/>
  <c r="I1410" i="3"/>
  <c r="R1410" i="3" l="1"/>
  <c r="B1411" i="3"/>
  <c r="K1411" i="3" l="1"/>
  <c r="D1411" i="3"/>
  <c r="L1410" i="3"/>
  <c r="S1410" i="3" s="1"/>
  <c r="V1410" i="3" l="1"/>
  <c r="T1410" i="3"/>
  <c r="U1410" i="3" s="1"/>
  <c r="O1411" i="3"/>
  <c r="G1411" i="3"/>
  <c r="I1411" i="3" s="1"/>
  <c r="N1411" i="3"/>
  <c r="B1412" i="3" l="1"/>
  <c r="Q1411" i="3" a="1"/>
  <c r="Q1411" i="3" s="1"/>
  <c r="P1411" i="3"/>
  <c r="W1410" i="3"/>
  <c r="R1411" i="3" l="1"/>
  <c r="K1412" i="3"/>
  <c r="D1412" i="3"/>
  <c r="L1411" i="3"/>
  <c r="S1411" i="3" s="1"/>
  <c r="G1412" i="3" l="1"/>
  <c r="I1412" i="3" s="1"/>
  <c r="B1413" i="3" s="1"/>
  <c r="T1411" i="3"/>
  <c r="U1411" i="3" s="1"/>
  <c r="V1411" i="3"/>
  <c r="O1412" i="3"/>
  <c r="N1412" i="3"/>
  <c r="K1413" i="3" l="1"/>
  <c r="D1413" i="3"/>
  <c r="L1412" i="3"/>
  <c r="W1411" i="3"/>
  <c r="Q1412" i="3" a="1"/>
  <c r="Q1412" i="3" s="1"/>
  <c r="P1412" i="3"/>
  <c r="R1412" i="3" l="1"/>
  <c r="S1412" i="3"/>
  <c r="V1412" i="3" s="1"/>
  <c r="W1412" i="3" s="1"/>
  <c r="G1413" i="3"/>
  <c r="I1413" i="3" s="1"/>
  <c r="O1413" i="3"/>
  <c r="N1413" i="3"/>
  <c r="T1412" i="3" l="1"/>
  <c r="U1412" i="3" s="1"/>
  <c r="P1413" i="3"/>
  <c r="Q1413" i="3" a="1"/>
  <c r="Q1413" i="3" s="1"/>
  <c r="B1414" i="3"/>
  <c r="R1413" i="3" l="1"/>
  <c r="D1414" i="3"/>
  <c r="K1414" i="3"/>
  <c r="L1413" i="3"/>
  <c r="S1413" i="3" s="1"/>
  <c r="T1413" i="3" l="1"/>
  <c r="U1413" i="3" s="1"/>
  <c r="V1413" i="3"/>
  <c r="G1414" i="3"/>
  <c r="I1414" i="3" s="1"/>
  <c r="O1414" i="3"/>
  <c r="N1414" i="3"/>
  <c r="P1414" i="3" l="1"/>
  <c r="Q1414" i="3" a="1"/>
  <c r="Q1414" i="3" s="1"/>
  <c r="B1415" i="3"/>
  <c r="W1413" i="3"/>
  <c r="R1414" i="3" l="1"/>
  <c r="D1415" i="3"/>
  <c r="K1415" i="3"/>
  <c r="L1414" i="3"/>
  <c r="S1414" i="3" s="1"/>
  <c r="O1415" i="3" l="1"/>
  <c r="G1415" i="3"/>
  <c r="I1415" i="3" s="1"/>
  <c r="N1415" i="3"/>
  <c r="T1414" i="3"/>
  <c r="U1414" i="3" s="1"/>
  <c r="V1414" i="3"/>
  <c r="W1414" i="3" l="1"/>
  <c r="B1416" i="3"/>
  <c r="P1415" i="3"/>
  <c r="Q1415" i="3" a="1"/>
  <c r="Q1415" i="3" s="1"/>
  <c r="R1415" i="3" s="1"/>
  <c r="D1416" i="3" l="1"/>
  <c r="K1416" i="3"/>
  <c r="L1415" i="3"/>
  <c r="S1415" i="3" s="1"/>
  <c r="T1415" i="3" l="1"/>
  <c r="U1415" i="3" s="1"/>
  <c r="V1415" i="3"/>
  <c r="N1416" i="3"/>
  <c r="O1416" i="3"/>
  <c r="G1416" i="3"/>
  <c r="I1416" i="3" s="1"/>
  <c r="P1416" i="3" l="1"/>
  <c r="Q1416" i="3" a="1"/>
  <c r="Q1416" i="3" s="1"/>
  <c r="W1415" i="3"/>
  <c r="B1417" i="3"/>
  <c r="R1416" i="3" l="1"/>
  <c r="K1417" i="3"/>
  <c r="D1417" i="3"/>
  <c r="L1416" i="3"/>
  <c r="S1416" i="3" s="1"/>
  <c r="T1416" i="3" l="1"/>
  <c r="U1416" i="3" s="1"/>
  <c r="V1416" i="3"/>
  <c r="W1416" i="3" s="1"/>
  <c r="G1417" i="3"/>
  <c r="I1417" i="3" s="1"/>
  <c r="O1417" i="3"/>
  <c r="N1417" i="3"/>
  <c r="P1417" i="3" l="1"/>
  <c r="Q1417" i="3" a="1"/>
  <c r="Q1417" i="3" s="1"/>
  <c r="R1417" i="3" s="1"/>
  <c r="B1418" i="3"/>
  <c r="D1418" i="3" l="1"/>
  <c r="K1418" i="3"/>
  <c r="L1417" i="3"/>
  <c r="S1417" i="3" s="1"/>
  <c r="G1418" i="3" l="1"/>
  <c r="I1418" i="3" s="1"/>
  <c r="O1418" i="3"/>
  <c r="N1418" i="3"/>
  <c r="V1417" i="3"/>
  <c r="T1417" i="3"/>
  <c r="U1417" i="3" s="1"/>
  <c r="W1417" i="3" l="1"/>
  <c r="P1418" i="3"/>
  <c r="Q1418" i="3" a="1"/>
  <c r="Q1418" i="3" s="1"/>
  <c r="B1419" i="3"/>
  <c r="R1418" i="3" l="1"/>
  <c r="D1419" i="3"/>
  <c r="K1419" i="3"/>
  <c r="L1418" i="3"/>
  <c r="S1418" i="3" s="1"/>
  <c r="T1418" i="3" l="1"/>
  <c r="U1418" i="3" s="1"/>
  <c r="V1418" i="3"/>
  <c r="O1419" i="3"/>
  <c r="G1419" i="3"/>
  <c r="I1419" i="3" s="1"/>
  <c r="N1419" i="3"/>
  <c r="B1420" i="3" l="1"/>
  <c r="P1419" i="3"/>
  <c r="Q1419" i="3" a="1"/>
  <c r="Q1419" i="3" s="1"/>
  <c r="W1418" i="3"/>
  <c r="R1419" i="3" l="1"/>
  <c r="K1420" i="3"/>
  <c r="D1420" i="3"/>
  <c r="L1419" i="3"/>
  <c r="S1419" i="3" s="1"/>
  <c r="G1420" i="3" l="1"/>
  <c r="I1420" i="3" s="1"/>
  <c r="B1421" i="3" s="1"/>
  <c r="T1419" i="3"/>
  <c r="U1419" i="3" s="1"/>
  <c r="V1419" i="3"/>
  <c r="N1420" i="3"/>
  <c r="O1420" i="3"/>
  <c r="D1421" i="3" l="1"/>
  <c r="K1421" i="3"/>
  <c r="Q1420" i="3" a="1"/>
  <c r="Q1420" i="3" s="1"/>
  <c r="R1420" i="3" s="1"/>
  <c r="P1420" i="3"/>
  <c r="L1420" i="3"/>
  <c r="W1419" i="3"/>
  <c r="S1420" i="3" l="1"/>
  <c r="V1420" i="3" s="1"/>
  <c r="W1420" i="3" s="1"/>
  <c r="O1421" i="3"/>
  <c r="G1421" i="3"/>
  <c r="I1421" i="3" s="1"/>
  <c r="N1421" i="3"/>
  <c r="T1420" i="3" l="1"/>
  <c r="U1420" i="3" s="1"/>
  <c r="Q1421" i="3" a="1"/>
  <c r="Q1421" i="3" s="1"/>
  <c r="P1421" i="3"/>
  <c r="B1422" i="3"/>
  <c r="L1421" i="3" s="1"/>
  <c r="R1421" i="3" l="1"/>
  <c r="K1422" i="3"/>
  <c r="D1422" i="3"/>
  <c r="S1421" i="3"/>
  <c r="N1422" i="3" l="1"/>
  <c r="O1422" i="3"/>
  <c r="G1422" i="3"/>
  <c r="I1422" i="3" s="1"/>
  <c r="T1421" i="3"/>
  <c r="U1421" i="3" s="1"/>
  <c r="V1421" i="3"/>
  <c r="B1423" i="3" l="1"/>
  <c r="Q1422" i="3" a="1"/>
  <c r="Q1422" i="3" s="1"/>
  <c r="P1422" i="3"/>
  <c r="W1421" i="3"/>
  <c r="R1422" i="3" l="1"/>
  <c r="K1423" i="3"/>
  <c r="D1423" i="3"/>
  <c r="L1422" i="3"/>
  <c r="S1422" i="3" s="1"/>
  <c r="T1422" i="3" l="1"/>
  <c r="U1422" i="3" s="1"/>
  <c r="V1422" i="3"/>
  <c r="O1423" i="3"/>
  <c r="G1423" i="3"/>
  <c r="I1423" i="3" s="1"/>
  <c r="N1423" i="3"/>
  <c r="B1424" i="3" l="1"/>
  <c r="P1423" i="3"/>
  <c r="Q1423" i="3" a="1"/>
  <c r="Q1423" i="3" s="1"/>
  <c r="W1422" i="3"/>
  <c r="R1423" i="3" l="1"/>
  <c r="D1424" i="3"/>
  <c r="K1424" i="3"/>
  <c r="L1423" i="3"/>
  <c r="S1423" i="3" s="1"/>
  <c r="T1423" i="3" l="1"/>
  <c r="U1423" i="3" s="1"/>
  <c r="V1423" i="3"/>
  <c r="W1423" i="3" s="1"/>
  <c r="G1424" i="3"/>
  <c r="I1424" i="3" s="1"/>
  <c r="O1424" i="3"/>
  <c r="N1424" i="3"/>
  <c r="P1424" i="3" l="1"/>
  <c r="Q1424" i="3" a="1"/>
  <c r="Q1424" i="3" s="1"/>
  <c r="R1424" i="3" s="1"/>
  <c r="B1425" i="3"/>
  <c r="D1425" i="3" l="1"/>
  <c r="K1425" i="3"/>
  <c r="L1424" i="3"/>
  <c r="S1424" i="3" s="1"/>
  <c r="V1424" i="3" l="1"/>
  <c r="T1424" i="3"/>
  <c r="U1424" i="3" s="1"/>
  <c r="N1425" i="3"/>
  <c r="O1425" i="3"/>
  <c r="G1425" i="3"/>
  <c r="I1425" i="3" s="1"/>
  <c r="P1425" i="3" l="1"/>
  <c r="Q1425" i="3" a="1"/>
  <c r="Q1425" i="3" s="1"/>
  <c r="R1425" i="3" s="1"/>
  <c r="B1426" i="3"/>
  <c r="W1424" i="3"/>
  <c r="K1426" i="3" l="1"/>
  <c r="D1426" i="3"/>
  <c r="L1425" i="3"/>
  <c r="S1425" i="3" s="1"/>
  <c r="G1426" i="3" l="1"/>
  <c r="I1426" i="3" s="1"/>
  <c r="O1426" i="3"/>
  <c r="N1426" i="3"/>
  <c r="T1425" i="3"/>
  <c r="U1425" i="3" s="1"/>
  <c r="V1425" i="3"/>
  <c r="W1425" i="3" l="1"/>
  <c r="Q1426" i="3" a="1"/>
  <c r="Q1426" i="3" s="1"/>
  <c r="P1426" i="3"/>
  <c r="B1427" i="3"/>
  <c r="R1426" i="3" l="1"/>
  <c r="K1427" i="3"/>
  <c r="D1427" i="3"/>
  <c r="L1426" i="3"/>
  <c r="S1426" i="3" s="1"/>
  <c r="T1426" i="3" l="1"/>
  <c r="U1426" i="3" s="1"/>
  <c r="V1426" i="3"/>
  <c r="G1427" i="3"/>
  <c r="I1427" i="3" s="1"/>
  <c r="N1427" i="3"/>
  <c r="O1427" i="3"/>
  <c r="B1428" i="3" l="1"/>
  <c r="W1426" i="3"/>
  <c r="Q1427" i="3" a="1"/>
  <c r="Q1427" i="3" s="1"/>
  <c r="R1427" i="3" s="1"/>
  <c r="P1427" i="3"/>
  <c r="D1428" i="3" l="1"/>
  <c r="K1428" i="3"/>
  <c r="L1427" i="3"/>
  <c r="S1427" i="3" s="1"/>
  <c r="T1427" i="3" l="1"/>
  <c r="U1427" i="3" s="1"/>
  <c r="V1427" i="3"/>
  <c r="G1428" i="3"/>
  <c r="I1428" i="3" s="1"/>
  <c r="N1428" i="3"/>
  <c r="O1428" i="3"/>
  <c r="B1429" i="3" l="1"/>
  <c r="W1427" i="3"/>
  <c r="Q1428" i="3" a="1"/>
  <c r="Q1428" i="3" s="1"/>
  <c r="R1428" i="3" s="1"/>
  <c r="P1428" i="3"/>
  <c r="D1429" i="3" l="1"/>
  <c r="K1429" i="3"/>
  <c r="L1428" i="3"/>
  <c r="S1428" i="3" s="1"/>
  <c r="T1428" i="3" l="1"/>
  <c r="U1428" i="3" s="1"/>
  <c r="V1428" i="3"/>
  <c r="O1429" i="3"/>
  <c r="N1429" i="3"/>
  <c r="G1429" i="3"/>
  <c r="I1429" i="3" s="1"/>
  <c r="P1429" i="3" l="1"/>
  <c r="Q1429" i="3" a="1"/>
  <c r="Q1429" i="3" s="1"/>
  <c r="W1428" i="3"/>
  <c r="B1430" i="3"/>
  <c r="R1429" i="3" l="1"/>
  <c r="D1430" i="3"/>
  <c r="K1430" i="3"/>
  <c r="L1429" i="3"/>
  <c r="S1429" i="3" s="1"/>
  <c r="T1429" i="3" l="1"/>
  <c r="U1429" i="3" s="1"/>
  <c r="V1429" i="3"/>
  <c r="G1430" i="3"/>
  <c r="I1430" i="3" s="1"/>
  <c r="N1430" i="3"/>
  <c r="O1430" i="3"/>
  <c r="B1431" i="3" l="1"/>
  <c r="W1429" i="3"/>
  <c r="Q1430" i="3" a="1"/>
  <c r="Q1430" i="3" s="1"/>
  <c r="R1430" i="3" s="1"/>
  <c r="P1430" i="3"/>
  <c r="K1431" i="3" l="1"/>
  <c r="D1431" i="3"/>
  <c r="L1430" i="3"/>
  <c r="S1430" i="3" s="1"/>
  <c r="T1430" i="3" l="1"/>
  <c r="U1430" i="3" s="1"/>
  <c r="V1430" i="3"/>
  <c r="W1430" i="3" s="1"/>
  <c r="G1431" i="3"/>
  <c r="I1431" i="3" s="1"/>
  <c r="O1431" i="3"/>
  <c r="N1431" i="3"/>
  <c r="P1431" i="3" l="1"/>
  <c r="Q1431" i="3" a="1"/>
  <c r="Q1431" i="3" s="1"/>
  <c r="R1431" i="3" s="1"/>
  <c r="B1432" i="3"/>
  <c r="K1432" i="3" l="1"/>
  <c r="D1432" i="3"/>
  <c r="L1431" i="3"/>
  <c r="S1431" i="3" s="1"/>
  <c r="G1432" i="3" l="1"/>
  <c r="I1432" i="3" s="1"/>
  <c r="O1432" i="3"/>
  <c r="N1432" i="3"/>
  <c r="V1431" i="3"/>
  <c r="T1431" i="3"/>
  <c r="U1431" i="3" s="1"/>
  <c r="W1431" i="3" l="1"/>
  <c r="P1432" i="3"/>
  <c r="Q1432" i="3" a="1"/>
  <c r="Q1432" i="3" s="1"/>
  <c r="B1433" i="3"/>
  <c r="R1432" i="3" l="1"/>
  <c r="D1433" i="3"/>
  <c r="K1433" i="3"/>
  <c r="L1432" i="3"/>
  <c r="S1432" i="3" s="1"/>
  <c r="T1432" i="3" l="1"/>
  <c r="U1432" i="3" s="1"/>
  <c r="V1432" i="3"/>
  <c r="N1433" i="3"/>
  <c r="O1433" i="3"/>
  <c r="G1433" i="3"/>
  <c r="I1433" i="3" s="1"/>
  <c r="Q1433" i="3" l="1" a="1"/>
  <c r="Q1433" i="3" s="1"/>
  <c r="P1433" i="3"/>
  <c r="W1432" i="3"/>
  <c r="B1434" i="3"/>
  <c r="L1433" i="3" s="1"/>
  <c r="R1433" i="3" l="1"/>
  <c r="D1434" i="3"/>
  <c r="K1434" i="3"/>
  <c r="S1433" i="3"/>
  <c r="O1434" i="3" l="1"/>
  <c r="N1434" i="3"/>
  <c r="T1433" i="3"/>
  <c r="U1433" i="3" s="1"/>
  <c r="V1433" i="3"/>
  <c r="W1433" i="3" s="1"/>
  <c r="G1434" i="3"/>
  <c r="I1434" i="3" s="1"/>
  <c r="B1435" i="3" l="1"/>
  <c r="P1434" i="3"/>
  <c r="Q1434" i="3" a="1"/>
  <c r="Q1434" i="3" s="1"/>
  <c r="R1434" i="3" l="1"/>
  <c r="K1435" i="3"/>
  <c r="D1435" i="3"/>
  <c r="L1434" i="3"/>
  <c r="S1434" i="3" s="1"/>
  <c r="V1434" i="3" l="1"/>
  <c r="T1434" i="3"/>
  <c r="U1434" i="3" s="1"/>
  <c r="N1435" i="3"/>
  <c r="G1435" i="3"/>
  <c r="I1435" i="3" s="1"/>
  <c r="O1435" i="3"/>
  <c r="B1436" i="3" l="1"/>
  <c r="Q1435" i="3" a="1"/>
  <c r="Q1435" i="3" s="1"/>
  <c r="P1435" i="3"/>
  <c r="W1434" i="3"/>
  <c r="R1435" i="3" l="1"/>
  <c r="D1436" i="3"/>
  <c r="K1436" i="3"/>
  <c r="L1435" i="3"/>
  <c r="S1435" i="3" s="1"/>
  <c r="T1435" i="3" l="1"/>
  <c r="U1435" i="3" s="1"/>
  <c r="V1435" i="3"/>
  <c r="N1436" i="3"/>
  <c r="O1436" i="3"/>
  <c r="G1436" i="3"/>
  <c r="I1436" i="3" s="1"/>
  <c r="Q1436" i="3" l="1" a="1"/>
  <c r="Q1436" i="3" s="1"/>
  <c r="P1436" i="3"/>
  <c r="W1435" i="3"/>
  <c r="B1437" i="3"/>
  <c r="L1436" i="3" s="1"/>
  <c r="R1436" i="3" l="1"/>
  <c r="D1437" i="3"/>
  <c r="K1437" i="3"/>
  <c r="S1436" i="3"/>
  <c r="G1437" i="3" l="1"/>
  <c r="I1437" i="3" s="1"/>
  <c r="O1437" i="3"/>
  <c r="N1437" i="3"/>
  <c r="T1436" i="3"/>
  <c r="U1436" i="3" s="1"/>
  <c r="V1436" i="3"/>
  <c r="W1436" i="3" l="1"/>
  <c r="P1437" i="3"/>
  <c r="Q1437" i="3" a="1"/>
  <c r="Q1437" i="3" s="1"/>
  <c r="B1438" i="3"/>
  <c r="R1437" i="3" l="1"/>
  <c r="D1438" i="3"/>
  <c r="K1438" i="3"/>
  <c r="L1437" i="3"/>
  <c r="S1437" i="3" s="1"/>
  <c r="T1437" i="3" l="1"/>
  <c r="U1437" i="3" s="1"/>
  <c r="V1437" i="3"/>
  <c r="O1438" i="3"/>
  <c r="G1438" i="3"/>
  <c r="I1438" i="3" s="1"/>
  <c r="N1438" i="3"/>
  <c r="B1439" i="3" l="1"/>
  <c r="Q1438" i="3" a="1"/>
  <c r="Q1438" i="3" s="1"/>
  <c r="P1438" i="3"/>
  <c r="W1437" i="3"/>
  <c r="R1438" i="3" l="1"/>
  <c r="K1439" i="3"/>
  <c r="D1439" i="3"/>
  <c r="L1438" i="3"/>
  <c r="S1438" i="3" s="1"/>
  <c r="T1438" i="3" l="1"/>
  <c r="U1438" i="3" s="1"/>
  <c r="V1438" i="3"/>
  <c r="W1438" i="3" s="1"/>
  <c r="N1439" i="3"/>
  <c r="G1439" i="3"/>
  <c r="I1439" i="3" s="1"/>
  <c r="O1439" i="3"/>
  <c r="B1440" i="3" l="1"/>
  <c r="Q1439" i="3" a="1"/>
  <c r="Q1439" i="3" s="1"/>
  <c r="P1439" i="3"/>
  <c r="R1439" i="3" l="1"/>
  <c r="D1440" i="3"/>
  <c r="K1440" i="3"/>
  <c r="L1439" i="3"/>
  <c r="S1439" i="3" s="1"/>
  <c r="V1439" i="3" l="1"/>
  <c r="W1439" i="3" s="1"/>
  <c r="T1439" i="3"/>
  <c r="U1439" i="3" s="1"/>
  <c r="G1440" i="3"/>
  <c r="I1440" i="3" s="1"/>
  <c r="O1440" i="3"/>
  <c r="N1440" i="3"/>
  <c r="B1441" i="3" l="1"/>
  <c r="P1440" i="3"/>
  <c r="Q1440" i="3" a="1"/>
  <c r="Q1440" i="3" s="1"/>
  <c r="R1440" i="3" s="1"/>
  <c r="D1441" i="3" l="1"/>
  <c r="K1441" i="3"/>
  <c r="L1440" i="3"/>
  <c r="S1440" i="3" s="1"/>
  <c r="V1440" i="3" l="1"/>
  <c r="T1440" i="3"/>
  <c r="U1440" i="3" s="1"/>
  <c r="O1441" i="3"/>
  <c r="G1441" i="3"/>
  <c r="I1441" i="3" s="1"/>
  <c r="N1441" i="3"/>
  <c r="B1442" i="3" l="1"/>
  <c r="Q1441" i="3" a="1"/>
  <c r="Q1441" i="3" s="1"/>
  <c r="P1441" i="3"/>
  <c r="W1440" i="3"/>
  <c r="R1441" i="3" l="1"/>
  <c r="K1442" i="3"/>
  <c r="D1442" i="3"/>
  <c r="L1441" i="3"/>
  <c r="S1441" i="3" s="1"/>
  <c r="T1441" i="3" l="1"/>
  <c r="U1441" i="3" s="1"/>
  <c r="V1441" i="3"/>
  <c r="W1441" i="3" s="1"/>
  <c r="N1442" i="3"/>
  <c r="G1442" i="3"/>
  <c r="I1442" i="3" s="1"/>
  <c r="O1442" i="3"/>
  <c r="B1443" i="3" l="1"/>
  <c r="Q1442" i="3" a="1"/>
  <c r="Q1442" i="3" s="1"/>
  <c r="P1442" i="3"/>
  <c r="R1442" i="3" l="1"/>
  <c r="K1443" i="3"/>
  <c r="D1443" i="3"/>
  <c r="L1442" i="3"/>
  <c r="S1442" i="3" s="1"/>
  <c r="V1442" i="3" l="1"/>
  <c r="T1442" i="3"/>
  <c r="U1442" i="3" s="1"/>
  <c r="N1443" i="3"/>
  <c r="O1443" i="3"/>
  <c r="G1443" i="3"/>
  <c r="I1443" i="3" s="1"/>
  <c r="Q1443" i="3" l="1" a="1"/>
  <c r="Q1443" i="3" s="1"/>
  <c r="P1443" i="3"/>
  <c r="B1444" i="3"/>
  <c r="W1442" i="3"/>
  <c r="R1443" i="3" l="1"/>
  <c r="D1444" i="3"/>
  <c r="K1444" i="3"/>
  <c r="L1443" i="3"/>
  <c r="S1443" i="3" s="1"/>
  <c r="T1443" i="3" l="1"/>
  <c r="U1443" i="3" s="1"/>
  <c r="V1443" i="3"/>
  <c r="N1444" i="3"/>
  <c r="O1444" i="3"/>
  <c r="G1444" i="3"/>
  <c r="I1444" i="3" s="1"/>
  <c r="P1444" i="3" l="1"/>
  <c r="Q1444" i="3" a="1"/>
  <c r="Q1444" i="3" s="1"/>
  <c r="W1443" i="3"/>
  <c r="B1445" i="3"/>
  <c r="R1444" i="3" l="1"/>
  <c r="D1445" i="3"/>
  <c r="K1445" i="3"/>
  <c r="L1444" i="3"/>
  <c r="S1444" i="3" s="1"/>
  <c r="T1444" i="3" l="1"/>
  <c r="U1444" i="3" s="1"/>
  <c r="V1444" i="3"/>
  <c r="W1444" i="3" s="1"/>
  <c r="G1445" i="3"/>
  <c r="I1445" i="3" s="1"/>
  <c r="O1445" i="3"/>
  <c r="N1445" i="3"/>
  <c r="Q1445" i="3" l="1" a="1"/>
  <c r="Q1445" i="3" s="1"/>
  <c r="P1445" i="3"/>
  <c r="B1446" i="3"/>
  <c r="R1445" i="3" l="1"/>
  <c r="D1446" i="3"/>
  <c r="K1446" i="3"/>
  <c r="L1445" i="3"/>
  <c r="S1445" i="3" s="1"/>
  <c r="V1445" i="3" l="1"/>
  <c r="T1445" i="3"/>
  <c r="U1445" i="3" s="1"/>
  <c r="G1446" i="3"/>
  <c r="I1446" i="3" s="1"/>
  <c r="N1446" i="3"/>
  <c r="O1446" i="3"/>
  <c r="B1447" i="3" l="1"/>
  <c r="Q1446" i="3" a="1"/>
  <c r="Q1446" i="3" s="1"/>
  <c r="P1446" i="3"/>
  <c r="W1445" i="3"/>
  <c r="R1446" i="3" l="1"/>
  <c r="K1447" i="3"/>
  <c r="D1447" i="3"/>
  <c r="L1446" i="3"/>
  <c r="S1446" i="3" s="1"/>
  <c r="T1446" i="3" l="1"/>
  <c r="U1446" i="3" s="1"/>
  <c r="V1446" i="3"/>
  <c r="W1446" i="3" s="1"/>
  <c r="G1447" i="3"/>
  <c r="I1447" i="3" s="1"/>
  <c r="O1447" i="3"/>
  <c r="N1447" i="3"/>
  <c r="B1448" i="3" l="1"/>
  <c r="P1447" i="3"/>
  <c r="Q1447" i="3" a="1"/>
  <c r="Q1447" i="3" s="1"/>
  <c r="R1447" i="3" l="1"/>
  <c r="K1448" i="3"/>
  <c r="D1448" i="3"/>
  <c r="L1447" i="3"/>
  <c r="S1447" i="3" s="1"/>
  <c r="V1447" i="3" l="1"/>
  <c r="W1447" i="3" s="1"/>
  <c r="T1447" i="3"/>
  <c r="U1447" i="3" s="1"/>
  <c r="O1448" i="3"/>
  <c r="G1448" i="3"/>
  <c r="I1448" i="3" s="1"/>
  <c r="N1448" i="3"/>
  <c r="B1449" i="3" l="1"/>
  <c r="Q1448" i="3" a="1"/>
  <c r="Q1448" i="3" s="1"/>
  <c r="P1448" i="3"/>
  <c r="R1448" i="3" l="1"/>
  <c r="K1449" i="3"/>
  <c r="D1449" i="3"/>
  <c r="L1448" i="3"/>
  <c r="S1448" i="3" s="1"/>
  <c r="V1448" i="3" l="1"/>
  <c r="T1448" i="3"/>
  <c r="U1448" i="3" s="1"/>
  <c r="N1449" i="3"/>
  <c r="G1449" i="3"/>
  <c r="I1449" i="3" s="1"/>
  <c r="O1449" i="3"/>
  <c r="B1450" i="3" l="1"/>
  <c r="Q1449" i="3" a="1"/>
  <c r="Q1449" i="3" s="1"/>
  <c r="P1449" i="3"/>
  <c r="W1448" i="3"/>
  <c r="R1449" i="3" l="1"/>
  <c r="K1450" i="3"/>
  <c r="D1450" i="3"/>
  <c r="L1449" i="3"/>
  <c r="S1449" i="3" s="1"/>
  <c r="T1449" i="3" l="1"/>
  <c r="U1449" i="3" s="1"/>
  <c r="V1449" i="3"/>
  <c r="G1450" i="3"/>
  <c r="I1450" i="3" s="1"/>
  <c r="N1450" i="3"/>
  <c r="O1450" i="3"/>
  <c r="B1451" i="3" l="1"/>
  <c r="W1449" i="3"/>
  <c r="P1450" i="3"/>
  <c r="Q1450" i="3" a="1"/>
  <c r="Q1450" i="3" s="1"/>
  <c r="R1450" i="3" s="1"/>
  <c r="D1451" i="3" l="1"/>
  <c r="K1451" i="3"/>
  <c r="L1450" i="3"/>
  <c r="S1450" i="3" s="1"/>
  <c r="T1450" i="3" l="1"/>
  <c r="U1450" i="3" s="1"/>
  <c r="V1450" i="3"/>
  <c r="N1451" i="3"/>
  <c r="O1451" i="3"/>
  <c r="G1451" i="3"/>
  <c r="I1451" i="3" s="1"/>
  <c r="P1451" i="3" l="1"/>
  <c r="Q1451" i="3" a="1"/>
  <c r="Q1451" i="3" s="1"/>
  <c r="W1450" i="3"/>
  <c r="B1452" i="3"/>
  <c r="R1451" i="3" l="1"/>
  <c r="K1452" i="3"/>
  <c r="D1452" i="3"/>
  <c r="L1451" i="3"/>
  <c r="S1451" i="3" s="1"/>
  <c r="T1451" i="3" l="1"/>
  <c r="U1451" i="3" s="1"/>
  <c r="V1451" i="3"/>
  <c r="G1452" i="3"/>
  <c r="I1452" i="3" s="1"/>
  <c r="O1452" i="3"/>
  <c r="N1452" i="3"/>
  <c r="Q1452" i="3" l="1" a="1"/>
  <c r="Q1452" i="3" s="1"/>
  <c r="P1452" i="3"/>
  <c r="B1453" i="3"/>
  <c r="W1451" i="3"/>
  <c r="R1452" i="3" l="1"/>
  <c r="K1453" i="3"/>
  <c r="D1453" i="3"/>
  <c r="L1452" i="3"/>
  <c r="S1452" i="3" s="1"/>
  <c r="N1453" i="3" l="1"/>
  <c r="G1453" i="3"/>
  <c r="I1453" i="3" s="1"/>
  <c r="O1453" i="3"/>
  <c r="T1452" i="3"/>
  <c r="U1452" i="3" s="1"/>
  <c r="V1452" i="3"/>
  <c r="W1452" i="3" l="1"/>
  <c r="Q1453" i="3" a="1"/>
  <c r="Q1453" i="3" s="1"/>
  <c r="P1453" i="3"/>
  <c r="B1454" i="3"/>
  <c r="R1453" i="3" l="1"/>
  <c r="K1454" i="3"/>
  <c r="D1454" i="3"/>
  <c r="L1453" i="3"/>
  <c r="S1453" i="3" s="1"/>
  <c r="T1453" i="3" l="1"/>
  <c r="U1453" i="3" s="1"/>
  <c r="V1453" i="3"/>
  <c r="G1454" i="3"/>
  <c r="I1454" i="3" s="1"/>
  <c r="N1454" i="3"/>
  <c r="O1454" i="3"/>
  <c r="B1455" i="3" l="1"/>
  <c r="W1453" i="3"/>
  <c r="Q1454" i="3" a="1"/>
  <c r="Q1454" i="3" s="1"/>
  <c r="R1454" i="3" s="1"/>
  <c r="P1454" i="3"/>
  <c r="K1455" i="3" l="1"/>
  <c r="D1455" i="3"/>
  <c r="L1454" i="3"/>
  <c r="S1454" i="3" s="1"/>
  <c r="T1454" i="3" l="1"/>
  <c r="U1454" i="3" s="1"/>
  <c r="V1454" i="3"/>
  <c r="O1455" i="3"/>
  <c r="G1455" i="3"/>
  <c r="I1455" i="3" s="1"/>
  <c r="N1455" i="3"/>
  <c r="B1456" i="3" l="1"/>
  <c r="P1455" i="3"/>
  <c r="Q1455" i="3" a="1"/>
  <c r="Q1455" i="3" s="1"/>
  <c r="W1454" i="3"/>
  <c r="R1455" i="3" l="1"/>
  <c r="K1456" i="3"/>
  <c r="D1456" i="3"/>
  <c r="L1455" i="3"/>
  <c r="S1455" i="3" s="1"/>
  <c r="T1455" i="3" l="1"/>
  <c r="U1455" i="3" s="1"/>
  <c r="V1455" i="3"/>
  <c r="G1456" i="3"/>
  <c r="I1456" i="3" s="1"/>
  <c r="N1456" i="3"/>
  <c r="O1456" i="3"/>
  <c r="B1457" i="3" l="1"/>
  <c r="W1455" i="3"/>
  <c r="Q1456" i="3" a="1"/>
  <c r="Q1456" i="3" s="1"/>
  <c r="R1456" i="3" s="1"/>
  <c r="P1456" i="3"/>
  <c r="D1457" i="3" l="1"/>
  <c r="K1457" i="3"/>
  <c r="L1456" i="3"/>
  <c r="S1456" i="3" s="1"/>
  <c r="T1456" i="3" l="1"/>
  <c r="U1456" i="3" s="1"/>
  <c r="V1456" i="3"/>
  <c r="O1457" i="3"/>
  <c r="G1457" i="3"/>
  <c r="I1457" i="3" s="1"/>
  <c r="N1457" i="3"/>
  <c r="P1457" i="3" l="1"/>
  <c r="Q1457" i="3" a="1"/>
  <c r="Q1457" i="3" s="1"/>
  <c r="B1458" i="3"/>
  <c r="W1456" i="3"/>
  <c r="R1457" i="3" l="1"/>
  <c r="K1458" i="3"/>
  <c r="D1458" i="3"/>
  <c r="L1457" i="3"/>
  <c r="S1457" i="3" s="1"/>
  <c r="T1457" i="3" l="1"/>
  <c r="U1457" i="3" s="1"/>
  <c r="V1457" i="3"/>
  <c r="G1458" i="3"/>
  <c r="I1458" i="3" s="1"/>
  <c r="N1458" i="3"/>
  <c r="O1458" i="3"/>
  <c r="B1459" i="3" l="1"/>
  <c r="W1457" i="3"/>
  <c r="Q1458" i="3" a="1"/>
  <c r="Q1458" i="3" s="1"/>
  <c r="R1458" i="3" s="1"/>
  <c r="P1458" i="3"/>
  <c r="D1459" i="3" l="1"/>
  <c r="K1459" i="3"/>
  <c r="L1458" i="3"/>
  <c r="S1458" i="3" s="1"/>
  <c r="T1458" i="3" l="1"/>
  <c r="U1458" i="3" s="1"/>
  <c r="V1458" i="3"/>
  <c r="G1459" i="3"/>
  <c r="I1459" i="3" s="1"/>
  <c r="O1459" i="3"/>
  <c r="N1459" i="3"/>
  <c r="B1460" i="3" l="1"/>
  <c r="Q1459" i="3" a="1"/>
  <c r="Q1459" i="3" s="1"/>
  <c r="P1459" i="3"/>
  <c r="W1458" i="3"/>
  <c r="R1459" i="3" l="1"/>
  <c r="D1460" i="3"/>
  <c r="K1460" i="3"/>
  <c r="L1459" i="3"/>
  <c r="S1459" i="3" s="1"/>
  <c r="T1459" i="3" l="1"/>
  <c r="U1459" i="3" s="1"/>
  <c r="V1459" i="3"/>
  <c r="O1460" i="3"/>
  <c r="N1460" i="3"/>
  <c r="G1460" i="3"/>
  <c r="I1460" i="3" s="1"/>
  <c r="P1460" i="3" l="1"/>
  <c r="Q1460" i="3" a="1"/>
  <c r="Q1460" i="3" s="1"/>
  <c r="W1459" i="3"/>
  <c r="B1461" i="3"/>
  <c r="R1460" i="3" l="1"/>
  <c r="D1461" i="3"/>
  <c r="K1461" i="3"/>
  <c r="L1460" i="3"/>
  <c r="S1460" i="3" s="1"/>
  <c r="T1460" i="3" l="1"/>
  <c r="U1460" i="3" s="1"/>
  <c r="V1460" i="3"/>
  <c r="W1460" i="3" s="1"/>
  <c r="N1461" i="3"/>
  <c r="O1461" i="3"/>
  <c r="G1461" i="3"/>
  <c r="I1461" i="3" s="1"/>
  <c r="P1461" i="3" l="1"/>
  <c r="Q1461" i="3" a="1"/>
  <c r="Q1461" i="3" s="1"/>
  <c r="R1461" i="3" s="1"/>
  <c r="B1462" i="3"/>
  <c r="D1462" i="3" l="1"/>
  <c r="K1462" i="3"/>
  <c r="L1461" i="3"/>
  <c r="S1461" i="3" s="1"/>
  <c r="V1461" i="3" l="1"/>
  <c r="T1461" i="3"/>
  <c r="U1461" i="3" s="1"/>
  <c r="G1462" i="3"/>
  <c r="I1462" i="3" s="1"/>
  <c r="O1462" i="3"/>
  <c r="N1462" i="3"/>
  <c r="Q1462" i="3" l="1" a="1"/>
  <c r="Q1462" i="3" s="1"/>
  <c r="P1462" i="3"/>
  <c r="B1463" i="3"/>
  <c r="W1461" i="3"/>
  <c r="R1462" i="3" l="1"/>
  <c r="K1463" i="3"/>
  <c r="D1463" i="3"/>
  <c r="L1462" i="3"/>
  <c r="S1462" i="3" s="1"/>
  <c r="O1463" i="3" l="1"/>
  <c r="N1463" i="3"/>
  <c r="G1463" i="3"/>
  <c r="I1463" i="3" s="1"/>
  <c r="T1462" i="3"/>
  <c r="U1462" i="3" s="1"/>
  <c r="V1462" i="3"/>
  <c r="W1462" i="3" l="1"/>
  <c r="B1464" i="3"/>
  <c r="Q1463" i="3" a="1"/>
  <c r="Q1463" i="3" s="1"/>
  <c r="P1463" i="3"/>
  <c r="R1463" i="3" l="1"/>
  <c r="K1464" i="3"/>
  <c r="D1464" i="3"/>
  <c r="L1463" i="3"/>
  <c r="S1463" i="3" s="1"/>
  <c r="T1463" i="3" l="1"/>
  <c r="U1463" i="3" s="1"/>
  <c r="V1463" i="3"/>
  <c r="O1464" i="3"/>
  <c r="N1464" i="3"/>
  <c r="G1464" i="3"/>
  <c r="I1464" i="3" s="1"/>
  <c r="Q1464" i="3" l="1" a="1"/>
  <c r="Q1464" i="3" s="1"/>
  <c r="P1464" i="3"/>
  <c r="W1463" i="3"/>
  <c r="B1465" i="3"/>
  <c r="L1464" i="3" s="1"/>
  <c r="R1464" i="3" l="1"/>
  <c r="D1465" i="3"/>
  <c r="K1465" i="3"/>
  <c r="S1464" i="3"/>
  <c r="N1465" i="3" l="1"/>
  <c r="O1465" i="3"/>
  <c r="G1465" i="3"/>
  <c r="I1465" i="3" s="1"/>
  <c r="T1464" i="3"/>
  <c r="U1464" i="3" s="1"/>
  <c r="V1464" i="3"/>
  <c r="W1464" i="3" l="1"/>
  <c r="B1466" i="3"/>
  <c r="Q1465" i="3" a="1"/>
  <c r="Q1465" i="3" s="1"/>
  <c r="P1465" i="3"/>
  <c r="R1465" i="3" l="1"/>
  <c r="D1466" i="3"/>
  <c r="K1466" i="3"/>
  <c r="L1465" i="3"/>
  <c r="S1465" i="3" s="1"/>
  <c r="T1465" i="3" l="1"/>
  <c r="U1465" i="3" s="1"/>
  <c r="V1465" i="3"/>
  <c r="O1466" i="3"/>
  <c r="N1466" i="3"/>
  <c r="G1466" i="3"/>
  <c r="I1466" i="3" s="1"/>
  <c r="Q1466" i="3" l="1" a="1"/>
  <c r="Q1466" i="3" s="1"/>
  <c r="P1466" i="3"/>
  <c r="W1465" i="3"/>
  <c r="B1467" i="3"/>
  <c r="L1466" i="3" s="1"/>
  <c r="R1466" i="3" l="1"/>
  <c r="D1467" i="3"/>
  <c r="K1467" i="3"/>
  <c r="S1466" i="3"/>
  <c r="N1467" i="3" l="1"/>
  <c r="G1467" i="3"/>
  <c r="I1467" i="3" s="1"/>
  <c r="O1467" i="3"/>
  <c r="T1466" i="3"/>
  <c r="U1466" i="3" s="1"/>
  <c r="V1466" i="3"/>
  <c r="W1466" i="3" l="1"/>
  <c r="Q1467" i="3" a="1"/>
  <c r="Q1467" i="3" s="1"/>
  <c r="P1467" i="3"/>
  <c r="B1468" i="3"/>
  <c r="R1467" i="3" l="1"/>
  <c r="K1468" i="3"/>
  <c r="D1468" i="3"/>
  <c r="L1467" i="3"/>
  <c r="S1467" i="3" s="1"/>
  <c r="T1467" i="3" l="1"/>
  <c r="U1467" i="3" s="1"/>
  <c r="V1467" i="3"/>
  <c r="O1468" i="3"/>
  <c r="G1468" i="3"/>
  <c r="I1468" i="3" s="1"/>
  <c r="N1468" i="3"/>
  <c r="B1469" i="3" l="1"/>
  <c r="Q1468" i="3" a="1"/>
  <c r="Q1468" i="3" s="1"/>
  <c r="P1468" i="3"/>
  <c r="W1467" i="3"/>
  <c r="R1468" i="3" l="1"/>
  <c r="D1469" i="3"/>
  <c r="K1469" i="3"/>
  <c r="L1468" i="3"/>
  <c r="S1468" i="3" s="1"/>
  <c r="T1468" i="3" l="1"/>
  <c r="U1468" i="3" s="1"/>
  <c r="V1468" i="3"/>
  <c r="O1469" i="3"/>
  <c r="G1469" i="3"/>
  <c r="I1469" i="3" s="1"/>
  <c r="N1469" i="3"/>
  <c r="B1470" i="3" l="1"/>
  <c r="Q1469" i="3" a="1"/>
  <c r="Q1469" i="3" s="1"/>
  <c r="P1469" i="3"/>
  <c r="W1468" i="3"/>
  <c r="R1469" i="3" l="1"/>
  <c r="K1470" i="3"/>
  <c r="D1470" i="3"/>
  <c r="L1469" i="3"/>
  <c r="S1469" i="3" s="1"/>
  <c r="T1469" i="3" l="1"/>
  <c r="U1469" i="3" s="1"/>
  <c r="V1469" i="3"/>
  <c r="N1470" i="3"/>
  <c r="O1470" i="3"/>
  <c r="G1470" i="3"/>
  <c r="I1470" i="3" s="1"/>
  <c r="Q1470" i="3" l="1" a="1"/>
  <c r="Q1470" i="3" s="1"/>
  <c r="P1470" i="3"/>
  <c r="W1469" i="3"/>
  <c r="B1471" i="3"/>
  <c r="L1470" i="3" s="1"/>
  <c r="R1470" i="3" l="1"/>
  <c r="D1471" i="3"/>
  <c r="K1471" i="3"/>
  <c r="S1470" i="3"/>
  <c r="O1471" i="3" l="1"/>
  <c r="G1471" i="3"/>
  <c r="I1471" i="3" s="1"/>
  <c r="N1471" i="3"/>
  <c r="T1470" i="3"/>
  <c r="U1470" i="3" s="1"/>
  <c r="V1470" i="3"/>
  <c r="W1470" i="3" l="1"/>
  <c r="B1472" i="3"/>
  <c r="Q1471" i="3" a="1"/>
  <c r="Q1471" i="3" s="1"/>
  <c r="R1471" i="3" s="1"/>
  <c r="P1471" i="3"/>
  <c r="K1472" i="3" l="1"/>
  <c r="D1472" i="3"/>
  <c r="L1471" i="3"/>
  <c r="S1471" i="3" s="1"/>
  <c r="T1471" i="3" l="1"/>
  <c r="U1471" i="3" s="1"/>
  <c r="V1471" i="3"/>
  <c r="N1472" i="3"/>
  <c r="G1472" i="3"/>
  <c r="I1472" i="3" s="1"/>
  <c r="O1472" i="3"/>
  <c r="B1473" i="3" l="1"/>
  <c r="W1471" i="3"/>
  <c r="Q1472" i="3" a="1"/>
  <c r="Q1472" i="3" s="1"/>
  <c r="R1472" i="3" s="1"/>
  <c r="P1472" i="3"/>
  <c r="K1473" i="3" l="1"/>
  <c r="D1473" i="3"/>
  <c r="L1472" i="3"/>
  <c r="S1472" i="3" s="1"/>
  <c r="T1472" i="3" l="1"/>
  <c r="U1472" i="3" s="1"/>
  <c r="V1472" i="3"/>
  <c r="G1473" i="3"/>
  <c r="I1473" i="3" s="1"/>
  <c r="N1473" i="3"/>
  <c r="O1473" i="3"/>
  <c r="B1474" i="3" l="1"/>
  <c r="W1472" i="3"/>
  <c r="P1473" i="3"/>
  <c r="Q1473" i="3" a="1"/>
  <c r="Q1473" i="3" s="1"/>
  <c r="R1473" i="3" s="1"/>
  <c r="K1474" i="3" l="1"/>
  <c r="D1474" i="3"/>
  <c r="L1473" i="3"/>
  <c r="S1473" i="3" s="1"/>
  <c r="T1473" i="3" l="1"/>
  <c r="U1473" i="3" s="1"/>
  <c r="V1473" i="3"/>
  <c r="N1474" i="3"/>
  <c r="G1474" i="3"/>
  <c r="I1474" i="3" s="1"/>
  <c r="O1474" i="3"/>
  <c r="B1475" i="3" l="1"/>
  <c r="W1473" i="3"/>
  <c r="P1474" i="3"/>
  <c r="Q1474" i="3" a="1"/>
  <c r="Q1474" i="3" s="1"/>
  <c r="R1474" i="3" s="1"/>
  <c r="K1475" i="3" l="1"/>
  <c r="D1475" i="3"/>
  <c r="L1474" i="3"/>
  <c r="S1474" i="3" s="1"/>
  <c r="T1474" i="3" l="1"/>
  <c r="U1474" i="3" s="1"/>
  <c r="V1474" i="3"/>
  <c r="O1475" i="3"/>
  <c r="N1475" i="3"/>
  <c r="G1475" i="3"/>
  <c r="I1475" i="3" s="1"/>
  <c r="Q1475" i="3" l="1" a="1"/>
  <c r="Q1475" i="3" s="1"/>
  <c r="P1475" i="3"/>
  <c r="W1474" i="3"/>
  <c r="B1476" i="3"/>
  <c r="L1475" i="3" s="1"/>
  <c r="R1475" i="3" l="1"/>
  <c r="D1476" i="3"/>
  <c r="K1476" i="3"/>
  <c r="S1475" i="3"/>
  <c r="O1476" i="3" l="1"/>
  <c r="G1476" i="3"/>
  <c r="I1476" i="3" s="1"/>
  <c r="N1476" i="3"/>
  <c r="T1475" i="3"/>
  <c r="U1475" i="3" s="1"/>
  <c r="V1475" i="3"/>
  <c r="W1475" i="3" l="1"/>
  <c r="B1477" i="3"/>
  <c r="Q1476" i="3" a="1"/>
  <c r="Q1476" i="3" s="1"/>
  <c r="P1476" i="3"/>
  <c r="R1476" i="3" l="1"/>
  <c r="D1477" i="3"/>
  <c r="K1477" i="3"/>
  <c r="L1476" i="3"/>
  <c r="S1476" i="3" s="1"/>
  <c r="T1476" i="3" l="1"/>
  <c r="U1476" i="3" s="1"/>
  <c r="V1476" i="3"/>
  <c r="G1477" i="3"/>
  <c r="I1477" i="3" s="1"/>
  <c r="O1477" i="3"/>
  <c r="N1477" i="3"/>
  <c r="P1477" i="3" l="1"/>
  <c r="Q1477" i="3" a="1"/>
  <c r="Q1477" i="3" s="1"/>
  <c r="B1478" i="3"/>
  <c r="L1477" i="3" s="1"/>
  <c r="W1476" i="3"/>
  <c r="R1477" i="3" l="1"/>
  <c r="D1478" i="3"/>
  <c r="K1478" i="3"/>
  <c r="S1477" i="3"/>
  <c r="N1478" i="3" l="1"/>
  <c r="O1478" i="3"/>
  <c r="G1478" i="3"/>
  <c r="I1478" i="3" s="1"/>
  <c r="T1477" i="3"/>
  <c r="U1477" i="3" s="1"/>
  <c r="V1477" i="3"/>
  <c r="W1477" i="3" l="1"/>
  <c r="B1479" i="3"/>
  <c r="Q1478" i="3" a="1"/>
  <c r="Q1478" i="3" s="1"/>
  <c r="P1478" i="3"/>
  <c r="R1478" i="3" l="1"/>
  <c r="D1479" i="3"/>
  <c r="K1479" i="3"/>
  <c r="L1478" i="3"/>
  <c r="S1478" i="3" s="1"/>
  <c r="N1479" i="3" l="1"/>
  <c r="O1479" i="3"/>
  <c r="G1479" i="3"/>
  <c r="I1479" i="3" s="1"/>
  <c r="T1478" i="3"/>
  <c r="U1478" i="3" s="1"/>
  <c r="V1478" i="3"/>
  <c r="W1478" i="3" l="1"/>
  <c r="B1480" i="3"/>
  <c r="Q1479" i="3" a="1"/>
  <c r="Q1479" i="3" s="1"/>
  <c r="P1479" i="3"/>
  <c r="R1479" i="3" l="1"/>
  <c r="K1480" i="3"/>
  <c r="D1480" i="3"/>
  <c r="L1479" i="3"/>
  <c r="S1479" i="3" s="1"/>
  <c r="T1479" i="3" l="1"/>
  <c r="U1479" i="3" s="1"/>
  <c r="V1479" i="3"/>
  <c r="N1480" i="3"/>
  <c r="G1480" i="3"/>
  <c r="I1480" i="3" s="1"/>
  <c r="O1480" i="3"/>
  <c r="B1481" i="3" l="1"/>
  <c r="W1479" i="3"/>
  <c r="P1480" i="3"/>
  <c r="Q1480" i="3" a="1"/>
  <c r="Q1480" i="3" s="1"/>
  <c r="R1480" i="3" s="1"/>
  <c r="K1481" i="3" l="1"/>
  <c r="D1481" i="3"/>
  <c r="L1480" i="3"/>
  <c r="S1480" i="3" s="1"/>
  <c r="T1480" i="3" l="1"/>
  <c r="U1480" i="3" s="1"/>
  <c r="V1480" i="3"/>
  <c r="O1481" i="3"/>
  <c r="G1481" i="3"/>
  <c r="I1481" i="3" s="1"/>
  <c r="N1481" i="3"/>
  <c r="B1482" i="3" l="1"/>
  <c r="P1481" i="3"/>
  <c r="Q1481" i="3" a="1"/>
  <c r="Q1481" i="3" s="1"/>
  <c r="W1480" i="3"/>
  <c r="R1481" i="3" l="1"/>
  <c r="K1482" i="3"/>
  <c r="D1482" i="3"/>
  <c r="L1481" i="3"/>
  <c r="S1481" i="3" s="1"/>
  <c r="T1481" i="3" l="1"/>
  <c r="U1481" i="3" s="1"/>
  <c r="V1481" i="3"/>
  <c r="O1482" i="3"/>
  <c r="G1482" i="3"/>
  <c r="I1482" i="3" s="1"/>
  <c r="N1482" i="3"/>
  <c r="B1483" i="3" l="1"/>
  <c r="P1482" i="3"/>
  <c r="Q1482" i="3" a="1"/>
  <c r="Q1482" i="3" s="1"/>
  <c r="W1481" i="3"/>
  <c r="R1482" i="3" l="1"/>
  <c r="D1483" i="3"/>
  <c r="K1483" i="3"/>
  <c r="L1482" i="3"/>
  <c r="S1482" i="3" s="1"/>
  <c r="T1482" i="3" l="1"/>
  <c r="U1482" i="3" s="1"/>
  <c r="V1482" i="3"/>
  <c r="G1483" i="3"/>
  <c r="I1483" i="3" s="1"/>
  <c r="O1483" i="3"/>
  <c r="N1483" i="3"/>
  <c r="Q1483" i="3" l="1" a="1"/>
  <c r="Q1483" i="3" s="1"/>
  <c r="P1483" i="3"/>
  <c r="B1484" i="3"/>
  <c r="W1482" i="3"/>
  <c r="R1483" i="3" l="1"/>
  <c r="K1484" i="3"/>
  <c r="D1484" i="3"/>
  <c r="L1483" i="3"/>
  <c r="S1483" i="3" s="1"/>
  <c r="T1483" i="3" l="1"/>
  <c r="U1483" i="3" s="1"/>
  <c r="V1483" i="3"/>
  <c r="N1484" i="3"/>
  <c r="G1484" i="3"/>
  <c r="I1484" i="3" s="1"/>
  <c r="O1484" i="3"/>
  <c r="B1485" i="3" l="1"/>
  <c r="W1483" i="3"/>
  <c r="Q1484" i="3" a="1"/>
  <c r="Q1484" i="3" s="1"/>
  <c r="R1484" i="3" s="1"/>
  <c r="P1484" i="3"/>
  <c r="D1485" i="3" l="1"/>
  <c r="K1485" i="3"/>
  <c r="L1484" i="3"/>
  <c r="S1484" i="3" s="1"/>
  <c r="T1484" i="3" l="1"/>
  <c r="U1484" i="3" s="1"/>
  <c r="V1484" i="3"/>
  <c r="O1485" i="3"/>
  <c r="G1485" i="3"/>
  <c r="I1485" i="3" s="1"/>
  <c r="N1485" i="3"/>
  <c r="Q1485" i="3" l="1" a="1"/>
  <c r="Q1485" i="3" s="1"/>
  <c r="P1485" i="3"/>
  <c r="B1486" i="3"/>
  <c r="W1484" i="3"/>
  <c r="R1485" i="3" l="1"/>
  <c r="K1486" i="3"/>
  <c r="D1486" i="3"/>
  <c r="L1485" i="3"/>
  <c r="S1485" i="3" s="1"/>
  <c r="T1485" i="3" l="1"/>
  <c r="U1485" i="3" s="1"/>
  <c r="V1485" i="3"/>
  <c r="O1486" i="3"/>
  <c r="G1486" i="3"/>
  <c r="I1486" i="3" s="1"/>
  <c r="N1486" i="3"/>
  <c r="B1487" i="3" l="1"/>
  <c r="P1486" i="3"/>
  <c r="Q1486" i="3" a="1"/>
  <c r="Q1486" i="3" s="1"/>
  <c r="W1485" i="3"/>
  <c r="R1486" i="3" l="1"/>
  <c r="D1487" i="3"/>
  <c r="K1487" i="3"/>
  <c r="L1486" i="3"/>
  <c r="S1486" i="3" s="1"/>
  <c r="T1486" i="3" l="1"/>
  <c r="U1486" i="3" s="1"/>
  <c r="V1486" i="3"/>
  <c r="N1487" i="3"/>
  <c r="G1487" i="3"/>
  <c r="I1487" i="3" s="1"/>
  <c r="O1487" i="3"/>
  <c r="B1488" i="3" l="1"/>
  <c r="W1486" i="3"/>
  <c r="P1487" i="3"/>
  <c r="Q1487" i="3" a="1"/>
  <c r="Q1487" i="3" s="1"/>
  <c r="R1487" i="3" l="1"/>
  <c r="K1488" i="3"/>
  <c r="D1488" i="3"/>
  <c r="L1487" i="3"/>
  <c r="S1487" i="3" s="1"/>
  <c r="T1487" i="3" l="1"/>
  <c r="U1487" i="3" s="1"/>
  <c r="V1487" i="3"/>
  <c r="N1488" i="3"/>
  <c r="G1488" i="3"/>
  <c r="I1488" i="3" s="1"/>
  <c r="O1488" i="3"/>
  <c r="B1489" i="3" l="1"/>
  <c r="W1487" i="3"/>
  <c r="P1488" i="3"/>
  <c r="Q1488" i="3" a="1"/>
  <c r="Q1488" i="3" s="1"/>
  <c r="R1488" i="3" s="1"/>
  <c r="K1489" i="3" l="1"/>
  <c r="D1489" i="3"/>
  <c r="L1488" i="3"/>
  <c r="S1488" i="3" s="1"/>
  <c r="T1488" i="3" l="1"/>
  <c r="U1488" i="3" s="1"/>
  <c r="V1488" i="3"/>
  <c r="W1488" i="3" s="1"/>
  <c r="G1489" i="3"/>
  <c r="I1489" i="3" s="1"/>
  <c r="O1489" i="3"/>
  <c r="N1489" i="3"/>
  <c r="Q1489" i="3" l="1" a="1"/>
  <c r="Q1489" i="3" s="1"/>
  <c r="P1489" i="3"/>
  <c r="B1490" i="3"/>
  <c r="R1489" i="3" l="1"/>
  <c r="K1490" i="3"/>
  <c r="D1490" i="3"/>
  <c r="L1489" i="3"/>
  <c r="S1489" i="3" s="1"/>
  <c r="O1490" i="3" l="1"/>
  <c r="N1490" i="3"/>
  <c r="G1490" i="3"/>
  <c r="I1490" i="3" s="1"/>
  <c r="V1489" i="3"/>
  <c r="T1489" i="3"/>
  <c r="U1489" i="3" s="1"/>
  <c r="W1489" i="3" l="1"/>
  <c r="B1491" i="3"/>
  <c r="P1490" i="3"/>
  <c r="Q1490" i="3" a="1"/>
  <c r="Q1490" i="3" s="1"/>
  <c r="R1490" i="3" s="1"/>
  <c r="K1491" i="3" l="1"/>
  <c r="D1491" i="3"/>
  <c r="L1490" i="3"/>
  <c r="S1490" i="3" s="1"/>
  <c r="G1491" i="3" l="1"/>
  <c r="I1491" i="3" s="1"/>
  <c r="B1492" i="3" s="1"/>
  <c r="T1490" i="3"/>
  <c r="U1490" i="3" s="1"/>
  <c r="V1490" i="3"/>
  <c r="O1491" i="3"/>
  <c r="N1491" i="3"/>
  <c r="K1492" i="3" l="1"/>
  <c r="D1492" i="3"/>
  <c r="L1491" i="3"/>
  <c r="W1490" i="3"/>
  <c r="P1491" i="3"/>
  <c r="Q1491" i="3" a="1"/>
  <c r="Q1491" i="3" s="1"/>
  <c r="R1491" i="3" l="1"/>
  <c r="S1491" i="3"/>
  <c r="T1491" i="3" s="1"/>
  <c r="U1491" i="3" s="1"/>
  <c r="G1492" i="3"/>
  <c r="I1492" i="3" s="1"/>
  <c r="N1492" i="3"/>
  <c r="O1492" i="3"/>
  <c r="V1491" i="3" l="1"/>
  <c r="W1491" i="3" s="1"/>
  <c r="B1493" i="3"/>
  <c r="P1492" i="3"/>
  <c r="Q1492" i="3" a="1"/>
  <c r="Q1492" i="3" s="1"/>
  <c r="R1492" i="3" s="1"/>
  <c r="D1493" i="3" l="1"/>
  <c r="K1493" i="3"/>
  <c r="L1492" i="3"/>
  <c r="S1492" i="3" s="1"/>
  <c r="V1492" i="3" l="1"/>
  <c r="T1492" i="3"/>
  <c r="U1492" i="3" s="1"/>
  <c r="G1493" i="3"/>
  <c r="I1493" i="3" s="1"/>
  <c r="N1493" i="3"/>
  <c r="O1493" i="3"/>
  <c r="B1494" i="3" l="1"/>
  <c r="Q1493" i="3" a="1"/>
  <c r="Q1493" i="3" s="1"/>
  <c r="P1493" i="3"/>
  <c r="W1492" i="3"/>
  <c r="R1493" i="3" l="1"/>
  <c r="K1494" i="3"/>
  <c r="D1494" i="3"/>
  <c r="L1493" i="3"/>
  <c r="S1493" i="3" s="1"/>
  <c r="T1493" i="3" l="1"/>
  <c r="U1493" i="3" s="1"/>
  <c r="V1493" i="3"/>
  <c r="N1494" i="3"/>
  <c r="G1494" i="3"/>
  <c r="I1494" i="3" s="1"/>
  <c r="O1494" i="3"/>
  <c r="B1495" i="3" l="1"/>
  <c r="W1493" i="3"/>
  <c r="P1494" i="3"/>
  <c r="Q1494" i="3" a="1"/>
  <c r="Q1494" i="3" s="1"/>
  <c r="R1494" i="3" s="1"/>
  <c r="K1495" i="3" l="1"/>
  <c r="D1495" i="3"/>
  <c r="L1494" i="3"/>
  <c r="S1494" i="3" s="1"/>
  <c r="T1494" i="3" l="1"/>
  <c r="U1494" i="3" s="1"/>
  <c r="V1494" i="3"/>
  <c r="W1494" i="3" s="1"/>
  <c r="G1495" i="3"/>
  <c r="I1495" i="3" s="1"/>
  <c r="N1495" i="3"/>
  <c r="O1495" i="3"/>
  <c r="B1496" i="3" l="1"/>
  <c r="P1495" i="3"/>
  <c r="Q1495" i="3" a="1"/>
  <c r="Q1495" i="3" s="1"/>
  <c r="R1495" i="3" s="1"/>
  <c r="D1496" i="3" l="1"/>
  <c r="K1496" i="3"/>
  <c r="L1495" i="3"/>
  <c r="S1495" i="3" s="1"/>
  <c r="V1495" i="3" l="1"/>
  <c r="W1495" i="3" s="1"/>
  <c r="T1495" i="3"/>
  <c r="U1495" i="3" s="1"/>
  <c r="O1496" i="3"/>
  <c r="G1496" i="3"/>
  <c r="I1496" i="3" s="1"/>
  <c r="N1496" i="3"/>
  <c r="B1497" i="3" l="1"/>
  <c r="Q1496" i="3" a="1"/>
  <c r="Q1496" i="3" s="1"/>
  <c r="P1496" i="3"/>
  <c r="R1496" i="3" l="1"/>
  <c r="K1497" i="3"/>
  <c r="D1497" i="3"/>
  <c r="L1496" i="3"/>
  <c r="S1496" i="3" s="1"/>
  <c r="V1496" i="3" l="1"/>
  <c r="T1496" i="3"/>
  <c r="U1496" i="3" s="1"/>
  <c r="N1497" i="3"/>
  <c r="O1497" i="3"/>
  <c r="G1497" i="3"/>
  <c r="I1497" i="3" s="1"/>
  <c r="Q1497" i="3" l="1" a="1"/>
  <c r="Q1497" i="3" s="1"/>
  <c r="P1497" i="3"/>
  <c r="B1498" i="3"/>
  <c r="W1496" i="3"/>
  <c r="R1497" i="3" l="1"/>
  <c r="K1498" i="3"/>
  <c r="D1498" i="3"/>
  <c r="L1497" i="3"/>
  <c r="S1497" i="3" s="1"/>
  <c r="G1498" i="3" l="1"/>
  <c r="I1498" i="3" s="1"/>
  <c r="N1498" i="3"/>
  <c r="O1498" i="3"/>
  <c r="T1497" i="3"/>
  <c r="U1497" i="3" s="1"/>
  <c r="V1497" i="3"/>
  <c r="W1497" i="3" l="1"/>
  <c r="Q1498" i="3" a="1"/>
  <c r="Q1498" i="3" s="1"/>
  <c r="P1498" i="3"/>
  <c r="B1499" i="3"/>
  <c r="R1498" i="3" l="1"/>
  <c r="K1499" i="3"/>
  <c r="D1499" i="3"/>
  <c r="L1498" i="3"/>
  <c r="S1498" i="3" s="1"/>
  <c r="T1498" i="3" l="1"/>
  <c r="U1498" i="3" s="1"/>
  <c r="V1498" i="3"/>
  <c r="N1499" i="3"/>
  <c r="O1499" i="3"/>
  <c r="G1499" i="3"/>
  <c r="I1499" i="3" s="1"/>
  <c r="Q1499" i="3" l="1" a="1"/>
  <c r="Q1499" i="3" s="1"/>
  <c r="P1499" i="3"/>
  <c r="W1498" i="3"/>
  <c r="B1500" i="3"/>
  <c r="L1499" i="3" s="1"/>
  <c r="R1499" i="3" l="1"/>
  <c r="K1500" i="3"/>
  <c r="D1500" i="3"/>
  <c r="S1499" i="3"/>
  <c r="T1499" i="3" l="1"/>
  <c r="U1499" i="3" s="1"/>
  <c r="V1499" i="3"/>
  <c r="O1500" i="3"/>
  <c r="N1500" i="3"/>
  <c r="G1500" i="3"/>
  <c r="I1500" i="3" s="1"/>
  <c r="P1500" i="3" l="1"/>
  <c r="Q1500" i="3" a="1"/>
  <c r="Q1500" i="3" s="1"/>
  <c r="W1499" i="3"/>
  <c r="B1501" i="3"/>
  <c r="R1500" i="3" l="1"/>
  <c r="K1501" i="3"/>
  <c r="D1501" i="3"/>
  <c r="L1500" i="3"/>
  <c r="S1500" i="3" s="1"/>
  <c r="N1501" i="3" l="1"/>
  <c r="O1501" i="3"/>
  <c r="G1501" i="3"/>
  <c r="I1501" i="3" s="1"/>
  <c r="T1500" i="3"/>
  <c r="U1500" i="3" s="1"/>
  <c r="V1500" i="3"/>
  <c r="W1500" i="3" l="1"/>
  <c r="B1502" i="3"/>
  <c r="P1501" i="3"/>
  <c r="Q1501" i="3" a="1"/>
  <c r="Q1501" i="3" s="1"/>
  <c r="R1501" i="3" s="1"/>
  <c r="D1502" i="3" l="1"/>
  <c r="K1502" i="3"/>
  <c r="L1501" i="3"/>
  <c r="S1501" i="3" s="1"/>
  <c r="T1501" i="3" l="1"/>
  <c r="U1501" i="3" s="1"/>
  <c r="V1501" i="3"/>
  <c r="G1502" i="3"/>
  <c r="I1502" i="3" s="1"/>
  <c r="N1502" i="3"/>
  <c r="O1502" i="3"/>
  <c r="B1503" i="3" l="1"/>
  <c r="W1501" i="3"/>
  <c r="Q1502" i="3" a="1"/>
  <c r="Q1502" i="3" s="1"/>
  <c r="R1502" i="3" s="1"/>
  <c r="P1502" i="3"/>
  <c r="K1503" i="3" l="1"/>
  <c r="D1503" i="3"/>
  <c r="L1502" i="3"/>
  <c r="S1502" i="3" s="1"/>
  <c r="T1502" i="3" l="1"/>
  <c r="U1502" i="3" s="1"/>
  <c r="V1502" i="3"/>
  <c r="W1502" i="3" s="1"/>
  <c r="O1503" i="3"/>
  <c r="G1503" i="3"/>
  <c r="I1503" i="3" s="1"/>
  <c r="N1503" i="3"/>
  <c r="B1504" i="3" l="1"/>
  <c r="Q1503" i="3" a="1"/>
  <c r="Q1503" i="3" s="1"/>
  <c r="P1503" i="3"/>
  <c r="R1503" i="3" l="1"/>
  <c r="K1504" i="3"/>
  <c r="D1504" i="3"/>
  <c r="L1503" i="3"/>
  <c r="S1503" i="3" s="1"/>
  <c r="V1503" i="3" l="1"/>
  <c r="T1503" i="3"/>
  <c r="U1503" i="3" s="1"/>
  <c r="N1504" i="3"/>
  <c r="G1504" i="3"/>
  <c r="I1504" i="3" s="1"/>
  <c r="O1504" i="3"/>
  <c r="B1505" i="3" l="1"/>
  <c r="Q1504" i="3" a="1"/>
  <c r="Q1504" i="3" s="1"/>
  <c r="P1504" i="3"/>
  <c r="W1503" i="3"/>
  <c r="R1504" i="3" l="1"/>
  <c r="K1505" i="3"/>
  <c r="D1505" i="3"/>
  <c r="L1504" i="3"/>
  <c r="S1504" i="3" s="1"/>
  <c r="T1504" i="3" l="1"/>
  <c r="U1504" i="3" s="1"/>
  <c r="V1504" i="3"/>
  <c r="W1504" i="3" s="1"/>
  <c r="N1505" i="3"/>
  <c r="O1505" i="3"/>
  <c r="G1505" i="3"/>
  <c r="I1505" i="3" s="1"/>
  <c r="Q1505" i="3" l="1" a="1"/>
  <c r="Q1505" i="3" s="1"/>
  <c r="P1505" i="3"/>
  <c r="B1506" i="3"/>
  <c r="R1505" i="3" l="1"/>
  <c r="D1506" i="3"/>
  <c r="K1506" i="3"/>
  <c r="L1505" i="3"/>
  <c r="S1505" i="3" s="1"/>
  <c r="V1505" i="3" l="1"/>
  <c r="T1505" i="3"/>
  <c r="U1505" i="3" s="1"/>
  <c r="N1506" i="3"/>
  <c r="G1506" i="3"/>
  <c r="I1506" i="3" s="1"/>
  <c r="O1506" i="3"/>
  <c r="B1507" i="3" l="1"/>
  <c r="Q1506" i="3" a="1"/>
  <c r="Q1506" i="3" s="1"/>
  <c r="P1506" i="3"/>
  <c r="W1505" i="3"/>
  <c r="R1506" i="3" l="1"/>
  <c r="K1507" i="3"/>
  <c r="D1507" i="3"/>
  <c r="L1506" i="3"/>
  <c r="S1506" i="3" s="1"/>
  <c r="T1506" i="3" l="1"/>
  <c r="U1506" i="3" s="1"/>
  <c r="V1506" i="3"/>
  <c r="W1506" i="3" s="1"/>
  <c r="N1507" i="3"/>
  <c r="G1507" i="3"/>
  <c r="I1507" i="3" s="1"/>
  <c r="O1507" i="3"/>
  <c r="B1508" i="3" l="1"/>
  <c r="Q1507" i="3" a="1"/>
  <c r="Q1507" i="3" s="1"/>
  <c r="P1507" i="3"/>
  <c r="R1507" i="3" l="1"/>
  <c r="D1508" i="3"/>
  <c r="K1508" i="3"/>
  <c r="L1507" i="3"/>
  <c r="S1507" i="3" s="1"/>
  <c r="V1507" i="3" l="1"/>
  <c r="T1507" i="3"/>
  <c r="U1507" i="3" s="1"/>
  <c r="G1508" i="3"/>
  <c r="I1508" i="3" s="1"/>
  <c r="N1508" i="3"/>
  <c r="O1508" i="3"/>
  <c r="B1509" i="3" l="1"/>
  <c r="Q1508" i="3" a="1"/>
  <c r="Q1508" i="3" s="1"/>
  <c r="P1508" i="3"/>
  <c r="W1507" i="3"/>
  <c r="R1508" i="3" l="1"/>
  <c r="D1509" i="3"/>
  <c r="K1509" i="3"/>
  <c r="L1508" i="3"/>
  <c r="S1508" i="3" s="1"/>
  <c r="T1508" i="3" l="1"/>
  <c r="U1508" i="3" s="1"/>
  <c r="V1508" i="3"/>
  <c r="G1509" i="3"/>
  <c r="I1509" i="3" s="1"/>
  <c r="O1509" i="3"/>
  <c r="N1509" i="3"/>
  <c r="Q1509" i="3" l="1" a="1"/>
  <c r="Q1509" i="3" s="1"/>
  <c r="P1509" i="3"/>
  <c r="B1510" i="3"/>
  <c r="W1508" i="3"/>
  <c r="R1509" i="3" l="1"/>
  <c r="K1510" i="3"/>
  <c r="D1510" i="3"/>
  <c r="L1509" i="3"/>
  <c r="S1509" i="3" s="1"/>
  <c r="T1509" i="3" l="1"/>
  <c r="U1509" i="3" s="1"/>
  <c r="V1509" i="3"/>
  <c r="G1510" i="3"/>
  <c r="I1510" i="3" s="1"/>
  <c r="O1510" i="3"/>
  <c r="N1510" i="3"/>
  <c r="P1510" i="3" l="1"/>
  <c r="Q1510" i="3" a="1"/>
  <c r="Q1510" i="3" s="1"/>
  <c r="B1511" i="3"/>
  <c r="W1509" i="3"/>
  <c r="R1510" i="3" l="1"/>
  <c r="D1511" i="3"/>
  <c r="K1511" i="3"/>
  <c r="L1510" i="3"/>
  <c r="S1510" i="3" s="1"/>
  <c r="G1511" i="3" l="1"/>
  <c r="I1511" i="3" s="1"/>
  <c r="N1511" i="3"/>
  <c r="O1511" i="3"/>
  <c r="T1510" i="3"/>
  <c r="U1510" i="3" s="1"/>
  <c r="V1510" i="3"/>
  <c r="W1510" i="3" s="1"/>
  <c r="Q1511" i="3" l="1" a="1"/>
  <c r="Q1511" i="3" s="1"/>
  <c r="R1511" i="3" s="1"/>
  <c r="P1511" i="3"/>
  <c r="B1512" i="3"/>
  <c r="K1512" i="3" l="1"/>
  <c r="D1512" i="3"/>
  <c r="L1511" i="3"/>
  <c r="S1511" i="3" s="1"/>
  <c r="O1512" i="3" l="1"/>
  <c r="N1512" i="3"/>
  <c r="G1512" i="3"/>
  <c r="I1512" i="3" s="1"/>
  <c r="V1511" i="3"/>
  <c r="T1511" i="3"/>
  <c r="U1511" i="3" s="1"/>
  <c r="W1511" i="3" l="1"/>
  <c r="B1513" i="3"/>
  <c r="P1512" i="3"/>
  <c r="Q1512" i="3" a="1"/>
  <c r="Q1512" i="3" s="1"/>
  <c r="R1512" i="3" s="1"/>
  <c r="D1513" i="3" l="1"/>
  <c r="K1513" i="3"/>
  <c r="L1512" i="3"/>
  <c r="S1512" i="3" s="1"/>
  <c r="T1512" i="3" l="1"/>
  <c r="U1512" i="3" s="1"/>
  <c r="V1512" i="3"/>
  <c r="O1513" i="3"/>
  <c r="N1513" i="3"/>
  <c r="G1513" i="3"/>
  <c r="I1513" i="3" s="1"/>
  <c r="P1513" i="3" l="1"/>
  <c r="Q1513" i="3" a="1"/>
  <c r="Q1513" i="3" s="1"/>
  <c r="W1512" i="3"/>
  <c r="B1514" i="3"/>
  <c r="R1513" i="3" l="1"/>
  <c r="K1514" i="3"/>
  <c r="D1514" i="3"/>
  <c r="L1513" i="3"/>
  <c r="S1513" i="3" s="1"/>
  <c r="T1513" i="3" l="1"/>
  <c r="U1513" i="3" s="1"/>
  <c r="V1513" i="3"/>
  <c r="G1514" i="3"/>
  <c r="I1514" i="3" s="1"/>
  <c r="O1514" i="3"/>
  <c r="N1514" i="3"/>
  <c r="B1515" i="3" l="1"/>
  <c r="Q1514" i="3" a="1"/>
  <c r="Q1514" i="3" s="1"/>
  <c r="P1514" i="3"/>
  <c r="W1513" i="3"/>
  <c r="R1514" i="3" l="1"/>
  <c r="K1515" i="3"/>
  <c r="D1515" i="3"/>
  <c r="L1514" i="3"/>
  <c r="S1514" i="3" s="1"/>
  <c r="T1514" i="3" l="1"/>
  <c r="U1514" i="3" s="1"/>
  <c r="V1514" i="3"/>
  <c r="N1515" i="3"/>
  <c r="O1515" i="3"/>
  <c r="G1515" i="3"/>
  <c r="I1515" i="3" s="1"/>
  <c r="Q1515" i="3" l="1" a="1"/>
  <c r="Q1515" i="3" s="1"/>
  <c r="P1515" i="3"/>
  <c r="W1514" i="3"/>
  <c r="B1516" i="3"/>
  <c r="L1515" i="3" s="1"/>
  <c r="R1515" i="3" l="1"/>
  <c r="D1516" i="3"/>
  <c r="K1516" i="3"/>
  <c r="S1515" i="3"/>
  <c r="N1516" i="3" l="1"/>
  <c r="O1516" i="3"/>
  <c r="G1516" i="3"/>
  <c r="I1516" i="3" s="1"/>
  <c r="T1515" i="3"/>
  <c r="U1515" i="3" s="1"/>
  <c r="V1515" i="3"/>
  <c r="B1517" i="3" l="1"/>
  <c r="W1515" i="3"/>
  <c r="P1516" i="3"/>
  <c r="Q1516" i="3" a="1"/>
  <c r="Q1516" i="3" s="1"/>
  <c r="R1516" i="3" s="1"/>
  <c r="D1517" i="3" l="1"/>
  <c r="K1517" i="3"/>
  <c r="L1516" i="3"/>
  <c r="S1516" i="3" s="1"/>
  <c r="T1516" i="3" l="1"/>
  <c r="U1516" i="3" s="1"/>
  <c r="V1516" i="3"/>
  <c r="W1516" i="3" s="1"/>
  <c r="G1517" i="3"/>
  <c r="I1517" i="3" s="1"/>
  <c r="N1517" i="3"/>
  <c r="O1517" i="3"/>
  <c r="B1518" i="3" l="1"/>
  <c r="P1517" i="3"/>
  <c r="Q1517" i="3" a="1"/>
  <c r="Q1517" i="3" s="1"/>
  <c r="R1517" i="3" s="1"/>
  <c r="D1518" i="3" l="1"/>
  <c r="K1518" i="3"/>
  <c r="L1517" i="3"/>
  <c r="S1517" i="3" s="1"/>
  <c r="V1517" i="3" l="1"/>
  <c r="T1517" i="3"/>
  <c r="U1517" i="3" s="1"/>
  <c r="G1518" i="3"/>
  <c r="I1518" i="3" s="1"/>
  <c r="O1518" i="3"/>
  <c r="N1518" i="3"/>
  <c r="Q1518" i="3" l="1" a="1"/>
  <c r="Q1518" i="3" s="1"/>
  <c r="P1518" i="3"/>
  <c r="B1519" i="3"/>
  <c r="W1517" i="3"/>
  <c r="R1518" i="3" l="1"/>
  <c r="K1519" i="3"/>
  <c r="D1519" i="3"/>
  <c r="L1518" i="3"/>
  <c r="S1518" i="3" s="1"/>
  <c r="T1518" i="3" l="1"/>
  <c r="U1518" i="3" s="1"/>
  <c r="V1518" i="3"/>
  <c r="W1518" i="3" s="1"/>
  <c r="N1519" i="3"/>
  <c r="G1519" i="3"/>
  <c r="I1519" i="3" s="1"/>
  <c r="O1519" i="3"/>
  <c r="B1520" i="3" l="1"/>
  <c r="P1519" i="3"/>
  <c r="Q1519" i="3" a="1"/>
  <c r="Q1519" i="3" s="1"/>
  <c r="R1519" i="3" l="1"/>
  <c r="D1520" i="3"/>
  <c r="K1520" i="3"/>
  <c r="L1519" i="3"/>
  <c r="S1519" i="3" s="1"/>
  <c r="V1519" i="3" l="1"/>
  <c r="T1519" i="3"/>
  <c r="U1519" i="3" s="1"/>
  <c r="O1520" i="3"/>
  <c r="G1520" i="3"/>
  <c r="I1520" i="3" s="1"/>
  <c r="N1520" i="3"/>
  <c r="B1521" i="3" l="1"/>
  <c r="Q1520" i="3" a="1"/>
  <c r="Q1520" i="3" s="1"/>
  <c r="P1520" i="3"/>
  <c r="W1519" i="3"/>
  <c r="R1520" i="3" l="1"/>
  <c r="D1521" i="3"/>
  <c r="K1521" i="3"/>
  <c r="L1520" i="3"/>
  <c r="S1520" i="3" s="1"/>
  <c r="T1520" i="3" l="1"/>
  <c r="U1520" i="3" s="1"/>
  <c r="V1520" i="3"/>
  <c r="G1521" i="3"/>
  <c r="I1521" i="3" s="1"/>
  <c r="O1521" i="3"/>
  <c r="N1521" i="3"/>
  <c r="Q1521" i="3" l="1" a="1"/>
  <c r="Q1521" i="3" s="1"/>
  <c r="P1521" i="3"/>
  <c r="B1522" i="3"/>
  <c r="W1520" i="3"/>
  <c r="R1521" i="3" l="1"/>
  <c r="D1522" i="3"/>
  <c r="K1522" i="3"/>
  <c r="L1521" i="3"/>
  <c r="S1521" i="3" s="1"/>
  <c r="T1521" i="3" l="1"/>
  <c r="U1521" i="3" s="1"/>
  <c r="V1521" i="3"/>
  <c r="O1522" i="3"/>
  <c r="N1522" i="3"/>
  <c r="G1522" i="3"/>
  <c r="I1522" i="3" s="1"/>
  <c r="P1522" i="3" l="1"/>
  <c r="Q1522" i="3" a="1"/>
  <c r="Q1522" i="3" s="1"/>
  <c r="W1521" i="3"/>
  <c r="B1523" i="3"/>
  <c r="R1522" i="3" l="1"/>
  <c r="D1523" i="3"/>
  <c r="K1523" i="3"/>
  <c r="L1522" i="3"/>
  <c r="S1522" i="3" s="1"/>
  <c r="T1522" i="3" l="1"/>
  <c r="U1522" i="3" s="1"/>
  <c r="V1522" i="3"/>
  <c r="N1523" i="3"/>
  <c r="G1523" i="3"/>
  <c r="I1523" i="3" s="1"/>
  <c r="O1523" i="3"/>
  <c r="B1524" i="3" l="1"/>
  <c r="W1522" i="3"/>
  <c r="Q1523" i="3" a="1"/>
  <c r="Q1523" i="3" s="1"/>
  <c r="R1523" i="3" s="1"/>
  <c r="P1523" i="3"/>
  <c r="D1524" i="3" l="1"/>
  <c r="K1524" i="3"/>
  <c r="L1523" i="3"/>
  <c r="S1523" i="3" s="1"/>
  <c r="T1523" i="3" l="1"/>
  <c r="U1523" i="3" s="1"/>
  <c r="V1523" i="3"/>
  <c r="G1524" i="3"/>
  <c r="I1524" i="3" s="1"/>
  <c r="N1524" i="3"/>
  <c r="O1524" i="3"/>
  <c r="B1525" i="3" l="1"/>
  <c r="W1523" i="3"/>
  <c r="Q1524" i="3" a="1"/>
  <c r="Q1524" i="3" s="1"/>
  <c r="R1524" i="3" s="1"/>
  <c r="P1524" i="3"/>
  <c r="K1525" i="3" l="1"/>
  <c r="D1525" i="3"/>
  <c r="L1524" i="3"/>
  <c r="S1524" i="3" s="1"/>
  <c r="T1524" i="3" l="1"/>
  <c r="U1524" i="3" s="1"/>
  <c r="V1524" i="3"/>
  <c r="O1525" i="3"/>
  <c r="N1525" i="3"/>
  <c r="G1525" i="3"/>
  <c r="I1525" i="3" s="1"/>
  <c r="Q1525" i="3" l="1" a="1"/>
  <c r="Q1525" i="3" s="1"/>
  <c r="P1525" i="3"/>
  <c r="W1524" i="3"/>
  <c r="B1526" i="3"/>
  <c r="L1525" i="3" s="1"/>
  <c r="R1525" i="3" l="1"/>
  <c r="D1526" i="3"/>
  <c r="K1526" i="3"/>
  <c r="S1525" i="3"/>
  <c r="G1526" i="3" l="1"/>
  <c r="I1526" i="3" s="1"/>
  <c r="O1526" i="3"/>
  <c r="N1526" i="3"/>
  <c r="T1525" i="3"/>
  <c r="U1525" i="3" s="1"/>
  <c r="V1525" i="3"/>
  <c r="W1525" i="3" l="1"/>
  <c r="P1526" i="3"/>
  <c r="Q1526" i="3" a="1"/>
  <c r="Q1526" i="3" s="1"/>
  <c r="B1527" i="3"/>
  <c r="R1526" i="3" l="1"/>
  <c r="D1527" i="3"/>
  <c r="K1527" i="3"/>
  <c r="L1526" i="3"/>
  <c r="S1526" i="3" s="1"/>
  <c r="T1526" i="3" l="1"/>
  <c r="U1526" i="3" s="1"/>
  <c r="V1526" i="3"/>
  <c r="O1527" i="3"/>
  <c r="N1527" i="3"/>
  <c r="G1527" i="3"/>
  <c r="I1527" i="3" s="1"/>
  <c r="P1527" i="3" l="1"/>
  <c r="Q1527" i="3" a="1"/>
  <c r="Q1527" i="3" s="1"/>
  <c r="W1526" i="3"/>
  <c r="B1528" i="3"/>
  <c r="R1527" i="3" l="1"/>
  <c r="D1528" i="3"/>
  <c r="K1528" i="3"/>
  <c r="L1527" i="3"/>
  <c r="S1527" i="3" s="1"/>
  <c r="T1527" i="3" l="1"/>
  <c r="U1527" i="3" s="1"/>
  <c r="V1527" i="3"/>
  <c r="G1528" i="3"/>
  <c r="I1528" i="3" s="1"/>
  <c r="O1528" i="3"/>
  <c r="N1528" i="3"/>
  <c r="P1528" i="3" l="1"/>
  <c r="Q1528" i="3" a="1"/>
  <c r="Q1528" i="3" s="1"/>
  <c r="B1529" i="3"/>
  <c r="L1528" i="3" s="1"/>
  <c r="W1527" i="3"/>
  <c r="R1528" i="3" l="1"/>
  <c r="K1529" i="3"/>
  <c r="D1529" i="3"/>
  <c r="S1528" i="3"/>
  <c r="T1528" i="3" l="1"/>
  <c r="U1528" i="3" s="1"/>
  <c r="V1528" i="3"/>
  <c r="G1529" i="3"/>
  <c r="I1529" i="3" s="1"/>
  <c r="N1529" i="3"/>
  <c r="O1529" i="3"/>
  <c r="B1530" i="3" l="1"/>
  <c r="W1528" i="3"/>
  <c r="P1529" i="3"/>
  <c r="Q1529" i="3" a="1"/>
  <c r="Q1529" i="3" s="1"/>
  <c r="R1529" i="3" s="1"/>
  <c r="D1530" i="3" l="1"/>
  <c r="K1530" i="3"/>
  <c r="L1529" i="3"/>
  <c r="S1529" i="3" s="1"/>
  <c r="T1529" i="3" l="1"/>
  <c r="U1529" i="3" s="1"/>
  <c r="V1529" i="3"/>
  <c r="W1529" i="3" s="1"/>
  <c r="N1530" i="3"/>
  <c r="O1530" i="3"/>
  <c r="G1530" i="3"/>
  <c r="I1530" i="3" s="1"/>
  <c r="P1530" i="3" l="1"/>
  <c r="Q1530" i="3" a="1"/>
  <c r="Q1530" i="3" s="1"/>
  <c r="R1530" i="3" s="1"/>
  <c r="B1531" i="3"/>
  <c r="K1531" i="3" l="1"/>
  <c r="D1531" i="3"/>
  <c r="L1530" i="3"/>
  <c r="S1530" i="3" s="1"/>
  <c r="V1530" i="3" l="1"/>
  <c r="T1530" i="3"/>
  <c r="U1530" i="3" s="1"/>
  <c r="N1531" i="3"/>
  <c r="G1531" i="3"/>
  <c r="I1531" i="3" s="1"/>
  <c r="O1531" i="3"/>
  <c r="B1532" i="3" l="1"/>
  <c r="Q1531" i="3" a="1"/>
  <c r="Q1531" i="3" s="1"/>
  <c r="P1531" i="3"/>
  <c r="W1530" i="3"/>
  <c r="R1531" i="3" l="1"/>
  <c r="K1532" i="3"/>
  <c r="D1532" i="3"/>
  <c r="L1531" i="3"/>
  <c r="S1531" i="3" s="1"/>
  <c r="T1531" i="3" l="1"/>
  <c r="U1531" i="3" s="1"/>
  <c r="V1531" i="3"/>
  <c r="W1531" i="3" s="1"/>
  <c r="N1532" i="3"/>
  <c r="O1532" i="3"/>
  <c r="G1532" i="3"/>
  <c r="I1532" i="3" s="1"/>
  <c r="Q1532" i="3" l="1" a="1"/>
  <c r="Q1532" i="3" s="1"/>
  <c r="P1532" i="3"/>
  <c r="B1533" i="3"/>
  <c r="R1532" i="3" l="1"/>
  <c r="K1533" i="3"/>
  <c r="D1533" i="3"/>
  <c r="L1532" i="3"/>
  <c r="S1532" i="3" s="1"/>
  <c r="G1533" i="3" l="1"/>
  <c r="I1533" i="3" s="1"/>
  <c r="O1533" i="3"/>
  <c r="N1533" i="3"/>
  <c r="V1532" i="3"/>
  <c r="T1532" i="3"/>
  <c r="U1532" i="3" s="1"/>
  <c r="W1532" i="3" l="1"/>
  <c r="Q1533" i="3" a="1"/>
  <c r="Q1533" i="3" s="1"/>
  <c r="P1533" i="3"/>
  <c r="B1534" i="3"/>
  <c r="R1533" i="3" l="1"/>
  <c r="D1534" i="3"/>
  <c r="K1534" i="3"/>
  <c r="L1533" i="3"/>
  <c r="S1533" i="3" s="1"/>
  <c r="T1533" i="3" l="1"/>
  <c r="U1533" i="3" s="1"/>
  <c r="V1533" i="3"/>
  <c r="W1533" i="3" s="1"/>
  <c r="N1534" i="3"/>
  <c r="G1534" i="3"/>
  <c r="I1534" i="3" s="1"/>
  <c r="O1534" i="3"/>
  <c r="B1535" i="3" l="1"/>
  <c r="Q1534" i="3" a="1"/>
  <c r="Q1534" i="3" s="1"/>
  <c r="P1534" i="3"/>
  <c r="R1534" i="3" l="1"/>
  <c r="D1535" i="3"/>
  <c r="K1535" i="3"/>
  <c r="L1534" i="3"/>
  <c r="S1534" i="3" s="1"/>
  <c r="V1534" i="3" l="1"/>
  <c r="T1534" i="3"/>
  <c r="U1534" i="3" s="1"/>
  <c r="G1535" i="3"/>
  <c r="I1535" i="3" s="1"/>
  <c r="N1535" i="3"/>
  <c r="O1535" i="3"/>
  <c r="B1536" i="3" l="1"/>
  <c r="Q1535" i="3" a="1"/>
  <c r="Q1535" i="3" s="1"/>
  <c r="P1535" i="3"/>
  <c r="W1534" i="3"/>
  <c r="R1535" i="3" l="1"/>
  <c r="D1536" i="3"/>
  <c r="K1536" i="3"/>
  <c r="L1535" i="3"/>
  <c r="S1535" i="3" s="1"/>
  <c r="T1535" i="3" l="1"/>
  <c r="U1535" i="3" s="1"/>
  <c r="V1535" i="3"/>
  <c r="N1536" i="3"/>
  <c r="O1536" i="3"/>
  <c r="G1536" i="3"/>
  <c r="I1536" i="3" s="1"/>
  <c r="Q1536" i="3" l="1" a="1"/>
  <c r="Q1536" i="3" s="1"/>
  <c r="P1536" i="3"/>
  <c r="W1535" i="3"/>
  <c r="B1537" i="3"/>
  <c r="L1536" i="3" s="1"/>
  <c r="R1536" i="3" l="1"/>
  <c r="K1537" i="3"/>
  <c r="D1537" i="3"/>
  <c r="S1536" i="3"/>
  <c r="G1537" i="3" l="1"/>
  <c r="I1537" i="3" s="1"/>
  <c r="N1537" i="3"/>
  <c r="O1537" i="3"/>
  <c r="T1536" i="3"/>
  <c r="U1536" i="3" s="1"/>
  <c r="V1536" i="3"/>
  <c r="W1536" i="3" l="1"/>
  <c r="Q1537" i="3" a="1"/>
  <c r="Q1537" i="3" s="1"/>
  <c r="P1537" i="3"/>
  <c r="B1538" i="3"/>
  <c r="R1537" i="3" l="1"/>
  <c r="K1538" i="3"/>
  <c r="D1538" i="3"/>
  <c r="L1537" i="3"/>
  <c r="S1537" i="3" s="1"/>
  <c r="T1537" i="3" l="1"/>
  <c r="U1537" i="3" s="1"/>
  <c r="V1537" i="3"/>
  <c r="O1538" i="3"/>
  <c r="G1538" i="3"/>
  <c r="I1538" i="3" s="1"/>
  <c r="N1538" i="3"/>
  <c r="B1539" i="3" l="1"/>
  <c r="Q1538" i="3" a="1"/>
  <c r="Q1538" i="3" s="1"/>
  <c r="P1538" i="3"/>
  <c r="W1537" i="3"/>
  <c r="R1538" i="3" l="1"/>
  <c r="K1539" i="3"/>
  <c r="D1539" i="3"/>
  <c r="L1538" i="3"/>
  <c r="S1538" i="3" s="1"/>
  <c r="T1538" i="3" l="1"/>
  <c r="U1538" i="3" s="1"/>
  <c r="V1538" i="3"/>
  <c r="N1539" i="3"/>
  <c r="O1539" i="3"/>
  <c r="G1539" i="3"/>
  <c r="I1539" i="3" s="1"/>
  <c r="Q1539" i="3" l="1" a="1"/>
  <c r="Q1539" i="3" s="1"/>
  <c r="P1539" i="3"/>
  <c r="W1538" i="3"/>
  <c r="B1540" i="3"/>
  <c r="L1539" i="3" s="1"/>
  <c r="R1539" i="3" l="1"/>
  <c r="D1540" i="3"/>
  <c r="K1540" i="3"/>
  <c r="S1539" i="3"/>
  <c r="N1540" i="3" l="1"/>
  <c r="O1540" i="3"/>
  <c r="G1540" i="3"/>
  <c r="I1540" i="3" s="1"/>
  <c r="T1539" i="3"/>
  <c r="U1539" i="3" s="1"/>
  <c r="V1539" i="3"/>
  <c r="W1539" i="3" l="1"/>
  <c r="B1541" i="3"/>
  <c r="Q1540" i="3" a="1"/>
  <c r="Q1540" i="3" s="1"/>
  <c r="P1540" i="3"/>
  <c r="R1540" i="3" l="1"/>
  <c r="D1541" i="3"/>
  <c r="K1541" i="3"/>
  <c r="L1540" i="3"/>
  <c r="S1540" i="3" s="1"/>
  <c r="T1540" i="3" l="1"/>
  <c r="U1540" i="3" s="1"/>
  <c r="V1540" i="3"/>
  <c r="G1541" i="3"/>
  <c r="I1541" i="3" s="1"/>
  <c r="O1541" i="3"/>
  <c r="N1541" i="3"/>
  <c r="P1541" i="3" l="1"/>
  <c r="Q1541" i="3" a="1"/>
  <c r="Q1541" i="3" s="1"/>
  <c r="B1542" i="3"/>
  <c r="L1541" i="3" s="1"/>
  <c r="W1540" i="3"/>
  <c r="R1541" i="3" l="1"/>
  <c r="K1542" i="3"/>
  <c r="D1542" i="3"/>
  <c r="S1541" i="3"/>
  <c r="G1542" i="3" l="1"/>
  <c r="I1542" i="3" s="1"/>
  <c r="N1542" i="3"/>
  <c r="O1542" i="3"/>
  <c r="T1541" i="3"/>
  <c r="U1541" i="3" s="1"/>
  <c r="V1541" i="3"/>
  <c r="W1541" i="3" l="1"/>
  <c r="P1542" i="3"/>
  <c r="Q1542" i="3" a="1"/>
  <c r="Q1542" i="3" s="1"/>
  <c r="B1543" i="3"/>
  <c r="R1542" i="3" l="1"/>
  <c r="K1543" i="3"/>
  <c r="D1543" i="3"/>
  <c r="L1542" i="3"/>
  <c r="S1542" i="3" s="1"/>
  <c r="T1542" i="3" l="1"/>
  <c r="U1542" i="3" s="1"/>
  <c r="V1542" i="3"/>
  <c r="W1542" i="3" s="1"/>
  <c r="N1543" i="3"/>
  <c r="O1543" i="3"/>
  <c r="G1543" i="3"/>
  <c r="I1543" i="3" s="1"/>
  <c r="Q1543" i="3" l="1" a="1"/>
  <c r="Q1543" i="3" s="1"/>
  <c r="P1543" i="3"/>
  <c r="B1544" i="3"/>
  <c r="R1543" i="3" l="1"/>
  <c r="D1544" i="3"/>
  <c r="K1544" i="3"/>
  <c r="L1543" i="3"/>
  <c r="S1543" i="3" s="1"/>
  <c r="V1543" i="3" l="1"/>
  <c r="T1543" i="3"/>
  <c r="U1543" i="3" s="1"/>
  <c r="N1544" i="3"/>
  <c r="O1544" i="3"/>
  <c r="G1544" i="3"/>
  <c r="I1544" i="3" s="1"/>
  <c r="P1544" i="3" l="1"/>
  <c r="Q1544" i="3" a="1"/>
  <c r="Q1544" i="3" s="1"/>
  <c r="B1545" i="3"/>
  <c r="L1544" i="3" s="1"/>
  <c r="W1543" i="3"/>
  <c r="R1544" i="3" l="1"/>
  <c r="K1545" i="3"/>
  <c r="D1545" i="3"/>
  <c r="S1544" i="3"/>
  <c r="G1545" i="3" l="1"/>
  <c r="I1545" i="3" s="1"/>
  <c r="N1545" i="3"/>
  <c r="O1545" i="3"/>
  <c r="T1544" i="3"/>
  <c r="U1544" i="3" s="1"/>
  <c r="V1544" i="3"/>
  <c r="W1544" i="3" l="1"/>
  <c r="Q1545" i="3" a="1"/>
  <c r="Q1545" i="3" s="1"/>
  <c r="P1545" i="3"/>
  <c r="B1546" i="3"/>
  <c r="R1545" i="3" l="1"/>
  <c r="D1546" i="3"/>
  <c r="K1546" i="3"/>
  <c r="L1545" i="3"/>
  <c r="S1545" i="3" s="1"/>
  <c r="T1545" i="3" l="1"/>
  <c r="U1545" i="3" s="1"/>
  <c r="V1545" i="3"/>
  <c r="G1546" i="3"/>
  <c r="I1546" i="3" s="1"/>
  <c r="N1546" i="3"/>
  <c r="O1546" i="3"/>
  <c r="B1547" i="3" l="1"/>
  <c r="W1545" i="3"/>
  <c r="Q1546" i="3" a="1"/>
  <c r="Q1546" i="3" s="1"/>
  <c r="P1546" i="3"/>
  <c r="R1546" i="3" l="1"/>
  <c r="D1547" i="3"/>
  <c r="K1547" i="3"/>
  <c r="L1546" i="3"/>
  <c r="S1546" i="3" s="1"/>
  <c r="T1546" i="3" l="1"/>
  <c r="U1546" i="3" s="1"/>
  <c r="V1546" i="3"/>
  <c r="O1547" i="3"/>
  <c r="N1547" i="3"/>
  <c r="G1547" i="3"/>
  <c r="Q1547" i="3" l="1" a="1"/>
  <c r="Q1547" i="3" s="1"/>
  <c r="P1547" i="3"/>
  <c r="W1546" i="3"/>
  <c r="I1547" i="3"/>
  <c r="B1548" i="3" s="1"/>
  <c r="R1547" i="3" l="1"/>
  <c r="D1548" i="3"/>
  <c r="K1548" i="3"/>
  <c r="L1547" i="3"/>
  <c r="S1547" i="3" s="1"/>
  <c r="G1548" i="3" l="1"/>
  <c r="I1548" i="3" s="1"/>
  <c r="N1548" i="3"/>
  <c r="O1548" i="3"/>
  <c r="T1547" i="3"/>
  <c r="U1547" i="3" s="1"/>
  <c r="V1547" i="3"/>
  <c r="W1547" i="3" l="1"/>
  <c r="Q1548" i="3" a="1"/>
  <c r="Q1548" i="3" s="1"/>
  <c r="P1548" i="3"/>
  <c r="B1549" i="3"/>
  <c r="R1548" i="3" l="1"/>
  <c r="K1549" i="3"/>
  <c r="D1549" i="3"/>
  <c r="L1548" i="3"/>
  <c r="S1548" i="3" s="1"/>
  <c r="T1548" i="3" l="1"/>
  <c r="U1548" i="3" s="1"/>
  <c r="V1548" i="3"/>
  <c r="O1549" i="3"/>
  <c r="N1549" i="3"/>
  <c r="G1549" i="3"/>
  <c r="I1549" i="3" s="1"/>
  <c r="P1549" i="3" l="1"/>
  <c r="Q1549" i="3" a="1"/>
  <c r="Q1549" i="3" s="1"/>
  <c r="W1548" i="3"/>
  <c r="B1550" i="3"/>
  <c r="R1549" i="3" l="1"/>
  <c r="K1550" i="3"/>
  <c r="D1550" i="3"/>
  <c r="L1549" i="3"/>
  <c r="S1549" i="3" s="1"/>
  <c r="O1550" i="3" l="1"/>
  <c r="N1550" i="3"/>
  <c r="G1550" i="3"/>
  <c r="I1550" i="3" s="1"/>
  <c r="T1549" i="3"/>
  <c r="U1549" i="3" s="1"/>
  <c r="V1549" i="3"/>
  <c r="W1549" i="3" l="1"/>
  <c r="B1551" i="3"/>
  <c r="Q1550" i="3" a="1"/>
  <c r="Q1550" i="3" s="1"/>
  <c r="P1550" i="3"/>
  <c r="R1550" i="3" l="1"/>
  <c r="D1551" i="3"/>
  <c r="K1551" i="3"/>
  <c r="L1550" i="3"/>
  <c r="S1550" i="3" s="1"/>
  <c r="T1550" i="3" l="1"/>
  <c r="U1550" i="3" s="1"/>
  <c r="V1550" i="3"/>
  <c r="N1551" i="3"/>
  <c r="O1551" i="3"/>
  <c r="G1551" i="3"/>
  <c r="I1551" i="3" s="1"/>
  <c r="P1551" i="3" l="1"/>
  <c r="Q1551" i="3" a="1"/>
  <c r="Q1551" i="3" s="1"/>
  <c r="W1550" i="3"/>
  <c r="B1552" i="3"/>
  <c r="R1551" i="3" l="1"/>
  <c r="D1552" i="3"/>
  <c r="K1552" i="3"/>
  <c r="L1551" i="3"/>
  <c r="S1551" i="3" s="1"/>
  <c r="T1551" i="3" l="1"/>
  <c r="U1551" i="3" s="1"/>
  <c r="V1551" i="3"/>
  <c r="O1552" i="3"/>
  <c r="N1552" i="3"/>
  <c r="G1552" i="3"/>
  <c r="I1552" i="3" s="1"/>
  <c r="P1552" i="3" l="1"/>
  <c r="Q1552" i="3" a="1"/>
  <c r="Q1552" i="3" s="1"/>
  <c r="W1551" i="3"/>
  <c r="B1553" i="3"/>
  <c r="R1552" i="3" l="1"/>
  <c r="D1553" i="3"/>
  <c r="K1553" i="3"/>
  <c r="L1552" i="3"/>
  <c r="S1552" i="3" s="1"/>
  <c r="T1552" i="3" l="1"/>
  <c r="U1552" i="3" s="1"/>
  <c r="V1552" i="3"/>
  <c r="G1553" i="3"/>
  <c r="I1553" i="3" s="1"/>
  <c r="N1553" i="3"/>
  <c r="O1553" i="3"/>
  <c r="B1554" i="3" l="1"/>
  <c r="W1552" i="3"/>
  <c r="P1553" i="3"/>
  <c r="Q1553" i="3" a="1"/>
  <c r="Q1553" i="3" s="1"/>
  <c r="R1553" i="3" s="1"/>
  <c r="K1554" i="3" l="1"/>
  <c r="D1554" i="3"/>
  <c r="L1553" i="3"/>
  <c r="S1553" i="3" s="1"/>
  <c r="T1553" i="3" l="1"/>
  <c r="U1553" i="3" s="1"/>
  <c r="V1553" i="3"/>
  <c r="N1554" i="3"/>
  <c r="O1554" i="3"/>
  <c r="G1554" i="3"/>
  <c r="I1554" i="3" s="1"/>
  <c r="P1554" i="3" l="1"/>
  <c r="Q1554" i="3" a="1"/>
  <c r="Q1554" i="3" s="1"/>
  <c r="W1553" i="3"/>
  <c r="B1555" i="3"/>
  <c r="R1554" i="3" l="1"/>
  <c r="K1555" i="3"/>
  <c r="D1555" i="3"/>
  <c r="L1554" i="3"/>
  <c r="S1554" i="3" s="1"/>
  <c r="G1555" i="3" l="1"/>
  <c r="I1555" i="3" s="1"/>
  <c r="N1555" i="3"/>
  <c r="O1555" i="3"/>
  <c r="T1554" i="3"/>
  <c r="U1554" i="3" s="1"/>
  <c r="V1554" i="3"/>
  <c r="W1554" i="3" l="1"/>
  <c r="P1555" i="3"/>
  <c r="Q1555" i="3" a="1"/>
  <c r="Q1555" i="3" s="1"/>
  <c r="B1556" i="3"/>
  <c r="R1555" i="3" l="1"/>
  <c r="D1556" i="3"/>
  <c r="K1556" i="3"/>
  <c r="L1555" i="3"/>
  <c r="S1555" i="3" s="1"/>
  <c r="T1555" i="3" l="1"/>
  <c r="U1555" i="3" s="1"/>
  <c r="V1555" i="3"/>
  <c r="G1556" i="3"/>
  <c r="I1556" i="3" s="1"/>
  <c r="N1556" i="3"/>
  <c r="O1556" i="3"/>
  <c r="B1557" i="3" l="1"/>
  <c r="W1555" i="3"/>
  <c r="P1556" i="3"/>
  <c r="Q1556" i="3" a="1"/>
  <c r="Q1556" i="3" s="1"/>
  <c r="R1556" i="3" s="1"/>
  <c r="K1557" i="3" l="1"/>
  <c r="D1557" i="3"/>
  <c r="L1556" i="3"/>
  <c r="S1556" i="3" s="1"/>
  <c r="T1556" i="3" l="1"/>
  <c r="U1556" i="3" s="1"/>
  <c r="V1556" i="3"/>
  <c r="W1556" i="3" s="1"/>
  <c r="G1557" i="3"/>
  <c r="I1557" i="3" s="1"/>
  <c r="N1557" i="3"/>
  <c r="O1557" i="3"/>
  <c r="B1558" i="3" l="1"/>
  <c r="P1557" i="3"/>
  <c r="Q1557" i="3" a="1"/>
  <c r="Q1557" i="3" s="1"/>
  <c r="R1557" i="3" s="1"/>
  <c r="D1558" i="3" l="1"/>
  <c r="K1558" i="3"/>
  <c r="L1557" i="3"/>
  <c r="S1557" i="3" s="1"/>
  <c r="V1557" i="3" l="1"/>
  <c r="W1557" i="3" s="1"/>
  <c r="T1557" i="3"/>
  <c r="U1557" i="3" s="1"/>
  <c r="N1558" i="3"/>
  <c r="G1558" i="3"/>
  <c r="I1558" i="3" s="1"/>
  <c r="O1558" i="3"/>
  <c r="B1559" i="3" l="1"/>
  <c r="Q1558" i="3" a="1"/>
  <c r="Q1558" i="3" s="1"/>
  <c r="P1558" i="3"/>
  <c r="R1558" i="3" l="1"/>
  <c r="D1559" i="3"/>
  <c r="K1559" i="3"/>
  <c r="L1558" i="3"/>
  <c r="S1558" i="3" s="1"/>
  <c r="V1558" i="3" l="1"/>
  <c r="T1558" i="3"/>
  <c r="U1558" i="3" s="1"/>
  <c r="N1559" i="3"/>
  <c r="O1559" i="3"/>
  <c r="G1559" i="3"/>
  <c r="I1559" i="3" s="1"/>
  <c r="P1559" i="3" l="1"/>
  <c r="Q1559" i="3" a="1"/>
  <c r="Q1559" i="3" s="1"/>
  <c r="R1559" i="3" s="1"/>
  <c r="B1560" i="3"/>
  <c r="L1559" i="3" s="1"/>
  <c r="W1558" i="3"/>
  <c r="D1560" i="3" l="1"/>
  <c r="K1560" i="3"/>
  <c r="S1559" i="3"/>
  <c r="G1560" i="3" l="1"/>
  <c r="I1560" i="3" s="1"/>
  <c r="N1560" i="3"/>
  <c r="O1560" i="3"/>
  <c r="T1559" i="3"/>
  <c r="U1559" i="3" s="1"/>
  <c r="V1559" i="3"/>
  <c r="W1559" i="3" l="1"/>
  <c r="Q1560" i="3" a="1"/>
  <c r="Q1560" i="3" s="1"/>
  <c r="P1560" i="3"/>
  <c r="B1561" i="3"/>
  <c r="R1560" i="3" l="1"/>
  <c r="K1561" i="3"/>
  <c r="D1561" i="3"/>
  <c r="L1560" i="3"/>
  <c r="S1560" i="3" s="1"/>
  <c r="T1560" i="3" l="1"/>
  <c r="U1560" i="3" s="1"/>
  <c r="V1560" i="3"/>
  <c r="O1561" i="3"/>
  <c r="G1561" i="3"/>
  <c r="I1561" i="3" s="1"/>
  <c r="N1561" i="3"/>
  <c r="B1562" i="3" l="1"/>
  <c r="Q1561" i="3" a="1"/>
  <c r="Q1561" i="3" s="1"/>
  <c r="P1561" i="3"/>
  <c r="W1560" i="3"/>
  <c r="R1561" i="3" l="1"/>
  <c r="D1562" i="3"/>
  <c r="K1562" i="3"/>
  <c r="L1561" i="3"/>
  <c r="S1561" i="3" s="1"/>
  <c r="T1561" i="3" l="1"/>
  <c r="U1561" i="3" s="1"/>
  <c r="V1561" i="3"/>
  <c r="N1562" i="3"/>
  <c r="G1562" i="3"/>
  <c r="I1562" i="3" s="1"/>
  <c r="O1562" i="3"/>
  <c r="B1563" i="3" l="1"/>
  <c r="W1561" i="3"/>
  <c r="P1562" i="3"/>
  <c r="Q1562" i="3" a="1"/>
  <c r="Q1562" i="3" s="1"/>
  <c r="R1562" i="3" s="1"/>
  <c r="K1563" i="3" l="1"/>
  <c r="D1563" i="3"/>
  <c r="L1562" i="3"/>
  <c r="S1562" i="3" s="1"/>
  <c r="T1562" i="3" l="1"/>
  <c r="U1562" i="3" s="1"/>
  <c r="V1562" i="3"/>
  <c r="W1562" i="3" s="1"/>
  <c r="G1563" i="3"/>
  <c r="I1563" i="3" s="1"/>
  <c r="N1563" i="3"/>
  <c r="O1563" i="3"/>
  <c r="B1564" i="3" l="1"/>
  <c r="Q1563" i="3" a="1"/>
  <c r="Q1563" i="3" s="1"/>
  <c r="P1563" i="3"/>
  <c r="R1563" i="3" l="1"/>
  <c r="K1564" i="3"/>
  <c r="D1564" i="3"/>
  <c r="L1563" i="3"/>
  <c r="S1563" i="3" s="1"/>
  <c r="V1563" i="3" l="1"/>
  <c r="T1563" i="3"/>
  <c r="U1563" i="3" s="1"/>
  <c r="G1564" i="3"/>
  <c r="I1564" i="3" s="1"/>
  <c r="O1564" i="3"/>
  <c r="N1564" i="3"/>
  <c r="P1564" i="3" l="1"/>
  <c r="Q1564" i="3" a="1"/>
  <c r="Q1564" i="3" s="1"/>
  <c r="B1565" i="3"/>
  <c r="L1564" i="3" s="1"/>
  <c r="W1563" i="3"/>
  <c r="R1564" i="3" l="1"/>
  <c r="K1565" i="3"/>
  <c r="D1565" i="3"/>
  <c r="S1564" i="3"/>
  <c r="T1564" i="3" l="1"/>
  <c r="U1564" i="3" s="1"/>
  <c r="V1564" i="3"/>
  <c r="G1565" i="3"/>
  <c r="I1565" i="3" s="1"/>
  <c r="N1565" i="3"/>
  <c r="O1565" i="3"/>
  <c r="B1566" i="3" l="1"/>
  <c r="W1564" i="3"/>
  <c r="P1565" i="3"/>
  <c r="Q1565" i="3" a="1"/>
  <c r="Q1565" i="3" s="1"/>
  <c r="R1565" i="3" s="1"/>
  <c r="D1566" i="3" l="1"/>
  <c r="K1566" i="3"/>
  <c r="L1565" i="3"/>
  <c r="S1565" i="3" s="1"/>
  <c r="T1565" i="3" l="1"/>
  <c r="U1565" i="3" s="1"/>
  <c r="V1565" i="3"/>
  <c r="G1566" i="3"/>
  <c r="I1566" i="3" s="1"/>
  <c r="O1566" i="3"/>
  <c r="N1566" i="3"/>
  <c r="Q1566" i="3" l="1" a="1"/>
  <c r="Q1566" i="3" s="1"/>
  <c r="P1566" i="3"/>
  <c r="B1567" i="3"/>
  <c r="W1565" i="3"/>
  <c r="R1566" i="3" l="1"/>
  <c r="K1567" i="3"/>
  <c r="D1567" i="3"/>
  <c r="L1566" i="3"/>
  <c r="S1566" i="3" s="1"/>
  <c r="T1566" i="3" l="1"/>
  <c r="U1566" i="3" s="1"/>
  <c r="V1566" i="3"/>
  <c r="W1566" i="3" s="1"/>
  <c r="G1567" i="3"/>
  <c r="I1567" i="3" s="1"/>
  <c r="O1567" i="3"/>
  <c r="N1567" i="3"/>
  <c r="Q1567" i="3" l="1" a="1"/>
  <c r="Q1567" i="3" s="1"/>
  <c r="P1567" i="3"/>
  <c r="B1568" i="3"/>
  <c r="L1567" i="3" s="1"/>
  <c r="R1567" i="3" l="1"/>
  <c r="K1568" i="3"/>
  <c r="D1568" i="3"/>
  <c r="S1567" i="3"/>
  <c r="V1567" i="3" l="1"/>
  <c r="T1567" i="3"/>
  <c r="U1567" i="3" s="1"/>
  <c r="N1568" i="3"/>
  <c r="O1568" i="3"/>
  <c r="G1568" i="3"/>
  <c r="I1568" i="3" s="1"/>
  <c r="Q1568" i="3" l="1" a="1"/>
  <c r="Q1568" i="3" s="1"/>
  <c r="P1568" i="3"/>
  <c r="B1569" i="3"/>
  <c r="L1568" i="3" s="1"/>
  <c r="W1567" i="3"/>
  <c r="R1568" i="3" l="1"/>
  <c r="D1569" i="3"/>
  <c r="K1569" i="3"/>
  <c r="S1568" i="3"/>
  <c r="G1569" i="3" l="1"/>
  <c r="I1569" i="3" s="1"/>
  <c r="O1569" i="3"/>
  <c r="N1569" i="3"/>
  <c r="T1568" i="3"/>
  <c r="U1568" i="3" s="1"/>
  <c r="V1568" i="3"/>
  <c r="W1568" i="3" l="1"/>
  <c r="Q1569" i="3" a="1"/>
  <c r="Q1569" i="3" s="1"/>
  <c r="P1569" i="3"/>
  <c r="B1570" i="3"/>
  <c r="R1569" i="3" l="1"/>
  <c r="D1570" i="3"/>
  <c r="K1570" i="3"/>
  <c r="L1569" i="3"/>
  <c r="S1569" i="3" s="1"/>
  <c r="T1569" i="3" l="1"/>
  <c r="U1569" i="3" s="1"/>
  <c r="V1569" i="3"/>
  <c r="N1570" i="3"/>
  <c r="G1570" i="3"/>
  <c r="I1570" i="3" s="1"/>
  <c r="O1570" i="3"/>
  <c r="B1571" i="3" l="1"/>
  <c r="W1569" i="3"/>
  <c r="Q1570" i="3" a="1"/>
  <c r="Q1570" i="3" s="1"/>
  <c r="P1570" i="3"/>
  <c r="R1570" i="3" l="1"/>
  <c r="K1571" i="3"/>
  <c r="D1571" i="3"/>
  <c r="L1570" i="3"/>
  <c r="S1570" i="3" s="1"/>
  <c r="T1570" i="3" l="1"/>
  <c r="U1570" i="3" s="1"/>
  <c r="V1570" i="3"/>
  <c r="N1571" i="3"/>
  <c r="O1571" i="3"/>
  <c r="G1571" i="3"/>
  <c r="I1571" i="3" s="1"/>
  <c r="Q1571" i="3" l="1" a="1"/>
  <c r="Q1571" i="3" s="1"/>
  <c r="P1571" i="3"/>
  <c r="W1570" i="3"/>
  <c r="B1572" i="3"/>
  <c r="L1571" i="3" s="1"/>
  <c r="R1571" i="3" l="1"/>
  <c r="K1572" i="3"/>
  <c r="D1572" i="3"/>
  <c r="S1571" i="3"/>
  <c r="T1571" i="3" l="1"/>
  <c r="U1571" i="3" s="1"/>
  <c r="V1571" i="3"/>
  <c r="N1572" i="3"/>
  <c r="O1572" i="3"/>
  <c r="G1572" i="3"/>
  <c r="I1572" i="3" s="1"/>
  <c r="P1572" i="3" l="1"/>
  <c r="Q1572" i="3" a="1"/>
  <c r="Q1572" i="3" s="1"/>
  <c r="W1571" i="3"/>
  <c r="B1573" i="3"/>
  <c r="R1572" i="3" l="1"/>
  <c r="D1573" i="3"/>
  <c r="K1573" i="3"/>
  <c r="L1572" i="3"/>
  <c r="S1572" i="3" s="1"/>
  <c r="T1572" i="3" l="1"/>
  <c r="U1572" i="3" s="1"/>
  <c r="V1572" i="3"/>
  <c r="N1573" i="3"/>
  <c r="O1573" i="3"/>
  <c r="G1573" i="3"/>
  <c r="I1573" i="3" s="1"/>
  <c r="P1573" i="3" l="1"/>
  <c r="Q1573" i="3" a="1"/>
  <c r="Q1573" i="3" s="1"/>
  <c r="W1572" i="3"/>
  <c r="B1574" i="3"/>
  <c r="R1573" i="3" l="1"/>
  <c r="D1574" i="3"/>
  <c r="K1574" i="3"/>
  <c r="L1573" i="3"/>
  <c r="S1573" i="3" s="1"/>
  <c r="T1573" i="3" l="1"/>
  <c r="U1573" i="3" s="1"/>
  <c r="V1573" i="3"/>
  <c r="G1574" i="3"/>
  <c r="I1574" i="3" s="1"/>
  <c r="N1574" i="3"/>
  <c r="O1574" i="3"/>
  <c r="B1575" i="3" l="1"/>
  <c r="W1573" i="3"/>
  <c r="Q1574" i="3" a="1"/>
  <c r="Q1574" i="3" s="1"/>
  <c r="R1574" i="3" s="1"/>
  <c r="P1574" i="3"/>
  <c r="K1575" i="3" l="1"/>
  <c r="D1575" i="3"/>
  <c r="L1574" i="3"/>
  <c r="S1574" i="3" s="1"/>
  <c r="T1574" i="3" l="1"/>
  <c r="U1574" i="3" s="1"/>
  <c r="V1574" i="3"/>
  <c r="O1575" i="3"/>
  <c r="N1575" i="3"/>
  <c r="G1575" i="3"/>
  <c r="I1575" i="3" s="1"/>
  <c r="P1575" i="3" l="1"/>
  <c r="Q1575" i="3" a="1"/>
  <c r="Q1575" i="3" s="1"/>
  <c r="R1575" i="3" s="1"/>
  <c r="W1574" i="3"/>
  <c r="B1576" i="3"/>
  <c r="K1576" i="3" l="1"/>
  <c r="D1576" i="3"/>
  <c r="L1575" i="3"/>
  <c r="S1575" i="3" s="1"/>
  <c r="G1576" i="3" l="1"/>
  <c r="I1576" i="3" s="1"/>
  <c r="O1576" i="3"/>
  <c r="N1576" i="3"/>
  <c r="T1575" i="3"/>
  <c r="U1575" i="3" s="1"/>
  <c r="V1575" i="3"/>
  <c r="W1575" i="3" l="1"/>
  <c r="P1576" i="3"/>
  <c r="Q1576" i="3" a="1"/>
  <c r="Q1576" i="3" s="1"/>
  <c r="B1577" i="3"/>
  <c r="R1576" i="3" l="1"/>
  <c r="D1577" i="3"/>
  <c r="K1577" i="3"/>
  <c r="L1576" i="3"/>
  <c r="S1576" i="3" s="1"/>
  <c r="T1576" i="3" l="1"/>
  <c r="U1576" i="3" s="1"/>
  <c r="V1576" i="3"/>
  <c r="O1577" i="3"/>
  <c r="N1577" i="3"/>
  <c r="G1577" i="3"/>
  <c r="I1577" i="3" s="1"/>
  <c r="Q1577" i="3" l="1" a="1"/>
  <c r="Q1577" i="3" s="1"/>
  <c r="P1577" i="3"/>
  <c r="W1576" i="3"/>
  <c r="B1578" i="3"/>
  <c r="L1577" i="3" s="1"/>
  <c r="R1577" i="3" l="1"/>
  <c r="D1578" i="3"/>
  <c r="K1578" i="3"/>
  <c r="S1577" i="3"/>
  <c r="O1578" i="3" l="1"/>
  <c r="N1578" i="3"/>
  <c r="G1578" i="3"/>
  <c r="I1578" i="3" s="1"/>
  <c r="T1577" i="3"/>
  <c r="U1577" i="3" s="1"/>
  <c r="V1577" i="3"/>
  <c r="W1577" i="3" l="1"/>
  <c r="B1579" i="3"/>
  <c r="Q1578" i="3" a="1"/>
  <c r="Q1578" i="3" s="1"/>
  <c r="R1578" i="3" s="1"/>
  <c r="P1578" i="3"/>
  <c r="K1579" i="3" l="1"/>
  <c r="D1579" i="3"/>
  <c r="L1578" i="3"/>
  <c r="S1578" i="3" s="1"/>
  <c r="T1578" i="3" l="1"/>
  <c r="U1578" i="3" s="1"/>
  <c r="V1578" i="3"/>
  <c r="G1579" i="3"/>
  <c r="I1579" i="3" s="1"/>
  <c r="N1579" i="3"/>
  <c r="O1579" i="3"/>
  <c r="B1580" i="3" l="1"/>
  <c r="W1578" i="3"/>
  <c r="Q1579" i="3" a="1"/>
  <c r="Q1579" i="3" s="1"/>
  <c r="R1579" i="3" s="1"/>
  <c r="P1579" i="3"/>
  <c r="K1580" i="3" l="1"/>
  <c r="D1580" i="3"/>
  <c r="L1579" i="3"/>
  <c r="S1579" i="3" s="1"/>
  <c r="T1579" i="3" l="1"/>
  <c r="U1579" i="3" s="1"/>
  <c r="V1579" i="3"/>
  <c r="W1579" i="3" s="1"/>
  <c r="O1580" i="3"/>
  <c r="G1580" i="3"/>
  <c r="I1580" i="3" s="1"/>
  <c r="N1580" i="3"/>
  <c r="Q1580" i="3" l="1" a="1"/>
  <c r="Q1580" i="3" s="1"/>
  <c r="P1580" i="3"/>
  <c r="B1581" i="3"/>
  <c r="R1580" i="3" l="1"/>
  <c r="K1581" i="3"/>
  <c r="D1581" i="3"/>
  <c r="L1580" i="3"/>
  <c r="S1580" i="3" s="1"/>
  <c r="V1580" i="3" l="1"/>
  <c r="T1580" i="3"/>
  <c r="U1580" i="3" s="1"/>
  <c r="O1581" i="3"/>
  <c r="N1581" i="3"/>
  <c r="G1581" i="3"/>
  <c r="I1581" i="3" s="1"/>
  <c r="Q1581" i="3" l="1" a="1"/>
  <c r="Q1581" i="3" s="1"/>
  <c r="P1581" i="3"/>
  <c r="B1582" i="3"/>
  <c r="W1580" i="3"/>
  <c r="R1581" i="3" l="1"/>
  <c r="D1582" i="3"/>
  <c r="K1582" i="3"/>
  <c r="L1581" i="3"/>
  <c r="S1581" i="3" s="1"/>
  <c r="T1581" i="3" l="1"/>
  <c r="U1581" i="3" s="1"/>
  <c r="V1581" i="3"/>
  <c r="W1581" i="3" s="1"/>
  <c r="G1582" i="3"/>
  <c r="I1582" i="3" s="1"/>
  <c r="O1582" i="3"/>
  <c r="N1582" i="3"/>
  <c r="Q1582" i="3" l="1" a="1"/>
  <c r="Q1582" i="3" s="1"/>
  <c r="P1582" i="3"/>
  <c r="B1583" i="3"/>
  <c r="R1582" i="3" l="1"/>
  <c r="D1583" i="3"/>
  <c r="K1583" i="3"/>
  <c r="L1582" i="3"/>
  <c r="S1582" i="3" s="1"/>
  <c r="G1583" i="3" l="1"/>
  <c r="I1583" i="3" s="1"/>
  <c r="N1583" i="3"/>
  <c r="O1583" i="3"/>
  <c r="V1582" i="3"/>
  <c r="T1582" i="3"/>
  <c r="U1582" i="3" s="1"/>
  <c r="W1582" i="3" l="1"/>
  <c r="P1583" i="3"/>
  <c r="Q1583" i="3" a="1"/>
  <c r="Q1583" i="3" s="1"/>
  <c r="B1584" i="3"/>
  <c r="R1583" i="3" l="1"/>
  <c r="D1584" i="3"/>
  <c r="K1584" i="3"/>
  <c r="L1583" i="3"/>
  <c r="S1583" i="3" s="1"/>
  <c r="T1583" i="3" l="1"/>
  <c r="U1583" i="3" s="1"/>
  <c r="V1583" i="3"/>
  <c r="O1584" i="3"/>
  <c r="G1584" i="3"/>
  <c r="I1584" i="3" s="1"/>
  <c r="N1584" i="3"/>
  <c r="B1585" i="3" l="1"/>
  <c r="P1584" i="3"/>
  <c r="Q1584" i="3" a="1"/>
  <c r="Q1584" i="3" s="1"/>
  <c r="W1583" i="3"/>
  <c r="R1584" i="3" l="1"/>
  <c r="D1585" i="3"/>
  <c r="K1585" i="3"/>
  <c r="L1584" i="3"/>
  <c r="S1584" i="3" s="1"/>
  <c r="T1584" i="3" l="1"/>
  <c r="U1584" i="3" s="1"/>
  <c r="V1584" i="3"/>
  <c r="W1584" i="3" s="1"/>
  <c r="G1585" i="3"/>
  <c r="I1585" i="3" s="1"/>
  <c r="N1585" i="3"/>
  <c r="O1585" i="3"/>
  <c r="B1586" i="3" l="1"/>
  <c r="P1585" i="3"/>
  <c r="Q1585" i="3" a="1"/>
  <c r="Q1585" i="3" s="1"/>
  <c r="R1585" i="3" s="1"/>
  <c r="D1586" i="3" l="1"/>
  <c r="K1586" i="3"/>
  <c r="L1585" i="3"/>
  <c r="S1585" i="3" s="1"/>
  <c r="V1585" i="3" l="1"/>
  <c r="T1585" i="3"/>
  <c r="U1585" i="3" s="1"/>
  <c r="N1586" i="3"/>
  <c r="G1586" i="3"/>
  <c r="I1586" i="3" s="1"/>
  <c r="O1586" i="3"/>
  <c r="B1587" i="3" l="1"/>
  <c r="P1586" i="3"/>
  <c r="Q1586" i="3" a="1"/>
  <c r="Q1586" i="3" s="1"/>
  <c r="W1585" i="3"/>
  <c r="R1586" i="3" l="1"/>
  <c r="K1587" i="3"/>
  <c r="D1587" i="3"/>
  <c r="L1586" i="3"/>
  <c r="S1586" i="3" s="1"/>
  <c r="G1587" i="3" l="1"/>
  <c r="I1587" i="3" s="1"/>
  <c r="B1588" i="3" s="1"/>
  <c r="T1586" i="3"/>
  <c r="U1586" i="3" s="1"/>
  <c r="V1586" i="3"/>
  <c r="O1587" i="3"/>
  <c r="N1587" i="3"/>
  <c r="D1588" i="3" l="1"/>
  <c r="K1588" i="3"/>
  <c r="L1587" i="3"/>
  <c r="W1586" i="3"/>
  <c r="Q1587" i="3" a="1"/>
  <c r="Q1587" i="3" s="1"/>
  <c r="P1587" i="3"/>
  <c r="S1587" i="3" l="1"/>
  <c r="V1587" i="3" s="1"/>
  <c r="W1587" i="3" s="1"/>
  <c r="R1587" i="3"/>
  <c r="O1588" i="3"/>
  <c r="G1588" i="3"/>
  <c r="I1588" i="3" s="1"/>
  <c r="N1588" i="3"/>
  <c r="T1587" i="3" l="1"/>
  <c r="U1587" i="3" s="1"/>
  <c r="B1589" i="3"/>
  <c r="Q1588" i="3" a="1"/>
  <c r="Q1588" i="3" s="1"/>
  <c r="R1588" i="3" s="1"/>
  <c r="P1588" i="3"/>
  <c r="D1589" i="3" l="1"/>
  <c r="K1589" i="3"/>
  <c r="L1588" i="3"/>
  <c r="S1588" i="3" s="1"/>
  <c r="T1588" i="3" l="1"/>
  <c r="U1588" i="3" s="1"/>
  <c r="V1588" i="3"/>
  <c r="N1589" i="3"/>
  <c r="O1589" i="3"/>
  <c r="G1589" i="3"/>
  <c r="I1589" i="3" s="1"/>
  <c r="Q1589" i="3" l="1" a="1"/>
  <c r="Q1589" i="3" s="1"/>
  <c r="P1589" i="3"/>
  <c r="W1588" i="3"/>
  <c r="B1590" i="3"/>
  <c r="L1589" i="3" s="1"/>
  <c r="R1589" i="3" l="1"/>
  <c r="D1590" i="3"/>
  <c r="K1590" i="3"/>
  <c r="S1589" i="3"/>
  <c r="O1590" i="3" l="1"/>
  <c r="N1590" i="3"/>
  <c r="G1590" i="3"/>
  <c r="I1590" i="3" s="1"/>
  <c r="T1589" i="3"/>
  <c r="U1589" i="3" s="1"/>
  <c r="V1589" i="3"/>
  <c r="W1589" i="3" l="1"/>
  <c r="B1591" i="3"/>
  <c r="Q1590" i="3" a="1"/>
  <c r="Q1590" i="3" s="1"/>
  <c r="R1590" i="3" s="1"/>
  <c r="P1590" i="3"/>
  <c r="K1591" i="3" l="1"/>
  <c r="D1591" i="3"/>
  <c r="L1590" i="3"/>
  <c r="S1590" i="3" s="1"/>
  <c r="T1590" i="3" l="1"/>
  <c r="U1590" i="3" s="1"/>
  <c r="V1590" i="3"/>
  <c r="N1591" i="3"/>
  <c r="O1591" i="3"/>
  <c r="G1591" i="3"/>
  <c r="I1591" i="3" s="1"/>
  <c r="P1591" i="3" l="1"/>
  <c r="Q1591" i="3" a="1"/>
  <c r="Q1591" i="3" s="1"/>
  <c r="W1590" i="3"/>
  <c r="B1592" i="3"/>
  <c r="R1591" i="3" l="1"/>
  <c r="K1592" i="3"/>
  <c r="D1592" i="3"/>
  <c r="L1591" i="3"/>
  <c r="S1591" i="3" s="1"/>
  <c r="T1591" i="3" l="1"/>
  <c r="U1591" i="3" s="1"/>
  <c r="V1591" i="3"/>
  <c r="G1592" i="3"/>
  <c r="I1592" i="3" s="1"/>
  <c r="N1592" i="3"/>
  <c r="O1592" i="3"/>
  <c r="B1593" i="3" l="1"/>
  <c r="W1591" i="3"/>
  <c r="P1592" i="3"/>
  <c r="Q1592" i="3" a="1"/>
  <c r="Q1592" i="3" s="1"/>
  <c r="R1592" i="3" s="1"/>
  <c r="K1593" i="3" l="1"/>
  <c r="D1593" i="3"/>
  <c r="L1592" i="3"/>
  <c r="S1592" i="3" s="1"/>
  <c r="G1593" i="3" l="1"/>
  <c r="I1593" i="3" s="1"/>
  <c r="B1594" i="3" s="1"/>
  <c r="T1592" i="3"/>
  <c r="U1592" i="3" s="1"/>
  <c r="V1592" i="3"/>
  <c r="O1593" i="3"/>
  <c r="N1593" i="3"/>
  <c r="W1592" i="3" l="1"/>
  <c r="K1594" i="3"/>
  <c r="D1594" i="3"/>
  <c r="Q1593" i="3" a="1"/>
  <c r="Q1593" i="3" s="1"/>
  <c r="P1593" i="3"/>
  <c r="L1593" i="3"/>
  <c r="R1593" i="3" l="1"/>
  <c r="S1593" i="3"/>
  <c r="V1593" i="3" s="1"/>
  <c r="W1593" i="3" s="1"/>
  <c r="N1594" i="3"/>
  <c r="O1594" i="3"/>
  <c r="G1594" i="3"/>
  <c r="I1594" i="3" s="1"/>
  <c r="T1593" i="3" l="1"/>
  <c r="U1593" i="3" s="1"/>
  <c r="Q1594" i="3" a="1"/>
  <c r="Q1594" i="3" s="1"/>
  <c r="P1594" i="3"/>
  <c r="B1595" i="3"/>
  <c r="R1594" i="3" l="1"/>
  <c r="K1595" i="3"/>
  <c r="D1595" i="3"/>
  <c r="L1594" i="3"/>
  <c r="S1594" i="3" s="1"/>
  <c r="T1594" i="3" l="1"/>
  <c r="U1594" i="3" s="1"/>
  <c r="V1594" i="3"/>
  <c r="N1595" i="3"/>
  <c r="O1595" i="3"/>
  <c r="G1595" i="3"/>
  <c r="I1595" i="3" s="1"/>
  <c r="Q1595" i="3" l="1" a="1"/>
  <c r="Q1595" i="3" s="1"/>
  <c r="P1595" i="3"/>
  <c r="W1594" i="3"/>
  <c r="B1596" i="3"/>
  <c r="L1595" i="3" s="1"/>
  <c r="R1595" i="3" l="1"/>
  <c r="D1596" i="3"/>
  <c r="K1596" i="3"/>
  <c r="S1595" i="3"/>
  <c r="N1596" i="3" l="1"/>
  <c r="O1596" i="3"/>
  <c r="G1596" i="3"/>
  <c r="I1596" i="3" s="1"/>
  <c r="T1595" i="3"/>
  <c r="U1595" i="3" s="1"/>
  <c r="V1595" i="3"/>
  <c r="W1595" i="3" l="1"/>
  <c r="B1597" i="3"/>
  <c r="P1596" i="3"/>
  <c r="Q1596" i="3" a="1"/>
  <c r="Q1596" i="3" s="1"/>
  <c r="R1596" i="3" s="1"/>
  <c r="D1597" i="3" l="1"/>
  <c r="K1597" i="3"/>
  <c r="L1596" i="3"/>
  <c r="S1596" i="3" s="1"/>
  <c r="T1596" i="3" l="1"/>
  <c r="U1596" i="3" s="1"/>
  <c r="V1596" i="3"/>
  <c r="O1597" i="3"/>
  <c r="N1597" i="3"/>
  <c r="G1597" i="3"/>
  <c r="I1597" i="3" s="1"/>
  <c r="P1597" i="3" l="1"/>
  <c r="Q1597" i="3" a="1"/>
  <c r="Q1597" i="3" s="1"/>
  <c r="R1597" i="3" s="1"/>
  <c r="W1596" i="3"/>
  <c r="B1598" i="3"/>
  <c r="D1598" i="3" l="1"/>
  <c r="K1598" i="3"/>
  <c r="L1597" i="3"/>
  <c r="S1597" i="3" s="1"/>
  <c r="T1597" i="3" l="1"/>
  <c r="U1597" i="3" s="1"/>
  <c r="V1597" i="3"/>
  <c r="O1598" i="3"/>
  <c r="N1598" i="3"/>
  <c r="G1598" i="3"/>
  <c r="I1598" i="3" s="1"/>
  <c r="P1598" i="3" l="1"/>
  <c r="Q1598" i="3" a="1"/>
  <c r="Q1598" i="3" s="1"/>
  <c r="W1597" i="3"/>
  <c r="B1599" i="3"/>
  <c r="R1598" i="3" l="1"/>
  <c r="D1599" i="3"/>
  <c r="K1599" i="3"/>
  <c r="L1598" i="3"/>
  <c r="S1598" i="3" s="1"/>
  <c r="T1598" i="3" l="1"/>
  <c r="U1598" i="3" s="1"/>
  <c r="V1598" i="3"/>
  <c r="N1599" i="3"/>
  <c r="O1599" i="3"/>
  <c r="G1599" i="3"/>
  <c r="I1599" i="3" s="1"/>
  <c r="P1599" i="3" l="1"/>
  <c r="Q1599" i="3" a="1"/>
  <c r="Q1599" i="3" s="1"/>
  <c r="W1598" i="3"/>
  <c r="B1600" i="3"/>
  <c r="R1599" i="3" l="1"/>
  <c r="D1600" i="3"/>
  <c r="K1600" i="3"/>
  <c r="L1599" i="3"/>
  <c r="S1599" i="3" s="1"/>
  <c r="N1600" i="3" l="1"/>
  <c r="O1600" i="3"/>
  <c r="G1600" i="3"/>
  <c r="I1600" i="3" s="1"/>
  <c r="T1599" i="3"/>
  <c r="U1599" i="3" s="1"/>
  <c r="V1599" i="3"/>
  <c r="W1599" i="3" l="1"/>
  <c r="B1601" i="3"/>
  <c r="P1600" i="3"/>
  <c r="Q1600" i="3" a="1"/>
  <c r="Q1600" i="3" s="1"/>
  <c r="R1600" i="3" s="1"/>
  <c r="D1601" i="3" l="1"/>
  <c r="K1601" i="3"/>
  <c r="L1600" i="3"/>
  <c r="S1600" i="3" s="1"/>
  <c r="T1600" i="3" l="1"/>
  <c r="U1600" i="3" s="1"/>
  <c r="V1600" i="3"/>
  <c r="N1601" i="3"/>
  <c r="O1601" i="3"/>
  <c r="G1601" i="3"/>
  <c r="I1601" i="3" s="1"/>
  <c r="P1601" i="3" l="1"/>
  <c r="Q1601" i="3" a="1"/>
  <c r="Q1601" i="3" s="1"/>
  <c r="W1600" i="3"/>
  <c r="B1602" i="3"/>
  <c r="R1601" i="3" l="1"/>
  <c r="K1602" i="3"/>
  <c r="D1602" i="3"/>
  <c r="L1601" i="3"/>
  <c r="S1601" i="3" s="1"/>
  <c r="T1601" i="3" l="1"/>
  <c r="U1601" i="3" s="1"/>
  <c r="V1601" i="3"/>
  <c r="N1602" i="3"/>
  <c r="O1602" i="3"/>
  <c r="G1602" i="3"/>
  <c r="I1602" i="3" s="1"/>
  <c r="Q1602" i="3" l="1" a="1"/>
  <c r="Q1602" i="3" s="1"/>
  <c r="P1602" i="3"/>
  <c r="W1601" i="3"/>
  <c r="B1603" i="3"/>
  <c r="L1602" i="3" s="1"/>
  <c r="R1602" i="3" l="1"/>
  <c r="D1603" i="3"/>
  <c r="K1603" i="3"/>
  <c r="S1602" i="3"/>
  <c r="N1603" i="3" l="1"/>
  <c r="G1603" i="3"/>
  <c r="I1603" i="3" s="1"/>
  <c r="O1603" i="3"/>
  <c r="T1602" i="3"/>
  <c r="U1602" i="3" s="1"/>
  <c r="V1602" i="3"/>
  <c r="W1602" i="3" l="1"/>
  <c r="Q1603" i="3" a="1"/>
  <c r="Q1603" i="3" s="1"/>
  <c r="P1603" i="3"/>
  <c r="B1604" i="3"/>
  <c r="R1603" i="3" l="1"/>
  <c r="K1604" i="3"/>
  <c r="D1604" i="3"/>
  <c r="L1603" i="3"/>
  <c r="S1603" i="3" s="1"/>
  <c r="T1603" i="3" l="1"/>
  <c r="U1603" i="3" s="1"/>
  <c r="V1603" i="3"/>
  <c r="N1604" i="3"/>
  <c r="O1604" i="3"/>
  <c r="G1604" i="3"/>
  <c r="I1604" i="3" s="1"/>
  <c r="P1604" i="3" l="1"/>
  <c r="Q1604" i="3" a="1"/>
  <c r="Q1604" i="3" s="1"/>
  <c r="W1603" i="3"/>
  <c r="B1605" i="3"/>
  <c r="R1604" i="3" l="1"/>
  <c r="K1605" i="3"/>
  <c r="D1605" i="3"/>
  <c r="L1604" i="3"/>
  <c r="S1604" i="3" s="1"/>
  <c r="O1605" i="3" l="1"/>
  <c r="G1605" i="3"/>
  <c r="I1605" i="3" s="1"/>
  <c r="N1605" i="3"/>
  <c r="T1604" i="3"/>
  <c r="U1604" i="3" s="1"/>
  <c r="V1604" i="3"/>
  <c r="W1604" i="3" l="1"/>
  <c r="B1606" i="3"/>
  <c r="Q1605" i="3" a="1"/>
  <c r="Q1605" i="3" s="1"/>
  <c r="P1605" i="3"/>
  <c r="R1605" i="3" l="1"/>
  <c r="D1606" i="3"/>
  <c r="K1606" i="3"/>
  <c r="L1605" i="3"/>
  <c r="S1605" i="3" s="1"/>
  <c r="T1605" i="3" l="1"/>
  <c r="U1605" i="3" s="1"/>
  <c r="V1605" i="3"/>
  <c r="W1605" i="3" s="1"/>
  <c r="G1606" i="3"/>
  <c r="I1606" i="3" s="1"/>
  <c r="N1606" i="3"/>
  <c r="O1606" i="3"/>
  <c r="B1607" i="3" l="1"/>
  <c r="P1606" i="3"/>
  <c r="Q1606" i="3" a="1"/>
  <c r="Q1606" i="3" s="1"/>
  <c r="R1606" i="3" l="1"/>
  <c r="K1607" i="3"/>
  <c r="D1607" i="3"/>
  <c r="L1606" i="3"/>
  <c r="S1606" i="3" s="1"/>
  <c r="V1606" i="3" l="1"/>
  <c r="T1606" i="3"/>
  <c r="U1606" i="3" s="1"/>
  <c r="O1607" i="3"/>
  <c r="G1607" i="3"/>
  <c r="I1607" i="3" s="1"/>
  <c r="N1607" i="3"/>
  <c r="B1608" i="3" l="1"/>
  <c r="Q1607" i="3" a="1"/>
  <c r="Q1607" i="3" s="1"/>
  <c r="P1607" i="3"/>
  <c r="W1606" i="3"/>
  <c r="R1607" i="3" l="1"/>
  <c r="D1608" i="3"/>
  <c r="K1608" i="3"/>
  <c r="L1607" i="3"/>
  <c r="S1607" i="3" s="1"/>
  <c r="T1607" i="3" l="1"/>
  <c r="U1607" i="3" s="1"/>
  <c r="V1607" i="3"/>
  <c r="W1607" i="3" s="1"/>
  <c r="O1608" i="3"/>
  <c r="G1608" i="3"/>
  <c r="I1608" i="3" s="1"/>
  <c r="N1608" i="3"/>
  <c r="Q1608" i="3" l="1" a="1"/>
  <c r="Q1608" i="3" s="1"/>
  <c r="P1608" i="3"/>
  <c r="B1609" i="3"/>
  <c r="R1608" i="3" l="1"/>
  <c r="K1609" i="3"/>
  <c r="D1609" i="3"/>
  <c r="L1608" i="3"/>
  <c r="S1608" i="3" s="1"/>
  <c r="V1608" i="3" l="1"/>
  <c r="T1608" i="3"/>
  <c r="U1608" i="3" s="1"/>
  <c r="G1609" i="3"/>
  <c r="I1609" i="3" s="1"/>
  <c r="O1609" i="3"/>
  <c r="N1609" i="3"/>
  <c r="P1609" i="3" l="1"/>
  <c r="Q1609" i="3" a="1"/>
  <c r="Q1609" i="3" s="1"/>
  <c r="R1609" i="3" s="1"/>
  <c r="B1610" i="3"/>
  <c r="L1609" i="3" s="1"/>
  <c r="W1608" i="3"/>
  <c r="D1610" i="3" l="1"/>
  <c r="K1610" i="3"/>
  <c r="S1609" i="3"/>
  <c r="N1610" i="3" l="1"/>
  <c r="G1610" i="3"/>
  <c r="I1610" i="3" s="1"/>
  <c r="O1610" i="3"/>
  <c r="T1609" i="3"/>
  <c r="U1609" i="3" s="1"/>
  <c r="V1609" i="3"/>
  <c r="W1609" i="3" l="1"/>
  <c r="Q1610" i="3" a="1"/>
  <c r="Q1610" i="3" s="1"/>
  <c r="P1610" i="3"/>
  <c r="B1611" i="3"/>
  <c r="R1610" i="3" l="1"/>
  <c r="K1611" i="3"/>
  <c r="D1611" i="3"/>
  <c r="L1610" i="3"/>
  <c r="S1610" i="3" s="1"/>
  <c r="T1610" i="3" l="1"/>
  <c r="U1610" i="3" s="1"/>
  <c r="V1610" i="3"/>
  <c r="O1611" i="3"/>
  <c r="G1611" i="3"/>
  <c r="I1611" i="3" s="1"/>
  <c r="N1611" i="3"/>
  <c r="B1612" i="3" l="1"/>
  <c r="Q1611" i="3" a="1"/>
  <c r="Q1611" i="3" s="1"/>
  <c r="P1611" i="3"/>
  <c r="W1610" i="3"/>
  <c r="R1611" i="3" l="1"/>
  <c r="D1612" i="3"/>
  <c r="K1612" i="3"/>
  <c r="L1611" i="3"/>
  <c r="S1611" i="3" s="1"/>
  <c r="T1611" i="3" l="1"/>
  <c r="U1611" i="3" s="1"/>
  <c r="V1611" i="3"/>
  <c r="O1612" i="3"/>
  <c r="G1612" i="3"/>
  <c r="I1612" i="3" s="1"/>
  <c r="N1612" i="3"/>
  <c r="B1613" i="3" l="1"/>
  <c r="P1612" i="3"/>
  <c r="Q1612" i="3" a="1"/>
  <c r="Q1612" i="3" s="1"/>
  <c r="W1611" i="3"/>
  <c r="R1612" i="3" l="1"/>
  <c r="D1613" i="3"/>
  <c r="K1613" i="3"/>
  <c r="L1612" i="3"/>
  <c r="S1612" i="3" s="1"/>
  <c r="T1612" i="3" l="1"/>
  <c r="U1612" i="3" s="1"/>
  <c r="V1612" i="3"/>
  <c r="N1613" i="3"/>
  <c r="G1613" i="3"/>
  <c r="I1613" i="3" s="1"/>
  <c r="O1613" i="3"/>
  <c r="B1614" i="3" l="1"/>
  <c r="W1612" i="3"/>
  <c r="P1613" i="3"/>
  <c r="Q1613" i="3" a="1"/>
  <c r="Q1613" i="3" s="1"/>
  <c r="R1613" i="3" s="1"/>
  <c r="K1614" i="3" l="1"/>
  <c r="D1614" i="3"/>
  <c r="L1613" i="3"/>
  <c r="S1613" i="3" s="1"/>
  <c r="T1613" i="3" l="1"/>
  <c r="U1613" i="3" s="1"/>
  <c r="V1613" i="3"/>
  <c r="G1614" i="3"/>
  <c r="I1614" i="3" s="1"/>
  <c r="O1614" i="3"/>
  <c r="N1614" i="3"/>
  <c r="Q1614" i="3" l="1" a="1"/>
  <c r="Q1614" i="3" s="1"/>
  <c r="P1614" i="3"/>
  <c r="B1615" i="3"/>
  <c r="W1613" i="3"/>
  <c r="R1614" i="3" l="1"/>
  <c r="D1615" i="3"/>
  <c r="K1615" i="3"/>
  <c r="L1614" i="3"/>
  <c r="S1614" i="3" s="1"/>
  <c r="T1614" i="3" l="1"/>
  <c r="U1614" i="3" s="1"/>
  <c r="V1614" i="3"/>
  <c r="G1615" i="3"/>
  <c r="I1615" i="3" s="1"/>
  <c r="O1615" i="3"/>
  <c r="N1615" i="3"/>
  <c r="P1615" i="3" l="1"/>
  <c r="Q1615" i="3" a="1"/>
  <c r="Q1615" i="3" s="1"/>
  <c r="B1616" i="3"/>
  <c r="L1615" i="3" s="1"/>
  <c r="W1614" i="3"/>
  <c r="R1615" i="3" l="1"/>
  <c r="K1616" i="3"/>
  <c r="D1616" i="3"/>
  <c r="S1615" i="3"/>
  <c r="T1615" i="3" l="1"/>
  <c r="U1615" i="3" s="1"/>
  <c r="V1615" i="3"/>
  <c r="O1616" i="3"/>
  <c r="N1616" i="3"/>
  <c r="G1616" i="3"/>
  <c r="I1616" i="3" s="1"/>
  <c r="P1616" i="3" l="1"/>
  <c r="Q1616" i="3" a="1"/>
  <c r="Q1616" i="3" s="1"/>
  <c r="R1616" i="3" s="1"/>
  <c r="W1615" i="3"/>
  <c r="B1617" i="3"/>
  <c r="D1617" i="3" l="1"/>
  <c r="K1617" i="3"/>
  <c r="L1616" i="3"/>
  <c r="S1616" i="3" s="1"/>
  <c r="T1616" i="3" l="1"/>
  <c r="U1616" i="3" s="1"/>
  <c r="V1616" i="3"/>
  <c r="G1617" i="3"/>
  <c r="I1617" i="3" s="1"/>
  <c r="N1617" i="3"/>
  <c r="O1617" i="3"/>
  <c r="B1618" i="3" l="1"/>
  <c r="W1616" i="3"/>
  <c r="P1617" i="3"/>
  <c r="Q1617" i="3" a="1"/>
  <c r="Q1617" i="3" s="1"/>
  <c r="R1617" i="3" s="1"/>
  <c r="D1618" i="3" l="1"/>
  <c r="K1618" i="3"/>
  <c r="L1617" i="3"/>
  <c r="S1617" i="3" s="1"/>
  <c r="T1617" i="3" l="1"/>
  <c r="U1617" i="3" s="1"/>
  <c r="V1617" i="3"/>
  <c r="N1618" i="3"/>
  <c r="O1618" i="3"/>
  <c r="G1618" i="3"/>
  <c r="I1618" i="3" s="1"/>
  <c r="P1618" i="3" l="1"/>
  <c r="Q1618" i="3" a="1"/>
  <c r="Q1618" i="3" s="1"/>
  <c r="W1617" i="3"/>
  <c r="B1619" i="3"/>
  <c r="R1618" i="3" l="1"/>
  <c r="K1619" i="3"/>
  <c r="D1619" i="3"/>
  <c r="L1618" i="3"/>
  <c r="S1618" i="3" s="1"/>
  <c r="T1618" i="3" l="1"/>
  <c r="U1618" i="3" s="1"/>
  <c r="V1618" i="3"/>
  <c r="G1619" i="3"/>
  <c r="I1619" i="3" s="1"/>
  <c r="N1619" i="3"/>
  <c r="O1619" i="3"/>
  <c r="B1620" i="3" l="1"/>
  <c r="W1618" i="3"/>
  <c r="P1619" i="3"/>
  <c r="Q1619" i="3" a="1"/>
  <c r="Q1619" i="3" s="1"/>
  <c r="R1619" i="3" s="1"/>
  <c r="D1620" i="3" l="1"/>
  <c r="K1620" i="3"/>
  <c r="L1619" i="3"/>
  <c r="S1619" i="3" s="1"/>
  <c r="T1619" i="3" l="1"/>
  <c r="U1619" i="3" s="1"/>
  <c r="V1619" i="3"/>
  <c r="G1620" i="3"/>
  <c r="I1620" i="3" s="1"/>
  <c r="O1620" i="3"/>
  <c r="N1620" i="3"/>
  <c r="Q1620" i="3" l="1" a="1"/>
  <c r="Q1620" i="3" s="1"/>
  <c r="P1620" i="3"/>
  <c r="B1621" i="3"/>
  <c r="W1619" i="3"/>
  <c r="R1620" i="3" l="1"/>
  <c r="K1621" i="3"/>
  <c r="D1621" i="3"/>
  <c r="L1620" i="3"/>
  <c r="S1620" i="3" s="1"/>
  <c r="T1620" i="3" l="1"/>
  <c r="U1620" i="3" s="1"/>
  <c r="V1620" i="3"/>
  <c r="N1621" i="3"/>
  <c r="O1621" i="3"/>
  <c r="G1621" i="3"/>
  <c r="I1621" i="3" s="1"/>
  <c r="Q1621" i="3" l="1" a="1"/>
  <c r="Q1621" i="3" s="1"/>
  <c r="P1621" i="3"/>
  <c r="W1620" i="3"/>
  <c r="B1622" i="3"/>
  <c r="L1621" i="3" s="1"/>
  <c r="R1621" i="3" l="1"/>
  <c r="D1622" i="3"/>
  <c r="K1622" i="3"/>
  <c r="S1621" i="3"/>
  <c r="N1622" i="3" l="1"/>
  <c r="O1622" i="3"/>
  <c r="T1621" i="3"/>
  <c r="U1621" i="3" s="1"/>
  <c r="V1621" i="3"/>
  <c r="G1622" i="3"/>
  <c r="I1622" i="3" s="1"/>
  <c r="B1623" i="3" l="1"/>
  <c r="W1621" i="3"/>
  <c r="P1622" i="3"/>
  <c r="Q1622" i="3" a="1"/>
  <c r="Q1622" i="3" s="1"/>
  <c r="R1622" i="3" s="1"/>
  <c r="K1623" i="3" l="1"/>
  <c r="D1623" i="3"/>
  <c r="L1622" i="3"/>
  <c r="S1622" i="3" s="1"/>
  <c r="T1622" i="3" l="1"/>
  <c r="U1622" i="3" s="1"/>
  <c r="V1622" i="3"/>
  <c r="G1623" i="3"/>
  <c r="I1623" i="3" s="1"/>
  <c r="N1623" i="3"/>
  <c r="O1623" i="3"/>
  <c r="B1624" i="3" l="1"/>
  <c r="W1622" i="3"/>
  <c r="P1623" i="3"/>
  <c r="Q1623" i="3" a="1"/>
  <c r="Q1623" i="3" s="1"/>
  <c r="R1623" i="3" s="1"/>
  <c r="K1624" i="3" l="1"/>
  <c r="D1624" i="3"/>
  <c r="L1623" i="3"/>
  <c r="S1623" i="3" s="1"/>
  <c r="T1623" i="3" l="1"/>
  <c r="U1623" i="3" s="1"/>
  <c r="V1623" i="3"/>
  <c r="G1624" i="3"/>
  <c r="I1624" i="3" s="1"/>
  <c r="N1624" i="3"/>
  <c r="O1624" i="3"/>
  <c r="B1625" i="3" l="1"/>
  <c r="W1623" i="3"/>
  <c r="P1624" i="3"/>
  <c r="Q1624" i="3" a="1"/>
  <c r="Q1624" i="3" s="1"/>
  <c r="R1624" i="3" s="1"/>
  <c r="K1625" i="3" l="1"/>
  <c r="D1625" i="3"/>
  <c r="L1624" i="3"/>
  <c r="S1624" i="3" s="1"/>
  <c r="T1624" i="3" l="1"/>
  <c r="U1624" i="3" s="1"/>
  <c r="V1624" i="3"/>
  <c r="N1625" i="3"/>
  <c r="O1625" i="3"/>
  <c r="G1625" i="3"/>
  <c r="I1625" i="3" s="1"/>
  <c r="P1625" i="3" l="1"/>
  <c r="Q1625" i="3" a="1"/>
  <c r="Q1625" i="3" s="1"/>
  <c r="W1624" i="3"/>
  <c r="B1626" i="3"/>
  <c r="R1625" i="3" l="1"/>
  <c r="D1626" i="3"/>
  <c r="K1626" i="3"/>
  <c r="L1625" i="3"/>
  <c r="S1625" i="3" s="1"/>
  <c r="T1625" i="3" l="1"/>
  <c r="U1625" i="3" s="1"/>
  <c r="V1625" i="3"/>
  <c r="G1626" i="3"/>
  <c r="I1626" i="3" s="1"/>
  <c r="O1626" i="3"/>
  <c r="N1626" i="3"/>
  <c r="Q1626" i="3" l="1" a="1"/>
  <c r="Q1626" i="3" s="1"/>
  <c r="P1626" i="3"/>
  <c r="B1627" i="3"/>
  <c r="W1625" i="3"/>
  <c r="R1626" i="3" l="1"/>
  <c r="D1627" i="3"/>
  <c r="K1627" i="3"/>
  <c r="L1626" i="3"/>
  <c r="S1626" i="3" s="1"/>
  <c r="T1626" i="3" l="1"/>
  <c r="U1626" i="3" s="1"/>
  <c r="V1626" i="3"/>
  <c r="G1627" i="3"/>
  <c r="I1627" i="3" s="1"/>
  <c r="N1627" i="3"/>
  <c r="O1627" i="3"/>
  <c r="B1628" i="3" l="1"/>
  <c r="W1626" i="3"/>
  <c r="P1627" i="3"/>
  <c r="Q1627" i="3" a="1"/>
  <c r="Q1627" i="3" s="1"/>
  <c r="R1627" i="3" s="1"/>
  <c r="D1628" i="3" l="1"/>
  <c r="K1628" i="3"/>
  <c r="L1627" i="3"/>
  <c r="S1627" i="3" s="1"/>
  <c r="T1627" i="3" l="1"/>
  <c r="U1627" i="3" s="1"/>
  <c r="V1627" i="3"/>
  <c r="G1628" i="3"/>
  <c r="I1628" i="3" s="1"/>
  <c r="N1628" i="3"/>
  <c r="O1628" i="3"/>
  <c r="B1629" i="3" l="1"/>
  <c r="W1627" i="3"/>
  <c r="Q1628" i="3" a="1"/>
  <c r="Q1628" i="3" s="1"/>
  <c r="R1628" i="3" s="1"/>
  <c r="P1628" i="3"/>
  <c r="D1629" i="3" l="1"/>
  <c r="K1629" i="3"/>
  <c r="L1628" i="3"/>
  <c r="S1628" i="3" s="1"/>
  <c r="T1628" i="3" l="1"/>
  <c r="U1628" i="3" s="1"/>
  <c r="V1628" i="3"/>
  <c r="W1628" i="3" s="1"/>
  <c r="N1629" i="3"/>
  <c r="O1629" i="3"/>
  <c r="G1629" i="3"/>
  <c r="I1629" i="3" s="1"/>
  <c r="Q1629" i="3" l="1" a="1"/>
  <c r="Q1629" i="3" s="1"/>
  <c r="P1629" i="3"/>
  <c r="B1630" i="3"/>
  <c r="L1629" i="3" s="1"/>
  <c r="R1629" i="3" l="1"/>
  <c r="D1630" i="3"/>
  <c r="K1630" i="3"/>
  <c r="S1629" i="3"/>
  <c r="O1630" i="3" l="1"/>
  <c r="G1630" i="3"/>
  <c r="I1630" i="3" s="1"/>
  <c r="N1630" i="3"/>
  <c r="V1629" i="3"/>
  <c r="T1629" i="3"/>
  <c r="U1629" i="3" s="1"/>
  <c r="W1629" i="3" l="1"/>
  <c r="B1631" i="3"/>
  <c r="Q1630" i="3" a="1"/>
  <c r="Q1630" i="3" s="1"/>
  <c r="P1630" i="3"/>
  <c r="R1630" i="3" l="1"/>
  <c r="K1631" i="3"/>
  <c r="D1631" i="3"/>
  <c r="L1630" i="3"/>
  <c r="S1630" i="3" s="1"/>
  <c r="T1630" i="3" l="1"/>
  <c r="U1630" i="3" s="1"/>
  <c r="V1630" i="3"/>
  <c r="O1631" i="3"/>
  <c r="N1631" i="3"/>
  <c r="G1631" i="3"/>
  <c r="I1631" i="3" s="1"/>
  <c r="P1631" i="3" l="1"/>
  <c r="Q1631" i="3" a="1"/>
  <c r="Q1631" i="3" s="1"/>
  <c r="W1630" i="3"/>
  <c r="B1632" i="3"/>
  <c r="R1631" i="3" l="1"/>
  <c r="D1632" i="3"/>
  <c r="K1632" i="3"/>
  <c r="L1631" i="3"/>
  <c r="S1631" i="3" s="1"/>
  <c r="N1632" i="3" l="1"/>
  <c r="O1632" i="3"/>
  <c r="G1632" i="3"/>
  <c r="I1632" i="3" s="1"/>
  <c r="T1631" i="3"/>
  <c r="U1631" i="3" s="1"/>
  <c r="V1631" i="3"/>
  <c r="W1631" i="3" l="1"/>
  <c r="B1633" i="3"/>
  <c r="P1632" i="3"/>
  <c r="Q1632" i="3" a="1"/>
  <c r="Q1632" i="3" s="1"/>
  <c r="R1632" i="3" s="1"/>
  <c r="D1633" i="3" l="1"/>
  <c r="K1633" i="3"/>
  <c r="L1632" i="3"/>
  <c r="S1632" i="3" s="1"/>
  <c r="T1632" i="3" l="1"/>
  <c r="U1632" i="3" s="1"/>
  <c r="V1632" i="3"/>
  <c r="O1633" i="3"/>
  <c r="N1633" i="3"/>
  <c r="G1633" i="3"/>
  <c r="Q1633" i="3" l="1" a="1"/>
  <c r="Q1633" i="3" s="1"/>
  <c r="P1633" i="3"/>
  <c r="W1632" i="3"/>
  <c r="I1633" i="3"/>
  <c r="B1634" i="3" s="1"/>
  <c r="R1633" i="3" l="1"/>
  <c r="D1634" i="3"/>
  <c r="K1634" i="3"/>
  <c r="L1633" i="3"/>
  <c r="S1633" i="3" s="1"/>
  <c r="T1633" i="3" l="1"/>
  <c r="U1633" i="3" s="1"/>
  <c r="V1633" i="3"/>
  <c r="N1634" i="3"/>
  <c r="O1634" i="3"/>
  <c r="G1634" i="3"/>
  <c r="I1634" i="3" s="1"/>
  <c r="Q1634" i="3" l="1" a="1"/>
  <c r="Q1634" i="3" s="1"/>
  <c r="P1634" i="3"/>
  <c r="W1633" i="3"/>
  <c r="B1635" i="3"/>
  <c r="L1634" i="3" s="1"/>
  <c r="R1634" i="3" l="1"/>
  <c r="K1635" i="3"/>
  <c r="D1635" i="3"/>
  <c r="S1634" i="3"/>
  <c r="N1635" i="3" l="1"/>
  <c r="G1635" i="3"/>
  <c r="I1635" i="3" s="1"/>
  <c r="O1635" i="3"/>
  <c r="T1634" i="3"/>
  <c r="U1634" i="3" s="1"/>
  <c r="V1634" i="3"/>
  <c r="W1634" i="3" l="1"/>
  <c r="P1635" i="3"/>
  <c r="Q1635" i="3" a="1"/>
  <c r="Q1635" i="3" s="1"/>
  <c r="B1636" i="3"/>
  <c r="R1635" i="3" l="1"/>
  <c r="K1636" i="3"/>
  <c r="D1636" i="3"/>
  <c r="L1635" i="3"/>
  <c r="S1635" i="3" s="1"/>
  <c r="T1635" i="3" l="1"/>
  <c r="U1635" i="3" s="1"/>
  <c r="V1635" i="3"/>
  <c r="N1636" i="3"/>
  <c r="O1636" i="3"/>
  <c r="G1636" i="3"/>
  <c r="I1636" i="3" s="1"/>
  <c r="Q1636" i="3" l="1" a="1"/>
  <c r="Q1636" i="3" s="1"/>
  <c r="P1636" i="3"/>
  <c r="W1635" i="3"/>
  <c r="B1637" i="3"/>
  <c r="L1636" i="3" s="1"/>
  <c r="R1636" i="3" l="1"/>
  <c r="D1637" i="3"/>
  <c r="K1637" i="3"/>
  <c r="S1636" i="3"/>
  <c r="G1637" i="3" l="1"/>
  <c r="I1637" i="3" s="1"/>
  <c r="N1637" i="3"/>
  <c r="O1637" i="3"/>
  <c r="T1636" i="3"/>
  <c r="U1636" i="3" s="1"/>
  <c r="V1636" i="3"/>
  <c r="W1636" i="3" l="1"/>
  <c r="P1637" i="3"/>
  <c r="Q1637" i="3" a="1"/>
  <c r="Q1637" i="3" s="1"/>
  <c r="B1638" i="3"/>
  <c r="R1637" i="3" l="1"/>
  <c r="D1638" i="3"/>
  <c r="K1638" i="3"/>
  <c r="L1637" i="3"/>
  <c r="S1637" i="3" s="1"/>
  <c r="T1637" i="3" l="1"/>
  <c r="U1637" i="3" s="1"/>
  <c r="V1637" i="3"/>
  <c r="O1638" i="3"/>
  <c r="N1638" i="3"/>
  <c r="G1638" i="3"/>
  <c r="I1638" i="3" s="1"/>
  <c r="P1638" i="3" l="1"/>
  <c r="Q1638" i="3" a="1"/>
  <c r="Q1638" i="3" s="1"/>
  <c r="W1637" i="3"/>
  <c r="B1639" i="3"/>
  <c r="R1638" i="3" l="1"/>
  <c r="K1639" i="3"/>
  <c r="D1639" i="3"/>
  <c r="L1638" i="3"/>
  <c r="S1638" i="3" s="1"/>
  <c r="T1638" i="3" l="1"/>
  <c r="U1638" i="3" s="1"/>
  <c r="V1638" i="3"/>
  <c r="O1639" i="3"/>
  <c r="N1639" i="3"/>
  <c r="G1639" i="3"/>
  <c r="I1639" i="3" s="1"/>
  <c r="Q1639" i="3" l="1" a="1"/>
  <c r="Q1639" i="3" s="1"/>
  <c r="P1639" i="3"/>
  <c r="W1638" i="3"/>
  <c r="B1640" i="3"/>
  <c r="L1639" i="3" s="1"/>
  <c r="R1639" i="3" l="1"/>
  <c r="K1640" i="3"/>
  <c r="D1640" i="3"/>
  <c r="S1639" i="3"/>
  <c r="O1640" i="3" l="1"/>
  <c r="N1640" i="3"/>
  <c r="G1640" i="3"/>
  <c r="I1640" i="3" s="1"/>
  <c r="T1639" i="3"/>
  <c r="U1639" i="3" s="1"/>
  <c r="V1639" i="3"/>
  <c r="W1639" i="3" l="1"/>
  <c r="B1641" i="3"/>
  <c r="Q1640" i="3" a="1"/>
  <c r="Q1640" i="3" s="1"/>
  <c r="P1640" i="3"/>
  <c r="R1640" i="3" l="1"/>
  <c r="K1641" i="3"/>
  <c r="D1641" i="3"/>
  <c r="L1640" i="3"/>
  <c r="S1640" i="3" s="1"/>
  <c r="T1640" i="3" l="1"/>
  <c r="U1640" i="3" s="1"/>
  <c r="V1640" i="3"/>
  <c r="O1641" i="3"/>
  <c r="G1641" i="3"/>
  <c r="I1641" i="3" s="1"/>
  <c r="N1641" i="3"/>
  <c r="B1642" i="3" l="1"/>
  <c r="P1641" i="3"/>
  <c r="Q1641" i="3" a="1"/>
  <c r="Q1641" i="3" s="1"/>
  <c r="W1640" i="3"/>
  <c r="R1641" i="3" l="1"/>
  <c r="K1642" i="3"/>
  <c r="D1642" i="3"/>
  <c r="L1641" i="3"/>
  <c r="S1641" i="3" s="1"/>
  <c r="T1641" i="3" l="1"/>
  <c r="U1641" i="3" s="1"/>
  <c r="V1641" i="3"/>
  <c r="N1642" i="3"/>
  <c r="O1642" i="3"/>
  <c r="G1642" i="3"/>
  <c r="I1642" i="3" s="1"/>
  <c r="Q1642" i="3" l="1" a="1"/>
  <c r="Q1642" i="3" s="1"/>
  <c r="P1642" i="3"/>
  <c r="W1641" i="3"/>
  <c r="B1643" i="3"/>
  <c r="L1642" i="3" s="1"/>
  <c r="R1642" i="3" l="1"/>
  <c r="K1643" i="3"/>
  <c r="D1643" i="3"/>
  <c r="S1642" i="3"/>
  <c r="T1642" i="3" l="1"/>
  <c r="U1642" i="3" s="1"/>
  <c r="V1642" i="3"/>
  <c r="W1642" i="3" s="1"/>
  <c r="O1643" i="3"/>
  <c r="N1643" i="3"/>
  <c r="G1643" i="3"/>
  <c r="P1643" i="3" l="1"/>
  <c r="Q1643" i="3" a="1"/>
  <c r="Q1643" i="3" s="1"/>
  <c r="R1643" i="3" s="1"/>
  <c r="I1643" i="3"/>
  <c r="B1644" i="3" l="1"/>
  <c r="K1644" i="3" l="1"/>
  <c r="D1644" i="3"/>
  <c r="L1643" i="3"/>
  <c r="S1643" i="3" s="1"/>
  <c r="V1643" i="3" l="1"/>
  <c r="T1643" i="3"/>
  <c r="U1643" i="3" s="1"/>
  <c r="N1644" i="3"/>
  <c r="G1644" i="3"/>
  <c r="I1644" i="3" s="1"/>
  <c r="O1644" i="3"/>
  <c r="B1645" i="3" l="1"/>
  <c r="P1644" i="3"/>
  <c r="Q1644" i="3" a="1"/>
  <c r="Q1644" i="3" s="1"/>
  <c r="W1643" i="3"/>
  <c r="R1644" i="3" l="1"/>
  <c r="D1645" i="3"/>
  <c r="K1645" i="3"/>
  <c r="L1644" i="3"/>
  <c r="S1644" i="3" s="1"/>
  <c r="T1644" i="3" l="1"/>
  <c r="U1644" i="3" s="1"/>
  <c r="V1644" i="3"/>
  <c r="N1645" i="3"/>
  <c r="G1645" i="3"/>
  <c r="O1645" i="3"/>
  <c r="I1645" i="3" l="1"/>
  <c r="W1644" i="3"/>
  <c r="P1645" i="3"/>
  <c r="Q1645" i="3" a="1"/>
  <c r="Q1645" i="3" s="1"/>
  <c r="R1645" i="3" s="1"/>
  <c r="B1646" i="3" l="1"/>
  <c r="K1646" i="3" l="1"/>
  <c r="D1646" i="3"/>
  <c r="L1645" i="3"/>
  <c r="S1645" i="3" s="1"/>
  <c r="T1645" i="3" l="1"/>
  <c r="U1645" i="3" s="1"/>
  <c r="V1645" i="3"/>
  <c r="N1646" i="3"/>
  <c r="O1646" i="3"/>
  <c r="G1646" i="3"/>
  <c r="Q1646" i="3" l="1" a="1"/>
  <c r="Q1646" i="3" s="1"/>
  <c r="P1646" i="3"/>
  <c r="W1645" i="3"/>
  <c r="I1646" i="3"/>
  <c r="B1647" i="3" s="1"/>
  <c r="R1646" i="3" l="1"/>
  <c r="D1647" i="3"/>
  <c r="K1647" i="3"/>
  <c r="L1646" i="3"/>
  <c r="S1646" i="3" s="1"/>
  <c r="T1646" i="3" l="1"/>
  <c r="U1646" i="3" s="1"/>
  <c r="V1646" i="3"/>
  <c r="O1647" i="3"/>
  <c r="G1647" i="3"/>
  <c r="I1647" i="3" s="1"/>
  <c r="N1647" i="3"/>
  <c r="B1648" i="3" l="1"/>
  <c r="P1647" i="3"/>
  <c r="Q1647" i="3" a="1"/>
  <c r="Q1647" i="3" s="1"/>
  <c r="W1646" i="3"/>
  <c r="R1647" i="3" l="1"/>
  <c r="D1648" i="3"/>
  <c r="K1648" i="3"/>
  <c r="L1647" i="3"/>
  <c r="S1647" i="3" s="1"/>
  <c r="T1647" i="3" l="1"/>
  <c r="U1647" i="3" s="1"/>
  <c r="V1647" i="3"/>
  <c r="W1647" i="3" s="1"/>
  <c r="N1648" i="3"/>
  <c r="G1648" i="3"/>
  <c r="I1648" i="3" s="1"/>
  <c r="O1648" i="3"/>
  <c r="B1649" i="3" l="1"/>
  <c r="Q1648" i="3" a="1"/>
  <c r="Q1648" i="3" s="1"/>
  <c r="P1648" i="3"/>
  <c r="R1648" i="3" l="1"/>
  <c r="D1649" i="3"/>
  <c r="K1649" i="3"/>
  <c r="L1648" i="3"/>
  <c r="S1648" i="3" s="1"/>
  <c r="V1648" i="3" l="1"/>
  <c r="T1648" i="3"/>
  <c r="U1648" i="3" s="1"/>
  <c r="N1649" i="3"/>
  <c r="G1649" i="3"/>
  <c r="O1649" i="3"/>
  <c r="I1649" i="3" l="1"/>
  <c r="P1649" i="3"/>
  <c r="Q1649" i="3" a="1"/>
  <c r="Q1649" i="3" s="1"/>
  <c r="W1648" i="3"/>
  <c r="R1649" i="3" l="1"/>
  <c r="B1650" i="3"/>
  <c r="K1650" i="3" l="1"/>
  <c r="D1650" i="3"/>
  <c r="L1649" i="3"/>
  <c r="S1649" i="3" s="1"/>
  <c r="T1649" i="3" l="1"/>
  <c r="U1649" i="3" s="1"/>
  <c r="V1649" i="3"/>
  <c r="W1649" i="3" s="1"/>
  <c r="N1650" i="3"/>
  <c r="O1650" i="3"/>
  <c r="G1650" i="3"/>
  <c r="P1650" i="3" l="1"/>
  <c r="Q1650" i="3" a="1"/>
  <c r="Q1650" i="3" s="1"/>
  <c r="R1650" i="3" s="1"/>
  <c r="I1650" i="3"/>
  <c r="B1651" i="3" l="1"/>
  <c r="K1651" i="3" l="1"/>
  <c r="D1651" i="3"/>
  <c r="L1650" i="3"/>
  <c r="S1650" i="3" s="1"/>
  <c r="V1650" i="3" l="1"/>
  <c r="T1650" i="3"/>
  <c r="U1650" i="3" s="1"/>
  <c r="N1651" i="3"/>
  <c r="O1651" i="3"/>
  <c r="G1651" i="3"/>
  <c r="P1651" i="3" l="1"/>
  <c r="Q1651" i="3" a="1"/>
  <c r="Q1651" i="3" s="1"/>
  <c r="R1651" i="3" s="1"/>
  <c r="I1651" i="3"/>
  <c r="W1650" i="3"/>
  <c r="B1652" i="3" l="1"/>
  <c r="D1652" i="3" l="1"/>
  <c r="K1652" i="3"/>
  <c r="L1651" i="3"/>
  <c r="S1651" i="3" s="1"/>
  <c r="T1651" i="3" l="1"/>
  <c r="U1651" i="3" s="1"/>
  <c r="V1651" i="3"/>
  <c r="O1652" i="3"/>
  <c r="N1652" i="3"/>
  <c r="G1652" i="3"/>
  <c r="P1652" i="3" l="1"/>
  <c r="Q1652" i="3" a="1"/>
  <c r="Q1652" i="3" s="1"/>
  <c r="W1651" i="3"/>
  <c r="I1652" i="3"/>
  <c r="R1652" i="3" l="1"/>
  <c r="B1653" i="3"/>
  <c r="K1653" i="3" l="1"/>
  <c r="D1653" i="3"/>
  <c r="L1652" i="3"/>
  <c r="S1652" i="3" s="1"/>
  <c r="T1652" i="3" l="1"/>
  <c r="U1652" i="3" s="1"/>
  <c r="V1652" i="3"/>
  <c r="W1652" i="3" s="1"/>
  <c r="N1653" i="3"/>
  <c r="G1653" i="3"/>
  <c r="O1653" i="3"/>
  <c r="I1653" i="3" l="1"/>
  <c r="Q1653" i="3" a="1"/>
  <c r="Q1653" i="3" s="1"/>
  <c r="P1653" i="3"/>
  <c r="R1653" i="3" l="1"/>
  <c r="B1654" i="3"/>
  <c r="L1653" i="3" s="1"/>
  <c r="S1653" i="3" s="1"/>
  <c r="V1653" i="3" l="1"/>
  <c r="T1653" i="3"/>
  <c r="U1653" i="3" s="1"/>
  <c r="K1654" i="3"/>
  <c r="D1654" i="3"/>
  <c r="O1654" i="3" l="1"/>
  <c r="G1654" i="3"/>
  <c r="N1654" i="3"/>
  <c r="W1653" i="3"/>
  <c r="I1654" i="3" l="1"/>
  <c r="P1654" i="3"/>
  <c r="Q1654" i="3" a="1"/>
  <c r="Q1654" i="3" s="1"/>
  <c r="R1654" i="3" l="1"/>
  <c r="B1655" i="3"/>
  <c r="L1654" i="3" s="1"/>
  <c r="S1654" i="3" s="1"/>
  <c r="T1654" i="3" l="1"/>
  <c r="U1654" i="3" s="1"/>
  <c r="V1654" i="3"/>
  <c r="D1655" i="3"/>
  <c r="K1655" i="3"/>
  <c r="W1654" i="3" l="1"/>
  <c r="G1655" i="3"/>
  <c r="O1655" i="3"/>
  <c r="N1655" i="3"/>
  <c r="Q1655" i="3" l="1" a="1"/>
  <c r="Q1655" i="3" s="1"/>
  <c r="P1655" i="3"/>
  <c r="I1655" i="3"/>
  <c r="R1655" i="3" l="1"/>
  <c r="B1656" i="3"/>
  <c r="K1656" i="3" l="1"/>
  <c r="D1656" i="3"/>
  <c r="L1655" i="3"/>
  <c r="S1655" i="3" s="1"/>
  <c r="T1655" i="3" l="1"/>
  <c r="U1655" i="3" s="1"/>
  <c r="V1655" i="3"/>
  <c r="G1656" i="3"/>
  <c r="I1656" i="3" s="1"/>
  <c r="N1656" i="3"/>
  <c r="O1656" i="3"/>
  <c r="B1657" i="3" l="1"/>
  <c r="W1655" i="3"/>
  <c r="Q1656" i="3" a="1"/>
  <c r="Q1656" i="3" s="1"/>
  <c r="P1656" i="3"/>
  <c r="R1656" i="3" l="1"/>
  <c r="D1657" i="3"/>
  <c r="K1657" i="3"/>
  <c r="L1656" i="3"/>
  <c r="S1656" i="3" s="1"/>
  <c r="T1656" i="3" l="1"/>
  <c r="U1656" i="3" s="1"/>
  <c r="V1656" i="3"/>
  <c r="G1657" i="3"/>
  <c r="N1657" i="3"/>
  <c r="O1657" i="3"/>
  <c r="I1657" i="3" l="1"/>
  <c r="W1656" i="3"/>
  <c r="P1657" i="3"/>
  <c r="Q1657" i="3" a="1"/>
  <c r="Q1657" i="3" s="1"/>
  <c r="R1657" i="3" s="1"/>
  <c r="B1658" i="3" l="1"/>
  <c r="D1658" i="3" l="1"/>
  <c r="K1658" i="3"/>
  <c r="L1657" i="3"/>
  <c r="S1657" i="3" s="1"/>
  <c r="N1658" i="3" l="1"/>
  <c r="O1658" i="3"/>
  <c r="G1658" i="3"/>
  <c r="I1658" i="3" s="1"/>
  <c r="T1657" i="3"/>
  <c r="U1657" i="3" s="1"/>
  <c r="V1657" i="3"/>
  <c r="W1657" i="3" l="1"/>
  <c r="B1659" i="3"/>
  <c r="P1658" i="3"/>
  <c r="Q1658" i="3" a="1"/>
  <c r="Q1658" i="3" s="1"/>
  <c r="R1658" i="3" s="1"/>
  <c r="D1659" i="3" l="1"/>
  <c r="K1659" i="3"/>
  <c r="L1658" i="3"/>
  <c r="S1658" i="3" s="1"/>
  <c r="O1659" i="3" l="1"/>
  <c r="G1659" i="3"/>
  <c r="I1659" i="3" s="1"/>
  <c r="N1659" i="3"/>
  <c r="T1658" i="3"/>
  <c r="U1658" i="3" s="1"/>
  <c r="V1658" i="3"/>
  <c r="W1658" i="3" l="1"/>
  <c r="B1660" i="3"/>
  <c r="L1659" i="3" s="1"/>
  <c r="Q1659" i="3" a="1"/>
  <c r="Q1659" i="3" s="1"/>
  <c r="P1659" i="3"/>
  <c r="R1659" i="3" l="1"/>
  <c r="K1660" i="3"/>
  <c r="D1660" i="3"/>
  <c r="S1659" i="3"/>
  <c r="T1659" i="3" l="1"/>
  <c r="U1659" i="3" s="1"/>
  <c r="V1659" i="3"/>
  <c r="N1660" i="3"/>
  <c r="G1660" i="3"/>
  <c r="O1660" i="3"/>
  <c r="I1660" i="3" l="1"/>
  <c r="W1659" i="3"/>
  <c r="P1660" i="3"/>
  <c r="Q1660" i="3" a="1"/>
  <c r="Q1660" i="3" s="1"/>
  <c r="R1660" i="3" s="1"/>
  <c r="B1661" i="3" l="1"/>
  <c r="K1661" i="3" l="1"/>
  <c r="D1661" i="3"/>
  <c r="L1660" i="3"/>
  <c r="S1660" i="3" s="1"/>
  <c r="T1660" i="3" l="1"/>
  <c r="U1660" i="3" s="1"/>
  <c r="V1660" i="3"/>
  <c r="N1661" i="3"/>
  <c r="O1661" i="3"/>
  <c r="G1661" i="3"/>
  <c r="Q1661" i="3" l="1" a="1"/>
  <c r="Q1661" i="3" s="1"/>
  <c r="P1661" i="3"/>
  <c r="W1660" i="3"/>
  <c r="I1661" i="3"/>
  <c r="B1662" i="3" s="1"/>
  <c r="R1661" i="3" l="1"/>
  <c r="K1662" i="3"/>
  <c r="D1662" i="3"/>
  <c r="L1661" i="3"/>
  <c r="S1661" i="3" s="1"/>
  <c r="N1662" i="3" l="1"/>
  <c r="G1662" i="3"/>
  <c r="I1662" i="3" s="1"/>
  <c r="O1662" i="3"/>
  <c r="T1661" i="3"/>
  <c r="U1661" i="3" s="1"/>
  <c r="V1661" i="3"/>
  <c r="W1661" i="3" s="1"/>
  <c r="P1662" i="3" l="1"/>
  <c r="Q1662" i="3" a="1"/>
  <c r="Q1662" i="3" s="1"/>
  <c r="R1662" i="3" s="1"/>
  <c r="B1663" i="3"/>
  <c r="K1663" i="3" l="1"/>
  <c r="D1663" i="3"/>
  <c r="L1662" i="3"/>
  <c r="S1662" i="3" s="1"/>
  <c r="V1662" i="3" l="1"/>
  <c r="T1662" i="3"/>
  <c r="U1662" i="3" s="1"/>
  <c r="G1663" i="3"/>
  <c r="O1663" i="3"/>
  <c r="N1663" i="3"/>
  <c r="P1663" i="3" l="1"/>
  <c r="Q1663" i="3" a="1"/>
  <c r="Q1663" i="3" s="1"/>
  <c r="I1663" i="3"/>
  <c r="B1664" i="3" s="1"/>
  <c r="W1662" i="3"/>
  <c r="R1663" i="3" l="1"/>
  <c r="D1664" i="3"/>
  <c r="K1664" i="3"/>
  <c r="L1663" i="3"/>
  <c r="S1663" i="3" s="1"/>
  <c r="T1663" i="3" l="1"/>
  <c r="U1663" i="3" s="1"/>
  <c r="V1663" i="3"/>
  <c r="N1664" i="3"/>
  <c r="O1664" i="3"/>
  <c r="G1664" i="3"/>
  <c r="Q1664" i="3" l="1" a="1"/>
  <c r="Q1664" i="3" s="1"/>
  <c r="P1664" i="3"/>
  <c r="W1663" i="3"/>
  <c r="I1664" i="3"/>
  <c r="B1665" i="3" s="1"/>
  <c r="R1664" i="3" l="1"/>
  <c r="D1665" i="3"/>
  <c r="K1665" i="3"/>
  <c r="L1664" i="3"/>
  <c r="S1664" i="3" s="1"/>
  <c r="T1664" i="3" l="1"/>
  <c r="U1664" i="3" s="1"/>
  <c r="V1664" i="3"/>
  <c r="G1665" i="3"/>
  <c r="O1665" i="3"/>
  <c r="N1665" i="3"/>
  <c r="Q1665" i="3" l="1" a="1"/>
  <c r="Q1665" i="3" s="1"/>
  <c r="P1665" i="3"/>
  <c r="I1665" i="3"/>
  <c r="W1664" i="3"/>
  <c r="R1665" i="3" l="1"/>
  <c r="B1666" i="3"/>
  <c r="D1666" i="3" l="1"/>
  <c r="K1666" i="3"/>
  <c r="L1665" i="3"/>
  <c r="S1665" i="3" s="1"/>
  <c r="T1665" i="3" l="1"/>
  <c r="U1665" i="3" s="1"/>
  <c r="V1665" i="3"/>
  <c r="G1666" i="3"/>
  <c r="O1666" i="3"/>
  <c r="N1666" i="3"/>
  <c r="Q1666" i="3" l="1" a="1"/>
  <c r="Q1666" i="3" s="1"/>
  <c r="P1666" i="3"/>
  <c r="I1666" i="3"/>
  <c r="W1665" i="3"/>
  <c r="R1666" i="3" l="1"/>
  <c r="B1667" i="3"/>
  <c r="K1667" i="3" l="1"/>
  <c r="D1667" i="3"/>
  <c r="L1666" i="3"/>
  <c r="S1666" i="3" s="1"/>
  <c r="T1666" i="3" l="1"/>
  <c r="U1666" i="3" s="1"/>
  <c r="V1666" i="3"/>
  <c r="W1666" i="3" s="1"/>
  <c r="N1667" i="3"/>
  <c r="O1667" i="3"/>
  <c r="G1667" i="3"/>
  <c r="Q1667" i="3" l="1" a="1"/>
  <c r="Q1667" i="3" s="1"/>
  <c r="P1667" i="3"/>
  <c r="I1667" i="3"/>
  <c r="R1667" i="3" l="1"/>
  <c r="B1668" i="3"/>
  <c r="D1668" i="3" l="1"/>
  <c r="K1668" i="3"/>
  <c r="L1667" i="3"/>
  <c r="S1667" i="3" s="1"/>
  <c r="O1668" i="3" l="1"/>
  <c r="G1668" i="3"/>
  <c r="I1668" i="3" s="1"/>
  <c r="N1668" i="3"/>
  <c r="V1667" i="3"/>
  <c r="T1667" i="3"/>
  <c r="U1667" i="3" s="1"/>
  <c r="W1667" i="3" l="1"/>
  <c r="B1669" i="3"/>
  <c r="P1668" i="3"/>
  <c r="Q1668" i="3" a="1"/>
  <c r="Q1668" i="3" s="1"/>
  <c r="R1668" i="3" s="1"/>
  <c r="K1669" i="3" l="1"/>
  <c r="D1669" i="3"/>
  <c r="L1668" i="3"/>
  <c r="S1668" i="3" s="1"/>
  <c r="T1668" i="3" l="1"/>
  <c r="U1668" i="3" s="1"/>
  <c r="V1668" i="3"/>
  <c r="G1669" i="3"/>
  <c r="I1669" i="3" s="1"/>
  <c r="N1669" i="3"/>
  <c r="O1669" i="3"/>
  <c r="B1670" i="3" l="1"/>
  <c r="W1668" i="3"/>
  <c r="Q1669" i="3" a="1"/>
  <c r="Q1669" i="3" s="1"/>
  <c r="P1669" i="3"/>
  <c r="R1669" i="3" l="1"/>
  <c r="D1670" i="3"/>
  <c r="K1670" i="3"/>
  <c r="L1669" i="3"/>
  <c r="S1669" i="3" s="1"/>
  <c r="T1669" i="3" l="1"/>
  <c r="U1669" i="3" s="1"/>
  <c r="V1669" i="3"/>
  <c r="G1670" i="3"/>
  <c r="I1670" i="3" s="1"/>
  <c r="O1670" i="3"/>
  <c r="N1670" i="3"/>
  <c r="B1671" i="3" l="1"/>
  <c r="Q1670" i="3" a="1"/>
  <c r="Q1670" i="3" s="1"/>
  <c r="P1670" i="3"/>
  <c r="W1669" i="3"/>
  <c r="R1670" i="3" l="1"/>
  <c r="D1671" i="3"/>
  <c r="K1671" i="3"/>
  <c r="L1670" i="3"/>
  <c r="S1670" i="3" s="1"/>
  <c r="T1670" i="3" l="1"/>
  <c r="U1670" i="3" s="1"/>
  <c r="V1670" i="3"/>
  <c r="W1670" i="3" s="1"/>
  <c r="G1671" i="3"/>
  <c r="O1671" i="3"/>
  <c r="N1671" i="3"/>
  <c r="P1671" i="3" l="1"/>
  <c r="Q1671" i="3" a="1"/>
  <c r="Q1671" i="3" s="1"/>
  <c r="R1671" i="3" s="1"/>
  <c r="I1671" i="3"/>
  <c r="B1672" i="3" l="1"/>
  <c r="K1672" i="3" l="1"/>
  <c r="D1672" i="3"/>
  <c r="L1671" i="3"/>
  <c r="S1671" i="3" s="1"/>
  <c r="V1671" i="3" l="1"/>
  <c r="T1671" i="3"/>
  <c r="U1671" i="3" s="1"/>
  <c r="G1672" i="3"/>
  <c r="I1672" i="3" s="1"/>
  <c r="N1672" i="3"/>
  <c r="O1672" i="3"/>
  <c r="B1673" i="3" l="1"/>
  <c r="P1672" i="3"/>
  <c r="Q1672" i="3" a="1"/>
  <c r="Q1672" i="3" s="1"/>
  <c r="W1671" i="3"/>
  <c r="R1672" i="3" l="1"/>
  <c r="D1673" i="3"/>
  <c r="K1673" i="3"/>
  <c r="L1672" i="3"/>
  <c r="S1672" i="3" s="1"/>
  <c r="T1672" i="3" l="1"/>
  <c r="U1672" i="3" s="1"/>
  <c r="V1672" i="3"/>
  <c r="W1672" i="3" s="1"/>
  <c r="N1673" i="3"/>
  <c r="G1673" i="3"/>
  <c r="I1673" i="3" s="1"/>
  <c r="O1673" i="3"/>
  <c r="B1674" i="3" l="1"/>
  <c r="P1673" i="3"/>
  <c r="Q1673" i="3" a="1"/>
  <c r="Q1673" i="3" s="1"/>
  <c r="R1673" i="3" l="1"/>
  <c r="K1674" i="3"/>
  <c r="D1674" i="3"/>
  <c r="L1673" i="3"/>
  <c r="S1673" i="3" s="1"/>
  <c r="V1673" i="3" l="1"/>
  <c r="T1673" i="3"/>
  <c r="U1673" i="3" s="1"/>
  <c r="O1674" i="3"/>
  <c r="G1674" i="3"/>
  <c r="I1674" i="3" s="1"/>
  <c r="N1674" i="3"/>
  <c r="B1675" i="3" l="1"/>
  <c r="P1674" i="3"/>
  <c r="Q1674" i="3" a="1"/>
  <c r="Q1674" i="3" s="1"/>
  <c r="W1673" i="3"/>
  <c r="R1674" i="3" l="1"/>
  <c r="D1675" i="3"/>
  <c r="K1675" i="3"/>
  <c r="L1674" i="3"/>
  <c r="S1674" i="3" s="1"/>
  <c r="T1674" i="3" l="1"/>
  <c r="U1674" i="3" s="1"/>
  <c r="V1674" i="3"/>
  <c r="W1674" i="3" s="1"/>
  <c r="O1675" i="3"/>
  <c r="N1675" i="3"/>
  <c r="G1675" i="3"/>
  <c r="Q1675" i="3" l="1" a="1"/>
  <c r="Q1675" i="3" s="1"/>
  <c r="P1675" i="3"/>
  <c r="I1675" i="3"/>
  <c r="B1676" i="3" s="1"/>
  <c r="R1675" i="3" l="1"/>
  <c r="K1676" i="3"/>
  <c r="D1676" i="3"/>
  <c r="L1675" i="3"/>
  <c r="S1675" i="3" s="1"/>
  <c r="G1676" i="3" l="1"/>
  <c r="I1676" i="3" s="1"/>
  <c r="B1677" i="3" s="1"/>
  <c r="V1675" i="3"/>
  <c r="T1675" i="3"/>
  <c r="U1675" i="3" s="1"/>
  <c r="O1676" i="3"/>
  <c r="N1676" i="3"/>
  <c r="D1677" i="3" l="1"/>
  <c r="K1677" i="3"/>
  <c r="L1676" i="3"/>
  <c r="P1676" i="3"/>
  <c r="Q1676" i="3" a="1"/>
  <c r="Q1676" i="3" s="1"/>
  <c r="R1676" i="3" s="1"/>
  <c r="W1675" i="3"/>
  <c r="O1677" i="3" l="1"/>
  <c r="G1677" i="3"/>
  <c r="I1677" i="3" s="1"/>
  <c r="N1677" i="3"/>
  <c r="S1676" i="3"/>
  <c r="T1676" i="3" l="1"/>
  <c r="U1676" i="3" s="1"/>
  <c r="V1676" i="3"/>
  <c r="B1678" i="3"/>
  <c r="Q1677" i="3" a="1"/>
  <c r="Q1677" i="3" s="1"/>
  <c r="P1677" i="3"/>
  <c r="R1677" i="3" l="1"/>
  <c r="D1678" i="3"/>
  <c r="K1678" i="3"/>
  <c r="L1677" i="3"/>
  <c r="S1677" i="3" s="1"/>
  <c r="W1676" i="3"/>
  <c r="T1677" i="3" l="1"/>
  <c r="U1677" i="3" s="1"/>
  <c r="V1677" i="3"/>
  <c r="N1678" i="3"/>
  <c r="O1678" i="3"/>
  <c r="G1678" i="3"/>
  <c r="I1678" i="3" s="1"/>
  <c r="P1678" i="3" l="1"/>
  <c r="Q1678" i="3" a="1"/>
  <c r="Q1678" i="3" s="1"/>
  <c r="W1677" i="3"/>
  <c r="B1679" i="3"/>
  <c r="R1678" i="3" l="1"/>
  <c r="D1679" i="3"/>
  <c r="K1679" i="3"/>
  <c r="L1678" i="3"/>
  <c r="S1678" i="3" s="1"/>
  <c r="T1678" i="3" l="1"/>
  <c r="U1678" i="3" s="1"/>
  <c r="V1678" i="3"/>
  <c r="O1679" i="3"/>
  <c r="N1679" i="3"/>
  <c r="G1679" i="3"/>
  <c r="P1679" i="3" l="1"/>
  <c r="Q1679" i="3" a="1"/>
  <c r="Q1679" i="3" s="1"/>
  <c r="W1678" i="3"/>
  <c r="I1679" i="3"/>
  <c r="R1679" i="3" l="1"/>
  <c r="B1680" i="3"/>
  <c r="K1680" i="3" l="1"/>
  <c r="D1680" i="3"/>
  <c r="L1679" i="3"/>
  <c r="S1679" i="3" s="1"/>
  <c r="T1679" i="3" l="1"/>
  <c r="U1679" i="3" s="1"/>
  <c r="V1679" i="3"/>
  <c r="N1680" i="3"/>
  <c r="G1680" i="3"/>
  <c r="O1680" i="3"/>
  <c r="I1680" i="3" l="1"/>
  <c r="W1679" i="3"/>
  <c r="P1680" i="3"/>
  <c r="Q1680" i="3" a="1"/>
  <c r="Q1680" i="3" s="1"/>
  <c r="R1680" i="3" s="1"/>
  <c r="B1681" i="3" l="1"/>
  <c r="K1681" i="3" l="1"/>
  <c r="D1681" i="3"/>
  <c r="L1680" i="3"/>
  <c r="S1680" i="3" s="1"/>
  <c r="T1680" i="3" l="1"/>
  <c r="U1680" i="3" s="1"/>
  <c r="V1680" i="3"/>
  <c r="N1681" i="3"/>
  <c r="G1681" i="3"/>
  <c r="O1681" i="3"/>
  <c r="I1681" i="3" l="1"/>
  <c r="W1680" i="3"/>
  <c r="P1681" i="3"/>
  <c r="Q1681" i="3" a="1"/>
  <c r="Q1681" i="3" s="1"/>
  <c r="R1681" i="3" s="1"/>
  <c r="B1682" i="3" l="1"/>
  <c r="K1682" i="3" l="1"/>
  <c r="D1682" i="3"/>
  <c r="L1681" i="3"/>
  <c r="S1681" i="3" s="1"/>
  <c r="T1681" i="3" l="1"/>
  <c r="U1681" i="3" s="1"/>
  <c r="V1681" i="3"/>
  <c r="W1681" i="3" s="1"/>
  <c r="G1682" i="3"/>
  <c r="O1682" i="3"/>
  <c r="N1682" i="3"/>
  <c r="Q1682" i="3" l="1" a="1"/>
  <c r="Q1682" i="3" s="1"/>
  <c r="P1682" i="3"/>
  <c r="I1682" i="3"/>
  <c r="B1683" i="3" s="1"/>
  <c r="R1682" i="3" l="1"/>
  <c r="D1683" i="3"/>
  <c r="K1683" i="3"/>
  <c r="L1682" i="3"/>
  <c r="S1682" i="3" s="1"/>
  <c r="V1682" i="3" l="1"/>
  <c r="T1682" i="3"/>
  <c r="U1682" i="3" s="1"/>
  <c r="O1683" i="3"/>
  <c r="G1683" i="3"/>
  <c r="N1683" i="3"/>
  <c r="Q1683" i="3" l="1" a="1"/>
  <c r="Q1683" i="3" s="1"/>
  <c r="P1683" i="3"/>
  <c r="I1683" i="3"/>
  <c r="W1682" i="3"/>
  <c r="R1683" i="3" l="1"/>
  <c r="B1684" i="3"/>
  <c r="K1684" i="3" l="1"/>
  <c r="D1684" i="3"/>
  <c r="L1683" i="3"/>
  <c r="S1683" i="3" s="1"/>
  <c r="T1683" i="3" l="1"/>
  <c r="U1683" i="3" s="1"/>
  <c r="V1683" i="3"/>
  <c r="G1684" i="3"/>
  <c r="N1684" i="3"/>
  <c r="O1684" i="3"/>
  <c r="I1684" i="3" l="1"/>
  <c r="W1683" i="3"/>
  <c r="Q1684" i="3" a="1"/>
  <c r="Q1684" i="3" s="1"/>
  <c r="P1684" i="3"/>
  <c r="R1684" i="3" l="1"/>
  <c r="B1685" i="3"/>
  <c r="D1685" i="3" l="1"/>
  <c r="K1685" i="3"/>
  <c r="L1684" i="3"/>
  <c r="S1684" i="3" s="1"/>
  <c r="T1684" i="3" l="1"/>
  <c r="U1684" i="3" s="1"/>
  <c r="V1684" i="3"/>
  <c r="G1685" i="3"/>
  <c r="N1685" i="3"/>
  <c r="O1685" i="3"/>
  <c r="I1685" i="3" l="1"/>
  <c r="W1684" i="3"/>
  <c r="P1685" i="3"/>
  <c r="Q1685" i="3" a="1"/>
  <c r="Q1685" i="3" s="1"/>
  <c r="R1685" i="3" s="1"/>
  <c r="B1686" i="3" l="1"/>
  <c r="D1686" i="3" l="1"/>
  <c r="K1686" i="3"/>
  <c r="L1685" i="3"/>
  <c r="S1685" i="3" s="1"/>
  <c r="T1685" i="3" l="1"/>
  <c r="U1685" i="3" s="1"/>
  <c r="V1685" i="3"/>
  <c r="O1686" i="3"/>
  <c r="N1686" i="3"/>
  <c r="G1686" i="3"/>
  <c r="Q1686" i="3" l="1" a="1"/>
  <c r="Q1686" i="3" s="1"/>
  <c r="P1686" i="3"/>
  <c r="W1685" i="3"/>
  <c r="I1686" i="3"/>
  <c r="B1687" i="3" s="1"/>
  <c r="R1686" i="3" l="1"/>
  <c r="D1687" i="3"/>
  <c r="K1687" i="3"/>
  <c r="L1686" i="3"/>
  <c r="S1686" i="3" s="1"/>
  <c r="T1686" i="3" l="1"/>
  <c r="U1686" i="3" s="1"/>
  <c r="V1686" i="3"/>
  <c r="N1687" i="3"/>
  <c r="O1687" i="3"/>
  <c r="G1687" i="3"/>
  <c r="Q1687" i="3" l="1" a="1"/>
  <c r="Q1687" i="3" s="1"/>
  <c r="P1687" i="3"/>
  <c r="W1686" i="3"/>
  <c r="I1687" i="3"/>
  <c r="B1688" i="3" s="1"/>
  <c r="R1687" i="3" l="1"/>
  <c r="K1688" i="3"/>
  <c r="D1688" i="3"/>
  <c r="L1687" i="3"/>
  <c r="S1687" i="3" s="1"/>
  <c r="T1687" i="3" l="1"/>
  <c r="U1687" i="3" s="1"/>
  <c r="V1687" i="3"/>
  <c r="G1688" i="3"/>
  <c r="I1688" i="3" s="1"/>
  <c r="O1688" i="3"/>
  <c r="N1688" i="3"/>
  <c r="Q1688" i="3" l="1" a="1"/>
  <c r="Q1688" i="3" s="1"/>
  <c r="P1688" i="3"/>
  <c r="B1689" i="3"/>
  <c r="L1688" i="3" s="1"/>
  <c r="W1687" i="3"/>
  <c r="R1688" i="3" l="1"/>
  <c r="D1689" i="3"/>
  <c r="K1689" i="3"/>
  <c r="S1688" i="3"/>
  <c r="O1689" i="3" l="1"/>
  <c r="N1689" i="3"/>
  <c r="G1689" i="3"/>
  <c r="I1689" i="3" s="1"/>
  <c r="T1688" i="3"/>
  <c r="U1688" i="3" s="1"/>
  <c r="V1688" i="3"/>
  <c r="W1688" i="3" l="1"/>
  <c r="B1690" i="3"/>
  <c r="Q1689" i="3" a="1"/>
  <c r="Q1689" i="3" s="1"/>
  <c r="P1689" i="3"/>
  <c r="R1689" i="3" l="1"/>
  <c r="K1690" i="3"/>
  <c r="D1690" i="3"/>
  <c r="L1689" i="3"/>
  <c r="S1689" i="3" s="1"/>
  <c r="T1689" i="3" l="1"/>
  <c r="U1689" i="3" s="1"/>
  <c r="V1689" i="3"/>
  <c r="O1690" i="3"/>
  <c r="N1690" i="3"/>
  <c r="G1690" i="3"/>
  <c r="Q1690" i="3" l="1" a="1"/>
  <c r="Q1690" i="3" s="1"/>
  <c r="P1690" i="3"/>
  <c r="W1689" i="3"/>
  <c r="I1690" i="3"/>
  <c r="B1691" i="3" s="1"/>
  <c r="R1690" i="3" l="1"/>
  <c r="D1691" i="3"/>
  <c r="K1691" i="3"/>
  <c r="L1690" i="3"/>
  <c r="S1690" i="3" s="1"/>
  <c r="T1690" i="3" l="1"/>
  <c r="U1690" i="3" s="1"/>
  <c r="V1690" i="3"/>
  <c r="W1690" i="3" s="1"/>
  <c r="O1691" i="3"/>
  <c r="G1691" i="3"/>
  <c r="N1691" i="3"/>
  <c r="I1691" i="3" l="1"/>
  <c r="Q1691" i="3" a="1"/>
  <c r="Q1691" i="3" s="1"/>
  <c r="P1691" i="3"/>
  <c r="R1691" i="3" l="1"/>
  <c r="B1692" i="3"/>
  <c r="L1691" i="3" s="1"/>
  <c r="S1691" i="3" s="1"/>
  <c r="V1691" i="3" l="1"/>
  <c r="T1691" i="3"/>
  <c r="U1691" i="3" s="1"/>
  <c r="D1692" i="3"/>
  <c r="K1692" i="3"/>
  <c r="N1692" i="3" l="1"/>
  <c r="O1692" i="3"/>
  <c r="G1692" i="3"/>
  <c r="W1691" i="3"/>
  <c r="I1692" i="3" l="1"/>
  <c r="Q1692" i="3" a="1"/>
  <c r="Q1692" i="3" s="1"/>
  <c r="P1692" i="3"/>
  <c r="R1692" i="3" l="1"/>
  <c r="B1693" i="3"/>
  <c r="D1693" i="3" l="1"/>
  <c r="K1693" i="3"/>
  <c r="L1692" i="3"/>
  <c r="S1692" i="3" s="1"/>
  <c r="O1693" i="3" l="1"/>
  <c r="G1693" i="3"/>
  <c r="N1693" i="3"/>
  <c r="T1692" i="3"/>
  <c r="U1692" i="3" s="1"/>
  <c r="V1692" i="3"/>
  <c r="W1692" i="3" l="1"/>
  <c r="I1693" i="3"/>
  <c r="P1693" i="3"/>
  <c r="Q1693" i="3" a="1"/>
  <c r="Q1693" i="3" s="1"/>
  <c r="R1693" i="3" s="1"/>
  <c r="B1694" i="3" l="1"/>
  <c r="D1694" i="3" l="1"/>
  <c r="K1694" i="3"/>
  <c r="L1693" i="3"/>
  <c r="S1693" i="3" s="1"/>
  <c r="G1694" i="3" l="1"/>
  <c r="I1694" i="3" s="1"/>
  <c r="O1694" i="3"/>
  <c r="N1694" i="3"/>
  <c r="T1693" i="3"/>
  <c r="U1693" i="3" s="1"/>
  <c r="V1693" i="3"/>
  <c r="W1693" i="3" l="1"/>
  <c r="P1694" i="3"/>
  <c r="Q1694" i="3" a="1"/>
  <c r="Q1694" i="3" s="1"/>
  <c r="B1695" i="3"/>
  <c r="R1694" i="3" l="1"/>
  <c r="K1695" i="3"/>
  <c r="D1695" i="3"/>
  <c r="L1694" i="3"/>
  <c r="S1694" i="3" s="1"/>
  <c r="T1694" i="3" l="1"/>
  <c r="U1694" i="3" s="1"/>
  <c r="V1694" i="3"/>
  <c r="O1695" i="3"/>
  <c r="N1695" i="3"/>
  <c r="G1695" i="3"/>
  <c r="I1695" i="3" s="1"/>
  <c r="P1695" i="3" l="1"/>
  <c r="Q1695" i="3" a="1"/>
  <c r="Q1695" i="3" s="1"/>
  <c r="W1694" i="3"/>
  <c r="B1696" i="3"/>
  <c r="R1695" i="3" l="1"/>
  <c r="K1696" i="3"/>
  <c r="D1696" i="3"/>
  <c r="L1695" i="3"/>
  <c r="S1695" i="3" s="1"/>
  <c r="T1695" i="3" l="1"/>
  <c r="U1695" i="3" s="1"/>
  <c r="V1695" i="3"/>
  <c r="G1696" i="3"/>
  <c r="O1696" i="3"/>
  <c r="N1696" i="3"/>
  <c r="Q1696" i="3" l="1" a="1"/>
  <c r="Q1696" i="3" s="1"/>
  <c r="P1696" i="3"/>
  <c r="I1696" i="3"/>
  <c r="W1695" i="3"/>
  <c r="R1696" i="3" l="1"/>
  <c r="B1697" i="3"/>
  <c r="K1697" i="3" l="1"/>
  <c r="D1697" i="3"/>
  <c r="L1696" i="3"/>
  <c r="S1696" i="3" s="1"/>
  <c r="T1696" i="3" l="1"/>
  <c r="U1696" i="3" s="1"/>
  <c r="V1696" i="3"/>
  <c r="O1697" i="3"/>
  <c r="G1697" i="3"/>
  <c r="N1697" i="3"/>
  <c r="I1697" i="3" l="1"/>
  <c r="P1697" i="3"/>
  <c r="Q1697" i="3" a="1"/>
  <c r="Q1697" i="3" s="1"/>
  <c r="W1696" i="3"/>
  <c r="R1697" i="3" l="1"/>
  <c r="B1698" i="3"/>
  <c r="K1698" i="3" l="1"/>
  <c r="D1698" i="3"/>
  <c r="L1697" i="3"/>
  <c r="S1697" i="3" s="1"/>
  <c r="T1697" i="3" l="1"/>
  <c r="U1697" i="3" s="1"/>
  <c r="V1697" i="3"/>
  <c r="N1698" i="3"/>
  <c r="G1698" i="3"/>
  <c r="O1698" i="3"/>
  <c r="I1698" i="3" l="1"/>
  <c r="W1697" i="3"/>
  <c r="Q1698" i="3" a="1"/>
  <c r="Q1698" i="3" s="1"/>
  <c r="R1698" i="3" s="1"/>
  <c r="P1698" i="3"/>
  <c r="B1699" i="3" l="1"/>
  <c r="K1699" i="3" l="1"/>
  <c r="D1699" i="3"/>
  <c r="L1698" i="3"/>
  <c r="S1698" i="3" s="1"/>
  <c r="T1698" i="3" l="1"/>
  <c r="U1698" i="3" s="1"/>
  <c r="V1698" i="3"/>
  <c r="O1699" i="3"/>
  <c r="G1699" i="3"/>
  <c r="N1699" i="3"/>
  <c r="I1699" i="3" l="1"/>
  <c r="Q1699" i="3" a="1"/>
  <c r="Q1699" i="3" s="1"/>
  <c r="P1699" i="3"/>
  <c r="W1698" i="3"/>
  <c r="R1699" i="3" l="1"/>
  <c r="B1700" i="3"/>
  <c r="D1700" i="3" l="1"/>
  <c r="K1700" i="3"/>
  <c r="L1699" i="3"/>
  <c r="S1699" i="3" s="1"/>
  <c r="T1699" i="3" l="1"/>
  <c r="U1699" i="3" s="1"/>
  <c r="V1699" i="3"/>
  <c r="G1700" i="3"/>
  <c r="O1700" i="3"/>
  <c r="N1700" i="3"/>
  <c r="P1700" i="3" l="1"/>
  <c r="Q1700" i="3" a="1"/>
  <c r="Q1700" i="3" s="1"/>
  <c r="R1700" i="3" s="1"/>
  <c r="I1700" i="3"/>
  <c r="B1701" i="3" s="1"/>
  <c r="W1699" i="3"/>
  <c r="D1701" i="3" l="1"/>
  <c r="K1701" i="3"/>
  <c r="L1700" i="3"/>
  <c r="S1700" i="3" s="1"/>
  <c r="T1700" i="3" l="1"/>
  <c r="U1700" i="3" s="1"/>
  <c r="V1700" i="3"/>
  <c r="N1701" i="3"/>
  <c r="G1701" i="3"/>
  <c r="O1701" i="3"/>
  <c r="I1701" i="3" l="1"/>
  <c r="W1700" i="3"/>
  <c r="Q1701" i="3" a="1"/>
  <c r="Q1701" i="3" s="1"/>
  <c r="R1701" i="3" s="1"/>
  <c r="P1701" i="3"/>
  <c r="B1702" i="3" l="1"/>
  <c r="K1702" i="3" l="1"/>
  <c r="D1702" i="3"/>
  <c r="L1701" i="3"/>
  <c r="S1701" i="3" s="1"/>
  <c r="T1701" i="3" l="1"/>
  <c r="U1701" i="3" s="1"/>
  <c r="V1701" i="3"/>
  <c r="G1702" i="3"/>
  <c r="O1702" i="3"/>
  <c r="N1702" i="3"/>
  <c r="P1702" i="3" l="1"/>
  <c r="Q1702" i="3" a="1"/>
  <c r="Q1702" i="3" s="1"/>
  <c r="R1702" i="3" s="1"/>
  <c r="I1702" i="3"/>
  <c r="W1701" i="3"/>
  <c r="B1703" i="3" l="1"/>
  <c r="D1703" i="3" l="1"/>
  <c r="K1703" i="3"/>
  <c r="L1702" i="3"/>
  <c r="S1702" i="3" s="1"/>
  <c r="O1703" i="3" l="1"/>
  <c r="G1703" i="3"/>
  <c r="I1703" i="3" s="1"/>
  <c r="N1703" i="3"/>
  <c r="T1702" i="3"/>
  <c r="U1702" i="3" s="1"/>
  <c r="V1702" i="3"/>
  <c r="W1702" i="3" l="1"/>
  <c r="B1704" i="3"/>
  <c r="P1703" i="3"/>
  <c r="Q1703" i="3" a="1"/>
  <c r="Q1703" i="3" s="1"/>
  <c r="R1703" i="3" s="1"/>
  <c r="K1704" i="3" l="1"/>
  <c r="D1704" i="3"/>
  <c r="L1703" i="3"/>
  <c r="S1703" i="3" s="1"/>
  <c r="T1703" i="3" l="1"/>
  <c r="U1703" i="3" s="1"/>
  <c r="V1703" i="3"/>
  <c r="G1704" i="3"/>
  <c r="I1704" i="3" s="1"/>
  <c r="N1704" i="3"/>
  <c r="O1704" i="3"/>
  <c r="B1705" i="3" l="1"/>
  <c r="W1703" i="3"/>
  <c r="P1704" i="3"/>
  <c r="Q1704" i="3" a="1"/>
  <c r="Q1704" i="3" s="1"/>
  <c r="R1704" i="3" s="1"/>
  <c r="K1705" i="3" l="1"/>
  <c r="D1705" i="3"/>
  <c r="L1704" i="3"/>
  <c r="S1704" i="3" s="1"/>
  <c r="G1705" i="3" l="1"/>
  <c r="I1705" i="3" s="1"/>
  <c r="N1705" i="3"/>
  <c r="O1705" i="3"/>
  <c r="T1704" i="3"/>
  <c r="U1704" i="3" s="1"/>
  <c r="V1704" i="3"/>
  <c r="W1704" i="3" l="1"/>
  <c r="P1705" i="3"/>
  <c r="Q1705" i="3" a="1"/>
  <c r="Q1705" i="3" s="1"/>
  <c r="B1706" i="3"/>
  <c r="R1705" i="3" l="1"/>
  <c r="D1706" i="3"/>
  <c r="K1706" i="3"/>
  <c r="L1705" i="3"/>
  <c r="S1705" i="3" s="1"/>
  <c r="T1705" i="3" l="1"/>
  <c r="U1705" i="3" s="1"/>
  <c r="V1705" i="3"/>
  <c r="G1706" i="3"/>
  <c r="O1706" i="3"/>
  <c r="N1706" i="3"/>
  <c r="Q1706" i="3" l="1" a="1"/>
  <c r="Q1706" i="3" s="1"/>
  <c r="P1706" i="3"/>
  <c r="I1706" i="3"/>
  <c r="W1705" i="3"/>
  <c r="R1706" i="3" l="1"/>
  <c r="B1707" i="3"/>
  <c r="D1707" i="3" l="1"/>
  <c r="K1707" i="3"/>
  <c r="L1706" i="3"/>
  <c r="S1706" i="3" s="1"/>
  <c r="T1706" i="3" l="1"/>
  <c r="U1706" i="3" s="1"/>
  <c r="V1706" i="3"/>
  <c r="O1707" i="3"/>
  <c r="N1707" i="3"/>
  <c r="G1707" i="3"/>
  <c r="Q1707" i="3" l="1" a="1"/>
  <c r="Q1707" i="3" s="1"/>
  <c r="P1707" i="3"/>
  <c r="W1706" i="3"/>
  <c r="I1707" i="3"/>
  <c r="B1708" i="3" s="1"/>
  <c r="R1707" i="3" l="1"/>
  <c r="K1708" i="3"/>
  <c r="D1708" i="3"/>
  <c r="L1707" i="3"/>
  <c r="S1707" i="3" s="1"/>
  <c r="N1708" i="3" l="1"/>
  <c r="G1708" i="3"/>
  <c r="I1708" i="3" s="1"/>
  <c r="O1708" i="3"/>
  <c r="T1707" i="3"/>
  <c r="U1707" i="3" s="1"/>
  <c r="V1707" i="3"/>
  <c r="W1707" i="3" l="1"/>
  <c r="Q1708" i="3" a="1"/>
  <c r="Q1708" i="3" s="1"/>
  <c r="P1708" i="3"/>
  <c r="B1709" i="3"/>
  <c r="R1708" i="3" l="1"/>
  <c r="K1709" i="3"/>
  <c r="D1709" i="3"/>
  <c r="L1708" i="3"/>
  <c r="S1708" i="3" s="1"/>
  <c r="T1708" i="3" l="1"/>
  <c r="U1708" i="3" s="1"/>
  <c r="V1708" i="3"/>
  <c r="N1709" i="3"/>
  <c r="G1709" i="3"/>
  <c r="I1709" i="3" s="1"/>
  <c r="L1709" i="3" s="1"/>
  <c r="O1709" i="3"/>
  <c r="W1708" i="3" l="1"/>
  <c r="C4" i="7"/>
  <c r="B2" i="7"/>
  <c r="Q1709" i="3" a="1"/>
  <c r="Q1709" i="3" s="1"/>
  <c r="P1709" i="3"/>
  <c r="S1709" i="3" s="1"/>
  <c r="V1709" i="3" s="1"/>
  <c r="W1709" i="3" s="1"/>
  <c r="E2" i="7" s="1"/>
  <c r="L2" i="7" s="1"/>
  <c r="R1709" i="3" l="1"/>
  <c r="C2" i="7"/>
  <c r="A2" i="7"/>
  <c r="A4" i="7"/>
  <c r="T1709" i="3"/>
  <c r="U1709" i="3" s="1"/>
  <c r="N2" i="7" s="1"/>
  <c r="D2" i="7" l="1"/>
  <c r="F2" i="7"/>
  <c r="G2" i="7" s="1"/>
  <c r="X2" i="3"/>
  <c r="X3" i="3" s="1"/>
  <c r="X4" i="3" s="1"/>
  <c r="X5" i="3" s="1"/>
  <c r="X6" i="3" s="1"/>
  <c r="X7" i="3" s="1"/>
  <c r="X8" i="3" s="1"/>
  <c r="X9" i="3" s="1"/>
  <c r="X10" i="3" s="1"/>
  <c r="X11" i="3" s="1"/>
  <c r="X12" i="3" s="1"/>
  <c r="X13" i="3" s="1"/>
  <c r="X14" i="3" s="1"/>
  <c r="X15" i="3" s="1"/>
  <c r="X16" i="3" s="1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X31" i="3" s="1"/>
  <c r="X32" i="3" s="1"/>
  <c r="X33" i="3" s="1"/>
  <c r="X34" i="3" s="1"/>
  <c r="X35" i="3" s="1"/>
  <c r="X36" i="3" s="1"/>
  <c r="X37" i="3" s="1"/>
  <c r="X38" i="3" s="1"/>
  <c r="X39" i="3" s="1"/>
  <c r="X40" i="3" s="1"/>
  <c r="X41" i="3" s="1"/>
  <c r="X42" i="3" s="1"/>
  <c r="X43" i="3" s="1"/>
  <c r="X44" i="3" s="1"/>
  <c r="X45" i="3" s="1"/>
  <c r="X46" i="3" s="1"/>
  <c r="X47" i="3" s="1"/>
  <c r="X48" i="3" s="1"/>
  <c r="X49" i="3" s="1"/>
  <c r="X50" i="3" s="1"/>
  <c r="X51" i="3" s="1"/>
  <c r="X52" i="3" s="1"/>
  <c r="X53" i="3" s="1"/>
  <c r="X54" i="3" s="1"/>
  <c r="X55" i="3" s="1"/>
  <c r="X56" i="3" s="1"/>
  <c r="X57" i="3" s="1"/>
  <c r="X58" i="3" s="1"/>
  <c r="X59" i="3" s="1"/>
  <c r="X60" i="3" s="1"/>
  <c r="X61" i="3" s="1"/>
  <c r="X62" i="3" s="1"/>
  <c r="X63" i="3" s="1"/>
  <c r="X64" i="3" s="1"/>
  <c r="X65" i="3" s="1"/>
  <c r="X66" i="3" s="1"/>
  <c r="X67" i="3" s="1"/>
  <c r="X68" i="3" s="1"/>
  <c r="X69" i="3" s="1"/>
  <c r="X70" i="3" s="1"/>
  <c r="X71" i="3" s="1"/>
  <c r="X72" i="3" s="1"/>
  <c r="X73" i="3" s="1"/>
  <c r="X74" i="3" s="1"/>
  <c r="X75" i="3" s="1"/>
  <c r="X76" i="3" s="1"/>
  <c r="X77" i="3" s="1"/>
  <c r="X78" i="3" s="1"/>
  <c r="X79" i="3" s="1"/>
  <c r="X80" i="3" s="1"/>
  <c r="X81" i="3" s="1"/>
  <c r="X82" i="3" s="1"/>
  <c r="X83" i="3" s="1"/>
  <c r="X84" i="3" s="1"/>
  <c r="X85" i="3" s="1"/>
  <c r="X86" i="3" s="1"/>
  <c r="X87" i="3" s="1"/>
  <c r="X88" i="3" s="1"/>
  <c r="X89" i="3" s="1"/>
  <c r="X90" i="3" s="1"/>
  <c r="X91" i="3" s="1"/>
  <c r="X92" i="3" s="1"/>
  <c r="X93" i="3" s="1"/>
  <c r="X94" i="3" s="1"/>
  <c r="X95" i="3" s="1"/>
  <c r="X96" i="3" s="1"/>
  <c r="X97" i="3" s="1"/>
  <c r="X98" i="3" s="1"/>
  <c r="X99" i="3" s="1"/>
  <c r="X100" i="3" s="1"/>
  <c r="X101" i="3" s="1"/>
  <c r="X102" i="3" s="1"/>
  <c r="X103" i="3" s="1"/>
  <c r="X104" i="3" s="1"/>
  <c r="X105" i="3" s="1"/>
  <c r="X106" i="3" s="1"/>
  <c r="X107" i="3" s="1"/>
  <c r="X108" i="3" s="1"/>
  <c r="X109" i="3" s="1"/>
  <c r="X110" i="3" s="1"/>
  <c r="X111" i="3" s="1"/>
  <c r="X112" i="3" s="1"/>
  <c r="X113" i="3" s="1"/>
  <c r="X114" i="3" s="1"/>
  <c r="X115" i="3" s="1"/>
  <c r="X116" i="3" s="1"/>
  <c r="X117" i="3" s="1"/>
  <c r="X118" i="3" s="1"/>
  <c r="X119" i="3" s="1"/>
  <c r="X120" i="3" s="1"/>
  <c r="X121" i="3" s="1"/>
  <c r="X122" i="3" s="1"/>
  <c r="X123" i="3" s="1"/>
  <c r="X124" i="3" s="1"/>
  <c r="X125" i="3" s="1"/>
  <c r="X126" i="3" s="1"/>
  <c r="X127" i="3" s="1"/>
  <c r="X128" i="3" s="1"/>
  <c r="X129" i="3" s="1"/>
  <c r="X130" i="3" s="1"/>
  <c r="X131" i="3" s="1"/>
  <c r="X132" i="3" s="1"/>
  <c r="X133" i="3" s="1"/>
  <c r="X134" i="3" s="1"/>
  <c r="X135" i="3" s="1"/>
  <c r="X136" i="3" s="1"/>
  <c r="X137" i="3" s="1"/>
  <c r="X138" i="3" s="1"/>
  <c r="X139" i="3" s="1"/>
  <c r="X140" i="3" s="1"/>
  <c r="X141" i="3" s="1"/>
  <c r="X142" i="3" s="1"/>
  <c r="X143" i="3" s="1"/>
  <c r="X144" i="3" s="1"/>
  <c r="X145" i="3" s="1"/>
  <c r="X146" i="3" s="1"/>
  <c r="X147" i="3" s="1"/>
  <c r="X148" i="3" s="1"/>
  <c r="X149" i="3" s="1"/>
  <c r="X150" i="3" s="1"/>
  <c r="X151" i="3" s="1"/>
  <c r="X152" i="3" s="1"/>
  <c r="X153" i="3" s="1"/>
  <c r="X154" i="3" s="1"/>
  <c r="X155" i="3" s="1"/>
  <c r="X156" i="3" s="1"/>
  <c r="X157" i="3" s="1"/>
  <c r="X158" i="3" s="1"/>
  <c r="X159" i="3" s="1"/>
  <c r="X160" i="3" s="1"/>
  <c r="X161" i="3" s="1"/>
  <c r="X162" i="3" s="1"/>
  <c r="X163" i="3" s="1"/>
  <c r="X164" i="3" s="1"/>
  <c r="X165" i="3" s="1"/>
  <c r="X166" i="3" s="1"/>
  <c r="X167" i="3" s="1"/>
  <c r="X168" i="3" s="1"/>
  <c r="X169" i="3" s="1"/>
  <c r="X170" i="3" s="1"/>
  <c r="X171" i="3" s="1"/>
  <c r="X172" i="3" s="1"/>
  <c r="X173" i="3" s="1"/>
  <c r="X174" i="3" s="1"/>
  <c r="X175" i="3" s="1"/>
  <c r="X176" i="3" s="1"/>
  <c r="X177" i="3" s="1"/>
  <c r="X178" i="3" s="1"/>
  <c r="X179" i="3" s="1"/>
  <c r="X180" i="3" s="1"/>
  <c r="X181" i="3" s="1"/>
  <c r="X182" i="3" s="1"/>
  <c r="X183" i="3" s="1"/>
  <c r="X184" i="3" s="1"/>
  <c r="X185" i="3" s="1"/>
  <c r="X186" i="3" s="1"/>
  <c r="X187" i="3" s="1"/>
  <c r="X188" i="3" s="1"/>
  <c r="X189" i="3" s="1"/>
  <c r="X190" i="3" s="1"/>
  <c r="X191" i="3" s="1"/>
  <c r="X192" i="3" s="1"/>
  <c r="X193" i="3" s="1"/>
  <c r="X194" i="3" s="1"/>
  <c r="X195" i="3" s="1"/>
  <c r="X196" i="3" s="1"/>
  <c r="X197" i="3" s="1"/>
  <c r="X198" i="3" s="1"/>
  <c r="X199" i="3" s="1"/>
  <c r="X200" i="3" s="1"/>
  <c r="X201" i="3" s="1"/>
  <c r="X202" i="3" s="1"/>
  <c r="X203" i="3" s="1"/>
  <c r="X204" i="3" s="1"/>
  <c r="X205" i="3" s="1"/>
  <c r="X206" i="3" s="1"/>
  <c r="X207" i="3" s="1"/>
  <c r="X208" i="3" s="1"/>
  <c r="X209" i="3" s="1"/>
  <c r="X210" i="3" s="1"/>
  <c r="X211" i="3" s="1"/>
  <c r="X212" i="3" s="1"/>
  <c r="X213" i="3" s="1"/>
  <c r="X214" i="3" s="1"/>
  <c r="X215" i="3" s="1"/>
  <c r="X216" i="3" s="1"/>
  <c r="X217" i="3" s="1"/>
  <c r="X218" i="3" s="1"/>
  <c r="X219" i="3" s="1"/>
  <c r="X220" i="3" s="1"/>
  <c r="X221" i="3" s="1"/>
  <c r="X222" i="3" s="1"/>
  <c r="X223" i="3" s="1"/>
  <c r="X224" i="3" s="1"/>
  <c r="X225" i="3" s="1"/>
  <c r="X226" i="3" s="1"/>
  <c r="X227" i="3" s="1"/>
  <c r="X228" i="3" s="1"/>
  <c r="X229" i="3" s="1"/>
  <c r="X230" i="3" s="1"/>
  <c r="X231" i="3" s="1"/>
  <c r="X232" i="3" s="1"/>
  <c r="X233" i="3" s="1"/>
  <c r="X234" i="3" s="1"/>
  <c r="X235" i="3" s="1"/>
  <c r="X236" i="3" s="1"/>
  <c r="X237" i="3" s="1"/>
  <c r="X238" i="3" s="1"/>
  <c r="X239" i="3" s="1"/>
  <c r="X240" i="3" s="1"/>
  <c r="X241" i="3" s="1"/>
  <c r="X242" i="3" s="1"/>
  <c r="X243" i="3" s="1"/>
  <c r="X244" i="3" s="1"/>
  <c r="X245" i="3" s="1"/>
  <c r="X246" i="3" s="1"/>
  <c r="X247" i="3" s="1"/>
  <c r="X248" i="3" s="1"/>
  <c r="X249" i="3" s="1"/>
  <c r="X250" i="3" s="1"/>
  <c r="X251" i="3" s="1"/>
  <c r="X252" i="3" s="1"/>
  <c r="X253" i="3" s="1"/>
  <c r="X254" i="3" s="1"/>
  <c r="X255" i="3" s="1"/>
  <c r="X256" i="3" s="1"/>
  <c r="X257" i="3" s="1"/>
  <c r="X258" i="3" s="1"/>
  <c r="X259" i="3" s="1"/>
  <c r="X260" i="3" s="1"/>
  <c r="X261" i="3" s="1"/>
  <c r="X262" i="3" s="1"/>
  <c r="X263" i="3" s="1"/>
  <c r="X264" i="3" s="1"/>
  <c r="X265" i="3" s="1"/>
  <c r="X266" i="3" s="1"/>
  <c r="X267" i="3" s="1"/>
  <c r="X268" i="3" s="1"/>
  <c r="X269" i="3" s="1"/>
  <c r="X270" i="3" s="1"/>
  <c r="X271" i="3" s="1"/>
  <c r="X272" i="3" s="1"/>
  <c r="X273" i="3" s="1"/>
  <c r="X274" i="3" s="1"/>
  <c r="X275" i="3" s="1"/>
  <c r="X276" i="3" s="1"/>
  <c r="X277" i="3" s="1"/>
  <c r="X278" i="3" s="1"/>
  <c r="X279" i="3" s="1"/>
  <c r="X280" i="3" s="1"/>
  <c r="X281" i="3" s="1"/>
  <c r="X282" i="3" s="1"/>
  <c r="X283" i="3" s="1"/>
  <c r="X284" i="3" s="1"/>
  <c r="X285" i="3" s="1"/>
  <c r="X286" i="3" s="1"/>
  <c r="X287" i="3" s="1"/>
  <c r="X288" i="3" s="1"/>
  <c r="X289" i="3" s="1"/>
  <c r="X290" i="3" s="1"/>
  <c r="X291" i="3" s="1"/>
  <c r="X292" i="3" s="1"/>
  <c r="X293" i="3" s="1"/>
  <c r="X294" i="3" s="1"/>
  <c r="X295" i="3" s="1"/>
  <c r="X296" i="3" s="1"/>
  <c r="X297" i="3" s="1"/>
  <c r="X298" i="3" s="1"/>
  <c r="X299" i="3" s="1"/>
  <c r="X300" i="3" s="1"/>
  <c r="X301" i="3" s="1"/>
  <c r="X302" i="3" s="1"/>
  <c r="X303" i="3" s="1"/>
  <c r="X304" i="3" s="1"/>
  <c r="X305" i="3" s="1"/>
  <c r="X306" i="3" s="1"/>
  <c r="X307" i="3" s="1"/>
  <c r="X308" i="3" s="1"/>
  <c r="X309" i="3" s="1"/>
  <c r="X310" i="3" s="1"/>
  <c r="X311" i="3" s="1"/>
  <c r="X312" i="3" s="1"/>
  <c r="X313" i="3" s="1"/>
  <c r="X314" i="3" s="1"/>
  <c r="X315" i="3" s="1"/>
  <c r="X316" i="3" s="1"/>
  <c r="X317" i="3" s="1"/>
  <c r="X318" i="3" s="1"/>
  <c r="X319" i="3" s="1"/>
  <c r="X320" i="3" s="1"/>
  <c r="X321" i="3" s="1"/>
  <c r="X322" i="3" s="1"/>
  <c r="X323" i="3" s="1"/>
  <c r="X324" i="3" s="1"/>
  <c r="X325" i="3" s="1"/>
  <c r="X326" i="3" s="1"/>
  <c r="X327" i="3" s="1"/>
  <c r="X328" i="3" s="1"/>
  <c r="X329" i="3" s="1"/>
  <c r="X330" i="3" s="1"/>
  <c r="X331" i="3" s="1"/>
  <c r="X332" i="3" s="1"/>
  <c r="X333" i="3" s="1"/>
  <c r="X334" i="3" s="1"/>
  <c r="X335" i="3" s="1"/>
  <c r="X336" i="3" s="1"/>
  <c r="X337" i="3" s="1"/>
  <c r="X338" i="3" s="1"/>
  <c r="X339" i="3" s="1"/>
  <c r="X340" i="3" s="1"/>
  <c r="X341" i="3" s="1"/>
  <c r="X342" i="3" s="1"/>
  <c r="X343" i="3" s="1"/>
  <c r="X344" i="3" s="1"/>
  <c r="X345" i="3" s="1"/>
  <c r="X346" i="3" s="1"/>
  <c r="X347" i="3" s="1"/>
  <c r="X348" i="3" s="1"/>
  <c r="X349" i="3" s="1"/>
  <c r="X350" i="3" s="1"/>
  <c r="X351" i="3" s="1"/>
  <c r="X352" i="3" s="1"/>
  <c r="X353" i="3" s="1"/>
  <c r="X354" i="3" s="1"/>
  <c r="X355" i="3" s="1"/>
  <c r="X356" i="3" s="1"/>
  <c r="X357" i="3" s="1"/>
  <c r="X358" i="3" s="1"/>
  <c r="X359" i="3" s="1"/>
  <c r="X360" i="3" s="1"/>
  <c r="X361" i="3" s="1"/>
  <c r="X362" i="3" s="1"/>
  <c r="X363" i="3" s="1"/>
  <c r="X364" i="3" s="1"/>
  <c r="X365" i="3" s="1"/>
  <c r="X366" i="3" s="1"/>
  <c r="X367" i="3" s="1"/>
  <c r="X368" i="3" s="1"/>
  <c r="X369" i="3" s="1"/>
  <c r="X370" i="3" s="1"/>
  <c r="X371" i="3" s="1"/>
  <c r="X372" i="3" s="1"/>
  <c r="X373" i="3" s="1"/>
  <c r="X374" i="3" s="1"/>
  <c r="X375" i="3" s="1"/>
  <c r="X376" i="3" s="1"/>
  <c r="X377" i="3" s="1"/>
  <c r="X378" i="3" s="1"/>
  <c r="X379" i="3" s="1"/>
  <c r="X380" i="3" s="1"/>
  <c r="X381" i="3" s="1"/>
  <c r="X382" i="3" s="1"/>
  <c r="X383" i="3" s="1"/>
  <c r="X384" i="3" s="1"/>
  <c r="X385" i="3" s="1"/>
  <c r="X386" i="3" s="1"/>
  <c r="X387" i="3" s="1"/>
  <c r="X388" i="3" s="1"/>
  <c r="X389" i="3" s="1"/>
  <c r="X390" i="3" s="1"/>
  <c r="X391" i="3" s="1"/>
  <c r="X392" i="3" s="1"/>
  <c r="X393" i="3" s="1"/>
  <c r="X394" i="3" s="1"/>
  <c r="X395" i="3" s="1"/>
  <c r="X396" i="3" s="1"/>
  <c r="X397" i="3" s="1"/>
  <c r="X398" i="3" s="1"/>
  <c r="X399" i="3" s="1"/>
  <c r="X400" i="3" s="1"/>
  <c r="X401" i="3" s="1"/>
  <c r="X402" i="3" s="1"/>
  <c r="X403" i="3" s="1"/>
  <c r="X404" i="3" s="1"/>
  <c r="X405" i="3" s="1"/>
  <c r="X406" i="3" s="1"/>
  <c r="X407" i="3" s="1"/>
  <c r="X408" i="3" s="1"/>
  <c r="X409" i="3" s="1"/>
  <c r="X410" i="3" s="1"/>
  <c r="X411" i="3" s="1"/>
  <c r="X412" i="3" s="1"/>
  <c r="X413" i="3" s="1"/>
  <c r="X414" i="3" s="1"/>
  <c r="X415" i="3" s="1"/>
  <c r="X416" i="3" s="1"/>
  <c r="X417" i="3" s="1"/>
  <c r="X418" i="3" s="1"/>
  <c r="X419" i="3" s="1"/>
  <c r="X420" i="3" s="1"/>
  <c r="X421" i="3" s="1"/>
  <c r="X422" i="3" s="1"/>
  <c r="X423" i="3" s="1"/>
  <c r="X424" i="3" s="1"/>
  <c r="X425" i="3" s="1"/>
  <c r="X426" i="3" s="1"/>
  <c r="X427" i="3" s="1"/>
  <c r="X428" i="3" s="1"/>
  <c r="X429" i="3" s="1"/>
  <c r="X430" i="3" s="1"/>
  <c r="X431" i="3" s="1"/>
  <c r="X432" i="3" s="1"/>
  <c r="X433" i="3" s="1"/>
  <c r="X434" i="3" s="1"/>
  <c r="X435" i="3" s="1"/>
  <c r="X436" i="3" s="1"/>
  <c r="X437" i="3" s="1"/>
  <c r="X438" i="3" s="1"/>
  <c r="X439" i="3" s="1"/>
  <c r="X440" i="3" s="1"/>
  <c r="X441" i="3" s="1"/>
  <c r="X442" i="3" s="1"/>
  <c r="X443" i="3" s="1"/>
  <c r="X444" i="3" s="1"/>
  <c r="X445" i="3" s="1"/>
  <c r="X446" i="3" s="1"/>
  <c r="X447" i="3" s="1"/>
  <c r="X448" i="3" s="1"/>
  <c r="X449" i="3" s="1"/>
  <c r="X450" i="3" s="1"/>
  <c r="X451" i="3" s="1"/>
  <c r="X452" i="3" s="1"/>
  <c r="X453" i="3" s="1"/>
  <c r="X454" i="3" s="1"/>
  <c r="X455" i="3" s="1"/>
  <c r="X456" i="3" s="1"/>
  <c r="X457" i="3" s="1"/>
  <c r="X458" i="3" s="1"/>
  <c r="X459" i="3" s="1"/>
  <c r="X460" i="3" s="1"/>
  <c r="X461" i="3" s="1"/>
  <c r="X462" i="3" s="1"/>
  <c r="X463" i="3" s="1"/>
  <c r="X464" i="3" s="1"/>
  <c r="X465" i="3" s="1"/>
  <c r="X466" i="3" s="1"/>
  <c r="X467" i="3" s="1"/>
  <c r="X468" i="3" s="1"/>
  <c r="X469" i="3" s="1"/>
  <c r="X470" i="3" s="1"/>
  <c r="X471" i="3" s="1"/>
  <c r="X472" i="3" s="1"/>
  <c r="X473" i="3" s="1"/>
  <c r="X474" i="3" s="1"/>
  <c r="X475" i="3" s="1"/>
  <c r="X476" i="3" s="1"/>
  <c r="X477" i="3" s="1"/>
  <c r="X478" i="3" s="1"/>
  <c r="X479" i="3" s="1"/>
  <c r="X480" i="3" s="1"/>
  <c r="X481" i="3" s="1"/>
  <c r="X482" i="3" s="1"/>
  <c r="X483" i="3" s="1"/>
  <c r="X484" i="3" s="1"/>
  <c r="X485" i="3" s="1"/>
  <c r="X486" i="3" s="1"/>
  <c r="X487" i="3" s="1"/>
  <c r="X488" i="3" s="1"/>
  <c r="X489" i="3" s="1"/>
  <c r="X490" i="3" s="1"/>
  <c r="X491" i="3" s="1"/>
  <c r="X492" i="3" s="1"/>
  <c r="X493" i="3" s="1"/>
  <c r="X494" i="3" s="1"/>
  <c r="X495" i="3" s="1"/>
  <c r="X496" i="3" s="1"/>
  <c r="X497" i="3" s="1"/>
  <c r="X498" i="3" s="1"/>
  <c r="X499" i="3" s="1"/>
  <c r="X500" i="3" s="1"/>
  <c r="X501" i="3" s="1"/>
  <c r="X502" i="3" s="1"/>
  <c r="X503" i="3" s="1"/>
  <c r="X504" i="3" s="1"/>
  <c r="X505" i="3" s="1"/>
  <c r="X506" i="3" s="1"/>
  <c r="X507" i="3" s="1"/>
  <c r="X508" i="3" s="1"/>
  <c r="X509" i="3" s="1"/>
  <c r="X510" i="3" s="1"/>
  <c r="X511" i="3" s="1"/>
  <c r="X512" i="3" s="1"/>
  <c r="X513" i="3" s="1"/>
  <c r="X514" i="3" s="1"/>
  <c r="X515" i="3" s="1"/>
  <c r="X516" i="3" s="1"/>
  <c r="X517" i="3" s="1"/>
  <c r="X518" i="3" s="1"/>
  <c r="X519" i="3" s="1"/>
  <c r="X520" i="3" s="1"/>
  <c r="X521" i="3" s="1"/>
  <c r="X522" i="3" s="1"/>
  <c r="X523" i="3" s="1"/>
  <c r="X524" i="3" s="1"/>
  <c r="X525" i="3" s="1"/>
  <c r="X526" i="3" s="1"/>
  <c r="X527" i="3" s="1"/>
  <c r="X528" i="3" s="1"/>
  <c r="X529" i="3" s="1"/>
  <c r="X530" i="3" s="1"/>
  <c r="X531" i="3" s="1"/>
  <c r="X532" i="3" s="1"/>
  <c r="X533" i="3" s="1"/>
  <c r="X534" i="3" s="1"/>
  <c r="X535" i="3" s="1"/>
  <c r="X536" i="3" s="1"/>
  <c r="X537" i="3" s="1"/>
  <c r="X538" i="3" s="1"/>
  <c r="X539" i="3" s="1"/>
  <c r="X540" i="3" s="1"/>
  <c r="X541" i="3" s="1"/>
  <c r="X542" i="3" s="1"/>
  <c r="X543" i="3" s="1"/>
  <c r="X544" i="3" s="1"/>
  <c r="X545" i="3" s="1"/>
  <c r="X546" i="3" s="1"/>
  <c r="X547" i="3" s="1"/>
  <c r="X548" i="3" s="1"/>
  <c r="X549" i="3" s="1"/>
  <c r="X550" i="3" s="1"/>
  <c r="X551" i="3" s="1"/>
  <c r="X552" i="3" s="1"/>
  <c r="X553" i="3" s="1"/>
  <c r="X554" i="3" s="1"/>
  <c r="X555" i="3" s="1"/>
  <c r="X556" i="3" s="1"/>
  <c r="X557" i="3" s="1"/>
  <c r="X558" i="3" s="1"/>
  <c r="X559" i="3" s="1"/>
  <c r="X560" i="3" s="1"/>
  <c r="X561" i="3" s="1"/>
  <c r="X562" i="3" s="1"/>
  <c r="X563" i="3" s="1"/>
  <c r="X564" i="3" s="1"/>
  <c r="X565" i="3" s="1"/>
  <c r="X566" i="3" s="1"/>
  <c r="X567" i="3" s="1"/>
  <c r="X568" i="3" s="1"/>
  <c r="X569" i="3" s="1"/>
  <c r="X570" i="3" s="1"/>
  <c r="X571" i="3" s="1"/>
  <c r="X572" i="3" s="1"/>
  <c r="X573" i="3" s="1"/>
  <c r="X574" i="3" s="1"/>
  <c r="X575" i="3" s="1"/>
  <c r="X576" i="3" s="1"/>
  <c r="X577" i="3" s="1"/>
  <c r="X578" i="3" s="1"/>
  <c r="X579" i="3" s="1"/>
  <c r="X580" i="3" s="1"/>
  <c r="X581" i="3" s="1"/>
  <c r="X582" i="3" s="1"/>
  <c r="X583" i="3" s="1"/>
  <c r="X584" i="3" s="1"/>
  <c r="X585" i="3" s="1"/>
  <c r="X586" i="3" s="1"/>
  <c r="X587" i="3" s="1"/>
  <c r="X588" i="3" s="1"/>
  <c r="X589" i="3" s="1"/>
  <c r="X590" i="3" s="1"/>
  <c r="X591" i="3" s="1"/>
  <c r="X592" i="3" s="1"/>
  <c r="X593" i="3" s="1"/>
  <c r="X594" i="3" s="1"/>
  <c r="X595" i="3" s="1"/>
  <c r="X596" i="3" s="1"/>
  <c r="X597" i="3" s="1"/>
  <c r="X598" i="3" s="1"/>
  <c r="X599" i="3" s="1"/>
  <c r="X600" i="3" s="1"/>
  <c r="X601" i="3" s="1"/>
  <c r="X602" i="3" s="1"/>
  <c r="X603" i="3" s="1"/>
  <c r="X604" i="3" s="1"/>
  <c r="X605" i="3" s="1"/>
  <c r="X606" i="3" s="1"/>
  <c r="X607" i="3" s="1"/>
  <c r="X608" i="3" s="1"/>
  <c r="X609" i="3" s="1"/>
  <c r="X610" i="3" s="1"/>
  <c r="X611" i="3" s="1"/>
  <c r="X612" i="3" s="1"/>
  <c r="X613" i="3" s="1"/>
  <c r="X614" i="3" s="1"/>
  <c r="X615" i="3" s="1"/>
  <c r="X616" i="3" s="1"/>
  <c r="X617" i="3" s="1"/>
  <c r="X618" i="3" s="1"/>
  <c r="X619" i="3" s="1"/>
  <c r="X620" i="3" s="1"/>
  <c r="X621" i="3" s="1"/>
  <c r="X622" i="3" s="1"/>
  <c r="X623" i="3" s="1"/>
  <c r="X624" i="3" s="1"/>
  <c r="X625" i="3" s="1"/>
  <c r="X626" i="3" s="1"/>
  <c r="X627" i="3" s="1"/>
  <c r="X628" i="3" s="1"/>
  <c r="X629" i="3" s="1"/>
  <c r="X630" i="3" s="1"/>
  <c r="X631" i="3" s="1"/>
  <c r="X632" i="3" s="1"/>
  <c r="X633" i="3" s="1"/>
  <c r="X634" i="3" s="1"/>
  <c r="X635" i="3" s="1"/>
  <c r="X636" i="3" s="1"/>
  <c r="X637" i="3" s="1"/>
  <c r="X638" i="3" s="1"/>
  <c r="X639" i="3" s="1"/>
  <c r="X640" i="3" s="1"/>
  <c r="X641" i="3" s="1"/>
  <c r="X642" i="3" s="1"/>
  <c r="X643" i="3" s="1"/>
  <c r="X644" i="3" s="1"/>
  <c r="X645" i="3" s="1"/>
  <c r="X646" i="3" s="1"/>
  <c r="X647" i="3" s="1"/>
  <c r="X648" i="3" s="1"/>
  <c r="X649" i="3" s="1"/>
  <c r="X650" i="3" s="1"/>
  <c r="X651" i="3" s="1"/>
  <c r="X652" i="3" s="1"/>
  <c r="X653" i="3" s="1"/>
  <c r="X654" i="3" s="1"/>
  <c r="X655" i="3" s="1"/>
  <c r="X656" i="3" s="1"/>
  <c r="X657" i="3" s="1"/>
  <c r="X658" i="3" s="1"/>
  <c r="X659" i="3" s="1"/>
  <c r="X660" i="3" s="1"/>
  <c r="X661" i="3" s="1"/>
  <c r="X662" i="3" s="1"/>
  <c r="X663" i="3" s="1"/>
  <c r="X664" i="3" s="1"/>
  <c r="X665" i="3" s="1"/>
  <c r="X666" i="3" s="1"/>
  <c r="X667" i="3" s="1"/>
  <c r="X668" i="3" s="1"/>
  <c r="X669" i="3" s="1"/>
  <c r="X670" i="3" s="1"/>
  <c r="X671" i="3" s="1"/>
  <c r="X672" i="3" s="1"/>
  <c r="X673" i="3" s="1"/>
  <c r="X674" i="3" s="1"/>
  <c r="X675" i="3" s="1"/>
  <c r="X676" i="3" s="1"/>
  <c r="X677" i="3" s="1"/>
  <c r="X678" i="3" s="1"/>
  <c r="X679" i="3" s="1"/>
  <c r="X680" i="3" s="1"/>
  <c r="X681" i="3" s="1"/>
  <c r="X682" i="3" s="1"/>
  <c r="X683" i="3" s="1"/>
  <c r="X684" i="3" s="1"/>
  <c r="X685" i="3" s="1"/>
  <c r="X686" i="3" s="1"/>
  <c r="X687" i="3" s="1"/>
  <c r="X688" i="3" s="1"/>
  <c r="X689" i="3" s="1"/>
  <c r="X690" i="3" s="1"/>
  <c r="X691" i="3" s="1"/>
  <c r="X692" i="3" s="1"/>
  <c r="X693" i="3" s="1"/>
  <c r="X694" i="3" s="1"/>
  <c r="X695" i="3" s="1"/>
  <c r="X696" i="3" s="1"/>
  <c r="X697" i="3" s="1"/>
  <c r="X698" i="3" s="1"/>
  <c r="X699" i="3" s="1"/>
  <c r="X700" i="3" s="1"/>
  <c r="X701" i="3" s="1"/>
  <c r="X702" i="3" s="1"/>
  <c r="X703" i="3" s="1"/>
  <c r="X704" i="3" s="1"/>
  <c r="X705" i="3" s="1"/>
  <c r="X706" i="3" s="1"/>
  <c r="X707" i="3" s="1"/>
  <c r="X708" i="3" s="1"/>
  <c r="X709" i="3" s="1"/>
  <c r="X710" i="3" s="1"/>
  <c r="X711" i="3" s="1"/>
  <c r="X712" i="3" s="1"/>
  <c r="X713" i="3" s="1"/>
  <c r="X714" i="3" s="1"/>
  <c r="X715" i="3" s="1"/>
  <c r="X716" i="3" s="1"/>
  <c r="X717" i="3" s="1"/>
  <c r="X718" i="3" s="1"/>
  <c r="X719" i="3" s="1"/>
  <c r="X720" i="3" s="1"/>
  <c r="X721" i="3" s="1"/>
  <c r="X722" i="3" s="1"/>
  <c r="X723" i="3" s="1"/>
  <c r="X724" i="3" s="1"/>
  <c r="X725" i="3" s="1"/>
  <c r="X726" i="3" s="1"/>
  <c r="X727" i="3" s="1"/>
  <c r="X728" i="3" s="1"/>
  <c r="X729" i="3" s="1"/>
  <c r="X730" i="3" s="1"/>
  <c r="X731" i="3" s="1"/>
  <c r="X732" i="3" s="1"/>
  <c r="X733" i="3" s="1"/>
  <c r="X734" i="3" s="1"/>
  <c r="X735" i="3" s="1"/>
  <c r="X736" i="3" s="1"/>
  <c r="X737" i="3" s="1"/>
  <c r="X738" i="3" s="1"/>
  <c r="X739" i="3" s="1"/>
  <c r="X740" i="3" s="1"/>
  <c r="X741" i="3" s="1"/>
  <c r="X742" i="3" s="1"/>
  <c r="X743" i="3" s="1"/>
  <c r="X744" i="3" s="1"/>
  <c r="X745" i="3" s="1"/>
  <c r="X746" i="3" s="1"/>
  <c r="X747" i="3" s="1"/>
  <c r="X748" i="3" s="1"/>
  <c r="X749" i="3" s="1"/>
  <c r="X750" i="3" s="1"/>
  <c r="X751" i="3" s="1"/>
  <c r="X752" i="3" s="1"/>
  <c r="X753" i="3" s="1"/>
  <c r="X754" i="3" s="1"/>
  <c r="X755" i="3" s="1"/>
  <c r="X756" i="3" s="1"/>
  <c r="X757" i="3" s="1"/>
  <c r="X758" i="3" s="1"/>
  <c r="X759" i="3" s="1"/>
  <c r="X760" i="3" s="1"/>
  <c r="X761" i="3" s="1"/>
  <c r="X762" i="3" s="1"/>
  <c r="X763" i="3" s="1"/>
  <c r="X764" i="3" s="1"/>
  <c r="X765" i="3" s="1"/>
  <c r="X766" i="3" s="1"/>
  <c r="X767" i="3" s="1"/>
  <c r="X768" i="3" s="1"/>
  <c r="X769" i="3" s="1"/>
  <c r="X770" i="3" s="1"/>
  <c r="X771" i="3" s="1"/>
  <c r="X772" i="3" s="1"/>
  <c r="X773" i="3" s="1"/>
  <c r="X774" i="3" s="1"/>
  <c r="X775" i="3" s="1"/>
  <c r="X776" i="3" s="1"/>
  <c r="X777" i="3" s="1"/>
  <c r="X778" i="3" s="1"/>
  <c r="X779" i="3" s="1"/>
  <c r="X780" i="3" s="1"/>
  <c r="X781" i="3" s="1"/>
  <c r="X782" i="3" s="1"/>
  <c r="X783" i="3" s="1"/>
  <c r="X784" i="3" s="1"/>
  <c r="X785" i="3" s="1"/>
  <c r="X786" i="3" s="1"/>
  <c r="X787" i="3" s="1"/>
  <c r="X788" i="3" s="1"/>
  <c r="X789" i="3" s="1"/>
  <c r="X790" i="3" s="1"/>
  <c r="X791" i="3" s="1"/>
  <c r="X792" i="3" s="1"/>
  <c r="X793" i="3" s="1"/>
  <c r="X794" i="3" s="1"/>
  <c r="X795" i="3" s="1"/>
  <c r="X796" i="3" s="1"/>
  <c r="X797" i="3" s="1"/>
  <c r="X798" i="3" s="1"/>
  <c r="X799" i="3" s="1"/>
  <c r="X800" i="3" s="1"/>
  <c r="X801" i="3" s="1"/>
  <c r="X802" i="3" s="1"/>
  <c r="X803" i="3" s="1"/>
  <c r="X804" i="3" s="1"/>
  <c r="X805" i="3" s="1"/>
  <c r="X806" i="3" s="1"/>
  <c r="X807" i="3" s="1"/>
  <c r="X808" i="3" s="1"/>
  <c r="X809" i="3" s="1"/>
  <c r="X810" i="3" s="1"/>
  <c r="X811" i="3" s="1"/>
  <c r="X812" i="3" s="1"/>
  <c r="X813" i="3" s="1"/>
  <c r="X814" i="3" s="1"/>
  <c r="X815" i="3" s="1"/>
  <c r="X816" i="3" s="1"/>
  <c r="X817" i="3" s="1"/>
  <c r="X818" i="3" s="1"/>
  <c r="X819" i="3" s="1"/>
  <c r="X820" i="3" s="1"/>
  <c r="X821" i="3" s="1"/>
  <c r="X822" i="3" s="1"/>
  <c r="X823" i="3" s="1"/>
  <c r="X824" i="3" s="1"/>
  <c r="X825" i="3" s="1"/>
  <c r="X826" i="3" s="1"/>
  <c r="X827" i="3" s="1"/>
  <c r="X828" i="3" s="1"/>
  <c r="X829" i="3" s="1"/>
  <c r="X830" i="3" s="1"/>
  <c r="X831" i="3" s="1"/>
  <c r="X832" i="3" s="1"/>
  <c r="X833" i="3" s="1"/>
  <c r="X834" i="3" s="1"/>
  <c r="X835" i="3" s="1"/>
  <c r="X836" i="3" s="1"/>
  <c r="X837" i="3" s="1"/>
  <c r="X838" i="3" s="1"/>
  <c r="X839" i="3" s="1"/>
  <c r="X840" i="3" s="1"/>
  <c r="X841" i="3" s="1"/>
  <c r="X842" i="3" s="1"/>
  <c r="X843" i="3" s="1"/>
  <c r="X844" i="3" s="1"/>
  <c r="X845" i="3" s="1"/>
  <c r="X846" i="3" s="1"/>
  <c r="X847" i="3" s="1"/>
  <c r="X848" i="3" s="1"/>
  <c r="X849" i="3" s="1"/>
  <c r="X850" i="3" s="1"/>
  <c r="X851" i="3" s="1"/>
  <c r="X852" i="3" s="1"/>
  <c r="X853" i="3" s="1"/>
  <c r="X854" i="3" s="1"/>
  <c r="X855" i="3" s="1"/>
  <c r="X856" i="3" s="1"/>
  <c r="X857" i="3" s="1"/>
  <c r="X858" i="3" s="1"/>
  <c r="X859" i="3" s="1"/>
  <c r="X860" i="3" s="1"/>
  <c r="X861" i="3" s="1"/>
  <c r="X862" i="3" s="1"/>
  <c r="X863" i="3" s="1"/>
  <c r="X864" i="3" s="1"/>
  <c r="X865" i="3" s="1"/>
  <c r="X866" i="3" s="1"/>
  <c r="X867" i="3" s="1"/>
  <c r="X868" i="3" s="1"/>
  <c r="X869" i="3" s="1"/>
  <c r="X870" i="3" s="1"/>
  <c r="X871" i="3" s="1"/>
  <c r="X872" i="3" s="1"/>
  <c r="X873" i="3" s="1"/>
  <c r="X874" i="3" s="1"/>
  <c r="X875" i="3" s="1"/>
  <c r="X876" i="3" s="1"/>
  <c r="X877" i="3" s="1"/>
  <c r="X878" i="3" s="1"/>
  <c r="X879" i="3" s="1"/>
  <c r="X880" i="3" s="1"/>
  <c r="X881" i="3" s="1"/>
  <c r="X882" i="3" s="1"/>
  <c r="X883" i="3" s="1"/>
  <c r="X884" i="3" s="1"/>
  <c r="X885" i="3" s="1"/>
  <c r="X886" i="3" s="1"/>
  <c r="X887" i="3" s="1"/>
  <c r="X888" i="3" s="1"/>
  <c r="X889" i="3" s="1"/>
  <c r="X890" i="3" s="1"/>
  <c r="X891" i="3" s="1"/>
  <c r="X892" i="3" s="1"/>
  <c r="X893" i="3" s="1"/>
  <c r="X894" i="3" s="1"/>
  <c r="X895" i="3" s="1"/>
  <c r="X896" i="3" s="1"/>
  <c r="X897" i="3" s="1"/>
  <c r="X898" i="3" s="1"/>
  <c r="X899" i="3" s="1"/>
  <c r="X900" i="3" s="1"/>
  <c r="X901" i="3" s="1"/>
  <c r="X902" i="3" s="1"/>
  <c r="X903" i="3" s="1"/>
  <c r="X904" i="3" s="1"/>
  <c r="X905" i="3" s="1"/>
  <c r="X906" i="3" s="1"/>
  <c r="X907" i="3" s="1"/>
  <c r="X908" i="3" s="1"/>
  <c r="X909" i="3" s="1"/>
  <c r="X910" i="3" s="1"/>
  <c r="X911" i="3" s="1"/>
  <c r="X912" i="3" s="1"/>
  <c r="X913" i="3" s="1"/>
  <c r="X914" i="3" s="1"/>
  <c r="X915" i="3" s="1"/>
  <c r="X916" i="3" s="1"/>
  <c r="X917" i="3" s="1"/>
  <c r="X918" i="3" s="1"/>
  <c r="X919" i="3" s="1"/>
  <c r="X920" i="3" s="1"/>
  <c r="X921" i="3" s="1"/>
  <c r="X922" i="3" s="1"/>
  <c r="X923" i="3" s="1"/>
  <c r="X924" i="3" s="1"/>
  <c r="X925" i="3" s="1"/>
  <c r="X926" i="3" s="1"/>
  <c r="X927" i="3" s="1"/>
  <c r="X928" i="3" s="1"/>
  <c r="X929" i="3" s="1"/>
  <c r="X930" i="3" s="1"/>
  <c r="X931" i="3" s="1"/>
  <c r="X932" i="3" s="1"/>
  <c r="X933" i="3" s="1"/>
  <c r="X934" i="3" s="1"/>
  <c r="X935" i="3" s="1"/>
  <c r="X936" i="3" s="1"/>
  <c r="X937" i="3" s="1"/>
  <c r="X938" i="3" s="1"/>
  <c r="X939" i="3" s="1"/>
  <c r="X940" i="3" s="1"/>
  <c r="X941" i="3" s="1"/>
  <c r="X942" i="3" s="1"/>
  <c r="X943" i="3" s="1"/>
  <c r="X944" i="3" s="1"/>
  <c r="X945" i="3" s="1"/>
  <c r="X946" i="3" s="1"/>
  <c r="X947" i="3" s="1"/>
  <c r="X948" i="3" s="1"/>
  <c r="X949" i="3" s="1"/>
  <c r="X950" i="3" s="1"/>
  <c r="X951" i="3" s="1"/>
  <c r="X952" i="3" s="1"/>
  <c r="X953" i="3" s="1"/>
  <c r="X954" i="3" s="1"/>
  <c r="X955" i="3" s="1"/>
  <c r="X956" i="3" s="1"/>
  <c r="X957" i="3" s="1"/>
  <c r="X958" i="3" s="1"/>
  <c r="X959" i="3" s="1"/>
  <c r="X960" i="3" s="1"/>
  <c r="X961" i="3" s="1"/>
  <c r="X962" i="3" s="1"/>
  <c r="X963" i="3" s="1"/>
  <c r="X964" i="3" s="1"/>
  <c r="X965" i="3" s="1"/>
  <c r="X966" i="3" s="1"/>
  <c r="X967" i="3" s="1"/>
  <c r="X968" i="3" s="1"/>
  <c r="X969" i="3" s="1"/>
  <c r="X970" i="3" s="1"/>
  <c r="X971" i="3" s="1"/>
  <c r="X972" i="3" s="1"/>
  <c r="X973" i="3" s="1"/>
  <c r="X974" i="3" s="1"/>
  <c r="X975" i="3" s="1"/>
  <c r="X976" i="3" s="1"/>
  <c r="X977" i="3" s="1"/>
  <c r="X978" i="3" s="1"/>
  <c r="X979" i="3" s="1"/>
  <c r="X980" i="3" s="1"/>
  <c r="X981" i="3" s="1"/>
  <c r="X982" i="3" s="1"/>
  <c r="X983" i="3" s="1"/>
  <c r="X984" i="3" s="1"/>
  <c r="X985" i="3" s="1"/>
  <c r="X986" i="3" s="1"/>
  <c r="X987" i="3" s="1"/>
  <c r="X988" i="3" s="1"/>
  <c r="X989" i="3" s="1"/>
  <c r="X990" i="3" s="1"/>
  <c r="X991" i="3" s="1"/>
  <c r="X992" i="3" s="1"/>
  <c r="X993" i="3" s="1"/>
  <c r="X994" i="3" s="1"/>
  <c r="X995" i="3" s="1"/>
  <c r="X996" i="3" s="1"/>
  <c r="X997" i="3" s="1"/>
  <c r="X998" i="3" s="1"/>
  <c r="X999" i="3" s="1"/>
  <c r="X1000" i="3" s="1"/>
  <c r="X1001" i="3" s="1"/>
  <c r="X1002" i="3" s="1"/>
  <c r="X1003" i="3" s="1"/>
  <c r="X1004" i="3" s="1"/>
  <c r="X1005" i="3" s="1"/>
  <c r="X1006" i="3" s="1"/>
  <c r="X1007" i="3" s="1"/>
  <c r="X1008" i="3" s="1"/>
  <c r="X1009" i="3" s="1"/>
  <c r="X1010" i="3" s="1"/>
  <c r="X1011" i="3" s="1"/>
  <c r="X1012" i="3" s="1"/>
  <c r="X1013" i="3" s="1"/>
  <c r="X1014" i="3" s="1"/>
  <c r="X1015" i="3" s="1"/>
  <c r="X1016" i="3" s="1"/>
  <c r="X1017" i="3" s="1"/>
  <c r="X1018" i="3" s="1"/>
  <c r="X1019" i="3" s="1"/>
  <c r="X1020" i="3" s="1"/>
  <c r="X1021" i="3" s="1"/>
  <c r="X1022" i="3" s="1"/>
  <c r="X1023" i="3" s="1"/>
  <c r="X1024" i="3" s="1"/>
  <c r="X1025" i="3" s="1"/>
  <c r="X1026" i="3" s="1"/>
  <c r="X1027" i="3" s="1"/>
  <c r="X1028" i="3" s="1"/>
  <c r="X1029" i="3" s="1"/>
  <c r="X1030" i="3" s="1"/>
  <c r="X1031" i="3" s="1"/>
  <c r="X1032" i="3" s="1"/>
  <c r="X1033" i="3" s="1"/>
  <c r="X1034" i="3" s="1"/>
  <c r="X1035" i="3" s="1"/>
  <c r="X1036" i="3" s="1"/>
  <c r="X1037" i="3" s="1"/>
  <c r="X1038" i="3" s="1"/>
  <c r="X1039" i="3" s="1"/>
  <c r="X1040" i="3" s="1"/>
  <c r="X1041" i="3" s="1"/>
  <c r="X1042" i="3" s="1"/>
  <c r="X1043" i="3" s="1"/>
  <c r="X1044" i="3" s="1"/>
  <c r="X1045" i="3" s="1"/>
  <c r="X1046" i="3" s="1"/>
  <c r="X1047" i="3" s="1"/>
  <c r="X1048" i="3" s="1"/>
  <c r="X1049" i="3" s="1"/>
  <c r="X1050" i="3" s="1"/>
  <c r="X1051" i="3" s="1"/>
  <c r="X1052" i="3" s="1"/>
  <c r="X1053" i="3" s="1"/>
  <c r="X1054" i="3" s="1"/>
  <c r="X1055" i="3" s="1"/>
  <c r="X1056" i="3" s="1"/>
  <c r="X1057" i="3" s="1"/>
  <c r="X1058" i="3" s="1"/>
  <c r="X1059" i="3" s="1"/>
  <c r="X1060" i="3" s="1"/>
  <c r="X1061" i="3" s="1"/>
  <c r="X1062" i="3" s="1"/>
  <c r="X1063" i="3" s="1"/>
  <c r="X1064" i="3" s="1"/>
  <c r="X1065" i="3" s="1"/>
  <c r="X1066" i="3" s="1"/>
  <c r="X1067" i="3" s="1"/>
  <c r="X1068" i="3" s="1"/>
  <c r="X1069" i="3" s="1"/>
  <c r="X1070" i="3" s="1"/>
  <c r="X1071" i="3" s="1"/>
  <c r="X1072" i="3" s="1"/>
  <c r="X1073" i="3" s="1"/>
  <c r="X1074" i="3" s="1"/>
  <c r="X1075" i="3" s="1"/>
  <c r="X1076" i="3" s="1"/>
  <c r="X1077" i="3" s="1"/>
  <c r="X1078" i="3" s="1"/>
  <c r="X1079" i="3" s="1"/>
  <c r="X1080" i="3" s="1"/>
  <c r="X1081" i="3" s="1"/>
  <c r="X1082" i="3" s="1"/>
  <c r="X1083" i="3" s="1"/>
  <c r="X1084" i="3" s="1"/>
  <c r="X1085" i="3" s="1"/>
  <c r="X1086" i="3" s="1"/>
  <c r="X1087" i="3" s="1"/>
  <c r="X1088" i="3" s="1"/>
  <c r="X1089" i="3" s="1"/>
  <c r="X1090" i="3" s="1"/>
  <c r="X1091" i="3" s="1"/>
  <c r="X1092" i="3" s="1"/>
  <c r="X1093" i="3" s="1"/>
  <c r="X1094" i="3" s="1"/>
  <c r="X1095" i="3" s="1"/>
  <c r="X1096" i="3" s="1"/>
  <c r="X1097" i="3" s="1"/>
  <c r="X1098" i="3" s="1"/>
  <c r="X1099" i="3" s="1"/>
  <c r="X1100" i="3" s="1"/>
  <c r="X1101" i="3" s="1"/>
  <c r="X1102" i="3" s="1"/>
  <c r="X1103" i="3" s="1"/>
  <c r="X1104" i="3" s="1"/>
  <c r="X1105" i="3" s="1"/>
  <c r="X1106" i="3" s="1"/>
  <c r="X1107" i="3" s="1"/>
  <c r="X1108" i="3" s="1"/>
  <c r="X1109" i="3" s="1"/>
  <c r="X1110" i="3" s="1"/>
  <c r="X1111" i="3" s="1"/>
  <c r="X1112" i="3" s="1"/>
  <c r="X1113" i="3" s="1"/>
  <c r="X1114" i="3" s="1"/>
  <c r="X1115" i="3" s="1"/>
  <c r="X1116" i="3" s="1"/>
  <c r="X1117" i="3" s="1"/>
  <c r="X1118" i="3" s="1"/>
  <c r="X1119" i="3" s="1"/>
  <c r="X1120" i="3" s="1"/>
  <c r="X1121" i="3" s="1"/>
  <c r="X1122" i="3" s="1"/>
  <c r="X1123" i="3" s="1"/>
  <c r="X1124" i="3" s="1"/>
  <c r="X1125" i="3" s="1"/>
  <c r="X1126" i="3" s="1"/>
  <c r="X1127" i="3" s="1"/>
  <c r="X1128" i="3" s="1"/>
  <c r="X1129" i="3" s="1"/>
  <c r="X1130" i="3" s="1"/>
  <c r="X1131" i="3" s="1"/>
  <c r="X1132" i="3" s="1"/>
  <c r="X1133" i="3" s="1"/>
  <c r="X1134" i="3" s="1"/>
  <c r="X1135" i="3" s="1"/>
  <c r="X1136" i="3" s="1"/>
  <c r="X1137" i="3" s="1"/>
  <c r="X1138" i="3" s="1"/>
  <c r="X1139" i="3" s="1"/>
  <c r="X1140" i="3" s="1"/>
  <c r="X1141" i="3" s="1"/>
  <c r="X1142" i="3" s="1"/>
  <c r="X1143" i="3" s="1"/>
  <c r="X1144" i="3" s="1"/>
  <c r="X1145" i="3" s="1"/>
  <c r="X1146" i="3" s="1"/>
  <c r="X1147" i="3" s="1"/>
  <c r="X1148" i="3" s="1"/>
  <c r="X1149" i="3" s="1"/>
  <c r="X1150" i="3" s="1"/>
  <c r="X1151" i="3" s="1"/>
  <c r="X1152" i="3" s="1"/>
  <c r="X1153" i="3" s="1"/>
  <c r="X1154" i="3" s="1"/>
  <c r="X1155" i="3" s="1"/>
  <c r="X1156" i="3" s="1"/>
  <c r="X1157" i="3" s="1"/>
  <c r="X1158" i="3" s="1"/>
  <c r="X1159" i="3" s="1"/>
  <c r="X1160" i="3" s="1"/>
  <c r="X1161" i="3" s="1"/>
  <c r="X1162" i="3" s="1"/>
  <c r="X1163" i="3" s="1"/>
  <c r="X1164" i="3" s="1"/>
  <c r="X1165" i="3" s="1"/>
  <c r="X1166" i="3" s="1"/>
  <c r="X1167" i="3" s="1"/>
  <c r="X1168" i="3" s="1"/>
  <c r="X1169" i="3" s="1"/>
  <c r="X1170" i="3" s="1"/>
  <c r="X1171" i="3" s="1"/>
  <c r="X1172" i="3" s="1"/>
  <c r="X1173" i="3" s="1"/>
  <c r="X1174" i="3" s="1"/>
  <c r="X1175" i="3" s="1"/>
  <c r="X1176" i="3" s="1"/>
  <c r="X1177" i="3" s="1"/>
  <c r="X1178" i="3" s="1"/>
  <c r="X1179" i="3" s="1"/>
  <c r="X1180" i="3" s="1"/>
  <c r="X1181" i="3" s="1"/>
  <c r="X1182" i="3" s="1"/>
  <c r="X1183" i="3" s="1"/>
  <c r="X1184" i="3" s="1"/>
  <c r="X1185" i="3" s="1"/>
  <c r="X1186" i="3" s="1"/>
  <c r="X1187" i="3" s="1"/>
  <c r="X1188" i="3" s="1"/>
  <c r="X1189" i="3" s="1"/>
  <c r="X1190" i="3" s="1"/>
  <c r="X1191" i="3" s="1"/>
  <c r="X1192" i="3" s="1"/>
  <c r="X1193" i="3" s="1"/>
  <c r="X1194" i="3" s="1"/>
  <c r="X1195" i="3" s="1"/>
  <c r="X1196" i="3" s="1"/>
  <c r="X1197" i="3" s="1"/>
  <c r="X1198" i="3" s="1"/>
  <c r="X1199" i="3" s="1"/>
  <c r="X1200" i="3" s="1"/>
  <c r="X1201" i="3" s="1"/>
  <c r="X1202" i="3" s="1"/>
  <c r="X1203" i="3" s="1"/>
  <c r="X1204" i="3" s="1"/>
  <c r="X1205" i="3" s="1"/>
  <c r="X1206" i="3" s="1"/>
  <c r="X1207" i="3" s="1"/>
  <c r="X1208" i="3" s="1"/>
  <c r="X1209" i="3" s="1"/>
  <c r="X1210" i="3" s="1"/>
  <c r="X1211" i="3" s="1"/>
  <c r="X1212" i="3" s="1"/>
  <c r="X1213" i="3" s="1"/>
  <c r="X1214" i="3" s="1"/>
  <c r="X1215" i="3" s="1"/>
  <c r="X1216" i="3" s="1"/>
  <c r="X1217" i="3" s="1"/>
  <c r="X1218" i="3" s="1"/>
  <c r="X1219" i="3" s="1"/>
  <c r="X1220" i="3" s="1"/>
  <c r="X1221" i="3" s="1"/>
  <c r="X1222" i="3" s="1"/>
  <c r="X1223" i="3" s="1"/>
  <c r="X1224" i="3" s="1"/>
  <c r="X1225" i="3" s="1"/>
  <c r="X1226" i="3" s="1"/>
  <c r="X1227" i="3" s="1"/>
  <c r="X1228" i="3" s="1"/>
  <c r="X1229" i="3" s="1"/>
  <c r="X1230" i="3" s="1"/>
  <c r="X1231" i="3" s="1"/>
  <c r="X1232" i="3" s="1"/>
  <c r="X1233" i="3" s="1"/>
  <c r="X1234" i="3" s="1"/>
  <c r="X1235" i="3" s="1"/>
  <c r="X1236" i="3" s="1"/>
  <c r="X1237" i="3" s="1"/>
  <c r="X1238" i="3" s="1"/>
  <c r="X1239" i="3" s="1"/>
  <c r="X1240" i="3" s="1"/>
  <c r="X1241" i="3" s="1"/>
  <c r="X1242" i="3" s="1"/>
  <c r="X1243" i="3" s="1"/>
  <c r="X1244" i="3" s="1"/>
  <c r="X1245" i="3" s="1"/>
  <c r="X1246" i="3" s="1"/>
  <c r="X1247" i="3" s="1"/>
  <c r="X1248" i="3" s="1"/>
  <c r="X1249" i="3" s="1"/>
  <c r="X1250" i="3" s="1"/>
  <c r="X1251" i="3" s="1"/>
  <c r="X1252" i="3" s="1"/>
  <c r="X1253" i="3" s="1"/>
  <c r="X1254" i="3" s="1"/>
  <c r="X1255" i="3" s="1"/>
  <c r="X1256" i="3" s="1"/>
  <c r="X1257" i="3" s="1"/>
  <c r="X1258" i="3" s="1"/>
  <c r="X1259" i="3" s="1"/>
  <c r="X1260" i="3" s="1"/>
  <c r="X1261" i="3" s="1"/>
  <c r="X1262" i="3" s="1"/>
  <c r="X1263" i="3" s="1"/>
  <c r="X1264" i="3" s="1"/>
  <c r="X1265" i="3" s="1"/>
  <c r="X1266" i="3" s="1"/>
  <c r="X1267" i="3" s="1"/>
  <c r="X1268" i="3" s="1"/>
  <c r="X1269" i="3" s="1"/>
  <c r="X1270" i="3" s="1"/>
  <c r="X1271" i="3" s="1"/>
  <c r="X1272" i="3" s="1"/>
  <c r="X1273" i="3" s="1"/>
  <c r="X1274" i="3" s="1"/>
  <c r="X1275" i="3" s="1"/>
  <c r="X1276" i="3" s="1"/>
  <c r="X1277" i="3" s="1"/>
  <c r="X1278" i="3" s="1"/>
  <c r="X1279" i="3" s="1"/>
  <c r="X1280" i="3" s="1"/>
  <c r="X1281" i="3" s="1"/>
  <c r="X1282" i="3" s="1"/>
  <c r="X1283" i="3" s="1"/>
  <c r="X1284" i="3" s="1"/>
  <c r="X1285" i="3" s="1"/>
  <c r="X1286" i="3" s="1"/>
  <c r="X1287" i="3" s="1"/>
  <c r="X1288" i="3" s="1"/>
  <c r="X1289" i="3" s="1"/>
  <c r="X1290" i="3" s="1"/>
  <c r="X1291" i="3" s="1"/>
  <c r="X1292" i="3" s="1"/>
  <c r="X1293" i="3" s="1"/>
  <c r="X1294" i="3" s="1"/>
  <c r="X1295" i="3" s="1"/>
  <c r="X1296" i="3" s="1"/>
  <c r="X1297" i="3" s="1"/>
  <c r="X1298" i="3" s="1"/>
  <c r="X1299" i="3" s="1"/>
  <c r="X1300" i="3" s="1"/>
  <c r="X1301" i="3" s="1"/>
  <c r="X1302" i="3" s="1"/>
  <c r="X1303" i="3" s="1"/>
  <c r="X1304" i="3" s="1"/>
  <c r="X1305" i="3" s="1"/>
  <c r="X1306" i="3" s="1"/>
  <c r="X1307" i="3" s="1"/>
  <c r="X1308" i="3" s="1"/>
  <c r="X1309" i="3" s="1"/>
  <c r="X1310" i="3" s="1"/>
  <c r="X1311" i="3" s="1"/>
  <c r="X1312" i="3" s="1"/>
  <c r="X1313" i="3" s="1"/>
  <c r="X1314" i="3" s="1"/>
  <c r="X1315" i="3" s="1"/>
  <c r="X1316" i="3" s="1"/>
  <c r="X1317" i="3" s="1"/>
  <c r="X1318" i="3" s="1"/>
  <c r="X1319" i="3" s="1"/>
  <c r="X1320" i="3" s="1"/>
  <c r="X1321" i="3" s="1"/>
  <c r="X1322" i="3" s="1"/>
  <c r="X1323" i="3" s="1"/>
  <c r="X1324" i="3" s="1"/>
  <c r="X1325" i="3" s="1"/>
  <c r="X1326" i="3" s="1"/>
  <c r="X1327" i="3" s="1"/>
  <c r="X1328" i="3" s="1"/>
  <c r="X1329" i="3" s="1"/>
  <c r="X1330" i="3" s="1"/>
  <c r="X1331" i="3" s="1"/>
  <c r="X1332" i="3" s="1"/>
  <c r="X1333" i="3" s="1"/>
  <c r="X1334" i="3" s="1"/>
  <c r="X1335" i="3" s="1"/>
  <c r="X1336" i="3" s="1"/>
  <c r="X1337" i="3" s="1"/>
  <c r="X1338" i="3" s="1"/>
  <c r="X1339" i="3" s="1"/>
  <c r="X1340" i="3" s="1"/>
  <c r="X1341" i="3" s="1"/>
  <c r="X1342" i="3" s="1"/>
  <c r="X1343" i="3" s="1"/>
  <c r="X1344" i="3" s="1"/>
  <c r="X1345" i="3" s="1"/>
  <c r="X1346" i="3" s="1"/>
  <c r="X1347" i="3" s="1"/>
  <c r="X1348" i="3" s="1"/>
  <c r="X1349" i="3" s="1"/>
  <c r="X1350" i="3" s="1"/>
  <c r="X1351" i="3" s="1"/>
  <c r="X1352" i="3" s="1"/>
  <c r="X1353" i="3" s="1"/>
  <c r="X1354" i="3" s="1"/>
  <c r="X1355" i="3" s="1"/>
  <c r="X1356" i="3" s="1"/>
  <c r="X1357" i="3" s="1"/>
  <c r="X1358" i="3" s="1"/>
  <c r="X1359" i="3" s="1"/>
  <c r="X1360" i="3" s="1"/>
  <c r="X1361" i="3" s="1"/>
  <c r="X1362" i="3" s="1"/>
  <c r="X1363" i="3" s="1"/>
  <c r="X1364" i="3" s="1"/>
  <c r="X1365" i="3" s="1"/>
  <c r="X1366" i="3" s="1"/>
  <c r="X1367" i="3" s="1"/>
  <c r="X1368" i="3" s="1"/>
  <c r="X1369" i="3" s="1"/>
  <c r="X1370" i="3" s="1"/>
  <c r="X1371" i="3" s="1"/>
  <c r="X1372" i="3" s="1"/>
  <c r="X1373" i="3" s="1"/>
  <c r="X1374" i="3" s="1"/>
  <c r="X1375" i="3" s="1"/>
  <c r="X1376" i="3" s="1"/>
  <c r="X1377" i="3" s="1"/>
  <c r="X1378" i="3" s="1"/>
  <c r="X1379" i="3" s="1"/>
  <c r="X1380" i="3" s="1"/>
  <c r="X1381" i="3" s="1"/>
  <c r="X1382" i="3" s="1"/>
  <c r="X1383" i="3" s="1"/>
  <c r="X1384" i="3" s="1"/>
  <c r="X1385" i="3" s="1"/>
  <c r="X1386" i="3" s="1"/>
  <c r="X1387" i="3" s="1"/>
  <c r="X1388" i="3" s="1"/>
  <c r="X1389" i="3" s="1"/>
  <c r="X1390" i="3" s="1"/>
  <c r="X1391" i="3" s="1"/>
  <c r="X1392" i="3" s="1"/>
  <c r="X1393" i="3" s="1"/>
  <c r="X1394" i="3" s="1"/>
  <c r="X1395" i="3" s="1"/>
  <c r="X1396" i="3" s="1"/>
  <c r="X1397" i="3" s="1"/>
  <c r="X1398" i="3" s="1"/>
  <c r="X1399" i="3" s="1"/>
  <c r="X1400" i="3" s="1"/>
  <c r="X1401" i="3" s="1"/>
  <c r="X1402" i="3" s="1"/>
  <c r="X1403" i="3" s="1"/>
  <c r="X1404" i="3" s="1"/>
  <c r="X1405" i="3" s="1"/>
  <c r="X1406" i="3" s="1"/>
  <c r="X1407" i="3" s="1"/>
  <c r="X1408" i="3" s="1"/>
  <c r="X1409" i="3" s="1"/>
  <c r="X1410" i="3" s="1"/>
  <c r="X1411" i="3" s="1"/>
  <c r="X1412" i="3" s="1"/>
  <c r="X1413" i="3" s="1"/>
  <c r="X1414" i="3" s="1"/>
  <c r="X1415" i="3" s="1"/>
  <c r="X1416" i="3" s="1"/>
  <c r="X1417" i="3" s="1"/>
  <c r="X1418" i="3" s="1"/>
  <c r="X1419" i="3" s="1"/>
  <c r="X1420" i="3" s="1"/>
  <c r="X1421" i="3" s="1"/>
  <c r="X1422" i="3" s="1"/>
  <c r="X1423" i="3" s="1"/>
  <c r="X1424" i="3" s="1"/>
  <c r="X1425" i="3" s="1"/>
  <c r="X1426" i="3" s="1"/>
  <c r="X1427" i="3" s="1"/>
  <c r="X1428" i="3" s="1"/>
  <c r="X1429" i="3" s="1"/>
  <c r="X1430" i="3" s="1"/>
  <c r="X1431" i="3" s="1"/>
  <c r="X1432" i="3" s="1"/>
  <c r="X1433" i="3" s="1"/>
  <c r="X1434" i="3" s="1"/>
  <c r="X1435" i="3" s="1"/>
  <c r="X1436" i="3" s="1"/>
  <c r="X1437" i="3" s="1"/>
  <c r="X1438" i="3" s="1"/>
  <c r="X1439" i="3" s="1"/>
  <c r="X1440" i="3" s="1"/>
  <c r="X1441" i="3" s="1"/>
  <c r="X1442" i="3" s="1"/>
  <c r="X1443" i="3" s="1"/>
  <c r="X1444" i="3" s="1"/>
  <c r="X1445" i="3" s="1"/>
  <c r="X1446" i="3" s="1"/>
  <c r="X1447" i="3" s="1"/>
  <c r="X1448" i="3" s="1"/>
  <c r="X1449" i="3" s="1"/>
  <c r="X1450" i="3" s="1"/>
  <c r="X1451" i="3" s="1"/>
  <c r="X1452" i="3" s="1"/>
  <c r="X1453" i="3" s="1"/>
  <c r="X1454" i="3" s="1"/>
  <c r="X1455" i="3" s="1"/>
  <c r="X1456" i="3" s="1"/>
  <c r="X1457" i="3" s="1"/>
  <c r="X1458" i="3" s="1"/>
  <c r="X1459" i="3" s="1"/>
  <c r="X1460" i="3" s="1"/>
  <c r="X1461" i="3" s="1"/>
  <c r="X1462" i="3" s="1"/>
  <c r="X1463" i="3" s="1"/>
  <c r="X1464" i="3" s="1"/>
  <c r="X1465" i="3" s="1"/>
  <c r="X1466" i="3" s="1"/>
  <c r="X1467" i="3" s="1"/>
  <c r="X1468" i="3" s="1"/>
  <c r="X1469" i="3" s="1"/>
  <c r="X1470" i="3" s="1"/>
  <c r="X1471" i="3" s="1"/>
  <c r="X1472" i="3" s="1"/>
  <c r="X1473" i="3" s="1"/>
  <c r="X1474" i="3" s="1"/>
  <c r="X1475" i="3" s="1"/>
  <c r="X1476" i="3" s="1"/>
  <c r="X1477" i="3" s="1"/>
  <c r="X1478" i="3" s="1"/>
  <c r="X1479" i="3" s="1"/>
  <c r="X1480" i="3" s="1"/>
  <c r="X1481" i="3" s="1"/>
  <c r="X1482" i="3" s="1"/>
  <c r="X1483" i="3" s="1"/>
  <c r="X1484" i="3" s="1"/>
  <c r="X1485" i="3" s="1"/>
  <c r="X1486" i="3" s="1"/>
  <c r="X1487" i="3" s="1"/>
  <c r="X1488" i="3" s="1"/>
  <c r="X1489" i="3" s="1"/>
  <c r="X1490" i="3" s="1"/>
  <c r="X1491" i="3" s="1"/>
  <c r="X1492" i="3" s="1"/>
  <c r="X1493" i="3" s="1"/>
  <c r="X1494" i="3" s="1"/>
  <c r="X1495" i="3" s="1"/>
  <c r="X1496" i="3" s="1"/>
  <c r="X1497" i="3" s="1"/>
  <c r="X1498" i="3" s="1"/>
  <c r="X1499" i="3" s="1"/>
  <c r="X1500" i="3" s="1"/>
  <c r="X1501" i="3" s="1"/>
  <c r="X1502" i="3" s="1"/>
  <c r="X1503" i="3" s="1"/>
  <c r="X1504" i="3" s="1"/>
  <c r="X1505" i="3" s="1"/>
  <c r="X1506" i="3" s="1"/>
  <c r="X1507" i="3" s="1"/>
  <c r="X1508" i="3" s="1"/>
  <c r="X1509" i="3" s="1"/>
  <c r="X1510" i="3" s="1"/>
  <c r="X1511" i="3" s="1"/>
  <c r="X1512" i="3" s="1"/>
  <c r="X1513" i="3" s="1"/>
  <c r="X1514" i="3" s="1"/>
  <c r="X1515" i="3" s="1"/>
  <c r="X1516" i="3" s="1"/>
  <c r="X1517" i="3" s="1"/>
  <c r="X1518" i="3" s="1"/>
  <c r="X1519" i="3" s="1"/>
  <c r="X1520" i="3" s="1"/>
  <c r="X1521" i="3" s="1"/>
  <c r="X1522" i="3" s="1"/>
  <c r="X1523" i="3" s="1"/>
  <c r="X1524" i="3" s="1"/>
  <c r="X1525" i="3" s="1"/>
  <c r="X1526" i="3" s="1"/>
  <c r="X1527" i="3" s="1"/>
  <c r="X1528" i="3" s="1"/>
  <c r="X1529" i="3" s="1"/>
  <c r="X1530" i="3" s="1"/>
  <c r="X1531" i="3" s="1"/>
  <c r="X1532" i="3" s="1"/>
  <c r="X1533" i="3" s="1"/>
  <c r="X1534" i="3" s="1"/>
  <c r="X1535" i="3" s="1"/>
  <c r="X1536" i="3" s="1"/>
  <c r="X1537" i="3" s="1"/>
  <c r="X1538" i="3" s="1"/>
  <c r="X1539" i="3" s="1"/>
  <c r="X1540" i="3" s="1"/>
  <c r="X1541" i="3" s="1"/>
  <c r="X1542" i="3" s="1"/>
  <c r="X1543" i="3" s="1"/>
  <c r="X1544" i="3" s="1"/>
  <c r="X1545" i="3" s="1"/>
  <c r="X1546" i="3" s="1"/>
  <c r="X1547" i="3" s="1"/>
  <c r="X1548" i="3" s="1"/>
  <c r="X1549" i="3" s="1"/>
  <c r="X1550" i="3" s="1"/>
  <c r="X1551" i="3" s="1"/>
  <c r="X1552" i="3" s="1"/>
  <c r="X1553" i="3" s="1"/>
  <c r="X1554" i="3" s="1"/>
  <c r="X1555" i="3" s="1"/>
  <c r="X1556" i="3" s="1"/>
  <c r="X1557" i="3" s="1"/>
  <c r="X1558" i="3" s="1"/>
  <c r="X1559" i="3" s="1"/>
  <c r="X1560" i="3" s="1"/>
  <c r="X1561" i="3" s="1"/>
  <c r="X1562" i="3" s="1"/>
  <c r="X1563" i="3" s="1"/>
  <c r="X1564" i="3" s="1"/>
  <c r="X1565" i="3" s="1"/>
  <c r="X1566" i="3" s="1"/>
  <c r="X1567" i="3" s="1"/>
  <c r="X1568" i="3" s="1"/>
  <c r="X1569" i="3" s="1"/>
  <c r="X1570" i="3" s="1"/>
  <c r="X1571" i="3" s="1"/>
  <c r="X1572" i="3" s="1"/>
  <c r="X1573" i="3" s="1"/>
  <c r="X1574" i="3" s="1"/>
  <c r="X1575" i="3" s="1"/>
  <c r="X1576" i="3" s="1"/>
  <c r="X1577" i="3" s="1"/>
  <c r="X1578" i="3" s="1"/>
  <c r="X1579" i="3" s="1"/>
  <c r="X1580" i="3" s="1"/>
  <c r="X1581" i="3" s="1"/>
  <c r="X1582" i="3" s="1"/>
  <c r="X1583" i="3" s="1"/>
  <c r="X1584" i="3" s="1"/>
  <c r="X1585" i="3" s="1"/>
  <c r="X1586" i="3" s="1"/>
  <c r="X1587" i="3" s="1"/>
  <c r="X1588" i="3" s="1"/>
  <c r="X1589" i="3" s="1"/>
  <c r="X1590" i="3" s="1"/>
  <c r="X1591" i="3" s="1"/>
  <c r="X1592" i="3" s="1"/>
  <c r="X1593" i="3" s="1"/>
  <c r="X1594" i="3" s="1"/>
  <c r="X1595" i="3" s="1"/>
  <c r="X1596" i="3" s="1"/>
  <c r="X1597" i="3" s="1"/>
  <c r="X1598" i="3" s="1"/>
  <c r="X1599" i="3" s="1"/>
  <c r="X1600" i="3" s="1"/>
  <c r="X1601" i="3" s="1"/>
  <c r="X1602" i="3" s="1"/>
  <c r="X1603" i="3" s="1"/>
  <c r="X1604" i="3" s="1"/>
  <c r="X1605" i="3" s="1"/>
  <c r="X1606" i="3" s="1"/>
  <c r="X1607" i="3" s="1"/>
  <c r="X1608" i="3" s="1"/>
  <c r="X1609" i="3" s="1"/>
  <c r="X1610" i="3" s="1"/>
  <c r="X1611" i="3" s="1"/>
  <c r="X1612" i="3" s="1"/>
  <c r="X1613" i="3" s="1"/>
  <c r="X1614" i="3" s="1"/>
  <c r="X1615" i="3" s="1"/>
  <c r="X1616" i="3" s="1"/>
  <c r="X1617" i="3" s="1"/>
  <c r="X1618" i="3" s="1"/>
  <c r="X1619" i="3" s="1"/>
  <c r="X1620" i="3" s="1"/>
  <c r="X1621" i="3" s="1"/>
  <c r="X1622" i="3" s="1"/>
  <c r="X1623" i="3" s="1"/>
  <c r="X1624" i="3" s="1"/>
  <c r="X1625" i="3" s="1"/>
  <c r="X1626" i="3" s="1"/>
  <c r="X1627" i="3" s="1"/>
  <c r="X1628" i="3" s="1"/>
  <c r="X1629" i="3" s="1"/>
  <c r="X1630" i="3" s="1"/>
  <c r="X1631" i="3" s="1"/>
  <c r="X1632" i="3" s="1"/>
  <c r="X1633" i="3" s="1"/>
  <c r="X1634" i="3" s="1"/>
  <c r="X1635" i="3" s="1"/>
  <c r="X1636" i="3" s="1"/>
  <c r="X1637" i="3" s="1"/>
  <c r="X1638" i="3" s="1"/>
  <c r="X1639" i="3" s="1"/>
  <c r="X1640" i="3" s="1"/>
  <c r="X1641" i="3" s="1"/>
  <c r="X1642" i="3" s="1"/>
  <c r="X1643" i="3" s="1"/>
  <c r="X1644" i="3" s="1"/>
  <c r="X1645" i="3" s="1"/>
  <c r="X1646" i="3" s="1"/>
  <c r="X1647" i="3" s="1"/>
  <c r="X1648" i="3" s="1"/>
  <c r="X1649" i="3" s="1"/>
  <c r="X1650" i="3" s="1"/>
  <c r="X1651" i="3" s="1"/>
  <c r="X1652" i="3" s="1"/>
  <c r="X1653" i="3" s="1"/>
  <c r="X1654" i="3" s="1"/>
  <c r="X1655" i="3" s="1"/>
  <c r="X1656" i="3" s="1"/>
  <c r="X1657" i="3" s="1"/>
  <c r="X1658" i="3" s="1"/>
  <c r="X1659" i="3" s="1"/>
  <c r="X1660" i="3" s="1"/>
  <c r="X1661" i="3" s="1"/>
  <c r="X1662" i="3" s="1"/>
  <c r="X1663" i="3" s="1"/>
  <c r="X1664" i="3" s="1"/>
  <c r="X1665" i="3" s="1"/>
  <c r="X1666" i="3" s="1"/>
  <c r="X1667" i="3" s="1"/>
  <c r="X1668" i="3" s="1"/>
  <c r="X1669" i="3" s="1"/>
  <c r="X1670" i="3" s="1"/>
  <c r="X1671" i="3" s="1"/>
  <c r="X1672" i="3" s="1"/>
  <c r="X1673" i="3" s="1"/>
  <c r="X1674" i="3" s="1"/>
  <c r="X1675" i="3" s="1"/>
  <c r="X1676" i="3" s="1"/>
  <c r="X1677" i="3" s="1"/>
  <c r="X1678" i="3" s="1"/>
  <c r="X1679" i="3" s="1"/>
  <c r="X1680" i="3" s="1"/>
  <c r="X1681" i="3" s="1"/>
  <c r="X1682" i="3" s="1"/>
  <c r="X1683" i="3" s="1"/>
  <c r="X1684" i="3" s="1"/>
  <c r="X1685" i="3" s="1"/>
  <c r="X1686" i="3" s="1"/>
  <c r="X1687" i="3" s="1"/>
  <c r="X1688" i="3" s="1"/>
  <c r="X1689" i="3" s="1"/>
  <c r="X1690" i="3" s="1"/>
  <c r="X1691" i="3" s="1"/>
  <c r="X1692" i="3" s="1"/>
  <c r="X1693" i="3" s="1"/>
  <c r="X1694" i="3" s="1"/>
  <c r="X1695" i="3" s="1"/>
  <c r="X1696" i="3" s="1"/>
  <c r="X1697" i="3" s="1"/>
  <c r="X1698" i="3" s="1"/>
  <c r="X1699" i="3" s="1"/>
  <c r="X1700" i="3" s="1"/>
  <c r="X1701" i="3" s="1"/>
  <c r="X1702" i="3" s="1"/>
  <c r="X1703" i="3" s="1"/>
  <c r="X1704" i="3" s="1"/>
  <c r="X1705" i="3" s="1"/>
  <c r="X1706" i="3" s="1"/>
  <c r="X1707" i="3" s="1"/>
  <c r="X1708" i="3" s="1"/>
  <c r="X1709" i="3" s="1"/>
  <c r="M2" i="7"/>
  <c r="O2" i="7" s="1"/>
  <c r="B4" i="7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<sst xmlns="http://schemas.openxmlformats.org/spreadsheetml/2006/main" count="172" uniqueCount="154">
  <si>
    <t>Engine CC</t>
  </si>
  <si>
    <t>Power (hp)</t>
  </si>
  <si>
    <t>Top Speed (mph)</t>
  </si>
  <si>
    <t>Petrol Mass (kg/l)</t>
  </si>
  <si>
    <t>Specification</t>
  </si>
  <si>
    <t>Gear Ratios</t>
  </si>
  <si>
    <t>1st</t>
  </si>
  <si>
    <t>2nd</t>
  </si>
  <si>
    <t>3rd</t>
  </si>
  <si>
    <t>Final Drive</t>
  </si>
  <si>
    <t>k(front) = 0.9r</t>
  </si>
  <si>
    <t>k(rear) = 0.9r</t>
  </si>
  <si>
    <t>Total Mass(kg)</t>
  </si>
  <si>
    <t xml:space="preserve">Torque at 5500 rpm (Nm) </t>
  </si>
  <si>
    <t>Vehicle Mass (kg)</t>
  </si>
  <si>
    <t>Tank Size (l)</t>
  </si>
  <si>
    <t>Fuel Mass (kg)</t>
  </si>
  <si>
    <t>Driver+Passenger + Gear Mass (kg)</t>
  </si>
  <si>
    <t>Rear Tyre Mass (kg)25x10x12</t>
  </si>
  <si>
    <t>Rear Wheel Mass (kg)</t>
  </si>
  <si>
    <t>Rear Tyre Radius (m)</t>
  </si>
  <si>
    <t>Front Tyre Mass (kg)</t>
  </si>
  <si>
    <t>Front Wheel Mass (kg)</t>
  </si>
  <si>
    <t>Front Tyre Radius (m)</t>
  </si>
  <si>
    <t>Total Front Wheel Mass (kg)</t>
  </si>
  <si>
    <t>Total Rear Wheel Mass (kg)</t>
  </si>
  <si>
    <t>Front Wheels</t>
  </si>
  <si>
    <t>Rear Wheels</t>
  </si>
  <si>
    <t>Engine</t>
  </si>
  <si>
    <t>Rolling Resistances</t>
  </si>
  <si>
    <t>Long Grass</t>
  </si>
  <si>
    <t>Short Grass</t>
  </si>
  <si>
    <t>Dry Asphalt</t>
  </si>
  <si>
    <t>Wet Asphalt</t>
  </si>
  <si>
    <t>Dry Earth Road</t>
  </si>
  <si>
    <t>Wet Earth Road</t>
  </si>
  <si>
    <t>Gravel</t>
  </si>
  <si>
    <t>Sand</t>
  </si>
  <si>
    <t>Frontal Area</t>
  </si>
  <si>
    <t>cd</t>
  </si>
  <si>
    <t>rho (kg/m^3)</t>
  </si>
  <si>
    <t>Vehicle Area</t>
  </si>
  <si>
    <t>Length (m)</t>
  </si>
  <si>
    <t>Width (m)</t>
  </si>
  <si>
    <t>Height (m)</t>
  </si>
  <si>
    <t>Clearance Area</t>
  </si>
  <si>
    <t>Occupied Space</t>
  </si>
  <si>
    <t>Ground Clearance (m)</t>
  </si>
  <si>
    <t>Wheel Width (m)</t>
  </si>
  <si>
    <t>Free Space</t>
  </si>
  <si>
    <t>Equivalent Mass</t>
  </si>
  <si>
    <t>1st gear</t>
  </si>
  <si>
    <t>2nd gear</t>
  </si>
  <si>
    <t>3rd Gear</t>
  </si>
  <si>
    <t>Inertia</t>
  </si>
  <si>
    <t>Max Velocity (m/s)</t>
  </si>
  <si>
    <t>Force (N)</t>
  </si>
  <si>
    <t>Drive Torque at Rear Wheel (Nm)</t>
  </si>
  <si>
    <t>Drive Torque at Shaft (Nm)</t>
  </si>
  <si>
    <t>RPM</t>
  </si>
  <si>
    <t>Power</t>
  </si>
  <si>
    <t>Torque</t>
  </si>
  <si>
    <t>Forces</t>
  </si>
  <si>
    <t>Straight 1</t>
  </si>
  <si>
    <t>Length</t>
  </si>
  <si>
    <t>Radius</t>
  </si>
  <si>
    <t>Corner 1</t>
  </si>
  <si>
    <t>Corner 2</t>
  </si>
  <si>
    <t>Straight 2</t>
  </si>
  <si>
    <t>Corner 3</t>
  </si>
  <si>
    <t>Straight 3</t>
  </si>
  <si>
    <t>Corner 4</t>
  </si>
  <si>
    <t>Corner 5</t>
  </si>
  <si>
    <t>Straight 4</t>
  </si>
  <si>
    <t>Corner 6</t>
  </si>
  <si>
    <t>Corner 7</t>
  </si>
  <si>
    <t>Straight 5</t>
  </si>
  <si>
    <t>Corner 8</t>
  </si>
  <si>
    <t>Straight 6</t>
  </si>
  <si>
    <t>Angle</t>
  </si>
  <si>
    <t>Surface</t>
  </si>
  <si>
    <t>Asphalt</t>
  </si>
  <si>
    <t>Dry Dirt</t>
  </si>
  <si>
    <t>Wet Dirt</t>
  </si>
  <si>
    <t>Bumps</t>
  </si>
  <si>
    <t>Max Angle of ascent</t>
  </si>
  <si>
    <t>Speed 1st</t>
  </si>
  <si>
    <t>Speed 2nd</t>
  </si>
  <si>
    <t>Speed 3rd</t>
  </si>
  <si>
    <t>Gear</t>
  </si>
  <si>
    <t>Force 1st</t>
  </si>
  <si>
    <t>Force 2nd</t>
  </si>
  <si>
    <t>Force 3rd</t>
  </si>
  <si>
    <t>Max Accel (m/s-2)</t>
  </si>
  <si>
    <t>Max Deccel (Max Accelx1.2)</t>
  </si>
  <si>
    <t>Dist</t>
  </si>
  <si>
    <t>Elevation (m)</t>
  </si>
  <si>
    <t>Time Elapsed (s)</t>
  </si>
  <si>
    <t>Accerlation (m/s^2)</t>
  </si>
  <si>
    <t>Equiv Mass (kg)</t>
  </si>
  <si>
    <t>AccelForce (N)</t>
  </si>
  <si>
    <t>GravForce (N)</t>
  </si>
  <si>
    <t>Slope (deg)</t>
  </si>
  <si>
    <t>AirResForce (N)</t>
  </si>
  <si>
    <t>RollResForce (N)</t>
  </si>
  <si>
    <t>Velocity (m/s)</t>
  </si>
  <si>
    <t>Distance (m)</t>
  </si>
  <si>
    <t>Torque (Nm)</t>
  </si>
  <si>
    <t>BSFC</t>
  </si>
  <si>
    <t>Power (kw)</t>
  </si>
  <si>
    <t>Fuel Flow</t>
  </si>
  <si>
    <t>Energy (kwh)</t>
  </si>
  <si>
    <t>Fuel Consumption (g)</t>
  </si>
  <si>
    <t>Total Consumption</t>
  </si>
  <si>
    <t>Cum Energy (kwh)</t>
  </si>
  <si>
    <t>Peak Power (kW)</t>
  </si>
  <si>
    <t>Mean Power (kW)</t>
  </si>
  <si>
    <t>Mean Torque (Nm)</t>
  </si>
  <si>
    <t>Energy Over Journey (J)</t>
  </si>
  <si>
    <t>Mean-Peak Power Difference (kW)</t>
  </si>
  <si>
    <t>Cum Energy (J)</t>
  </si>
  <si>
    <t>Normal Fuel Con</t>
  </si>
  <si>
    <t>Hybrid Fuel Con</t>
  </si>
  <si>
    <t>% Max Recovery</t>
  </si>
  <si>
    <t>%Max Fuel Savings</t>
  </si>
  <si>
    <t>Brake Event</t>
  </si>
  <si>
    <t>Max Recoverable Energy (J)</t>
  </si>
  <si>
    <t>Recoverable Pot Energy (J)</t>
  </si>
  <si>
    <t>ICE</t>
  </si>
  <si>
    <t>Generator</t>
  </si>
  <si>
    <t>Storage</t>
  </si>
  <si>
    <t>Controller</t>
  </si>
  <si>
    <t>Motor</t>
  </si>
  <si>
    <t>Type</t>
  </si>
  <si>
    <t>Cost</t>
  </si>
  <si>
    <t>Efficiency</t>
  </si>
  <si>
    <t>Current ICE</t>
  </si>
  <si>
    <t>N/A</t>
  </si>
  <si>
    <t>Mass</t>
  </si>
  <si>
    <t>Energy Lost to Braking (J)</t>
  </si>
  <si>
    <t>(kWh)</t>
  </si>
  <si>
    <t>Total</t>
  </si>
  <si>
    <t>Median Power (kW)</t>
  </si>
  <si>
    <t>Hill Ascension Excess (J)</t>
  </si>
  <si>
    <t>Mean Generated - Usage</t>
  </si>
  <si>
    <t>Max Energy Deficit (J)</t>
  </si>
  <si>
    <t>Flywheel</t>
  </si>
  <si>
    <t>Unknown</t>
  </si>
  <si>
    <t>Brushless DC Motors x2</t>
  </si>
  <si>
    <t>Brushless IPM motor</t>
  </si>
  <si>
    <t>Protection</t>
  </si>
  <si>
    <t>IP65</t>
  </si>
  <si>
    <t>IP66</t>
  </si>
  <si>
    <t>Peak Torque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</si>
</sst>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0.0000"/>
  </numFmts>
  <fonts count="4">
    <font>
      <sz val="11"/>
      <color theme="1"/>
      <name val="Calibri"/>
      <family val="2"/>
      <scheme val="minor"/>
    </font>
    <font>
      <sz val="10"/>
      <color theme="1"/>
      <name val="Arial Unicode MS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/>
    <xf numFmtId="164" fontId="0" fillId="0" borderId="0" xfId="0" applyNumberFormat="1"/>
    <xf numFmtId="0" fontId="1" fillId="0" borderId="0" xfId="0" applyFont="1" applyAlignment="1">
      <alignment vertical="center"/>
    </xf>
    <xf numFmtId="0" fontId="2" fillId="0" borderId="3" xfId="0" applyFont="1" applyBorder="1"/>
    <xf numFmtId="0" fontId="0" fillId="2" borderId="3" xfId="0" applyFont="1" applyFill="1" applyBorder="1"/>
    <xf numFmtId="0" fontId="0" fillId="2" borderId="4" xfId="0" applyFont="1" applyFill="1" applyBorder="1"/>
    <xf numFmtId="0" fontId="0" fillId="2" borderId="5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2" borderId="6" xfId="0" applyFont="1" applyFill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4" borderId="7" xfId="0" applyFill="1" applyBorder="1"/>
    <xf numFmtId="0" fontId="0" fillId="0" borderId="7" xfId="0" applyBorder="1"/>
    <xf numFmtId="2" fontId="0" fillId="4" borderId="7" xfId="0" applyNumberFormat="1" applyFill="1" applyBorder="1"/>
    <xf numFmtId="2" fontId="0" fillId="0" borderId="7" xfId="0" applyNumberFormat="1" applyBorder="1"/>
    <xf numFmtId="0" fontId="3" fillId="3" borderId="7" xfId="0" applyFont="1" applyFill="1" applyBorder="1"/>
    <xf numFmtId="0" fontId="2" fillId="0" borderId="5" xfId="0" applyNumberFormat="1" applyFont="1" applyBorder="1"/>
    <xf numFmtId="0" fontId="2" fillId="0" borderId="4" xfId="0" applyNumberFormat="1" applyFont="1" applyBorder="1"/>
    <xf numFmtId="6" fontId="0" fillId="0" borderId="0" xfId="0" applyNumberFormat="1"/>
    <xf numFmtId="0" fontId="3" fillId="3" borderId="8" xfId="0" applyFont="1" applyFill="1" applyBorder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5" borderId="0" xfId="0" applyFill="1"/>
  </cellXfs>
  <cellStyles count="1">
    <cellStyle name="Normal" xfId="0" builtinId="0"/>
  </cellStyles>
  <dxfs count="28"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Dyno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RPM!$C$1</c:f>
              <c:strCache>
                <c:ptCount val="1"/>
                <c:pt idx="0">
                  <c:v>Power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RPM!$A$1:$A$62</c15:sqref>
                  </c15:fullRef>
                </c:ext>
              </c:extLst>
              <c:f>RPM!$A$2:$A$62</c:f>
              <c:strCache>
                <c:ptCount val="61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3600</c:v>
                </c:pt>
                <c:pt idx="27">
                  <c:v>3700</c:v>
                </c:pt>
                <c:pt idx="28">
                  <c:v>3800</c:v>
                </c:pt>
                <c:pt idx="29">
                  <c:v>3900</c:v>
                </c:pt>
                <c:pt idx="30">
                  <c:v>4000</c:v>
                </c:pt>
                <c:pt idx="31">
                  <c:v>4100</c:v>
                </c:pt>
                <c:pt idx="32">
                  <c:v>4200</c:v>
                </c:pt>
                <c:pt idx="33">
                  <c:v>4300</c:v>
                </c:pt>
                <c:pt idx="34">
                  <c:v>4400</c:v>
                </c:pt>
                <c:pt idx="35">
                  <c:v>4500</c:v>
                </c:pt>
                <c:pt idx="36">
                  <c:v>4600</c:v>
                </c:pt>
                <c:pt idx="37">
                  <c:v>4700</c:v>
                </c:pt>
                <c:pt idx="38">
                  <c:v>4800</c:v>
                </c:pt>
                <c:pt idx="39">
                  <c:v>4900</c:v>
                </c:pt>
                <c:pt idx="40">
                  <c:v>5000</c:v>
                </c:pt>
                <c:pt idx="41">
                  <c:v>5100</c:v>
                </c:pt>
                <c:pt idx="42">
                  <c:v>5200</c:v>
                </c:pt>
                <c:pt idx="43">
                  <c:v>5300</c:v>
                </c:pt>
                <c:pt idx="44">
                  <c:v>5400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5800</c:v>
                </c:pt>
                <c:pt idx="49">
                  <c:v>5900</c:v>
                </c:pt>
                <c:pt idx="50">
                  <c:v>6000</c:v>
                </c:pt>
                <c:pt idx="51">
                  <c:v>6100</c:v>
                </c:pt>
                <c:pt idx="52">
                  <c:v>6200</c:v>
                </c:pt>
                <c:pt idx="53">
                  <c:v>6300</c:v>
                </c:pt>
                <c:pt idx="54">
                  <c:v>6400</c:v>
                </c:pt>
                <c:pt idx="55">
                  <c:v>6500</c:v>
                </c:pt>
                <c:pt idx="56">
                  <c:v>6600</c:v>
                </c:pt>
                <c:pt idx="57">
                  <c:v>6700</c:v>
                </c:pt>
                <c:pt idx="58">
                  <c:v>6800</c:v>
                </c:pt>
                <c:pt idx="59">
                  <c:v>6900</c:v>
                </c:pt>
                <c:pt idx="60">
                  <c:v>7000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RPM!$C$2:$C$62</c15:sqref>
                  </c15:fullRef>
                </c:ext>
              </c:extLst>
              <c:f>RPM!$C$3:$C$62</c:f>
              <c:numCache>
                <c:formatCode>General</c:formatCode>
                <c:ptCount val="60"/>
                <c:pt idx="0">
                  <c:v>1.04</c:v>
                </c:pt>
                <c:pt idx="1">
                  <c:v>1.28</c:v>
                </c:pt>
                <c:pt idx="2">
                  <c:v>1.52</c:v>
                </c:pt>
                <c:pt idx="3">
                  <c:v>1.76</c:v>
                </c:pt>
                <c:pt idx="4">
                  <c:v>2</c:v>
                </c:pt>
                <c:pt idx="5">
                  <c:v>2.4</c:v>
                </c:pt>
                <c:pt idx="6">
                  <c:v>2.8</c:v>
                </c:pt>
                <c:pt idx="7">
                  <c:v>3.2</c:v>
                </c:pt>
                <c:pt idx="8">
                  <c:v>3.6</c:v>
                </c:pt>
                <c:pt idx="9">
                  <c:v>4</c:v>
                </c:pt>
                <c:pt idx="10">
                  <c:v>4.2</c:v>
                </c:pt>
                <c:pt idx="11">
                  <c:v>4.4000000000000004</c:v>
                </c:pt>
                <c:pt idx="12">
                  <c:v>4.5999999999999996</c:v>
                </c:pt>
                <c:pt idx="13">
                  <c:v>4.8</c:v>
                </c:pt>
                <c:pt idx="14">
                  <c:v>5</c:v>
                </c:pt>
                <c:pt idx="15">
                  <c:v>5.4</c:v>
                </c:pt>
                <c:pt idx="16">
                  <c:v>5.8</c:v>
                </c:pt>
                <c:pt idx="17">
                  <c:v>6.2</c:v>
                </c:pt>
                <c:pt idx="18">
                  <c:v>6.6</c:v>
                </c:pt>
                <c:pt idx="19">
                  <c:v>7</c:v>
                </c:pt>
                <c:pt idx="20">
                  <c:v>7.5</c:v>
                </c:pt>
                <c:pt idx="21">
                  <c:v>8</c:v>
                </c:pt>
                <c:pt idx="22">
                  <c:v>8.5</c:v>
                </c:pt>
                <c:pt idx="23">
                  <c:v>9</c:v>
                </c:pt>
                <c:pt idx="24">
                  <c:v>9.5</c:v>
                </c:pt>
                <c:pt idx="25">
                  <c:v>9.6999999999999993</c:v>
                </c:pt>
                <c:pt idx="26">
                  <c:v>9.9</c:v>
                </c:pt>
                <c:pt idx="27">
                  <c:v>10.1</c:v>
                </c:pt>
                <c:pt idx="28">
                  <c:v>10.3</c:v>
                </c:pt>
                <c:pt idx="29">
                  <c:v>10.5</c:v>
                </c:pt>
                <c:pt idx="30">
                  <c:v>10.8</c:v>
                </c:pt>
                <c:pt idx="31">
                  <c:v>11.1</c:v>
                </c:pt>
                <c:pt idx="32">
                  <c:v>11.4</c:v>
                </c:pt>
                <c:pt idx="33">
                  <c:v>11.7</c:v>
                </c:pt>
                <c:pt idx="34">
                  <c:v>12</c:v>
                </c:pt>
                <c:pt idx="35">
                  <c:v>12.4</c:v>
                </c:pt>
                <c:pt idx="36">
                  <c:v>12.8</c:v>
                </c:pt>
                <c:pt idx="37">
                  <c:v>13.2</c:v>
                </c:pt>
                <c:pt idx="38">
                  <c:v>13.6</c:v>
                </c:pt>
                <c:pt idx="39">
                  <c:v>14</c:v>
                </c:pt>
                <c:pt idx="40">
                  <c:v>14.596</c:v>
                </c:pt>
                <c:pt idx="41">
                  <c:v>15.192</c:v>
                </c:pt>
                <c:pt idx="42">
                  <c:v>15.788</c:v>
                </c:pt>
                <c:pt idx="43">
                  <c:v>16.384</c:v>
                </c:pt>
                <c:pt idx="44">
                  <c:v>16.98</c:v>
                </c:pt>
                <c:pt idx="45">
                  <c:v>16.984000000000002</c:v>
                </c:pt>
                <c:pt idx="46">
                  <c:v>16.988</c:v>
                </c:pt>
                <c:pt idx="47">
                  <c:v>16.992000000000001</c:v>
                </c:pt>
                <c:pt idx="48">
                  <c:v>16.995999999999999</c:v>
                </c:pt>
                <c:pt idx="49">
                  <c:v>17</c:v>
                </c:pt>
                <c:pt idx="50">
                  <c:v>17.2</c:v>
                </c:pt>
                <c:pt idx="51">
                  <c:v>17.399999999999999</c:v>
                </c:pt>
                <c:pt idx="52">
                  <c:v>17.600000000000001</c:v>
                </c:pt>
                <c:pt idx="53">
                  <c:v>17.8</c:v>
                </c:pt>
                <c:pt idx="54">
                  <c:v>18</c:v>
                </c:pt>
                <c:pt idx="55">
                  <c:v>17</c:v>
                </c:pt>
                <c:pt idx="56">
                  <c:v>16</c:v>
                </c:pt>
                <c:pt idx="57">
                  <c:v>15</c:v>
                </c:pt>
                <c:pt idx="58">
                  <c:v>14</c:v>
                </c:pt>
                <c:pt idx="59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80-4CA4-9141-2979A90D2D64}"/>
            </c:ext>
          </c:extLst>
        </c:ser>
        <c:ser>
          <c:idx val="3"/>
          <c:order val="1"/>
          <c:tx>
            <c:strRef>
              <c:f>RPM!$D$1</c:f>
              <c:strCache>
                <c:ptCount val="1"/>
                <c:pt idx="0">
                  <c:v>Torque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RPM!$A$1:$A$62</c15:sqref>
                  </c15:fullRef>
                </c:ext>
              </c:extLst>
              <c:f>RPM!$A$2:$A$62</c:f>
              <c:strCache>
                <c:ptCount val="61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3600</c:v>
                </c:pt>
                <c:pt idx="27">
                  <c:v>3700</c:v>
                </c:pt>
                <c:pt idx="28">
                  <c:v>3800</c:v>
                </c:pt>
                <c:pt idx="29">
                  <c:v>3900</c:v>
                </c:pt>
                <c:pt idx="30">
                  <c:v>4000</c:v>
                </c:pt>
                <c:pt idx="31">
                  <c:v>4100</c:v>
                </c:pt>
                <c:pt idx="32">
                  <c:v>4200</c:v>
                </c:pt>
                <c:pt idx="33">
                  <c:v>4300</c:v>
                </c:pt>
                <c:pt idx="34">
                  <c:v>4400</c:v>
                </c:pt>
                <c:pt idx="35">
                  <c:v>4500</c:v>
                </c:pt>
                <c:pt idx="36">
                  <c:v>4600</c:v>
                </c:pt>
                <c:pt idx="37">
                  <c:v>4700</c:v>
                </c:pt>
                <c:pt idx="38">
                  <c:v>4800</c:v>
                </c:pt>
                <c:pt idx="39">
                  <c:v>4900</c:v>
                </c:pt>
                <c:pt idx="40">
                  <c:v>5000</c:v>
                </c:pt>
                <c:pt idx="41">
                  <c:v>5100</c:v>
                </c:pt>
                <c:pt idx="42">
                  <c:v>5200</c:v>
                </c:pt>
                <c:pt idx="43">
                  <c:v>5300</c:v>
                </c:pt>
                <c:pt idx="44">
                  <c:v>5400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5800</c:v>
                </c:pt>
                <c:pt idx="49">
                  <c:v>5900</c:v>
                </c:pt>
                <c:pt idx="50">
                  <c:v>6000</c:v>
                </c:pt>
                <c:pt idx="51">
                  <c:v>6100</c:v>
                </c:pt>
                <c:pt idx="52">
                  <c:v>6200</c:v>
                </c:pt>
                <c:pt idx="53">
                  <c:v>6300</c:v>
                </c:pt>
                <c:pt idx="54">
                  <c:v>6400</c:v>
                </c:pt>
                <c:pt idx="55">
                  <c:v>6500</c:v>
                </c:pt>
                <c:pt idx="56">
                  <c:v>6600</c:v>
                </c:pt>
                <c:pt idx="57">
                  <c:v>6700</c:v>
                </c:pt>
                <c:pt idx="58">
                  <c:v>6800</c:v>
                </c:pt>
                <c:pt idx="59">
                  <c:v>6900</c:v>
                </c:pt>
                <c:pt idx="60">
                  <c:v>7000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RPM!$D$2:$D$62</c15:sqref>
                  </c15:fullRef>
                </c:ext>
              </c:extLst>
              <c:f>RPM!$D$3:$D$62</c:f>
              <c:numCache>
                <c:formatCode>General</c:formatCode>
                <c:ptCount val="60"/>
                <c:pt idx="0">
                  <c:v>6.7382545454545451</c:v>
                </c:pt>
                <c:pt idx="1">
                  <c:v>7.6021333333333327</c:v>
                </c:pt>
                <c:pt idx="2">
                  <c:v>8.3331076923076921</c:v>
                </c:pt>
                <c:pt idx="3">
                  <c:v>8.959657142857143</c:v>
                </c:pt>
                <c:pt idx="4">
                  <c:v>9.5026666666666664</c:v>
                </c:pt>
                <c:pt idx="5">
                  <c:v>10.6905</c:v>
                </c:pt>
                <c:pt idx="6">
                  <c:v>11.738588235294117</c:v>
                </c:pt>
                <c:pt idx="7">
                  <c:v>12.670222222222224</c:v>
                </c:pt>
                <c:pt idx="8">
                  <c:v>13.503789473684211</c:v>
                </c:pt>
                <c:pt idx="9">
                  <c:v>14.254</c:v>
                </c:pt>
                <c:pt idx="10">
                  <c:v>14.254000000000001</c:v>
                </c:pt>
                <c:pt idx="11">
                  <c:v>14.254000000000001</c:v>
                </c:pt>
                <c:pt idx="12">
                  <c:v>14.254</c:v>
                </c:pt>
                <c:pt idx="13">
                  <c:v>14.254</c:v>
                </c:pt>
                <c:pt idx="14">
                  <c:v>14.254</c:v>
                </c:pt>
                <c:pt idx="15">
                  <c:v>14.80223076923077</c:v>
                </c:pt>
                <c:pt idx="16">
                  <c:v>15.309851851851851</c:v>
                </c:pt>
                <c:pt idx="17">
                  <c:v>15.781214285714286</c:v>
                </c:pt>
                <c:pt idx="18">
                  <c:v>16.220068965517239</c:v>
                </c:pt>
                <c:pt idx="19">
                  <c:v>16.629666666666665</c:v>
                </c:pt>
                <c:pt idx="20">
                  <c:v>17.24274193548387</c:v>
                </c:pt>
                <c:pt idx="21">
                  <c:v>17.817499999999999</c:v>
                </c:pt>
                <c:pt idx="22">
                  <c:v>18.357424242424244</c:v>
                </c:pt>
                <c:pt idx="23">
                  <c:v>18.865588235294119</c:v>
                </c:pt>
                <c:pt idx="24">
                  <c:v>19.344714285714286</c:v>
                </c:pt>
                <c:pt idx="25">
                  <c:v>19.203305555555556</c:v>
                </c:pt>
                <c:pt idx="26">
                  <c:v>19.06954054054054</c:v>
                </c:pt>
                <c:pt idx="27">
                  <c:v>18.942815789473684</c:v>
                </c:pt>
                <c:pt idx="28">
                  <c:v>18.822589743589745</c:v>
                </c:pt>
                <c:pt idx="29">
                  <c:v>18.708375</c:v>
                </c:pt>
                <c:pt idx="30">
                  <c:v>18.773560975609758</c:v>
                </c:pt>
                <c:pt idx="31">
                  <c:v>18.835642857142858</c:v>
                </c:pt>
                <c:pt idx="32">
                  <c:v>18.894837209302327</c:v>
                </c:pt>
                <c:pt idx="33">
                  <c:v>18.951340909090909</c:v>
                </c:pt>
                <c:pt idx="34">
                  <c:v>19.005333333333333</c:v>
                </c:pt>
                <c:pt idx="35">
                  <c:v>19.211913043478262</c:v>
                </c:pt>
                <c:pt idx="36">
                  <c:v>19.409702127659575</c:v>
                </c:pt>
                <c:pt idx="37">
                  <c:v>19.599249999999998</c:v>
                </c:pt>
                <c:pt idx="38">
                  <c:v>19.781061224489797</c:v>
                </c:pt>
                <c:pt idx="39">
                  <c:v>19.9556</c:v>
                </c:pt>
                <c:pt idx="40">
                  <c:v>20.397194509803921</c:v>
                </c:pt>
                <c:pt idx="41">
                  <c:v>20.821804615384618</c:v>
                </c:pt>
                <c:pt idx="42">
                  <c:v>21.230391698113209</c:v>
                </c:pt>
                <c:pt idx="43">
                  <c:v>21.623845925925924</c:v>
                </c:pt>
                <c:pt idx="44">
                  <c:v>22.00299272727273</c:v>
                </c:pt>
                <c:pt idx="45">
                  <c:v>21.615172857142859</c:v>
                </c:pt>
                <c:pt idx="46">
                  <c:v>21.240960701754386</c:v>
                </c:pt>
                <c:pt idx="47">
                  <c:v>20.879652413793107</c:v>
                </c:pt>
                <c:pt idx="48">
                  <c:v>20.530591864406777</c:v>
                </c:pt>
                <c:pt idx="49">
                  <c:v>20.193166666666666</c:v>
                </c:pt>
                <c:pt idx="50">
                  <c:v>20.095803278688525</c:v>
                </c:pt>
                <c:pt idx="51">
                  <c:v>20.001580645161287</c:v>
                </c:pt>
                <c:pt idx="52">
                  <c:v>19.91034920634921</c:v>
                </c:pt>
                <c:pt idx="53">
                  <c:v>19.82196875</c:v>
                </c:pt>
                <c:pt idx="54">
                  <c:v>19.736307692307694</c:v>
                </c:pt>
                <c:pt idx="55">
                  <c:v>18.357424242424244</c:v>
                </c:pt>
                <c:pt idx="56">
                  <c:v>17.019701492537312</c:v>
                </c:pt>
                <c:pt idx="57">
                  <c:v>15.721323529411764</c:v>
                </c:pt>
                <c:pt idx="58">
                  <c:v>14.460579710144927</c:v>
                </c:pt>
                <c:pt idx="59">
                  <c:v>13.235857142857142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880-4CA4-9141-2979A90D2D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5733040"/>
        <c:axId val="485733696"/>
      </c:lineChart>
      <c:catAx>
        <c:axId val="48573304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accent1">
                <a:alpha val="97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733696"/>
        <c:crosses val="autoZero"/>
        <c:auto val="1"/>
        <c:lblAlgn val="ctr"/>
        <c:lblOffset val="100"/>
        <c:tickLblSkip val="10"/>
        <c:noMultiLvlLbl val="0"/>
      </c:catAx>
      <c:valAx>
        <c:axId val="48573369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(HP)/Torque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733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28575</xdr:colOff>
      <xdr:row>11</xdr:row>
      <xdr:rowOff>138112</xdr:rowOff>
    </xdr:from>
    <xdr:to>
      <xdr:col>32</xdr:col>
      <xdr:colOff>333375</xdr:colOff>
      <xdr:row>26</xdr:row>
      <xdr:rowOff>23812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FCBDF4-DAAE-47BE-8A2A-B9BAFEEEE6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1BB156-E31E-4E62-ABF4-A454E074C9A1}" name="Table1" displayName="Table1" ref="B2:C26" headerRowCount="0" totalsRowShown="0" headerRowDxfId="27" dataDxfId="26">
  <tableColumns count="2">
    <tableColumn id="1" xr3:uid="{0E9304A3-B8E5-4134-9170-8858B721AB32}" name="Specification" headerRowDxfId="25" dataDxfId="24"/>
    <tableColumn id="2" xr3:uid="{0B6B1450-59EC-4F69-BD74-CE7FFC3BE0A7}" name="Column1" headerRowDxfId="23" dataDxfId="22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6032FC-BB9F-47EB-90EB-596388EC48BF}" name="Table2" displayName="Table2" ref="E2:H6" headerRowCount="0" totalsRowShown="0" headerRowDxfId="21" dataDxfId="20">
  <tableColumns count="4">
    <tableColumn id="1" xr3:uid="{956BCB8C-E764-465B-A902-13A451292874}" name="Column1" headerRowDxfId="19" dataDxfId="18"/>
    <tableColumn id="2" xr3:uid="{9032E2EA-D78C-4902-AC25-343AD1F61F38}" name="Column2" headerRowDxfId="17" dataDxfId="16"/>
    <tableColumn id="3" xr3:uid="{307A75B2-00EC-42BB-B6A8-54648950AAD3}" name="Column3" headerRowDxfId="15" dataDxfId="14"/>
    <tableColumn id="4" xr3:uid="{B8FFE387-DA0E-4974-AE50-C2F409B01BA3}" name="Column4" headerRowDxfId="13" dataDxfId="12">
      <calculatedColumnFormula>G2/F2</calculatedColumnFormula>
    </tableColumn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403F70-5A5E-4A41-AD45-CA70FFD7D809}" name="Table3" displayName="Table3" ref="E27:H34" headerRowCount="0" totalsRowShown="0" headerRowDxfId="11">
  <tableColumns count="4">
    <tableColumn id="1" xr3:uid="{3C93CC27-35D2-4196-A2D9-3082B4F76C67}" name="Rolling Resistances" headerRowDxfId="10" dataDxfId="9"/>
    <tableColumn id="2" xr3:uid="{6A481087-E895-4012-88DE-57CDF9648A2E}" name="Column1" headerRowDxfId="8"/>
    <tableColumn id="3" xr3:uid="{BBB0505D-D68B-4F61-A345-ADE52F7E4FF8}" name="Column2" headerRowDxfId="7" dataDxfId="6">
      <calculatedColumnFormula>$C$23*9.81*F27</calculatedColumnFormula>
    </tableColumn>
    <tableColumn id="4" xr3:uid="{28A8FDEE-A1BE-48E0-BDAF-D360E5109ECE}" name="Column3" headerRowDxfId="5" dataDxfId="4">
      <calculatedColumnFormula>SQRT(0.5*9.81*40)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11B8F4-55C6-48D0-9768-4DD5B5BB8F62}" name="Table4" displayName="Table4" ref="E17:F19" headerRowCount="0" totalsRowShown="0" headerRowDxfId="3">
  <tableColumns count="2">
    <tableColumn id="1" xr3:uid="{2E766E79-0C04-4D57-8274-08402A4F0397}" name="Moment of Inertia" headerRowDxfId="2" dataDxfId="1"/>
    <tableColumn id="2" xr3:uid="{3D4C03E2-A775-4C1B-AA74-70E6916CD7B2}" name="Column1" headerRow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6B727-4CEF-4A99-AD0F-9293DE5D08D8}">
  <dimension ref="B1:L34"/>
  <sheetViews>
    <sheetView topLeftCell="B1" workbookViewId="0">
      <selection activeCell="F10" sqref="F10"/>
    </sheetView>
  </sheetViews>
  <sheetFormatPr defaultRowHeight="14.5"/>
  <cols>
    <col min="2" max="2" width="31.453125" bestFit="1" customWidth="1"/>
    <col min="3" max="3" width="11" customWidth="1"/>
    <col min="5" max="5" width="31" bestFit="1" customWidth="1"/>
    <col min="6" max="8" width="11" customWidth="1"/>
    <col min="10" max="10" width="19" bestFit="1" customWidth="1"/>
    <col min="11" max="11" width="15" bestFit="1" customWidth="1"/>
  </cols>
  <sheetData>
    <row r="1" spans="2:12">
      <c r="B1" s="25" t="s">
        <v>4</v>
      </c>
      <c r="C1" s="25"/>
    </row>
    <row r="2" spans="2:12">
      <c r="B2" s="2" t="s">
        <v>0</v>
      </c>
      <c r="C2" s="2">
        <v>278</v>
      </c>
      <c r="E2" s="1" t="s">
        <v>5</v>
      </c>
      <c r="F2" s="1"/>
      <c r="G2" s="1"/>
      <c r="H2" s="1"/>
      <c r="J2" t="s">
        <v>38</v>
      </c>
      <c r="K2">
        <f>L17</f>
        <v>1.6912872319999996</v>
      </c>
    </row>
    <row r="3" spans="2:12">
      <c r="B3" s="2" t="s">
        <v>1</v>
      </c>
      <c r="C3" s="2">
        <v>18</v>
      </c>
      <c r="E3" s="2" t="s">
        <v>6</v>
      </c>
      <c r="F3" s="2">
        <v>5</v>
      </c>
      <c r="G3" s="2">
        <v>80</v>
      </c>
      <c r="H3" s="2">
        <f>G3/F3</f>
        <v>16</v>
      </c>
      <c r="J3" t="s">
        <v>39</v>
      </c>
      <c r="K3">
        <v>0.5</v>
      </c>
    </row>
    <row r="4" spans="2:12">
      <c r="B4" s="2" t="s">
        <v>13</v>
      </c>
      <c r="C4" s="2">
        <v>22</v>
      </c>
      <c r="E4" s="2" t="s">
        <v>7</v>
      </c>
      <c r="F4" s="2">
        <v>8</v>
      </c>
      <c r="G4" s="2">
        <v>50</v>
      </c>
      <c r="H4" s="2">
        <f>G4/F4</f>
        <v>6.25</v>
      </c>
      <c r="J4" t="s">
        <v>40</v>
      </c>
      <c r="K4">
        <v>1.2250000000000001</v>
      </c>
    </row>
    <row r="5" spans="2:12">
      <c r="B5" s="2" t="s">
        <v>2</v>
      </c>
      <c r="C5" s="2">
        <v>30</v>
      </c>
      <c r="E5" s="2" t="s">
        <v>8</v>
      </c>
      <c r="F5" s="2">
        <v>10</v>
      </c>
      <c r="G5" s="2">
        <v>36</v>
      </c>
      <c r="H5" s="2">
        <f>G5/F5</f>
        <v>3.6</v>
      </c>
    </row>
    <row r="6" spans="2:12">
      <c r="B6" s="2" t="s">
        <v>42</v>
      </c>
      <c r="C6" s="2">
        <v>2.62</v>
      </c>
      <c r="E6" s="3" t="s">
        <v>9</v>
      </c>
      <c r="F6" s="3"/>
      <c r="G6" s="3"/>
      <c r="H6" s="2">
        <v>3</v>
      </c>
    </row>
    <row r="7" spans="2:12">
      <c r="B7" s="2" t="s">
        <v>43</v>
      </c>
      <c r="C7" s="2">
        <v>1.65</v>
      </c>
    </row>
    <row r="8" spans="2:12">
      <c r="B8" s="2" t="s">
        <v>44</v>
      </c>
      <c r="C8" s="2">
        <v>1.62</v>
      </c>
      <c r="E8" s="2" t="s">
        <v>58</v>
      </c>
      <c r="F8" s="2">
        <f>C4*H3*1.04</f>
        <v>366.08000000000004</v>
      </c>
      <c r="J8" t="s">
        <v>85</v>
      </c>
      <c r="K8">
        <f>ASIN(F10/(C23*9.81))*180/PI()</f>
        <v>11.872880081762105</v>
      </c>
    </row>
    <row r="9" spans="2:12">
      <c r="B9" s="2" t="s">
        <v>14</v>
      </c>
      <c r="C9" s="2">
        <v>365</v>
      </c>
      <c r="E9" s="2" t="s">
        <v>57</v>
      </c>
      <c r="F9" s="2">
        <f>F8*H6*1.03*C17</f>
        <v>359.15193600000009</v>
      </c>
    </row>
    <row r="10" spans="2:12">
      <c r="B10" s="2" t="s">
        <v>47</v>
      </c>
      <c r="C10" s="2">
        <v>0.3</v>
      </c>
      <c r="E10" s="2" t="s">
        <v>56</v>
      </c>
      <c r="F10" s="2">
        <f>F9/C17</f>
        <v>1131.1872000000003</v>
      </c>
    </row>
    <row r="11" spans="2:12">
      <c r="B11" s="2" t="s">
        <v>15</v>
      </c>
      <c r="C11" s="2">
        <v>29</v>
      </c>
      <c r="E11" s="2" t="s">
        <v>55</v>
      </c>
      <c r="F11">
        <v>13.4</v>
      </c>
    </row>
    <row r="12" spans="2:12">
      <c r="B12" s="2" t="s">
        <v>3</v>
      </c>
      <c r="C12" s="2">
        <v>0.74</v>
      </c>
      <c r="E12" s="2" t="s">
        <v>93</v>
      </c>
      <c r="F12">
        <f>F10/C23</f>
        <v>2.018319237768976</v>
      </c>
    </row>
    <row r="13" spans="2:12">
      <c r="B13" s="2" t="s">
        <v>16</v>
      </c>
      <c r="C13" s="2">
        <f>C11*C12</f>
        <v>21.46</v>
      </c>
      <c r="E13" s="2" t="s">
        <v>94</v>
      </c>
      <c r="F13">
        <f>-F12*1.2</f>
        <v>-2.4219830853227711</v>
      </c>
      <c r="H13" s="25" t="s">
        <v>50</v>
      </c>
      <c r="I13" s="25"/>
      <c r="K13" t="s">
        <v>41</v>
      </c>
    </row>
    <row r="14" spans="2:12">
      <c r="B14" s="2" t="s">
        <v>17</v>
      </c>
      <c r="C14" s="2">
        <v>174</v>
      </c>
      <c r="H14" t="s">
        <v>51</v>
      </c>
      <c r="I14">
        <f>C23+(2*F18/C21+2*F17/C22)+F19*(H3^2/F18)</f>
        <v>612.22379860796673</v>
      </c>
      <c r="K14" t="s">
        <v>46</v>
      </c>
      <c r="L14">
        <f>C8*C7</f>
        <v>2.673</v>
      </c>
    </row>
    <row r="15" spans="2:12">
      <c r="B15" s="2" t="s">
        <v>18</v>
      </c>
      <c r="C15" s="2">
        <v>9.3000000000000007</v>
      </c>
      <c r="H15" t="s">
        <v>52</v>
      </c>
      <c r="I15">
        <f>C23+(2*F18/C21+2*F17/C22)+F19*(H4^2/F18)</f>
        <v>582.50936296077191</v>
      </c>
      <c r="K15" t="s">
        <v>45</v>
      </c>
      <c r="L15">
        <f>C10*(C7-2*C26)</f>
        <v>0.34259999999999996</v>
      </c>
    </row>
    <row r="16" spans="2:12">
      <c r="B16" s="2" t="s">
        <v>19</v>
      </c>
      <c r="C16" s="2">
        <v>5.9</v>
      </c>
      <c r="E16" s="25" t="s">
        <v>54</v>
      </c>
      <c r="F16" s="25"/>
      <c r="H16" t="s">
        <v>53</v>
      </c>
      <c r="I16">
        <f>C23+(2*F18/C21+2*F17/C22)+F19*(H5^2/F18)</f>
        <v>578.93404261974786</v>
      </c>
      <c r="K16" t="s">
        <v>49</v>
      </c>
      <c r="L16">
        <f>(C8-(2*C20))*(C26+0.1016)*2</f>
        <v>0.63911276800000016</v>
      </c>
    </row>
    <row r="17" spans="2:12">
      <c r="B17" s="4" t="s">
        <v>20</v>
      </c>
      <c r="C17" s="4">
        <v>0.3175</v>
      </c>
      <c r="E17" s="2" t="s">
        <v>26</v>
      </c>
      <c r="F17">
        <f>C25*C22^2</f>
        <v>1.3004088471389106</v>
      </c>
      <c r="K17" t="s">
        <v>38</v>
      </c>
      <c r="L17">
        <f>L14-L16-L15</f>
        <v>1.6912872319999996</v>
      </c>
    </row>
    <row r="18" spans="2:12">
      <c r="B18" s="2" t="s">
        <v>21</v>
      </c>
      <c r="C18" s="2">
        <v>6.4410119999999997</v>
      </c>
      <c r="E18" s="2" t="s">
        <v>27</v>
      </c>
      <c r="F18">
        <f>C24*C21^2</f>
        <v>1.2411265500000002</v>
      </c>
    </row>
    <row r="19" spans="2:12">
      <c r="B19" s="2" t="s">
        <v>22</v>
      </c>
      <c r="C19" s="2">
        <v>5.9</v>
      </c>
      <c r="E19" s="2" t="s">
        <v>28</v>
      </c>
      <c r="F19">
        <v>0.17</v>
      </c>
    </row>
    <row r="20" spans="2:12">
      <c r="B20" s="4" t="s">
        <v>23</v>
      </c>
      <c r="C20" s="4">
        <v>0.36068</v>
      </c>
    </row>
    <row r="21" spans="2:12">
      <c r="B21" s="4" t="s">
        <v>11</v>
      </c>
      <c r="C21" s="4">
        <f>C17*0.9</f>
        <v>0.28575</v>
      </c>
    </row>
    <row r="22" spans="2:12">
      <c r="B22" s="4" t="s">
        <v>10</v>
      </c>
      <c r="C22" s="4">
        <f>C20*0.9</f>
        <v>0.32461200000000001</v>
      </c>
    </row>
    <row r="23" spans="2:12">
      <c r="B23" s="2" t="s">
        <v>12</v>
      </c>
      <c r="C23" s="2">
        <f>C13+C14+C9</f>
        <v>560.46</v>
      </c>
    </row>
    <row r="24" spans="2:12">
      <c r="B24" s="2" t="s">
        <v>25</v>
      </c>
      <c r="C24" s="2">
        <f>C16+C15</f>
        <v>15.200000000000001</v>
      </c>
    </row>
    <row r="25" spans="2:12">
      <c r="B25" s="2" t="s">
        <v>24</v>
      </c>
      <c r="C25" s="2">
        <f>C19+C18</f>
        <v>12.341011999999999</v>
      </c>
    </row>
    <row r="26" spans="2:12">
      <c r="B26" s="2" t="s">
        <v>48</v>
      </c>
      <c r="C26" s="2">
        <v>0.254</v>
      </c>
      <c r="E26" s="26" t="s">
        <v>29</v>
      </c>
      <c r="F26" s="26"/>
      <c r="G26" t="s">
        <v>62</v>
      </c>
    </row>
    <row r="27" spans="2:12">
      <c r="E27" s="2" t="s">
        <v>30</v>
      </c>
      <c r="F27">
        <v>0.09</v>
      </c>
      <c r="G27">
        <f>$C$23*9.81*F27</f>
        <v>494.83013400000004</v>
      </c>
    </row>
    <row r="28" spans="2:12">
      <c r="E28" s="2" t="s">
        <v>31</v>
      </c>
      <c r="F28">
        <v>7.0000000000000007E-2</v>
      </c>
      <c r="G28">
        <f t="shared" ref="G28:G34" si="0">$C$23*9.81*F28</f>
        <v>384.86788200000007</v>
      </c>
    </row>
    <row r="29" spans="2:12">
      <c r="E29" s="2" t="s">
        <v>34</v>
      </c>
      <c r="F29">
        <v>0.03</v>
      </c>
      <c r="G29">
        <f t="shared" si="0"/>
        <v>164.943378</v>
      </c>
      <c r="H29">
        <f>SQRT(0.75*9.81*40)</f>
        <v>17.155174146594955</v>
      </c>
    </row>
    <row r="30" spans="2:12">
      <c r="E30" s="2" t="s">
        <v>32</v>
      </c>
      <c r="F30">
        <v>0.02</v>
      </c>
      <c r="G30">
        <f t="shared" si="0"/>
        <v>109.96225200000001</v>
      </c>
      <c r="H30">
        <f>SQRT(0.75*9.81*40)</f>
        <v>17.155174146594955</v>
      </c>
    </row>
    <row r="31" spans="2:12">
      <c r="E31" s="2" t="s">
        <v>33</v>
      </c>
      <c r="F31">
        <v>2.4E-2</v>
      </c>
      <c r="G31">
        <f t="shared" si="0"/>
        <v>131.9547024</v>
      </c>
      <c r="H31">
        <f t="shared" ref="H31:H32" si="1">SQRT(0.5*9.81*40)</f>
        <v>14.007141035914502</v>
      </c>
    </row>
    <row r="32" spans="2:12">
      <c r="E32" s="2" t="s">
        <v>35</v>
      </c>
      <c r="F32">
        <v>0.04</v>
      </c>
      <c r="G32">
        <f t="shared" si="0"/>
        <v>219.92450400000001</v>
      </c>
      <c r="H32">
        <f t="shared" si="1"/>
        <v>14.007141035914502</v>
      </c>
    </row>
    <row r="33" spans="5:8">
      <c r="E33" s="2" t="s">
        <v>36</v>
      </c>
      <c r="F33">
        <v>0.02</v>
      </c>
      <c r="G33">
        <f t="shared" si="0"/>
        <v>109.96225200000001</v>
      </c>
      <c r="H33">
        <f>SQRT(0.6*9.81*40)</f>
        <v>15.344054223053305</v>
      </c>
    </row>
    <row r="34" spans="5:8">
      <c r="E34" s="2" t="s">
        <v>37</v>
      </c>
      <c r="F34">
        <v>0.2</v>
      </c>
      <c r="G34">
        <f t="shared" si="0"/>
        <v>1099.6225200000001</v>
      </c>
      <c r="H34">
        <f>SQRT(0.6*9.81*40)</f>
        <v>15.344054223053305</v>
      </c>
    </row>
  </sheetData>
  <mergeCells count="4">
    <mergeCell ref="E16:F16"/>
    <mergeCell ref="E26:F26"/>
    <mergeCell ref="B1:C1"/>
    <mergeCell ref="H13:I13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2F984-2093-4B4C-8D92-AC01BE14FD3D}">
  <dimension ref="A1:N62"/>
  <sheetViews>
    <sheetView topLeftCell="A32" workbookViewId="0">
      <selection activeCell="B32" sqref="B32"/>
    </sheetView>
  </sheetViews>
  <sheetFormatPr defaultRowHeight="14.5"/>
  <cols>
    <col min="6" max="6" width="12" bestFit="1" customWidth="1"/>
    <col min="7" max="8" width="12" customWidth="1"/>
    <col min="9" max="9" width="12" bestFit="1" customWidth="1"/>
    <col min="10" max="11" width="12" customWidth="1"/>
    <col min="12" max="12" width="12" bestFit="1" customWidth="1"/>
    <col min="13" max="13" width="12" customWidth="1"/>
    <col min="14" max="14" width="8.81640625" bestFit="1" customWidth="1"/>
    <col min="15" max="15" width="9.54296875" bestFit="1" customWidth="1"/>
  </cols>
  <sheetData>
    <row r="1" spans="1:14">
      <c r="A1" t="s">
        <v>59</v>
      </c>
      <c r="B1" t="s">
        <v>60</v>
      </c>
      <c r="C1" t="s">
        <v>60</v>
      </c>
      <c r="D1" t="s">
        <v>61</v>
      </c>
      <c r="F1" t="s">
        <v>86</v>
      </c>
      <c r="G1" t="s">
        <v>90</v>
      </c>
      <c r="I1" t="s">
        <v>87</v>
      </c>
      <c r="J1" t="s">
        <v>91</v>
      </c>
      <c r="L1" t="s">
        <v>88</v>
      </c>
      <c r="M1" t="s">
        <v>92</v>
      </c>
    </row>
    <row r="2" spans="1:14">
      <c r="A2">
        <v>1000</v>
      </c>
      <c r="B2">
        <v>0.8</v>
      </c>
      <c r="C2" s="5">
        <v>0.8</v>
      </c>
      <c r="D2">
        <f>C2*7127/A2</f>
        <v>5.7016</v>
      </c>
      <c r="E2">
        <v>1000</v>
      </c>
      <c r="F2">
        <f>A2/(60*Specification!$H$3*Specification!$H$6)*2*PI()*Specification!$C$17</f>
        <v>0.69267754688524941</v>
      </c>
      <c r="G2">
        <f>D2*Specification!$H$3*Specification!$H$6/Specification!$C$17</f>
        <v>861.97417322834644</v>
      </c>
      <c r="H2">
        <v>1000</v>
      </c>
      <c r="I2">
        <f>A2/(60*Specification!$H$4*Specification!$H$6)*2*PI()*Specification!$C$17</f>
        <v>1.7732545200262388</v>
      </c>
      <c r="J2">
        <f>D2*Specification!$H$4*Specification!$H$6/Specification!$C$17</f>
        <v>336.70866141732284</v>
      </c>
      <c r="K2">
        <v>1000</v>
      </c>
      <c r="L2">
        <f>A2/(60*Specification!$H$5*Specification!$H$6)*2*PI()*Specification!$C$17</f>
        <v>3.0785668750455537</v>
      </c>
      <c r="M2">
        <f>D2*Specification!$H$5*Specification!$H$6/Specification!$C$17</f>
        <v>193.94418897637794</v>
      </c>
      <c r="N2">
        <v>1000</v>
      </c>
    </row>
    <row r="3" spans="1:14">
      <c r="A3">
        <f>A2+100</f>
        <v>1100</v>
      </c>
      <c r="C3" s="5">
        <v>1.04</v>
      </c>
      <c r="D3">
        <f t="shared" ref="D3:D56" si="0">C3*7127/A3</f>
        <v>6.7382545454545451</v>
      </c>
      <c r="E3">
        <f>E2+100</f>
        <v>1100</v>
      </c>
      <c r="F3">
        <f>A3/(60*Specification!$H$3*Specification!$H$6)*2*PI()*Specification!$C$17</f>
        <v>0.76194530157377449</v>
      </c>
      <c r="G3">
        <f>D3*Specification!$H$3*Specification!$H$6/Specification!$C$17</f>
        <v>1018.6967501789549</v>
      </c>
      <c r="H3">
        <f>H2+100</f>
        <v>1100</v>
      </c>
      <c r="I3">
        <f>A3/(60*Specification!$H$4*Specification!$H$6)*2*PI()*Specification!$C$17</f>
        <v>1.9505799720288626</v>
      </c>
      <c r="J3">
        <f>D3*Specification!$H$4*Specification!$H$6/Specification!$C$17</f>
        <v>397.92841803865423</v>
      </c>
      <c r="K3">
        <f>K2+100</f>
        <v>1100</v>
      </c>
      <c r="L3">
        <f>A3/(60*Specification!$H$5*Specification!$H$6)*2*PI()*Specification!$C$17</f>
        <v>3.3864235625501089</v>
      </c>
      <c r="M3">
        <f>D3*Specification!$H$5*Specification!$H$6/Specification!$C$17</f>
        <v>229.20676879026485</v>
      </c>
      <c r="N3">
        <f>N2+100</f>
        <v>1100</v>
      </c>
    </row>
    <row r="4" spans="1:14">
      <c r="A4">
        <f t="shared" ref="A4:A62" si="1">A3+100</f>
        <v>1200</v>
      </c>
      <c r="C4" s="5">
        <v>1.28</v>
      </c>
      <c r="D4">
        <f t="shared" si="0"/>
        <v>7.6021333333333327</v>
      </c>
      <c r="E4">
        <f t="shared" ref="E4:E62" si="2">E3+100</f>
        <v>1200</v>
      </c>
      <c r="F4">
        <f>A4/(60*Specification!$H$3*Specification!$H$6)*2*PI()*Specification!$C$17</f>
        <v>0.83121305626229947</v>
      </c>
      <c r="G4">
        <f>D4*Specification!$H$3*Specification!$H$6/Specification!$C$17</f>
        <v>1149.2988976377951</v>
      </c>
      <c r="H4">
        <f t="shared" ref="H4:H62" si="3">H3+100</f>
        <v>1200</v>
      </c>
      <c r="I4">
        <f>A4/(60*Specification!$H$4*Specification!$H$6)*2*PI()*Specification!$C$17</f>
        <v>2.1279054240314865</v>
      </c>
      <c r="J4">
        <f>D4*Specification!$H$4*Specification!$H$6/Specification!$C$17</f>
        <v>448.94488188976374</v>
      </c>
      <c r="K4">
        <f t="shared" ref="K4:K62" si="4">K3+100</f>
        <v>1200</v>
      </c>
      <c r="L4">
        <f>A4/(60*Specification!$H$5*Specification!$H$6)*2*PI()*Specification!$C$17</f>
        <v>3.6942802500546641</v>
      </c>
      <c r="M4">
        <f>D4*Specification!$H$5*Specification!$H$6/Specification!$C$17</f>
        <v>258.59225196850389</v>
      </c>
      <c r="N4">
        <f t="shared" ref="N4:N62" si="5">N3+100</f>
        <v>1200</v>
      </c>
    </row>
    <row r="5" spans="1:14">
      <c r="A5">
        <f t="shared" si="1"/>
        <v>1300</v>
      </c>
      <c r="C5" s="5">
        <v>1.52</v>
      </c>
      <c r="D5">
        <f t="shared" si="0"/>
        <v>8.3331076923076921</v>
      </c>
      <c r="E5">
        <f t="shared" si="2"/>
        <v>1300</v>
      </c>
      <c r="F5">
        <f>A5/(60*Specification!$H$3*Specification!$H$6)*2*PI()*Specification!$C$17</f>
        <v>0.90048081095082433</v>
      </c>
      <c r="G5">
        <f>D5*Specification!$H$3*Specification!$H$6/Specification!$C$17</f>
        <v>1259.8084070260447</v>
      </c>
      <c r="H5">
        <f t="shared" si="3"/>
        <v>1300</v>
      </c>
      <c r="I5">
        <f>A5/(60*Specification!$H$4*Specification!$H$6)*2*PI()*Specification!$C$17</f>
        <v>2.3052308760341105</v>
      </c>
      <c r="J5">
        <f>D5*Specification!$H$4*Specification!$H$6/Specification!$C$17</f>
        <v>492.11265899454867</v>
      </c>
      <c r="K5">
        <f t="shared" si="4"/>
        <v>1300</v>
      </c>
      <c r="L5">
        <f>A5/(60*Specification!$H$5*Specification!$H$6)*2*PI()*Specification!$C$17</f>
        <v>4.0021369375592197</v>
      </c>
      <c r="M5">
        <f>D5*Specification!$H$5*Specification!$H$6/Specification!$C$17</f>
        <v>283.45689158086009</v>
      </c>
      <c r="N5">
        <f t="shared" si="5"/>
        <v>1300</v>
      </c>
    </row>
    <row r="6" spans="1:14">
      <c r="A6">
        <f t="shared" si="1"/>
        <v>1400</v>
      </c>
      <c r="C6" s="5">
        <v>1.76</v>
      </c>
      <c r="D6">
        <f t="shared" si="0"/>
        <v>8.959657142857143</v>
      </c>
      <c r="E6">
        <f t="shared" si="2"/>
        <v>1400</v>
      </c>
      <c r="F6">
        <f>A6/(60*Specification!$H$3*Specification!$H$6)*2*PI()*Specification!$C$17</f>
        <v>0.96974856563934941</v>
      </c>
      <c r="G6">
        <f>D6*Specification!$H$3*Specification!$H$6/Specification!$C$17</f>
        <v>1354.5308436445443</v>
      </c>
      <c r="H6">
        <f t="shared" si="3"/>
        <v>1400</v>
      </c>
      <c r="I6">
        <f>A6/(60*Specification!$H$4*Specification!$H$6)*2*PI()*Specification!$C$17</f>
        <v>2.4825563280367344</v>
      </c>
      <c r="J6">
        <f>D6*Specification!$H$4*Specification!$H$6/Specification!$C$17</f>
        <v>529.11361079865026</v>
      </c>
      <c r="K6">
        <f t="shared" si="4"/>
        <v>1400</v>
      </c>
      <c r="L6">
        <f>A6/(60*Specification!$H$5*Specification!$H$6)*2*PI()*Specification!$C$17</f>
        <v>4.3099936250637745</v>
      </c>
      <c r="M6">
        <f>D6*Specification!$H$5*Specification!$H$6/Specification!$C$17</f>
        <v>304.76943982002251</v>
      </c>
      <c r="N6">
        <f t="shared" si="5"/>
        <v>1400</v>
      </c>
    </row>
    <row r="7" spans="1:14">
      <c r="A7">
        <f t="shared" si="1"/>
        <v>1500</v>
      </c>
      <c r="B7">
        <v>2</v>
      </c>
      <c r="C7" s="5">
        <v>2</v>
      </c>
      <c r="D7">
        <f t="shared" si="0"/>
        <v>9.5026666666666664</v>
      </c>
      <c r="E7">
        <f t="shared" si="2"/>
        <v>1500</v>
      </c>
      <c r="F7">
        <f>A7/(60*Specification!$H$3*Specification!$H$6)*2*PI()*Specification!$C$17</f>
        <v>1.0390163203278744</v>
      </c>
      <c r="G7">
        <f>D7*Specification!$H$3*Specification!$H$6/Specification!$C$17</f>
        <v>1436.623622047244</v>
      </c>
      <c r="H7">
        <f t="shared" si="3"/>
        <v>1500</v>
      </c>
      <c r="I7">
        <f>A7/(60*Specification!$H$4*Specification!$H$6)*2*PI()*Specification!$C$17</f>
        <v>2.6598817800393579</v>
      </c>
      <c r="J7">
        <f>D7*Specification!$H$4*Specification!$H$6/Specification!$C$17</f>
        <v>561.1811023622048</v>
      </c>
      <c r="K7">
        <f t="shared" si="4"/>
        <v>1500</v>
      </c>
      <c r="L7">
        <f>A7/(60*Specification!$H$5*Specification!$H$6)*2*PI()*Specification!$C$17</f>
        <v>4.6178503125683301</v>
      </c>
      <c r="M7">
        <f>D7*Specification!$H$5*Specification!$H$6/Specification!$C$17</f>
        <v>323.24031496062997</v>
      </c>
      <c r="N7">
        <f t="shared" si="5"/>
        <v>1500</v>
      </c>
    </row>
    <row r="8" spans="1:14">
      <c r="A8">
        <f t="shared" si="1"/>
        <v>1600</v>
      </c>
      <c r="C8" s="5">
        <v>2.4</v>
      </c>
      <c r="D8">
        <f t="shared" si="0"/>
        <v>10.6905</v>
      </c>
      <c r="E8">
        <f t="shared" si="2"/>
        <v>1600</v>
      </c>
      <c r="F8">
        <f>A8/(60*Specification!$H$3*Specification!$H$6)*2*PI()*Specification!$C$17</f>
        <v>1.1082840750163994</v>
      </c>
      <c r="G8">
        <f>D8*Specification!$H$3*Specification!$H$6/Specification!$C$17</f>
        <v>1616.2015748031497</v>
      </c>
      <c r="H8">
        <f t="shared" si="3"/>
        <v>1600</v>
      </c>
      <c r="I8">
        <f>A8/(60*Specification!$H$4*Specification!$H$6)*2*PI()*Specification!$C$17</f>
        <v>2.8372072320419823</v>
      </c>
      <c r="J8">
        <f>D8*Specification!$H$4*Specification!$H$6/Specification!$C$17</f>
        <v>631.32874015748018</v>
      </c>
      <c r="K8">
        <f t="shared" si="4"/>
        <v>1600</v>
      </c>
      <c r="L8">
        <f>A8/(60*Specification!$H$5*Specification!$H$6)*2*PI()*Specification!$C$17</f>
        <v>4.9257070000728849</v>
      </c>
      <c r="M8">
        <f>D8*Specification!$H$5*Specification!$H$6/Specification!$C$17</f>
        <v>363.6453543307087</v>
      </c>
      <c r="N8">
        <f t="shared" si="5"/>
        <v>1600</v>
      </c>
    </row>
    <row r="9" spans="1:14">
      <c r="A9">
        <f t="shared" si="1"/>
        <v>1700</v>
      </c>
      <c r="C9" s="5">
        <v>2.8</v>
      </c>
      <c r="D9">
        <f t="shared" si="0"/>
        <v>11.738588235294117</v>
      </c>
      <c r="E9">
        <f t="shared" si="2"/>
        <v>1700</v>
      </c>
      <c r="F9">
        <f>A9/(60*Specification!$H$3*Specification!$H$6)*2*PI()*Specification!$C$17</f>
        <v>1.1775518297049243</v>
      </c>
      <c r="G9">
        <f>D9*Specification!$H$3*Specification!$H$6/Specification!$C$17</f>
        <v>1774.6527095877721</v>
      </c>
      <c r="H9">
        <f t="shared" si="3"/>
        <v>1700</v>
      </c>
      <c r="I9">
        <f>A9/(60*Specification!$H$4*Specification!$H$6)*2*PI()*Specification!$C$17</f>
        <v>3.0145326840446058</v>
      </c>
      <c r="J9">
        <f>D9*Specification!$H$4*Specification!$H$6/Specification!$C$17</f>
        <v>693.22371468272343</v>
      </c>
      <c r="K9">
        <f t="shared" si="4"/>
        <v>1700</v>
      </c>
      <c r="L9">
        <f>A9/(60*Specification!$H$5*Specification!$H$6)*2*PI()*Specification!$C$17</f>
        <v>5.2335636875774414</v>
      </c>
      <c r="M9">
        <f>D9*Specification!$H$5*Specification!$H$6/Specification!$C$17</f>
        <v>399.29685965724872</v>
      </c>
      <c r="N9">
        <f t="shared" si="5"/>
        <v>1700</v>
      </c>
    </row>
    <row r="10" spans="1:14">
      <c r="A10">
        <f t="shared" si="1"/>
        <v>1800</v>
      </c>
      <c r="C10" s="5">
        <v>3.2</v>
      </c>
      <c r="D10">
        <f t="shared" si="0"/>
        <v>12.670222222222224</v>
      </c>
      <c r="E10">
        <f t="shared" si="2"/>
        <v>1800</v>
      </c>
      <c r="F10">
        <f>A10/(60*Specification!$H$3*Specification!$H$6)*2*PI()*Specification!$C$17</f>
        <v>1.2468195843934491</v>
      </c>
      <c r="G10">
        <f>D10*Specification!$H$3*Specification!$H$6/Specification!$C$17</f>
        <v>1915.498162729659</v>
      </c>
      <c r="H10">
        <f t="shared" si="3"/>
        <v>1800</v>
      </c>
      <c r="I10">
        <f>A10/(60*Specification!$H$4*Specification!$H$6)*2*PI()*Specification!$C$17</f>
        <v>3.1918581360472298</v>
      </c>
      <c r="J10">
        <f>D10*Specification!$H$4*Specification!$H$6/Specification!$C$17</f>
        <v>748.24146981627302</v>
      </c>
      <c r="K10">
        <f t="shared" si="4"/>
        <v>1800</v>
      </c>
      <c r="L10">
        <f>A10/(60*Specification!$H$5*Specification!$H$6)*2*PI()*Specification!$C$17</f>
        <v>5.5414203750819953</v>
      </c>
      <c r="M10">
        <f>D10*Specification!$H$5*Specification!$H$6/Specification!$C$17</f>
        <v>430.98708661417334</v>
      </c>
      <c r="N10">
        <f t="shared" si="5"/>
        <v>1800</v>
      </c>
    </row>
    <row r="11" spans="1:14">
      <c r="A11">
        <f t="shared" si="1"/>
        <v>1900</v>
      </c>
      <c r="C11" s="5">
        <v>3.6</v>
      </c>
      <c r="D11">
        <f t="shared" si="0"/>
        <v>13.503789473684211</v>
      </c>
      <c r="E11">
        <f t="shared" si="2"/>
        <v>1900</v>
      </c>
      <c r="F11">
        <f>A11/(60*Specification!$H$3*Specification!$H$6)*2*PI()*Specification!$C$17</f>
        <v>1.3160873390819741</v>
      </c>
      <c r="G11">
        <f>D11*Specification!$H$3*Specification!$H$6/Specification!$C$17</f>
        <v>2041.5177786987156</v>
      </c>
      <c r="H11">
        <f t="shared" si="3"/>
        <v>1900</v>
      </c>
      <c r="I11">
        <f>A11/(60*Specification!$H$4*Specification!$H$6)*2*PI()*Specification!$C$17</f>
        <v>3.3691835880498542</v>
      </c>
      <c r="J11">
        <f>D11*Specification!$H$4*Specification!$H$6/Specification!$C$17</f>
        <v>797.46788230418576</v>
      </c>
      <c r="K11">
        <f t="shared" si="4"/>
        <v>1900</v>
      </c>
      <c r="L11">
        <f>A11/(60*Specification!$H$5*Specification!$H$6)*2*PI()*Specification!$C$17</f>
        <v>5.8492770625865518</v>
      </c>
      <c r="M11">
        <f>D11*Specification!$H$5*Specification!$H$6/Specification!$C$17</f>
        <v>459.34150020721097</v>
      </c>
      <c r="N11">
        <f t="shared" si="5"/>
        <v>1900</v>
      </c>
    </row>
    <row r="12" spans="1:14">
      <c r="A12">
        <f t="shared" si="1"/>
        <v>2000</v>
      </c>
      <c r="B12">
        <v>4</v>
      </c>
      <c r="C12" s="5">
        <v>4</v>
      </c>
      <c r="D12">
        <f t="shared" si="0"/>
        <v>14.254</v>
      </c>
      <c r="E12">
        <f t="shared" si="2"/>
        <v>2000</v>
      </c>
      <c r="F12">
        <f>A12/(60*Specification!$H$3*Specification!$H$6)*2*PI()*Specification!$C$17</f>
        <v>1.3853550937704988</v>
      </c>
      <c r="G12">
        <f>D12*Specification!$H$3*Specification!$H$6/Specification!$C$17</f>
        <v>2154.9354330708661</v>
      </c>
      <c r="H12">
        <f t="shared" si="3"/>
        <v>2000</v>
      </c>
      <c r="I12">
        <f>A12/(60*Specification!$H$4*Specification!$H$6)*2*PI()*Specification!$C$17</f>
        <v>3.5465090400524777</v>
      </c>
      <c r="J12">
        <f>D12*Specification!$H$4*Specification!$H$6/Specification!$C$17</f>
        <v>841.77165354330702</v>
      </c>
      <c r="K12">
        <f t="shared" si="4"/>
        <v>2000</v>
      </c>
      <c r="L12">
        <f>A12/(60*Specification!$H$5*Specification!$H$6)*2*PI()*Specification!$C$17</f>
        <v>6.1571337500911074</v>
      </c>
      <c r="M12">
        <f>D12*Specification!$H$5*Specification!$H$6/Specification!$C$17</f>
        <v>484.86047244094482</v>
      </c>
      <c r="N12">
        <f t="shared" si="5"/>
        <v>2000</v>
      </c>
    </row>
    <row r="13" spans="1:14">
      <c r="A13">
        <f t="shared" si="1"/>
        <v>2100</v>
      </c>
      <c r="C13" s="5">
        <v>4.2</v>
      </c>
      <c r="D13">
        <f t="shared" si="0"/>
        <v>14.254000000000001</v>
      </c>
      <c r="E13">
        <f t="shared" si="2"/>
        <v>2100</v>
      </c>
      <c r="F13">
        <f>A13/(60*Specification!$H$3*Specification!$H$6)*2*PI()*Specification!$C$17</f>
        <v>1.454622848459024</v>
      </c>
      <c r="G13">
        <f>D13*Specification!$H$3*Specification!$H$6/Specification!$C$17</f>
        <v>2154.9354330708661</v>
      </c>
      <c r="H13">
        <f t="shared" si="3"/>
        <v>2100</v>
      </c>
      <c r="I13">
        <f>A13/(60*Specification!$H$4*Specification!$H$6)*2*PI()*Specification!$C$17</f>
        <v>3.7238344920551016</v>
      </c>
      <c r="J13">
        <f>D13*Specification!$H$4*Specification!$H$6/Specification!$C$17</f>
        <v>841.77165354330725</v>
      </c>
      <c r="K13">
        <f t="shared" si="4"/>
        <v>2100</v>
      </c>
      <c r="L13">
        <f>A13/(60*Specification!$H$5*Specification!$H$6)*2*PI()*Specification!$C$17</f>
        <v>6.4649904375956622</v>
      </c>
      <c r="M13">
        <f>D13*Specification!$H$5*Specification!$H$6/Specification!$C$17</f>
        <v>484.86047244094493</v>
      </c>
      <c r="N13">
        <f t="shared" si="5"/>
        <v>2100</v>
      </c>
    </row>
    <row r="14" spans="1:14">
      <c r="A14">
        <f t="shared" si="1"/>
        <v>2200</v>
      </c>
      <c r="C14" s="5">
        <v>4.4000000000000004</v>
      </c>
      <c r="D14">
        <f t="shared" si="0"/>
        <v>14.254000000000001</v>
      </c>
      <c r="E14">
        <f t="shared" si="2"/>
        <v>2200</v>
      </c>
      <c r="F14">
        <f>A14/(60*Specification!$H$3*Specification!$H$6)*2*PI()*Specification!$C$17</f>
        <v>1.523890603147549</v>
      </c>
      <c r="G14">
        <f>D14*Specification!$H$3*Specification!$H$6/Specification!$C$17</f>
        <v>2154.9354330708661</v>
      </c>
      <c r="H14">
        <f t="shared" si="3"/>
        <v>2200</v>
      </c>
      <c r="I14">
        <f>A14/(60*Specification!$H$4*Specification!$H$6)*2*PI()*Specification!$C$17</f>
        <v>3.9011599440577251</v>
      </c>
      <c r="J14">
        <f>D14*Specification!$H$4*Specification!$H$6/Specification!$C$17</f>
        <v>841.77165354330725</v>
      </c>
      <c r="K14">
        <f t="shared" si="4"/>
        <v>2200</v>
      </c>
      <c r="L14">
        <f>A14/(60*Specification!$H$5*Specification!$H$6)*2*PI()*Specification!$C$17</f>
        <v>6.7728471251002178</v>
      </c>
      <c r="M14">
        <f>D14*Specification!$H$5*Specification!$H$6/Specification!$C$17</f>
        <v>484.86047244094493</v>
      </c>
      <c r="N14">
        <f t="shared" si="5"/>
        <v>2200</v>
      </c>
    </row>
    <row r="15" spans="1:14">
      <c r="A15">
        <f t="shared" si="1"/>
        <v>2300</v>
      </c>
      <c r="C15" s="5">
        <v>4.5999999999999996</v>
      </c>
      <c r="D15">
        <f t="shared" si="0"/>
        <v>14.254</v>
      </c>
      <c r="E15">
        <f t="shared" si="2"/>
        <v>2300</v>
      </c>
      <c r="F15">
        <f>A15/(60*Specification!$H$3*Specification!$H$6)*2*PI()*Specification!$C$17</f>
        <v>1.5931583578360742</v>
      </c>
      <c r="G15">
        <f>D15*Specification!$H$3*Specification!$H$6/Specification!$C$17</f>
        <v>2154.9354330708661</v>
      </c>
      <c r="H15">
        <f t="shared" si="3"/>
        <v>2300</v>
      </c>
      <c r="I15">
        <f>A15/(60*Specification!$H$4*Specification!$H$6)*2*PI()*Specification!$C$17</f>
        <v>4.0784853960603487</v>
      </c>
      <c r="J15">
        <f>D15*Specification!$H$4*Specification!$H$6/Specification!$C$17</f>
        <v>841.77165354330702</v>
      </c>
      <c r="K15">
        <f t="shared" si="4"/>
        <v>2300</v>
      </c>
      <c r="L15">
        <f>A15/(60*Specification!$H$5*Specification!$H$6)*2*PI()*Specification!$C$17</f>
        <v>7.0807038126047734</v>
      </c>
      <c r="M15">
        <f>D15*Specification!$H$5*Specification!$H$6/Specification!$C$17</f>
        <v>484.86047244094482</v>
      </c>
      <c r="N15">
        <f t="shared" si="5"/>
        <v>2300</v>
      </c>
    </row>
    <row r="16" spans="1:14">
      <c r="A16">
        <f t="shared" si="1"/>
        <v>2400</v>
      </c>
      <c r="C16" s="5">
        <v>4.8</v>
      </c>
      <c r="D16">
        <f t="shared" si="0"/>
        <v>14.254</v>
      </c>
      <c r="E16">
        <f t="shared" si="2"/>
        <v>2400</v>
      </c>
      <c r="F16">
        <f>A16/(60*Specification!$H$3*Specification!$H$6)*2*PI()*Specification!$C$17</f>
        <v>1.6624261125245989</v>
      </c>
      <c r="G16">
        <f>D16*Specification!$H$3*Specification!$H$6/Specification!$C$17</f>
        <v>2154.9354330708661</v>
      </c>
      <c r="H16">
        <f t="shared" si="3"/>
        <v>2400</v>
      </c>
      <c r="I16">
        <f>A16/(60*Specification!$H$4*Specification!$H$6)*2*PI()*Specification!$C$17</f>
        <v>4.2558108480629731</v>
      </c>
      <c r="J16">
        <f>D16*Specification!$H$4*Specification!$H$6/Specification!$C$17</f>
        <v>841.77165354330702</v>
      </c>
      <c r="K16">
        <f t="shared" si="4"/>
        <v>2400</v>
      </c>
      <c r="L16">
        <f>A16/(60*Specification!$H$5*Specification!$H$6)*2*PI()*Specification!$C$17</f>
        <v>7.3885605001093282</v>
      </c>
      <c r="M16">
        <f>D16*Specification!$H$5*Specification!$H$6/Specification!$C$17</f>
        <v>484.86047244094482</v>
      </c>
      <c r="N16">
        <f t="shared" si="5"/>
        <v>2400</v>
      </c>
    </row>
    <row r="17" spans="1:14">
      <c r="A17">
        <f t="shared" si="1"/>
        <v>2500</v>
      </c>
      <c r="B17">
        <v>5</v>
      </c>
      <c r="C17" s="5">
        <v>5</v>
      </c>
      <c r="D17">
        <f t="shared" si="0"/>
        <v>14.254</v>
      </c>
      <c r="E17">
        <f t="shared" si="2"/>
        <v>2500</v>
      </c>
      <c r="F17">
        <f>A17/(60*Specification!$H$3*Specification!$H$6)*2*PI()*Specification!$C$17</f>
        <v>1.7316938672131239</v>
      </c>
      <c r="G17">
        <f>D17*Specification!$H$3*Specification!$H$6/Specification!$C$17</f>
        <v>2154.9354330708661</v>
      </c>
      <c r="H17">
        <f t="shared" si="3"/>
        <v>2500</v>
      </c>
      <c r="I17">
        <f>A17/(60*Specification!$H$4*Specification!$H$6)*2*PI()*Specification!$C$17</f>
        <v>4.4331363000655974</v>
      </c>
      <c r="J17">
        <f>D17*Specification!$H$4*Specification!$H$6/Specification!$C$17</f>
        <v>841.77165354330702</v>
      </c>
      <c r="K17">
        <f t="shared" si="4"/>
        <v>2500</v>
      </c>
      <c r="L17">
        <f>A17/(60*Specification!$H$5*Specification!$H$6)*2*PI()*Specification!$C$17</f>
        <v>7.6964171876138838</v>
      </c>
      <c r="M17">
        <f>D17*Specification!$H$5*Specification!$H$6/Specification!$C$17</f>
        <v>484.86047244094482</v>
      </c>
      <c r="N17">
        <f t="shared" si="5"/>
        <v>2500</v>
      </c>
    </row>
    <row r="18" spans="1:14">
      <c r="A18">
        <f t="shared" si="1"/>
        <v>2600</v>
      </c>
      <c r="C18" s="5">
        <v>5.4</v>
      </c>
      <c r="D18">
        <f t="shared" si="0"/>
        <v>14.80223076923077</v>
      </c>
      <c r="E18">
        <f t="shared" si="2"/>
        <v>2600</v>
      </c>
      <c r="F18">
        <f>A18/(60*Specification!$H$3*Specification!$H$6)*2*PI()*Specification!$C$17</f>
        <v>1.8009616219016487</v>
      </c>
      <c r="G18">
        <f>D18*Specification!$H$3*Specification!$H$6/Specification!$C$17</f>
        <v>2237.8175651120532</v>
      </c>
      <c r="H18">
        <f t="shared" si="3"/>
        <v>2600</v>
      </c>
      <c r="I18">
        <f>A18/(60*Specification!$H$4*Specification!$H$6)*2*PI()*Specification!$C$17</f>
        <v>4.610461752068221</v>
      </c>
      <c r="J18">
        <f>D18*Specification!$H$4*Specification!$H$6/Specification!$C$17</f>
        <v>874.14748637189564</v>
      </c>
      <c r="K18">
        <f t="shared" si="4"/>
        <v>2600</v>
      </c>
      <c r="L18">
        <f>A18/(60*Specification!$H$5*Specification!$H$6)*2*PI()*Specification!$C$17</f>
        <v>8.0042738751184395</v>
      </c>
      <c r="M18">
        <f>D18*Specification!$H$5*Specification!$H$6/Specification!$C$17</f>
        <v>503.508952150212</v>
      </c>
      <c r="N18">
        <f t="shared" si="5"/>
        <v>2600</v>
      </c>
    </row>
    <row r="19" spans="1:14">
      <c r="A19">
        <f t="shared" si="1"/>
        <v>2700</v>
      </c>
      <c r="C19" s="5">
        <v>5.8</v>
      </c>
      <c r="D19">
        <f t="shared" si="0"/>
        <v>15.309851851851851</v>
      </c>
      <c r="E19">
        <f t="shared" si="2"/>
        <v>2700</v>
      </c>
      <c r="F19">
        <f>A19/(60*Specification!$H$3*Specification!$H$6)*2*PI()*Specification!$C$17</f>
        <v>1.8702293765901736</v>
      </c>
      <c r="G19">
        <f>D19*Specification!$H$3*Specification!$H$6/Specification!$C$17</f>
        <v>2314.5602799650042</v>
      </c>
      <c r="H19">
        <f t="shared" si="3"/>
        <v>2700</v>
      </c>
      <c r="I19">
        <f>A19/(60*Specification!$H$4*Specification!$H$6)*2*PI()*Specification!$C$17</f>
        <v>4.7877872040708445</v>
      </c>
      <c r="J19">
        <f>D19*Specification!$H$4*Specification!$H$6/Specification!$C$17</f>
        <v>904.12510936132981</v>
      </c>
      <c r="K19">
        <f t="shared" si="4"/>
        <v>2700</v>
      </c>
      <c r="L19">
        <f>A19/(60*Specification!$H$5*Specification!$H$6)*2*PI()*Specification!$C$17</f>
        <v>8.3121305626229951</v>
      </c>
      <c r="M19">
        <f>D19*Specification!$H$5*Specification!$H$6/Specification!$C$17</f>
        <v>520.77606299212596</v>
      </c>
      <c r="N19">
        <f t="shared" si="5"/>
        <v>2700</v>
      </c>
    </row>
    <row r="20" spans="1:14">
      <c r="A20">
        <f t="shared" si="1"/>
        <v>2800</v>
      </c>
      <c r="C20" s="5">
        <v>6.2</v>
      </c>
      <c r="D20">
        <f t="shared" si="0"/>
        <v>15.781214285714286</v>
      </c>
      <c r="E20">
        <f t="shared" si="2"/>
        <v>2800</v>
      </c>
      <c r="F20">
        <f>A20/(60*Specification!$H$3*Specification!$H$6)*2*PI()*Specification!$C$17</f>
        <v>1.9394971312786988</v>
      </c>
      <c r="G20">
        <f>D20*Specification!$H$3*Specification!$H$6/Specification!$C$17</f>
        <v>2385.8213723284589</v>
      </c>
      <c r="H20">
        <f t="shared" si="3"/>
        <v>2800</v>
      </c>
      <c r="I20">
        <f>A20/(60*Specification!$H$4*Specification!$H$6)*2*PI()*Specification!$C$17</f>
        <v>4.9651126560734689</v>
      </c>
      <c r="J20">
        <f>D20*Specification!$H$4*Specification!$H$6/Specification!$C$17</f>
        <v>931.96147356580434</v>
      </c>
      <c r="K20">
        <f t="shared" si="4"/>
        <v>2800</v>
      </c>
      <c r="L20">
        <f>A20/(60*Specification!$H$5*Specification!$H$6)*2*PI()*Specification!$C$17</f>
        <v>8.619987250127549</v>
      </c>
      <c r="M20">
        <f>D20*Specification!$H$5*Specification!$H$6/Specification!$C$17</f>
        <v>536.80980877390334</v>
      </c>
      <c r="N20">
        <f t="shared" si="5"/>
        <v>2800</v>
      </c>
    </row>
    <row r="21" spans="1:14">
      <c r="A21">
        <f t="shared" si="1"/>
        <v>2900</v>
      </c>
      <c r="C21" s="5">
        <v>6.6</v>
      </c>
      <c r="D21">
        <f t="shared" si="0"/>
        <v>16.220068965517239</v>
      </c>
      <c r="E21">
        <f t="shared" si="2"/>
        <v>2900</v>
      </c>
      <c r="F21">
        <f>A21/(60*Specification!$H$3*Specification!$H$6)*2*PI()*Specification!$C$17</f>
        <v>2.0087648859672238</v>
      </c>
      <c r="G21">
        <f>D21*Specification!$H$3*Specification!$H$6/Specification!$C$17</f>
        <v>2452.1679065978815</v>
      </c>
      <c r="H21">
        <f t="shared" si="3"/>
        <v>2900</v>
      </c>
      <c r="I21">
        <f>A21/(60*Specification!$H$4*Specification!$H$6)*2*PI()*Specification!$C$17</f>
        <v>5.1424381080760933</v>
      </c>
      <c r="J21">
        <f>D21*Specification!$H$4*Specification!$H$6/Specification!$C$17</f>
        <v>957.87808851479758</v>
      </c>
      <c r="K21">
        <f t="shared" si="4"/>
        <v>2900</v>
      </c>
      <c r="L21">
        <f>A21/(60*Specification!$H$5*Specification!$H$6)*2*PI()*Specification!$C$17</f>
        <v>8.9278439376321046</v>
      </c>
      <c r="M21">
        <f>D21*Specification!$H$5*Specification!$H$6/Specification!$C$17</f>
        <v>551.73777898452329</v>
      </c>
      <c r="N21">
        <f t="shared" si="5"/>
        <v>2900</v>
      </c>
    </row>
    <row r="22" spans="1:14">
      <c r="A22">
        <f t="shared" si="1"/>
        <v>3000</v>
      </c>
      <c r="B22">
        <v>7</v>
      </c>
      <c r="C22" s="5">
        <v>7</v>
      </c>
      <c r="D22">
        <f t="shared" si="0"/>
        <v>16.629666666666665</v>
      </c>
      <c r="E22">
        <f t="shared" si="2"/>
        <v>3000</v>
      </c>
      <c r="F22">
        <f>A22/(60*Specification!$H$3*Specification!$H$6)*2*PI()*Specification!$C$17</f>
        <v>2.0780326406557488</v>
      </c>
      <c r="G22">
        <f>D22*Specification!$H$3*Specification!$H$6/Specification!$C$17</f>
        <v>2514.0913385826771</v>
      </c>
      <c r="H22">
        <f t="shared" si="3"/>
        <v>3000</v>
      </c>
      <c r="I22">
        <f>A22/(60*Specification!$H$4*Specification!$H$6)*2*PI()*Specification!$C$17</f>
        <v>5.3197635600787159</v>
      </c>
      <c r="J22">
        <f>D22*Specification!$H$4*Specification!$H$6/Specification!$C$17</f>
        <v>982.06692913385814</v>
      </c>
      <c r="K22">
        <f t="shared" si="4"/>
        <v>3000</v>
      </c>
      <c r="L22">
        <f>A22/(60*Specification!$H$5*Specification!$H$6)*2*PI()*Specification!$C$17</f>
        <v>9.2357006251366602</v>
      </c>
      <c r="M22">
        <f>D22*Specification!$H$5*Specification!$H$6/Specification!$C$17</f>
        <v>565.67055118110227</v>
      </c>
      <c r="N22">
        <f t="shared" si="5"/>
        <v>3000</v>
      </c>
    </row>
    <row r="23" spans="1:14">
      <c r="A23">
        <f t="shared" si="1"/>
        <v>3100</v>
      </c>
      <c r="C23" s="5">
        <v>7.5</v>
      </c>
      <c r="D23">
        <f t="shared" si="0"/>
        <v>17.24274193548387</v>
      </c>
      <c r="E23">
        <f t="shared" si="2"/>
        <v>3100</v>
      </c>
      <c r="F23">
        <f>A23/(60*Specification!$H$3*Specification!$H$6)*2*PI()*Specification!$C$17</f>
        <v>2.1473003953442733</v>
      </c>
      <c r="G23">
        <f>D23*Specification!$H$3*Specification!$H$6/Specification!$C$17</f>
        <v>2606.7767335534668</v>
      </c>
      <c r="H23">
        <f t="shared" si="3"/>
        <v>3100</v>
      </c>
      <c r="I23">
        <f>A23/(60*Specification!$H$4*Specification!$H$6)*2*PI()*Specification!$C$17</f>
        <v>5.4970890120813403</v>
      </c>
      <c r="J23">
        <f>D23*Specification!$H$4*Specification!$H$6/Specification!$C$17</f>
        <v>1018.272161544323</v>
      </c>
      <c r="K23">
        <f t="shared" si="4"/>
        <v>3100</v>
      </c>
      <c r="L23">
        <f>A23/(60*Specification!$H$5*Specification!$H$6)*2*PI()*Specification!$C$17</f>
        <v>9.5435573126412159</v>
      </c>
      <c r="M23">
        <f>D23*Specification!$H$5*Specification!$H$6/Specification!$C$17</f>
        <v>586.52476504953006</v>
      </c>
      <c r="N23">
        <f t="shared" si="5"/>
        <v>3100</v>
      </c>
    </row>
    <row r="24" spans="1:14">
      <c r="A24">
        <f t="shared" si="1"/>
        <v>3200</v>
      </c>
      <c r="C24" s="5">
        <v>8</v>
      </c>
      <c r="D24">
        <f t="shared" si="0"/>
        <v>17.817499999999999</v>
      </c>
      <c r="E24">
        <f t="shared" si="2"/>
        <v>3200</v>
      </c>
      <c r="F24">
        <f>A24/(60*Specification!$H$3*Specification!$H$6)*2*PI()*Specification!$C$17</f>
        <v>2.2165681500327987</v>
      </c>
      <c r="G24">
        <f>D24*Specification!$H$3*Specification!$H$6/Specification!$C$17</f>
        <v>2693.6692913385828</v>
      </c>
      <c r="H24">
        <f t="shared" si="3"/>
        <v>3200</v>
      </c>
      <c r="I24">
        <f>A24/(60*Specification!$H$4*Specification!$H$6)*2*PI()*Specification!$C$17</f>
        <v>5.6744144640839647</v>
      </c>
      <c r="J24">
        <f>D24*Specification!$H$4*Specification!$H$6/Specification!$C$17</f>
        <v>1052.2145669291338</v>
      </c>
      <c r="K24">
        <f t="shared" si="4"/>
        <v>3200</v>
      </c>
      <c r="L24">
        <f>A24/(60*Specification!$H$5*Specification!$H$6)*2*PI()*Specification!$C$17</f>
        <v>9.8514140001457697</v>
      </c>
      <c r="M24">
        <f>D24*Specification!$H$5*Specification!$H$6/Specification!$C$17</f>
        <v>606.07559055118111</v>
      </c>
      <c r="N24">
        <f t="shared" si="5"/>
        <v>3200</v>
      </c>
    </row>
    <row r="25" spans="1:14">
      <c r="A25">
        <f t="shared" si="1"/>
        <v>3300</v>
      </c>
      <c r="C25" s="5">
        <v>8.5</v>
      </c>
      <c r="D25">
        <f t="shared" si="0"/>
        <v>18.357424242424244</v>
      </c>
      <c r="E25">
        <f t="shared" si="2"/>
        <v>3300</v>
      </c>
      <c r="F25">
        <f>A25/(60*Specification!$H$3*Specification!$H$6)*2*PI()*Specification!$C$17</f>
        <v>2.2858359047213233</v>
      </c>
      <c r="G25">
        <f>D25*Specification!$H$3*Specification!$H$6/Specification!$C$17</f>
        <v>2775.2956335003582</v>
      </c>
      <c r="H25">
        <f t="shared" si="3"/>
        <v>3300</v>
      </c>
      <c r="I25">
        <f>A25/(60*Specification!$H$4*Specification!$H$6)*2*PI()*Specification!$C$17</f>
        <v>5.8517399160865873</v>
      </c>
      <c r="J25">
        <f>D25*Specification!$H$4*Specification!$H$6/Specification!$C$17</f>
        <v>1084.0998568360776</v>
      </c>
      <c r="K25">
        <f t="shared" si="4"/>
        <v>3300</v>
      </c>
      <c r="L25">
        <f>A25/(60*Specification!$H$5*Specification!$H$6)*2*PI()*Specification!$C$17</f>
        <v>10.159270687650327</v>
      </c>
      <c r="M25">
        <f>D25*Specification!$H$5*Specification!$H$6/Specification!$C$17</f>
        <v>624.44151753758069</v>
      </c>
      <c r="N25">
        <f t="shared" si="5"/>
        <v>3300</v>
      </c>
    </row>
    <row r="26" spans="1:14">
      <c r="A26">
        <f t="shared" si="1"/>
        <v>3400</v>
      </c>
      <c r="C26" s="5">
        <v>9</v>
      </c>
      <c r="D26">
        <f t="shared" si="0"/>
        <v>18.865588235294119</v>
      </c>
      <c r="E26">
        <f t="shared" si="2"/>
        <v>3400</v>
      </c>
      <c r="F26">
        <f>A26/(60*Specification!$H$3*Specification!$H$6)*2*PI()*Specification!$C$17</f>
        <v>2.3551036594098487</v>
      </c>
      <c r="G26">
        <f>D26*Specification!$H$3*Specification!$H$6/Specification!$C$17</f>
        <v>2852.1204261232056</v>
      </c>
      <c r="H26">
        <f t="shared" si="3"/>
        <v>3400</v>
      </c>
      <c r="I26">
        <f>A26/(60*Specification!$H$4*Specification!$H$6)*2*PI()*Specification!$C$17</f>
        <v>6.0290653680892117</v>
      </c>
      <c r="J26">
        <f>D26*Specification!$H$4*Specification!$H$6/Specification!$C$17</f>
        <v>1114.1095414543772</v>
      </c>
      <c r="K26">
        <f t="shared" si="4"/>
        <v>3400</v>
      </c>
      <c r="L26">
        <f>A26/(60*Specification!$H$5*Specification!$H$6)*2*PI()*Specification!$C$17</f>
        <v>10.467127375154883</v>
      </c>
      <c r="M26">
        <f>D26*Specification!$H$5*Specification!$H$6/Specification!$C$17</f>
        <v>641.72709587772113</v>
      </c>
      <c r="N26">
        <f t="shared" si="5"/>
        <v>3400</v>
      </c>
    </row>
    <row r="27" spans="1:14">
      <c r="A27">
        <f t="shared" si="1"/>
        <v>3500</v>
      </c>
      <c r="B27">
        <v>9.5</v>
      </c>
      <c r="C27" s="5">
        <v>9.5</v>
      </c>
      <c r="D27">
        <f t="shared" si="0"/>
        <v>19.344714285714286</v>
      </c>
      <c r="E27">
        <f t="shared" si="2"/>
        <v>3500</v>
      </c>
      <c r="F27">
        <f>A27/(60*Specification!$H$3*Specification!$H$6)*2*PI()*Specification!$C$17</f>
        <v>2.4243714140983732</v>
      </c>
      <c r="G27">
        <f>D27*Specification!$H$3*Specification!$H$6/Specification!$C$17</f>
        <v>2924.5552305961751</v>
      </c>
      <c r="H27">
        <f t="shared" si="3"/>
        <v>3500</v>
      </c>
      <c r="I27">
        <f>A27/(60*Specification!$H$4*Specification!$H$6)*2*PI()*Specification!$C$17</f>
        <v>6.2063908200918352</v>
      </c>
      <c r="J27">
        <f>D27*Specification!$H$4*Specification!$H$6/Specification!$C$17</f>
        <v>1142.4043869516308</v>
      </c>
      <c r="K27">
        <f t="shared" si="4"/>
        <v>3500</v>
      </c>
      <c r="L27">
        <f>A27/(60*Specification!$H$5*Specification!$H$6)*2*PI()*Specification!$C$17</f>
        <v>10.774984062659437</v>
      </c>
      <c r="M27">
        <f>D27*Specification!$H$5*Specification!$H$6/Specification!$C$17</f>
        <v>658.02492688413952</v>
      </c>
      <c r="N27">
        <f t="shared" si="5"/>
        <v>3500</v>
      </c>
    </row>
    <row r="28" spans="1:14">
      <c r="A28">
        <f t="shared" si="1"/>
        <v>3600</v>
      </c>
      <c r="C28" s="5">
        <v>9.6999999999999993</v>
      </c>
      <c r="D28">
        <f t="shared" si="0"/>
        <v>19.203305555555556</v>
      </c>
      <c r="E28">
        <f t="shared" si="2"/>
        <v>3600</v>
      </c>
      <c r="F28">
        <f>A28/(60*Specification!$H$3*Specification!$H$6)*2*PI()*Specification!$C$17</f>
        <v>2.4936391687868982</v>
      </c>
      <c r="G28">
        <f>D28*Specification!$H$3*Specification!$H$6/Specification!$C$17</f>
        <v>2903.176902887139</v>
      </c>
      <c r="H28">
        <f t="shared" si="3"/>
        <v>3600</v>
      </c>
      <c r="I28">
        <f>A28/(60*Specification!$H$4*Specification!$H$6)*2*PI()*Specification!$C$17</f>
        <v>6.3837162720944596</v>
      </c>
      <c r="J28">
        <f>D28*Specification!$H$4*Specification!$H$6/Specification!$C$17</f>
        <v>1134.0534776902887</v>
      </c>
      <c r="K28">
        <f t="shared" si="4"/>
        <v>3600</v>
      </c>
      <c r="L28">
        <f>A28/(60*Specification!$H$5*Specification!$H$6)*2*PI()*Specification!$C$17</f>
        <v>11.082840750163991</v>
      </c>
      <c r="M28">
        <f>D28*Specification!$H$5*Specification!$H$6/Specification!$C$17</f>
        <v>653.21480314960627</v>
      </c>
      <c r="N28">
        <f t="shared" si="5"/>
        <v>3600</v>
      </c>
    </row>
    <row r="29" spans="1:14">
      <c r="A29">
        <f t="shared" si="1"/>
        <v>3700</v>
      </c>
      <c r="C29" s="5">
        <v>9.9</v>
      </c>
      <c r="D29">
        <f t="shared" si="0"/>
        <v>19.06954054054054</v>
      </c>
      <c r="E29">
        <f t="shared" si="2"/>
        <v>3700</v>
      </c>
      <c r="F29">
        <f>A29/(60*Specification!$H$3*Specification!$H$6)*2*PI()*Specification!$C$17</f>
        <v>2.5629069234754236</v>
      </c>
      <c r="G29">
        <f>D29*Specification!$H$3*Specification!$H$6/Specification!$C$17</f>
        <v>2882.954160459672</v>
      </c>
      <c r="H29">
        <f t="shared" si="3"/>
        <v>3700</v>
      </c>
      <c r="I29">
        <f>A29/(60*Specification!$H$4*Specification!$H$6)*2*PI()*Specification!$C$17</f>
        <v>6.561041724097084</v>
      </c>
      <c r="J29">
        <f>D29*Specification!$H$4*Specification!$H$6/Specification!$C$17</f>
        <v>1126.1539689295596</v>
      </c>
      <c r="K29">
        <f t="shared" si="4"/>
        <v>3700</v>
      </c>
      <c r="L29">
        <f>A29/(60*Specification!$H$5*Specification!$H$6)*2*PI()*Specification!$C$17</f>
        <v>11.390697437668548</v>
      </c>
      <c r="M29">
        <f>D29*Specification!$H$5*Specification!$H$6/Specification!$C$17</f>
        <v>648.66468610342622</v>
      </c>
      <c r="N29">
        <f t="shared" si="5"/>
        <v>3700</v>
      </c>
    </row>
    <row r="30" spans="1:14">
      <c r="A30">
        <f t="shared" si="1"/>
        <v>3800</v>
      </c>
      <c r="C30" s="5">
        <v>10.1</v>
      </c>
      <c r="D30">
        <f t="shared" si="0"/>
        <v>18.942815789473684</v>
      </c>
      <c r="E30">
        <f t="shared" si="2"/>
        <v>3800</v>
      </c>
      <c r="F30">
        <f>A30/(60*Specification!$H$3*Specification!$H$6)*2*PI()*Specification!$C$17</f>
        <v>2.6321746781639481</v>
      </c>
      <c r="G30">
        <f>D30*Specification!$H$3*Specification!$H$6/Specification!$C$17</f>
        <v>2863.795772896809</v>
      </c>
      <c r="H30">
        <f t="shared" si="3"/>
        <v>3800</v>
      </c>
      <c r="I30">
        <f>A30/(60*Specification!$H$4*Specification!$H$6)*2*PI()*Specification!$C$17</f>
        <v>6.7383671760997084</v>
      </c>
      <c r="J30">
        <f>D30*Specification!$H$4*Specification!$H$6/Specification!$C$17</f>
        <v>1118.670223787816</v>
      </c>
      <c r="K30">
        <f t="shared" si="4"/>
        <v>3800</v>
      </c>
      <c r="L30">
        <f>A30/(60*Specification!$H$5*Specification!$H$6)*2*PI()*Specification!$C$17</f>
        <v>11.698554125173104</v>
      </c>
      <c r="M30">
        <f>D30*Specification!$H$5*Specification!$H$6/Specification!$C$17</f>
        <v>644.35404890178211</v>
      </c>
      <c r="N30">
        <f t="shared" si="5"/>
        <v>3800</v>
      </c>
    </row>
    <row r="31" spans="1:14">
      <c r="A31">
        <f t="shared" si="1"/>
        <v>3900</v>
      </c>
      <c r="C31" s="5">
        <v>10.3</v>
      </c>
      <c r="D31">
        <f t="shared" si="0"/>
        <v>18.822589743589745</v>
      </c>
      <c r="E31">
        <f t="shared" si="2"/>
        <v>3900</v>
      </c>
      <c r="F31">
        <f>A31/(60*Specification!$H$3*Specification!$H$6)*2*PI()*Specification!$C$17</f>
        <v>2.7014424328524731</v>
      </c>
      <c r="G31">
        <f>D31*Specification!$H$3*Specification!$H$6/Specification!$C$17</f>
        <v>2845.6198667474259</v>
      </c>
      <c r="H31">
        <f t="shared" si="3"/>
        <v>3900</v>
      </c>
      <c r="I31">
        <f>A31/(60*Specification!$H$4*Specification!$H$6)*2*PI()*Specification!$C$17</f>
        <v>6.9156926281023319</v>
      </c>
      <c r="J31">
        <f>D31*Specification!$H$4*Specification!$H$6/Specification!$C$17</f>
        <v>1111.5702604482133</v>
      </c>
      <c r="K31">
        <f t="shared" si="4"/>
        <v>3900</v>
      </c>
      <c r="L31">
        <f>A31/(60*Specification!$H$5*Specification!$H$6)*2*PI()*Specification!$C$17</f>
        <v>12.006410812677657</v>
      </c>
      <c r="M31">
        <f>D31*Specification!$H$5*Specification!$H$6/Specification!$C$17</f>
        <v>640.26447001817098</v>
      </c>
      <c r="N31">
        <f t="shared" si="5"/>
        <v>3900</v>
      </c>
    </row>
    <row r="32" spans="1:14">
      <c r="A32">
        <f t="shared" si="1"/>
        <v>4000</v>
      </c>
      <c r="B32">
        <v>10.5</v>
      </c>
      <c r="C32" s="5">
        <v>10.5</v>
      </c>
      <c r="D32">
        <f t="shared" si="0"/>
        <v>18.708375</v>
      </c>
      <c r="E32">
        <f t="shared" si="2"/>
        <v>4000</v>
      </c>
      <c r="F32">
        <f>A32/(60*Specification!$H$3*Specification!$H$6)*2*PI()*Specification!$C$17</f>
        <v>2.7707101875409976</v>
      </c>
      <c r="G32">
        <f>D32*Specification!$H$3*Specification!$H$6/Specification!$C$17</f>
        <v>2828.3527559055115</v>
      </c>
      <c r="H32">
        <f t="shared" si="3"/>
        <v>4000</v>
      </c>
      <c r="I32">
        <f>A32/(60*Specification!$H$4*Specification!$H$6)*2*PI()*Specification!$C$17</f>
        <v>7.0930180801049554</v>
      </c>
      <c r="J32">
        <f>D32*Specification!$H$4*Specification!$H$6/Specification!$C$17</f>
        <v>1104.8252952755906</v>
      </c>
      <c r="K32">
        <f t="shared" si="4"/>
        <v>4000</v>
      </c>
      <c r="L32">
        <f>A32/(60*Specification!$H$5*Specification!$H$6)*2*PI()*Specification!$C$17</f>
        <v>12.314267500182215</v>
      </c>
      <c r="M32">
        <f>D32*Specification!$H$5*Specification!$H$6/Specification!$C$17</f>
        <v>636.37937007874018</v>
      </c>
      <c r="N32">
        <f t="shared" si="5"/>
        <v>4000</v>
      </c>
    </row>
    <row r="33" spans="1:14">
      <c r="A33">
        <f t="shared" si="1"/>
        <v>4100</v>
      </c>
      <c r="C33" s="5">
        <v>10.8</v>
      </c>
      <c r="D33">
        <f t="shared" si="0"/>
        <v>18.773560975609758</v>
      </c>
      <c r="E33">
        <f t="shared" si="2"/>
        <v>4100</v>
      </c>
      <c r="F33">
        <f>A33/(60*Specification!$H$3*Specification!$H$6)*2*PI()*Specification!$C$17</f>
        <v>2.839977942229523</v>
      </c>
      <c r="G33">
        <f>D33*Specification!$H$3*Specification!$H$6/Specification!$C$17</f>
        <v>2838.207643556751</v>
      </c>
      <c r="H33">
        <f t="shared" si="3"/>
        <v>4100</v>
      </c>
      <c r="I33">
        <f>A33/(60*Specification!$H$4*Specification!$H$6)*2*PI()*Specification!$C$17</f>
        <v>7.2703435321075789</v>
      </c>
      <c r="J33">
        <f>D33*Specification!$H$4*Specification!$H$6/Specification!$C$17</f>
        <v>1108.6748607643556</v>
      </c>
      <c r="K33">
        <f t="shared" si="4"/>
        <v>4100</v>
      </c>
      <c r="L33">
        <f>A33/(60*Specification!$H$5*Specification!$H$6)*2*PI()*Specification!$C$17</f>
        <v>12.62212418768677</v>
      </c>
      <c r="M33">
        <f>D33*Specification!$H$5*Specification!$H$6/Specification!$C$17</f>
        <v>638.59671980026894</v>
      </c>
      <c r="N33">
        <f t="shared" si="5"/>
        <v>4100</v>
      </c>
    </row>
    <row r="34" spans="1:14">
      <c r="A34">
        <f t="shared" si="1"/>
        <v>4200</v>
      </c>
      <c r="C34" s="5">
        <v>11.1</v>
      </c>
      <c r="D34">
        <f t="shared" si="0"/>
        <v>18.835642857142858</v>
      </c>
      <c r="E34">
        <f t="shared" si="2"/>
        <v>4200</v>
      </c>
      <c r="F34">
        <f>A34/(60*Specification!$H$3*Specification!$H$6)*2*PI()*Specification!$C$17</f>
        <v>2.909245696918048</v>
      </c>
      <c r="G34">
        <f>D34*Specification!$H$3*Specification!$H$6/Specification!$C$17</f>
        <v>2847.5932508436445</v>
      </c>
      <c r="H34">
        <f t="shared" si="3"/>
        <v>4200</v>
      </c>
      <c r="I34">
        <f>A34/(60*Specification!$H$4*Specification!$H$6)*2*PI()*Specification!$C$17</f>
        <v>7.4476689841102033</v>
      </c>
      <c r="J34">
        <f>D34*Specification!$H$4*Specification!$H$6/Specification!$C$17</f>
        <v>1112.3411136107986</v>
      </c>
      <c r="K34">
        <f t="shared" si="4"/>
        <v>4200</v>
      </c>
      <c r="L34">
        <f>A34/(60*Specification!$H$5*Specification!$H$6)*2*PI()*Specification!$C$17</f>
        <v>12.929980875191324</v>
      </c>
      <c r="M34">
        <f>D34*Specification!$H$5*Specification!$H$6/Specification!$C$17</f>
        <v>640.70848143982005</v>
      </c>
      <c r="N34">
        <f t="shared" si="5"/>
        <v>4200</v>
      </c>
    </row>
    <row r="35" spans="1:14">
      <c r="A35">
        <f t="shared" si="1"/>
        <v>4300</v>
      </c>
      <c r="C35" s="5">
        <v>11.4</v>
      </c>
      <c r="D35">
        <f t="shared" si="0"/>
        <v>18.894837209302327</v>
      </c>
      <c r="E35">
        <f t="shared" si="2"/>
        <v>4300</v>
      </c>
      <c r="F35">
        <f>A35/(60*Specification!$H$3*Specification!$H$6)*2*PI()*Specification!$C$17</f>
        <v>2.9785134516065734</v>
      </c>
      <c r="G35">
        <f>D35*Specification!$H$3*Specification!$H$6/Specification!$C$17</f>
        <v>2856.5423182567301</v>
      </c>
      <c r="H35">
        <f t="shared" si="3"/>
        <v>4300</v>
      </c>
      <c r="I35">
        <f>A35/(60*Specification!$H$4*Specification!$H$6)*2*PI()*Specification!$C$17</f>
        <v>7.6249944361128277</v>
      </c>
      <c r="J35">
        <f>D35*Specification!$H$4*Specification!$H$6/Specification!$C$17</f>
        <v>1115.836843069035</v>
      </c>
      <c r="K35">
        <f t="shared" si="4"/>
        <v>4300</v>
      </c>
      <c r="L35">
        <f>A35/(60*Specification!$H$5*Specification!$H$6)*2*PI()*Specification!$C$17</f>
        <v>13.23783756269588</v>
      </c>
      <c r="M35">
        <f>D35*Specification!$H$5*Specification!$H$6/Specification!$C$17</f>
        <v>642.72202160776419</v>
      </c>
      <c r="N35">
        <f t="shared" si="5"/>
        <v>4300</v>
      </c>
    </row>
    <row r="36" spans="1:14">
      <c r="A36">
        <f t="shared" si="1"/>
        <v>4400</v>
      </c>
      <c r="C36" s="5">
        <v>11.7</v>
      </c>
      <c r="D36">
        <f t="shared" si="0"/>
        <v>18.951340909090909</v>
      </c>
      <c r="E36">
        <f t="shared" si="2"/>
        <v>4400</v>
      </c>
      <c r="F36">
        <f>A36/(60*Specification!$H$3*Specification!$H$6)*2*PI()*Specification!$C$17</f>
        <v>3.047781206295098</v>
      </c>
      <c r="G36">
        <f>D36*Specification!$H$3*Specification!$H$6/Specification!$C$17</f>
        <v>2865.0846098783109</v>
      </c>
      <c r="H36">
        <f t="shared" si="3"/>
        <v>4400</v>
      </c>
      <c r="I36">
        <f>A36/(60*Specification!$H$4*Specification!$H$6)*2*PI()*Specification!$C$17</f>
        <v>7.8023198881154503</v>
      </c>
      <c r="J36">
        <f>D36*Specification!$H$4*Specification!$H$6/Specification!$C$17</f>
        <v>1119.1736757337151</v>
      </c>
      <c r="K36">
        <f t="shared" si="4"/>
        <v>4400</v>
      </c>
      <c r="L36">
        <f>A36/(60*Specification!$H$5*Specification!$H$6)*2*PI()*Specification!$C$17</f>
        <v>13.545694250200436</v>
      </c>
      <c r="M36">
        <f>D36*Specification!$H$5*Specification!$H$6/Specification!$C$17</f>
        <v>644.64403722262</v>
      </c>
      <c r="N36">
        <f t="shared" si="5"/>
        <v>4400</v>
      </c>
    </row>
    <row r="37" spans="1:14">
      <c r="A37">
        <f t="shared" si="1"/>
        <v>4500</v>
      </c>
      <c r="B37">
        <v>12</v>
      </c>
      <c r="C37" s="5">
        <v>12</v>
      </c>
      <c r="D37">
        <f t="shared" si="0"/>
        <v>19.005333333333333</v>
      </c>
      <c r="E37">
        <f t="shared" si="2"/>
        <v>4500</v>
      </c>
      <c r="F37">
        <f>A37/(60*Specification!$H$3*Specification!$H$6)*2*PI()*Specification!$C$17</f>
        <v>3.1170489609836229</v>
      </c>
      <c r="G37">
        <f>D37*Specification!$H$3*Specification!$H$6/Specification!$C$17</f>
        <v>2873.247244094488</v>
      </c>
      <c r="H37">
        <f t="shared" si="3"/>
        <v>4500</v>
      </c>
      <c r="I37">
        <f>A37/(60*Specification!$H$4*Specification!$H$6)*2*PI()*Specification!$C$17</f>
        <v>7.9796453401180747</v>
      </c>
      <c r="J37">
        <f>D37*Specification!$H$4*Specification!$H$6/Specification!$C$17</f>
        <v>1122.3622047244096</v>
      </c>
      <c r="K37">
        <f t="shared" si="4"/>
        <v>4500</v>
      </c>
      <c r="L37">
        <f>A37/(60*Specification!$H$5*Specification!$H$6)*2*PI()*Specification!$C$17</f>
        <v>13.853550937704991</v>
      </c>
      <c r="M37">
        <f>D37*Specification!$H$5*Specification!$H$6/Specification!$C$17</f>
        <v>646.48062992125995</v>
      </c>
      <c r="N37">
        <f t="shared" si="5"/>
        <v>4500</v>
      </c>
    </row>
    <row r="38" spans="1:14">
      <c r="A38">
        <f t="shared" si="1"/>
        <v>4600</v>
      </c>
      <c r="C38" s="5">
        <v>12.4</v>
      </c>
      <c r="D38">
        <f t="shared" si="0"/>
        <v>19.211913043478262</v>
      </c>
      <c r="E38">
        <f t="shared" si="2"/>
        <v>4600</v>
      </c>
      <c r="F38">
        <f>A38/(60*Specification!$H$3*Specification!$H$6)*2*PI()*Specification!$C$17</f>
        <v>3.1863167156721484</v>
      </c>
      <c r="G38">
        <f>D38*Specification!$H$3*Specification!$H$6/Specification!$C$17</f>
        <v>2904.478192399863</v>
      </c>
      <c r="H38">
        <f t="shared" si="3"/>
        <v>4600</v>
      </c>
      <c r="I38">
        <f>A38/(60*Specification!$H$4*Specification!$H$6)*2*PI()*Specification!$C$17</f>
        <v>8.1569707921206973</v>
      </c>
      <c r="J38">
        <f>D38*Specification!$H$4*Specification!$H$6/Specification!$C$17</f>
        <v>1134.5617939061965</v>
      </c>
      <c r="K38">
        <f t="shared" si="4"/>
        <v>4600</v>
      </c>
      <c r="L38">
        <f>A38/(60*Specification!$H$5*Specification!$H$6)*2*PI()*Specification!$C$17</f>
        <v>14.161407625209547</v>
      </c>
      <c r="M38">
        <f>D38*Specification!$H$5*Specification!$H$6/Specification!$C$17</f>
        <v>653.50759328996924</v>
      </c>
      <c r="N38">
        <f t="shared" si="5"/>
        <v>4600</v>
      </c>
    </row>
    <row r="39" spans="1:14">
      <c r="A39">
        <f t="shared" si="1"/>
        <v>4700</v>
      </c>
      <c r="C39" s="5">
        <v>12.8</v>
      </c>
      <c r="D39">
        <f t="shared" si="0"/>
        <v>19.409702127659575</v>
      </c>
      <c r="E39">
        <f t="shared" si="2"/>
        <v>4700</v>
      </c>
      <c r="F39">
        <f>A39/(60*Specification!$H$3*Specification!$H$6)*2*PI()*Specification!$C$17</f>
        <v>3.2555844703606729</v>
      </c>
      <c r="G39">
        <f>D39*Specification!$H$3*Specification!$H$6/Specification!$C$17</f>
        <v>2934.3801641816053</v>
      </c>
      <c r="H39">
        <f t="shared" si="3"/>
        <v>4700</v>
      </c>
      <c r="I39">
        <f>A39/(60*Specification!$H$4*Specification!$H$6)*2*PI()*Specification!$C$17</f>
        <v>8.3342962441233226</v>
      </c>
      <c r="J39">
        <f>D39*Specification!$H$4*Specification!$H$6/Specification!$C$17</f>
        <v>1146.2422516334395</v>
      </c>
      <c r="K39">
        <f t="shared" si="4"/>
        <v>4700</v>
      </c>
      <c r="L39">
        <f>A39/(60*Specification!$H$5*Specification!$H$6)*2*PI()*Specification!$C$17</f>
        <v>14.469264312714101</v>
      </c>
      <c r="M39">
        <f>D39*Specification!$H$5*Specification!$H$6/Specification!$C$17</f>
        <v>660.23553694086115</v>
      </c>
      <c r="N39">
        <f t="shared" si="5"/>
        <v>4700</v>
      </c>
    </row>
    <row r="40" spans="1:14">
      <c r="A40">
        <f t="shared" si="1"/>
        <v>4800</v>
      </c>
      <c r="C40" s="5">
        <v>13.2</v>
      </c>
      <c r="D40">
        <f t="shared" si="0"/>
        <v>19.599249999999998</v>
      </c>
      <c r="E40">
        <f t="shared" si="2"/>
        <v>4800</v>
      </c>
      <c r="F40">
        <f>A40/(60*Specification!$H$3*Specification!$H$6)*2*PI()*Specification!$C$17</f>
        <v>3.3248522250491979</v>
      </c>
      <c r="G40">
        <f>D40*Specification!$H$3*Specification!$H$6/Specification!$C$17</f>
        <v>2963.0362204724406</v>
      </c>
      <c r="H40">
        <f t="shared" si="3"/>
        <v>4800</v>
      </c>
      <c r="I40">
        <f>A40/(60*Specification!$H$4*Specification!$H$6)*2*PI()*Specification!$C$17</f>
        <v>8.5116216961259461</v>
      </c>
      <c r="J40">
        <f>D40*Specification!$H$4*Specification!$H$6/Specification!$C$17</f>
        <v>1157.4360236220471</v>
      </c>
      <c r="K40">
        <f t="shared" si="4"/>
        <v>4800</v>
      </c>
      <c r="L40">
        <f>A40/(60*Specification!$H$5*Specification!$H$6)*2*PI()*Specification!$C$17</f>
        <v>14.777121000218656</v>
      </c>
      <c r="M40">
        <f>D40*Specification!$H$5*Specification!$H$6/Specification!$C$17</f>
        <v>666.68314960629914</v>
      </c>
      <c r="N40">
        <f t="shared" si="5"/>
        <v>4800</v>
      </c>
    </row>
    <row r="41" spans="1:14">
      <c r="A41">
        <f t="shared" si="1"/>
        <v>4900</v>
      </c>
      <c r="C41" s="5">
        <v>13.6</v>
      </c>
      <c r="D41">
        <f t="shared" si="0"/>
        <v>19.781061224489797</v>
      </c>
      <c r="E41">
        <f t="shared" si="2"/>
        <v>4900</v>
      </c>
      <c r="F41">
        <f>A41/(60*Specification!$H$3*Specification!$H$6)*2*PI()*Specification!$C$17</f>
        <v>3.3941199797377224</v>
      </c>
      <c r="G41">
        <f>D41*Specification!$H$3*Specification!$H$6/Specification!$C$17</f>
        <v>2990.5226418126308</v>
      </c>
      <c r="H41">
        <f t="shared" si="3"/>
        <v>4900</v>
      </c>
      <c r="I41">
        <f>A41/(60*Specification!$H$4*Specification!$H$6)*2*PI()*Specification!$C$17</f>
        <v>8.6889471481285696</v>
      </c>
      <c r="J41">
        <f>D41*Specification!$H$4*Specification!$H$6/Specification!$C$17</f>
        <v>1168.172906958059</v>
      </c>
      <c r="K41">
        <f t="shared" si="4"/>
        <v>4900</v>
      </c>
      <c r="L41">
        <f>A41/(60*Specification!$H$5*Specification!$H$6)*2*PI()*Specification!$C$17</f>
        <v>15.084977687723212</v>
      </c>
      <c r="M41">
        <f>D41*Specification!$H$5*Specification!$H$6/Specification!$C$17</f>
        <v>672.86759440784192</v>
      </c>
      <c r="N41">
        <f t="shared" si="5"/>
        <v>4900</v>
      </c>
    </row>
    <row r="42" spans="1:14">
      <c r="A42">
        <f t="shared" si="1"/>
        <v>5000</v>
      </c>
      <c r="B42">
        <v>14</v>
      </c>
      <c r="C42" s="5">
        <v>14</v>
      </c>
      <c r="D42">
        <f t="shared" si="0"/>
        <v>19.9556</v>
      </c>
      <c r="E42">
        <f t="shared" si="2"/>
        <v>5000</v>
      </c>
      <c r="F42">
        <f>A42/(60*Specification!$H$3*Specification!$H$6)*2*PI()*Specification!$C$17</f>
        <v>3.4633877344262478</v>
      </c>
      <c r="G42">
        <f>D42*Specification!$H$3*Specification!$H$6/Specification!$C$17</f>
        <v>3016.9096062992126</v>
      </c>
      <c r="H42">
        <f t="shared" si="3"/>
        <v>5000</v>
      </c>
      <c r="I42">
        <f>A42/(60*Specification!$H$4*Specification!$H$6)*2*PI()*Specification!$C$17</f>
        <v>8.8662726001311949</v>
      </c>
      <c r="J42">
        <f>D42*Specification!$H$4*Specification!$H$6/Specification!$C$17</f>
        <v>1178.48031496063</v>
      </c>
      <c r="K42">
        <f t="shared" si="4"/>
        <v>5000</v>
      </c>
      <c r="L42">
        <f>A42/(60*Specification!$H$5*Specification!$H$6)*2*PI()*Specification!$C$17</f>
        <v>15.392834375227768</v>
      </c>
      <c r="M42">
        <f>D42*Specification!$H$5*Specification!$H$6/Specification!$C$17</f>
        <v>678.80466141732279</v>
      </c>
      <c r="N42">
        <f t="shared" si="5"/>
        <v>5000</v>
      </c>
    </row>
    <row r="43" spans="1:14">
      <c r="A43">
        <f t="shared" si="1"/>
        <v>5100</v>
      </c>
      <c r="C43" s="5">
        <v>14.596</v>
      </c>
      <c r="D43">
        <f t="shared" si="0"/>
        <v>20.397194509803921</v>
      </c>
      <c r="E43">
        <f t="shared" si="2"/>
        <v>5100</v>
      </c>
      <c r="F43">
        <f>A43/(60*Specification!$H$3*Specification!$H$6)*2*PI()*Specification!$C$17</f>
        <v>3.5326554891147723</v>
      </c>
      <c r="G43">
        <f>D43*Specification!$H$3*Specification!$H$6/Specification!$C$17</f>
        <v>3083.6703510884663</v>
      </c>
      <c r="H43">
        <f t="shared" si="3"/>
        <v>5100</v>
      </c>
      <c r="I43">
        <f>A43/(60*Specification!$H$4*Specification!$H$6)*2*PI()*Specification!$C$17</f>
        <v>9.0435980521338166</v>
      </c>
      <c r="J43">
        <f>D43*Specification!$H$4*Specification!$H$6/Specification!$C$17</f>
        <v>1204.5587308939323</v>
      </c>
      <c r="K43">
        <f t="shared" si="4"/>
        <v>5100</v>
      </c>
      <c r="L43">
        <f>A43/(60*Specification!$H$5*Specification!$H$6)*2*PI()*Specification!$C$17</f>
        <v>15.700691062732322</v>
      </c>
      <c r="M43">
        <f>D43*Specification!$H$5*Specification!$H$6/Specification!$C$17</f>
        <v>693.82582899490501</v>
      </c>
      <c r="N43">
        <f t="shared" si="5"/>
        <v>5100</v>
      </c>
    </row>
    <row r="44" spans="1:14">
      <c r="A44">
        <f t="shared" si="1"/>
        <v>5200</v>
      </c>
      <c r="C44" s="5">
        <v>15.192</v>
      </c>
      <c r="D44">
        <f t="shared" si="0"/>
        <v>20.821804615384618</v>
      </c>
      <c r="E44">
        <f t="shared" si="2"/>
        <v>5200</v>
      </c>
      <c r="F44">
        <f>A44/(60*Specification!$H$3*Specification!$H$6)*2*PI()*Specification!$C$17</f>
        <v>3.6019232438032973</v>
      </c>
      <c r="G44">
        <f>D44*Specification!$H$3*Specification!$H$6/Specification!$C$17</f>
        <v>3147.8633749242886</v>
      </c>
      <c r="H44">
        <f t="shared" si="3"/>
        <v>5200</v>
      </c>
      <c r="I44">
        <f>A44/(60*Specification!$H$4*Specification!$H$6)*2*PI()*Specification!$C$17</f>
        <v>9.2209235041364419</v>
      </c>
      <c r="J44">
        <f>D44*Specification!$H$4*Specification!$H$6/Specification!$C$17</f>
        <v>1229.6341308298001</v>
      </c>
      <c r="K44">
        <f t="shared" si="4"/>
        <v>5200</v>
      </c>
      <c r="L44">
        <f>A44/(60*Specification!$H$5*Specification!$H$6)*2*PI()*Specification!$C$17</f>
        <v>16.008547750236879</v>
      </c>
      <c r="M44">
        <f>D44*Specification!$H$5*Specification!$H$6/Specification!$C$17</f>
        <v>708.26925935796498</v>
      </c>
      <c r="N44">
        <f t="shared" si="5"/>
        <v>5200</v>
      </c>
    </row>
    <row r="45" spans="1:14">
      <c r="A45">
        <f t="shared" si="1"/>
        <v>5300</v>
      </c>
      <c r="C45" s="5">
        <v>15.788</v>
      </c>
      <c r="D45">
        <f t="shared" si="0"/>
        <v>21.230391698113209</v>
      </c>
      <c r="E45">
        <f t="shared" si="2"/>
        <v>5300</v>
      </c>
      <c r="F45">
        <f>A45/(60*Specification!$H$3*Specification!$H$6)*2*PI()*Specification!$C$17</f>
        <v>3.6711909984918227</v>
      </c>
      <c r="G45">
        <f>D45*Specification!$H$3*Specification!$H$6/Specification!$C$17</f>
        <v>3209.6340205021543</v>
      </c>
      <c r="H45">
        <f t="shared" si="3"/>
        <v>5300</v>
      </c>
      <c r="I45">
        <f>A45/(60*Specification!$H$4*Specification!$H$6)*2*PI()*Specification!$C$17</f>
        <v>9.3982489561390654</v>
      </c>
      <c r="J45">
        <f>D45*Specification!$H$4*Specification!$H$6/Specification!$C$17</f>
        <v>1253.7632892586539</v>
      </c>
      <c r="K45">
        <f t="shared" si="4"/>
        <v>5300</v>
      </c>
      <c r="L45">
        <f>A45/(60*Specification!$H$5*Specification!$H$6)*2*PI()*Specification!$C$17</f>
        <v>16.316404437741436</v>
      </c>
      <c r="M45">
        <f>D45*Specification!$H$5*Specification!$H$6/Specification!$C$17</f>
        <v>722.16765461298473</v>
      </c>
      <c r="N45">
        <f t="shared" si="5"/>
        <v>5300</v>
      </c>
    </row>
    <row r="46" spans="1:14">
      <c r="A46">
        <f t="shared" si="1"/>
        <v>5400</v>
      </c>
      <c r="C46" s="5">
        <v>16.384</v>
      </c>
      <c r="D46">
        <f t="shared" si="0"/>
        <v>21.623845925925924</v>
      </c>
      <c r="E46">
        <f t="shared" si="2"/>
        <v>5400</v>
      </c>
      <c r="F46">
        <f>A46/(60*Specification!$H$3*Specification!$H$6)*2*PI()*Specification!$C$17</f>
        <v>3.7404587531803473</v>
      </c>
      <c r="G46">
        <f>D46*Specification!$H$3*Specification!$H$6/Specification!$C$17</f>
        <v>3269.1168643919509</v>
      </c>
      <c r="H46">
        <f t="shared" si="3"/>
        <v>5400</v>
      </c>
      <c r="I46">
        <f>A46/(60*Specification!$H$4*Specification!$H$6)*2*PI()*Specification!$C$17</f>
        <v>9.5755744081416889</v>
      </c>
      <c r="J46">
        <f>D46*Specification!$H$4*Specification!$H$6/Specification!$C$17</f>
        <v>1276.9987751531057</v>
      </c>
      <c r="K46">
        <f t="shared" si="4"/>
        <v>5400</v>
      </c>
      <c r="L46">
        <f>A46/(60*Specification!$H$5*Specification!$H$6)*2*PI()*Specification!$C$17</f>
        <v>16.62426112524599</v>
      </c>
      <c r="M46">
        <f>D46*Specification!$H$5*Specification!$H$6/Specification!$C$17</f>
        <v>735.55129448818889</v>
      </c>
      <c r="N46">
        <f t="shared" si="5"/>
        <v>5400</v>
      </c>
    </row>
    <row r="47" spans="1:14">
      <c r="A47">
        <f t="shared" si="1"/>
        <v>5500</v>
      </c>
      <c r="B47">
        <v>16.98</v>
      </c>
      <c r="C47" s="5">
        <v>16.98</v>
      </c>
      <c r="D47">
        <f t="shared" si="0"/>
        <v>22.00299272727273</v>
      </c>
      <c r="E47">
        <f t="shared" si="2"/>
        <v>5500</v>
      </c>
      <c r="F47">
        <f>A47/(60*Specification!$H$3*Specification!$H$6)*2*PI()*Specification!$C$17</f>
        <v>3.8097265078688722</v>
      </c>
      <c r="G47">
        <f>D47*Specification!$H$3*Specification!$H$6/Specification!$C$17</f>
        <v>3326.4366957766647</v>
      </c>
      <c r="H47">
        <f t="shared" si="3"/>
        <v>5500</v>
      </c>
      <c r="I47">
        <f>A47/(60*Specification!$H$4*Specification!$H$6)*2*PI()*Specification!$C$17</f>
        <v>9.7528998601443142</v>
      </c>
      <c r="J47">
        <f>D47*Specification!$H$4*Specification!$H$6/Specification!$C$17</f>
        <v>1299.3893342877598</v>
      </c>
      <c r="K47">
        <f t="shared" si="4"/>
        <v>5500</v>
      </c>
      <c r="L47">
        <f>A47/(60*Specification!$H$5*Specification!$H$6)*2*PI()*Specification!$C$17</f>
        <v>16.932117812750544</v>
      </c>
      <c r="M47">
        <f>D47*Specification!$H$5*Specification!$H$6/Specification!$C$17</f>
        <v>748.44825654974954</v>
      </c>
      <c r="N47">
        <f t="shared" si="5"/>
        <v>5500</v>
      </c>
    </row>
    <row r="48" spans="1:14">
      <c r="A48">
        <f t="shared" si="1"/>
        <v>5600</v>
      </c>
      <c r="C48" s="5">
        <v>16.984000000000002</v>
      </c>
      <c r="D48">
        <f t="shared" si="0"/>
        <v>21.615172857142859</v>
      </c>
      <c r="E48">
        <f t="shared" si="2"/>
        <v>5600</v>
      </c>
      <c r="F48">
        <f>A48/(60*Specification!$H$3*Specification!$H$6)*2*PI()*Specification!$C$17</f>
        <v>3.8789942625573977</v>
      </c>
      <c r="G48">
        <f>D48*Specification!$H$3*Specification!$H$6/Specification!$C$17</f>
        <v>3267.8056602924639</v>
      </c>
      <c r="H48">
        <f t="shared" si="3"/>
        <v>5600</v>
      </c>
      <c r="I48">
        <f>A48/(60*Specification!$H$4*Specification!$H$6)*2*PI()*Specification!$C$17</f>
        <v>9.9302253121469377</v>
      </c>
      <c r="J48">
        <f>D48*Specification!$H$4*Specification!$H$6/Specification!$C$17</f>
        <v>1276.4865860517436</v>
      </c>
      <c r="K48">
        <f t="shared" si="4"/>
        <v>5600</v>
      </c>
      <c r="L48">
        <f>A48/(60*Specification!$H$5*Specification!$H$6)*2*PI()*Specification!$C$17</f>
        <v>17.239974500255098</v>
      </c>
      <c r="M48">
        <f>D48*Specification!$H$5*Specification!$H$6/Specification!$C$17</f>
        <v>735.25627356580435</v>
      </c>
      <c r="N48">
        <f t="shared" si="5"/>
        <v>5600</v>
      </c>
    </row>
    <row r="49" spans="1:14">
      <c r="A49">
        <f t="shared" si="1"/>
        <v>5700</v>
      </c>
      <c r="C49" s="5">
        <v>16.988</v>
      </c>
      <c r="D49">
        <f t="shared" si="0"/>
        <v>21.240960701754386</v>
      </c>
      <c r="E49">
        <f t="shared" si="2"/>
        <v>5700</v>
      </c>
      <c r="F49">
        <f>A49/(60*Specification!$H$3*Specification!$H$6)*2*PI()*Specification!$C$17</f>
        <v>3.9482620172459226</v>
      </c>
      <c r="G49">
        <f>D49*Specification!$H$3*Specification!$H$6/Specification!$C$17</f>
        <v>3211.2318541234972</v>
      </c>
      <c r="H49">
        <f t="shared" si="3"/>
        <v>5700</v>
      </c>
      <c r="I49">
        <f>A49/(60*Specification!$H$4*Specification!$H$6)*2*PI()*Specification!$C$17</f>
        <v>10.107550764149561</v>
      </c>
      <c r="J49">
        <f>D49*Specification!$H$4*Specification!$H$6/Specification!$C$17</f>
        <v>1254.3874430169913</v>
      </c>
      <c r="K49">
        <f t="shared" si="4"/>
        <v>5700</v>
      </c>
      <c r="L49">
        <f>A49/(60*Specification!$H$5*Specification!$H$6)*2*PI()*Specification!$C$17</f>
        <v>17.547831187759655</v>
      </c>
      <c r="M49">
        <f>D49*Specification!$H$5*Specification!$H$6/Specification!$C$17</f>
        <v>722.52716717778708</v>
      </c>
      <c r="N49">
        <f t="shared" si="5"/>
        <v>5700</v>
      </c>
    </row>
    <row r="50" spans="1:14">
      <c r="A50">
        <f t="shared" si="1"/>
        <v>5800</v>
      </c>
      <c r="C50" s="5">
        <v>16.992000000000001</v>
      </c>
      <c r="D50">
        <f t="shared" si="0"/>
        <v>20.879652413793107</v>
      </c>
      <c r="E50">
        <f t="shared" si="2"/>
        <v>5800</v>
      </c>
      <c r="F50">
        <f>A50/(60*Specification!$H$3*Specification!$H$6)*2*PI()*Specification!$C$17</f>
        <v>4.0175297719344476</v>
      </c>
      <c r="G50">
        <f>D50*Specification!$H$3*Specification!$H$6/Specification!$C$17</f>
        <v>3156.6088688569102</v>
      </c>
      <c r="H50">
        <f t="shared" si="3"/>
        <v>5800</v>
      </c>
      <c r="I50">
        <f>A50/(60*Specification!$H$4*Specification!$H$6)*2*PI()*Specification!$C$17</f>
        <v>10.284876216152187</v>
      </c>
      <c r="J50">
        <f>D50*Specification!$H$4*Specification!$H$6/Specification!$C$17</f>
        <v>1233.0503393972308</v>
      </c>
      <c r="K50">
        <f t="shared" si="4"/>
        <v>5800</v>
      </c>
      <c r="L50">
        <f>A50/(60*Specification!$H$5*Specification!$H$6)*2*PI()*Specification!$C$17</f>
        <v>17.855687875264209</v>
      </c>
      <c r="M50">
        <f>D50*Specification!$H$5*Specification!$H$6/Specification!$C$17</f>
        <v>710.23699549280479</v>
      </c>
      <c r="N50">
        <f t="shared" si="5"/>
        <v>5800</v>
      </c>
    </row>
    <row r="51" spans="1:14">
      <c r="A51">
        <f t="shared" si="1"/>
        <v>5900</v>
      </c>
      <c r="C51" s="5">
        <v>16.995999999999999</v>
      </c>
      <c r="D51">
        <f t="shared" si="0"/>
        <v>20.530591864406777</v>
      </c>
      <c r="E51">
        <f t="shared" si="2"/>
        <v>5900</v>
      </c>
      <c r="F51">
        <f>A51/(60*Specification!$H$3*Specification!$H$6)*2*PI()*Specification!$C$17</f>
        <v>4.0867975266229726</v>
      </c>
      <c r="G51">
        <f>D51*Specification!$H$3*Specification!$H$6/Specification!$C$17</f>
        <v>3103.8375102095288</v>
      </c>
      <c r="H51">
        <f t="shared" si="3"/>
        <v>5900</v>
      </c>
      <c r="I51">
        <f>A51/(60*Specification!$H$4*Specification!$H$6)*2*PI()*Specification!$C$17</f>
        <v>10.462201668154808</v>
      </c>
      <c r="J51">
        <f>D51*Specification!$H$4*Specification!$H$6/Specification!$C$17</f>
        <v>1212.4365274255972</v>
      </c>
      <c r="K51">
        <f t="shared" si="4"/>
        <v>5900</v>
      </c>
      <c r="L51">
        <f>A51/(60*Specification!$H$5*Specification!$H$6)*2*PI()*Specification!$C$17</f>
        <v>18.163544562768767</v>
      </c>
      <c r="M51">
        <f>D51*Specification!$H$5*Specification!$H$6/Specification!$C$17</f>
        <v>698.363439797144</v>
      </c>
      <c r="N51">
        <f t="shared" si="5"/>
        <v>5900</v>
      </c>
    </row>
    <row r="52" spans="1:14">
      <c r="A52">
        <f t="shared" si="1"/>
        <v>6000</v>
      </c>
      <c r="C52" s="5">
        <v>17</v>
      </c>
      <c r="D52">
        <f t="shared" si="0"/>
        <v>20.193166666666666</v>
      </c>
      <c r="E52">
        <f t="shared" si="2"/>
        <v>6000</v>
      </c>
      <c r="F52">
        <f>A52/(60*Specification!$H$3*Specification!$H$6)*2*PI()*Specification!$C$17</f>
        <v>4.1560652813114976</v>
      </c>
      <c r="G52">
        <f>D52*Specification!$H$3*Specification!$H$6/Specification!$C$17</f>
        <v>3052.8251968503932</v>
      </c>
      <c r="H52">
        <f t="shared" si="3"/>
        <v>6000</v>
      </c>
      <c r="I52">
        <f>A52/(60*Specification!$H$4*Specification!$H$6)*2*PI()*Specification!$C$17</f>
        <v>10.639527120157432</v>
      </c>
      <c r="J52">
        <f>D52*Specification!$H$4*Specification!$H$6/Specification!$C$17</f>
        <v>1192.509842519685</v>
      </c>
      <c r="K52">
        <f t="shared" si="4"/>
        <v>6000</v>
      </c>
      <c r="L52">
        <f>A52/(60*Specification!$H$5*Specification!$H$6)*2*PI()*Specification!$C$17</f>
        <v>18.47140125027332</v>
      </c>
      <c r="M52">
        <f>D52*Specification!$H$5*Specification!$H$6/Specification!$C$17</f>
        <v>686.88566929133867</v>
      </c>
      <c r="N52">
        <f t="shared" si="5"/>
        <v>6000</v>
      </c>
    </row>
    <row r="53" spans="1:14">
      <c r="A53">
        <f t="shared" si="1"/>
        <v>6100</v>
      </c>
      <c r="C53" s="5">
        <v>17.2</v>
      </c>
      <c r="D53">
        <f t="shared" si="0"/>
        <v>20.095803278688525</v>
      </c>
      <c r="E53">
        <f t="shared" si="2"/>
        <v>6100</v>
      </c>
      <c r="F53">
        <f>A53/(60*Specification!$H$3*Specification!$H$6)*2*PI()*Specification!$C$17</f>
        <v>4.2253330360000216</v>
      </c>
      <c r="G53">
        <f>D53*Specification!$H$3*Specification!$H$6/Specification!$C$17</f>
        <v>3038.1056925261391</v>
      </c>
      <c r="H53">
        <f t="shared" si="3"/>
        <v>6100</v>
      </c>
      <c r="I53">
        <f>A53/(60*Specification!$H$4*Specification!$H$6)*2*PI()*Specification!$C$17</f>
        <v>10.816852572160057</v>
      </c>
      <c r="J53">
        <f>D53*Specification!$H$4*Specification!$H$6/Specification!$C$17</f>
        <v>1186.7600361430229</v>
      </c>
      <c r="K53">
        <f t="shared" si="4"/>
        <v>6100</v>
      </c>
      <c r="L53">
        <f>A53/(60*Specification!$H$5*Specification!$H$6)*2*PI()*Specification!$C$17</f>
        <v>18.779257937777878</v>
      </c>
      <c r="M53">
        <f>D53*Specification!$H$5*Specification!$H$6/Specification!$C$17</f>
        <v>683.57378081838124</v>
      </c>
      <c r="N53">
        <f t="shared" si="5"/>
        <v>6100</v>
      </c>
    </row>
    <row r="54" spans="1:14">
      <c r="A54">
        <f t="shared" si="1"/>
        <v>6200</v>
      </c>
      <c r="C54" s="5">
        <v>17.399999999999999</v>
      </c>
      <c r="D54">
        <f t="shared" si="0"/>
        <v>20.001580645161287</v>
      </c>
      <c r="E54">
        <f t="shared" si="2"/>
        <v>6200</v>
      </c>
      <c r="F54">
        <f>A54/(60*Specification!$H$3*Specification!$H$6)*2*PI()*Specification!$C$17</f>
        <v>4.2946007906885466</v>
      </c>
      <c r="G54">
        <f>D54*Specification!$H$3*Specification!$H$6/Specification!$C$17</f>
        <v>3023.8610109220213</v>
      </c>
      <c r="H54">
        <f t="shared" si="3"/>
        <v>6200</v>
      </c>
      <c r="I54">
        <f>A54/(60*Specification!$H$4*Specification!$H$6)*2*PI()*Specification!$C$17</f>
        <v>10.994178024162681</v>
      </c>
      <c r="J54">
        <f>D54*Specification!$H$4*Specification!$H$6/Specification!$C$17</f>
        <v>1181.1957073914145</v>
      </c>
      <c r="K54">
        <f t="shared" si="4"/>
        <v>6200</v>
      </c>
      <c r="L54">
        <f>A54/(60*Specification!$H$5*Specification!$H$6)*2*PI()*Specification!$C$17</f>
        <v>19.087114625282432</v>
      </c>
      <c r="M54">
        <f>D54*Specification!$H$5*Specification!$H$6/Specification!$C$17</f>
        <v>680.36872745745484</v>
      </c>
      <c r="N54">
        <f t="shared" si="5"/>
        <v>6200</v>
      </c>
    </row>
    <row r="55" spans="1:14">
      <c r="A55">
        <f t="shared" si="1"/>
        <v>6300</v>
      </c>
      <c r="C55" s="5">
        <v>17.600000000000001</v>
      </c>
      <c r="D55">
        <f t="shared" si="0"/>
        <v>19.91034920634921</v>
      </c>
      <c r="E55">
        <f t="shared" si="2"/>
        <v>6300</v>
      </c>
      <c r="F55">
        <f>A55/(60*Specification!$H$3*Specification!$H$6)*2*PI()*Specification!$C$17</f>
        <v>4.3638685453770716</v>
      </c>
      <c r="G55">
        <f>D55*Specification!$H$3*Specification!$H$6/Specification!$C$17</f>
        <v>3010.0685414323216</v>
      </c>
      <c r="H55">
        <f t="shared" si="3"/>
        <v>6300</v>
      </c>
      <c r="I55">
        <f>A55/(60*Specification!$H$4*Specification!$H$6)*2*PI()*Specification!$C$17</f>
        <v>11.171503476165304</v>
      </c>
      <c r="J55">
        <f>D55*Specification!$H$4*Specification!$H$6/Specification!$C$17</f>
        <v>1175.8080239970006</v>
      </c>
      <c r="K55">
        <f t="shared" si="4"/>
        <v>6300</v>
      </c>
      <c r="L55">
        <f>A55/(60*Specification!$H$5*Specification!$H$6)*2*PI()*Specification!$C$17</f>
        <v>19.394971312786986</v>
      </c>
      <c r="M55">
        <f>D55*Specification!$H$5*Specification!$H$6/Specification!$C$17</f>
        <v>677.26542182227229</v>
      </c>
      <c r="N55">
        <f t="shared" si="5"/>
        <v>6300</v>
      </c>
    </row>
    <row r="56" spans="1:14">
      <c r="A56">
        <f t="shared" si="1"/>
        <v>6400</v>
      </c>
      <c r="B56">
        <v>17.8</v>
      </c>
      <c r="C56" s="5">
        <v>17.8</v>
      </c>
      <c r="D56">
        <f t="shared" si="0"/>
        <v>19.82196875</v>
      </c>
      <c r="E56">
        <f t="shared" si="2"/>
        <v>6400</v>
      </c>
      <c r="F56">
        <f>A56/(60*Specification!$H$3*Specification!$H$6)*2*PI()*Specification!$C$17</f>
        <v>4.4331363000655974</v>
      </c>
      <c r="G56">
        <f>D56*Specification!$H$3*Specification!$H$6/Specification!$C$17</f>
        <v>2996.7070866141735</v>
      </c>
      <c r="H56">
        <f t="shared" si="3"/>
        <v>6400</v>
      </c>
      <c r="I56">
        <f>A56/(60*Specification!$H$4*Specification!$H$6)*2*PI()*Specification!$C$17</f>
        <v>11.348828928167929</v>
      </c>
      <c r="J56">
        <f>D56*Specification!$H$4*Specification!$H$6/Specification!$C$17</f>
        <v>1170.5887057086616</v>
      </c>
      <c r="K56">
        <f t="shared" si="4"/>
        <v>6400</v>
      </c>
      <c r="L56">
        <f>A56/(60*Specification!$H$5*Specification!$H$6)*2*PI()*Specification!$C$17</f>
        <v>19.702828000291539</v>
      </c>
      <c r="M56">
        <f>D56*Specification!$H$5*Specification!$H$6/Specification!$C$17</f>
        <v>674.25909448818902</v>
      </c>
      <c r="N56">
        <f t="shared" si="5"/>
        <v>6400</v>
      </c>
    </row>
    <row r="57" spans="1:14">
      <c r="A57">
        <f t="shared" si="1"/>
        <v>6500</v>
      </c>
      <c r="B57">
        <v>18</v>
      </c>
      <c r="C57" s="5">
        <v>18</v>
      </c>
      <c r="D57">
        <f t="shared" ref="D57:D62" si="6">C57*7127/A57</f>
        <v>19.736307692307694</v>
      </c>
      <c r="E57">
        <f t="shared" si="2"/>
        <v>6500</v>
      </c>
      <c r="F57">
        <f>A57/(60*Specification!$H$3*Specification!$H$6)*2*PI()*Specification!$C$17</f>
        <v>4.5024040547541224</v>
      </c>
      <c r="G57">
        <f>D57*Specification!$H$3*Specification!$H$6/Specification!$C$17</f>
        <v>2983.7567534827381</v>
      </c>
      <c r="H57">
        <f t="shared" si="3"/>
        <v>6500</v>
      </c>
      <c r="I57">
        <f>A57/(60*Specification!$H$4*Specification!$H$6)*2*PI()*Specification!$C$17</f>
        <v>11.526154380170553</v>
      </c>
      <c r="J57">
        <f>D57*Specification!$H$4*Specification!$H$6/Specification!$C$17</f>
        <v>1165.5299818291946</v>
      </c>
      <c r="K57">
        <f t="shared" si="4"/>
        <v>6500</v>
      </c>
      <c r="L57">
        <f>A57/(60*Specification!$H$5*Specification!$H$6)*2*PI()*Specification!$C$17</f>
        <v>20.010684687796097</v>
      </c>
      <c r="M57">
        <f>D57*Specification!$H$5*Specification!$H$6/Specification!$C$17</f>
        <v>671.34526953361603</v>
      </c>
      <c r="N57">
        <f t="shared" si="5"/>
        <v>6500</v>
      </c>
    </row>
    <row r="58" spans="1:14">
      <c r="A58">
        <f t="shared" si="1"/>
        <v>6600</v>
      </c>
      <c r="C58" s="5">
        <v>17</v>
      </c>
      <c r="D58">
        <f t="shared" si="6"/>
        <v>18.357424242424244</v>
      </c>
      <c r="E58">
        <f t="shared" si="2"/>
        <v>6600</v>
      </c>
      <c r="F58">
        <f>A58/(60*Specification!$H$3*Specification!$H$6)*2*PI()*Specification!$C$17</f>
        <v>4.5716718094426465</v>
      </c>
      <c r="G58">
        <f>D58*Specification!$H$3*Specification!$H$6/Specification!$C$17</f>
        <v>2775.2956335003582</v>
      </c>
      <c r="H58">
        <f t="shared" si="3"/>
        <v>6600</v>
      </c>
      <c r="I58">
        <f>A58/(60*Specification!$H$4*Specification!$H$6)*2*PI()*Specification!$C$17</f>
        <v>11.703479832173175</v>
      </c>
      <c r="J58">
        <f>D58*Specification!$H$4*Specification!$H$6/Specification!$C$17</f>
        <v>1084.0998568360776</v>
      </c>
      <c r="K58">
        <f t="shared" si="4"/>
        <v>6600</v>
      </c>
      <c r="L58">
        <f>A58/(60*Specification!$H$5*Specification!$H$6)*2*PI()*Specification!$C$17</f>
        <v>20.318541375300654</v>
      </c>
      <c r="M58">
        <f>D58*Specification!$H$5*Specification!$H$6/Specification!$C$17</f>
        <v>624.44151753758069</v>
      </c>
      <c r="N58">
        <f t="shared" si="5"/>
        <v>6600</v>
      </c>
    </row>
    <row r="59" spans="1:14">
      <c r="A59">
        <f t="shared" si="1"/>
        <v>6700</v>
      </c>
      <c r="C59" s="5">
        <v>16</v>
      </c>
      <c r="D59">
        <f t="shared" si="6"/>
        <v>17.019701492537312</v>
      </c>
      <c r="E59">
        <f t="shared" si="2"/>
        <v>6700</v>
      </c>
      <c r="F59">
        <f>A59/(60*Specification!$H$3*Specification!$H$6)*2*PI()*Specification!$C$17</f>
        <v>4.6409395641311724</v>
      </c>
      <c r="G59">
        <f>D59*Specification!$H$3*Specification!$H$6/Specification!$C$17</f>
        <v>2573.057233517452</v>
      </c>
      <c r="H59">
        <f t="shared" si="3"/>
        <v>6700</v>
      </c>
      <c r="I59">
        <f>A59/(60*Specification!$H$4*Specification!$H$6)*2*PI()*Specification!$C$17</f>
        <v>11.880805284175802</v>
      </c>
      <c r="J59">
        <f>D59*Specification!$H$4*Specification!$H$6/Specification!$C$17</f>
        <v>1005.1004818427547</v>
      </c>
      <c r="K59">
        <f t="shared" si="4"/>
        <v>6700</v>
      </c>
      <c r="L59">
        <f>A59/(60*Specification!$H$5*Specification!$H$6)*2*PI()*Specification!$C$17</f>
        <v>20.626398062805212</v>
      </c>
      <c r="M59">
        <f>D59*Specification!$H$5*Specification!$H$6/Specification!$C$17</f>
        <v>578.9378775414267</v>
      </c>
      <c r="N59">
        <f t="shared" si="5"/>
        <v>6700</v>
      </c>
    </row>
    <row r="60" spans="1:14">
      <c r="A60">
        <f t="shared" si="1"/>
        <v>6800</v>
      </c>
      <c r="C60" s="5">
        <v>15</v>
      </c>
      <c r="D60">
        <f t="shared" si="6"/>
        <v>15.721323529411764</v>
      </c>
      <c r="E60">
        <f t="shared" si="2"/>
        <v>6800</v>
      </c>
      <c r="F60">
        <f>A60/(60*Specification!$H$3*Specification!$H$6)*2*PI()*Specification!$C$17</f>
        <v>4.7102073188196973</v>
      </c>
      <c r="G60">
        <f>D60*Specification!$H$3*Specification!$H$6/Specification!$C$17</f>
        <v>2376.7670217693376</v>
      </c>
      <c r="H60">
        <f t="shared" si="3"/>
        <v>6800</v>
      </c>
      <c r="I60">
        <f>A60/(60*Specification!$H$4*Specification!$H$6)*2*PI()*Specification!$C$17</f>
        <v>12.058130736178423</v>
      </c>
      <c r="J60">
        <f>D60*Specification!$H$4*Specification!$H$6/Specification!$C$17</f>
        <v>928.42461787864738</v>
      </c>
      <c r="K60">
        <f t="shared" si="4"/>
        <v>6800</v>
      </c>
      <c r="L60">
        <f>A60/(60*Specification!$H$5*Specification!$H$6)*2*PI()*Specification!$C$17</f>
        <v>20.934254750309766</v>
      </c>
      <c r="M60">
        <f>D60*Specification!$H$5*Specification!$H$6/Specification!$C$17</f>
        <v>534.77257989810096</v>
      </c>
      <c r="N60">
        <f t="shared" si="5"/>
        <v>6800</v>
      </c>
    </row>
    <row r="61" spans="1:14">
      <c r="A61">
        <f>A60+100</f>
        <v>6900</v>
      </c>
      <c r="C61" s="5">
        <v>14</v>
      </c>
      <c r="D61">
        <f t="shared" si="6"/>
        <v>14.460579710144927</v>
      </c>
      <c r="E61">
        <f>E60+100</f>
        <v>6900</v>
      </c>
      <c r="F61">
        <f>A61/(60*Specification!$H$3*Specification!$H$6)*2*PI()*Specification!$C$17</f>
        <v>4.7794750735082223</v>
      </c>
      <c r="G61">
        <f>D61*Specification!$H$3*Specification!$H$6/Specification!$C$17</f>
        <v>2186.1663813762407</v>
      </c>
      <c r="H61">
        <f>H60+100</f>
        <v>6900</v>
      </c>
      <c r="I61">
        <f>A61/(60*Specification!$H$4*Specification!$H$6)*2*PI()*Specification!$C$17</f>
        <v>12.235456188181049</v>
      </c>
      <c r="J61">
        <f>D61*Specification!$H$4*Specification!$H$6/Specification!$C$17</f>
        <v>853.97124272509404</v>
      </c>
      <c r="K61">
        <f>K60+100</f>
        <v>6900</v>
      </c>
      <c r="L61">
        <f>A61/(60*Specification!$H$5*Specification!$H$6)*2*PI()*Specification!$C$17</f>
        <v>21.242111437814323</v>
      </c>
      <c r="M61">
        <f>D61*Specification!$H$5*Specification!$H$6/Specification!$C$17</f>
        <v>491.88743580965422</v>
      </c>
      <c r="N61">
        <f t="shared" si="5"/>
        <v>6900</v>
      </c>
    </row>
    <row r="62" spans="1:14">
      <c r="A62">
        <f t="shared" si="1"/>
        <v>7000</v>
      </c>
      <c r="B62">
        <v>13</v>
      </c>
      <c r="C62" s="5">
        <v>13</v>
      </c>
      <c r="D62">
        <f t="shared" si="6"/>
        <v>13.235857142857142</v>
      </c>
      <c r="E62">
        <f t="shared" si="2"/>
        <v>7000</v>
      </c>
      <c r="F62">
        <f>A62/(60*Specification!$H$3*Specification!$H$6)*2*PI()*Specification!$C$17</f>
        <v>4.8487428281967464</v>
      </c>
      <c r="G62">
        <f>D62*Specification!$H$3*Specification!$H$6/Specification!$C$17</f>
        <v>2001.0114735658042</v>
      </c>
      <c r="H62">
        <f t="shared" si="3"/>
        <v>7000</v>
      </c>
      <c r="I62">
        <f>A62/(60*Specification!$H$4*Specification!$H$6)*2*PI()*Specification!$C$17</f>
        <v>12.41278164018367</v>
      </c>
      <c r="J62">
        <f>D62*Specification!$H$4*Specification!$H$6/Specification!$C$17</f>
        <v>781.64510686164226</v>
      </c>
      <c r="K62">
        <f t="shared" si="4"/>
        <v>7000</v>
      </c>
      <c r="L62">
        <f>A62/(60*Specification!$H$5*Specification!$H$6)*2*PI()*Specification!$C$17</f>
        <v>21.549968125318873</v>
      </c>
      <c r="M62">
        <f>D62*Specification!$H$5*Specification!$H$6/Specification!$C$17</f>
        <v>450.22758155230588</v>
      </c>
      <c r="N62">
        <f t="shared" si="5"/>
        <v>7000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2296A-673B-42C4-8AE8-BABD5AAE3E37}">
  <dimension ref="A1:H20"/>
  <sheetViews>
    <sheetView workbookViewId="0">
      <selection activeCell="B20" sqref="B20"/>
    </sheetView>
  </sheetViews>
  <sheetFormatPr defaultRowHeight="14.5"/>
  <cols>
    <col min="9" max="9" width="12.26953125" bestFit="1" customWidth="1"/>
  </cols>
  <sheetData>
    <row r="1" spans="1:8">
      <c r="B1" t="s">
        <v>64</v>
      </c>
      <c r="C1" t="s">
        <v>65</v>
      </c>
      <c r="D1" t="s">
        <v>79</v>
      </c>
      <c r="E1" t="s">
        <v>80</v>
      </c>
      <c r="F1" t="s">
        <v>84</v>
      </c>
      <c r="G1" t="s">
        <v>95</v>
      </c>
      <c r="H1" t="s">
        <v>125</v>
      </c>
    </row>
    <row r="2" spans="1:8">
      <c r="A2" t="s">
        <v>63</v>
      </c>
      <c r="B2">
        <v>300</v>
      </c>
      <c r="C2">
        <v>0</v>
      </c>
      <c r="D2">
        <v>0</v>
      </c>
      <c r="E2" t="s">
        <v>81</v>
      </c>
      <c r="F2">
        <v>0</v>
      </c>
      <c r="G2">
        <f>B2</f>
        <v>300</v>
      </c>
    </row>
    <row r="3" spans="1:8">
      <c r="A3" t="s">
        <v>66</v>
      </c>
      <c r="B3">
        <f>PI()*40</f>
        <v>125.66370614359172</v>
      </c>
      <c r="C3">
        <v>40</v>
      </c>
      <c r="D3">
        <v>180</v>
      </c>
      <c r="E3" t="s">
        <v>81</v>
      </c>
      <c r="F3">
        <v>0</v>
      </c>
      <c r="G3">
        <f>B2+B3</f>
        <v>425.66370614359175</v>
      </c>
      <c r="H3">
        <v>1</v>
      </c>
    </row>
    <row r="4" spans="1:8">
      <c r="A4" t="s">
        <v>67</v>
      </c>
      <c r="B4">
        <f>PI()*20</f>
        <v>62.831853071795862</v>
      </c>
      <c r="C4">
        <v>40</v>
      </c>
      <c r="D4">
        <v>90</v>
      </c>
      <c r="E4" t="s">
        <v>81</v>
      </c>
      <c r="F4">
        <v>0</v>
      </c>
      <c r="G4">
        <f>G3+B4</f>
        <v>488.49555921538763</v>
      </c>
    </row>
    <row r="5" spans="1:8">
      <c r="A5" t="s">
        <v>68</v>
      </c>
      <c r="B5">
        <v>200</v>
      </c>
      <c r="C5">
        <v>0</v>
      </c>
      <c r="D5">
        <v>0</v>
      </c>
      <c r="E5" t="s">
        <v>82</v>
      </c>
      <c r="G5">
        <f t="shared" ref="G5:G15" si="0">G4+B5</f>
        <v>688.49555921538763</v>
      </c>
    </row>
    <row r="6" spans="1:8">
      <c r="A6" t="s">
        <v>69</v>
      </c>
      <c r="B6">
        <f>PI()*20</f>
        <v>62.831853071795862</v>
      </c>
      <c r="C6">
        <v>40</v>
      </c>
      <c r="D6">
        <v>90</v>
      </c>
      <c r="E6" t="s">
        <v>82</v>
      </c>
      <c r="G6">
        <f t="shared" si="0"/>
        <v>751.32741228718351</v>
      </c>
      <c r="H6">
        <v>1</v>
      </c>
    </row>
    <row r="7" spans="1:8">
      <c r="A7" t="s">
        <v>70</v>
      </c>
      <c r="B7">
        <v>320</v>
      </c>
      <c r="C7">
        <v>0</v>
      </c>
      <c r="D7">
        <v>0</v>
      </c>
      <c r="E7" t="s">
        <v>82</v>
      </c>
      <c r="G7">
        <f t="shared" si="0"/>
        <v>1071.3274122871835</v>
      </c>
    </row>
    <row r="8" spans="1:8">
      <c r="A8" t="s">
        <v>71</v>
      </c>
      <c r="B8">
        <f>PI()*40</f>
        <v>125.66370614359172</v>
      </c>
      <c r="C8">
        <v>40</v>
      </c>
      <c r="D8">
        <v>180</v>
      </c>
      <c r="E8" t="s">
        <v>82</v>
      </c>
      <c r="G8">
        <f t="shared" si="0"/>
        <v>1196.9911184307753</v>
      </c>
      <c r="H8">
        <v>1</v>
      </c>
    </row>
    <row r="9" spans="1:8">
      <c r="A9" t="s">
        <v>72</v>
      </c>
      <c r="B9">
        <f>PI()*20</f>
        <v>62.831853071795862</v>
      </c>
      <c r="C9">
        <v>40</v>
      </c>
      <c r="D9">
        <v>90</v>
      </c>
      <c r="E9" t="s">
        <v>82</v>
      </c>
      <c r="G9">
        <f t="shared" si="0"/>
        <v>1259.8229715025711</v>
      </c>
    </row>
    <row r="10" spans="1:8">
      <c r="A10" t="s">
        <v>73</v>
      </c>
      <c r="B10">
        <v>150</v>
      </c>
      <c r="C10">
        <v>0</v>
      </c>
      <c r="D10">
        <v>0</v>
      </c>
      <c r="E10" t="s">
        <v>83</v>
      </c>
      <c r="G10">
        <f t="shared" si="0"/>
        <v>1409.8229715025711</v>
      </c>
    </row>
    <row r="11" spans="1:8">
      <c r="A11" t="s">
        <v>74</v>
      </c>
      <c r="B11">
        <f>PI()*20</f>
        <v>62.831853071795862</v>
      </c>
      <c r="C11">
        <v>40</v>
      </c>
      <c r="D11">
        <v>90</v>
      </c>
      <c r="E11" t="s">
        <v>83</v>
      </c>
      <c r="G11">
        <f t="shared" si="0"/>
        <v>1472.654824574367</v>
      </c>
      <c r="H11">
        <v>1</v>
      </c>
    </row>
    <row r="12" spans="1:8">
      <c r="A12" t="s">
        <v>75</v>
      </c>
      <c r="B12">
        <f>PI()*20</f>
        <v>62.831853071795862</v>
      </c>
      <c r="C12">
        <v>40</v>
      </c>
      <c r="D12">
        <v>90</v>
      </c>
      <c r="E12" t="s">
        <v>83</v>
      </c>
      <c r="G12">
        <f t="shared" si="0"/>
        <v>1535.4866776461629</v>
      </c>
    </row>
    <row r="13" spans="1:8">
      <c r="A13" t="s">
        <v>76</v>
      </c>
      <c r="B13">
        <v>10</v>
      </c>
      <c r="C13">
        <v>0</v>
      </c>
      <c r="D13">
        <v>0</v>
      </c>
      <c r="E13" t="s">
        <v>81</v>
      </c>
      <c r="G13">
        <f t="shared" si="0"/>
        <v>1545.4866776461629</v>
      </c>
    </row>
    <row r="14" spans="1:8">
      <c r="A14" t="s">
        <v>77</v>
      </c>
      <c r="B14">
        <f>PI()*20</f>
        <v>62.831853071795862</v>
      </c>
      <c r="C14">
        <v>40</v>
      </c>
      <c r="D14">
        <v>90</v>
      </c>
      <c r="E14" t="s">
        <v>81</v>
      </c>
      <c r="G14">
        <f t="shared" si="0"/>
        <v>1608.3185307179588</v>
      </c>
      <c r="H14">
        <v>1</v>
      </c>
    </row>
    <row r="15" spans="1:8">
      <c r="A15" t="s">
        <v>78</v>
      </c>
      <c r="B15">
        <v>100</v>
      </c>
      <c r="C15">
        <v>0</v>
      </c>
      <c r="D15">
        <v>0</v>
      </c>
      <c r="E15" t="s">
        <v>81</v>
      </c>
      <c r="G15">
        <f t="shared" si="0"/>
        <v>1708.3185307179588</v>
      </c>
    </row>
    <row r="16" spans="1:8">
      <c r="B16">
        <f>SUM(B2:B15)</f>
        <v>1708.3185307179588</v>
      </c>
      <c r="F16">
        <v>8</v>
      </c>
      <c r="H16">
        <v>5</v>
      </c>
    </row>
    <row r="20" spans="2:2">
      <c r="B20">
        <f>SUM(B3,B4,B6,B8,B9,B11,B12,B14)</f>
        <v>628.31853071795865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6E86-404C-42BF-897B-1A43270FAE96}">
  <dimension ref="A1:X1709"/>
  <sheetViews>
    <sheetView zoomScale="73" zoomScaleNormal="100" workbookViewId="0">
      <pane ySplit="1" topLeftCell="A2" activePane="bottomLeft" state="frozen"/>
      <selection activeCell="H1" sqref="H1"/>
      <selection pane="bottomLeft" activeCell="P8" sqref="P8"/>
    </sheetView>
  </sheetViews>
  <sheetFormatPr defaultRowHeight="14.5"/>
  <cols>
    <col min="1" max="1" width="13.54296875" bestFit="1" customWidth="1"/>
    <col min="2" max="2" width="15" bestFit="1" customWidth="1"/>
    <col min="3" max="3" width="17.26953125" bestFit="1" customWidth="1"/>
    <col min="4" max="4" width="16.26953125" bestFit="1" customWidth="1"/>
    <col min="5" max="5" width="12.26953125" bestFit="1" customWidth="1"/>
    <col min="6" max="6" width="14.7265625" bestFit="1" customWidth="1"/>
    <col min="7" max="7" width="15.1796875" bestFit="1" customWidth="1"/>
    <col min="8" max="8" width="16.7265625" bestFit="1" customWidth="1"/>
    <col min="9" max="9" width="20.7265625" bestFit="1" customWidth="1"/>
    <col min="10" max="10" width="5.81640625" bestFit="1" customWidth="1"/>
    <col min="11" max="11" width="5.7265625" bestFit="1" customWidth="1"/>
    <col min="12" max="12" width="17.1796875" bestFit="1" customWidth="1"/>
    <col min="13" max="13" width="14.26953125" bestFit="1" customWidth="1"/>
    <col min="14" max="14" width="17.54296875" bestFit="1" customWidth="1"/>
    <col min="15" max="15" width="13.7265625" bestFit="1" customWidth="1"/>
    <col min="16" max="16" width="12.26953125" bestFit="1" customWidth="1"/>
    <col min="17" max="17" width="5.81640625" bestFit="1" customWidth="1"/>
    <col min="18" max="18" width="12.26953125" bestFit="1" customWidth="1"/>
    <col min="19" max="19" width="14.26953125" bestFit="1" customWidth="1"/>
    <col min="20" max="20" width="22.7265625" bestFit="1" customWidth="1"/>
    <col min="21" max="21" width="20.453125" bestFit="1" customWidth="1"/>
    <col min="22" max="22" width="19.26953125" bestFit="1" customWidth="1"/>
    <col min="23" max="23" width="15.54296875" bestFit="1" customWidth="1"/>
    <col min="24" max="24" width="26.453125" bestFit="1" customWidth="1"/>
  </cols>
  <sheetData>
    <row r="1" spans="1:24" ht="15.5">
      <c r="A1" s="20" t="s">
        <v>106</v>
      </c>
      <c r="B1" s="20" t="s">
        <v>105</v>
      </c>
      <c r="C1" s="20" t="s">
        <v>104</v>
      </c>
      <c r="D1" s="20" t="s">
        <v>103</v>
      </c>
      <c r="E1" s="20" t="s">
        <v>102</v>
      </c>
      <c r="F1" s="20" t="s">
        <v>101</v>
      </c>
      <c r="G1" s="20" t="s">
        <v>100</v>
      </c>
      <c r="H1" s="20" t="s">
        <v>99</v>
      </c>
      <c r="I1" s="20" t="s">
        <v>98</v>
      </c>
      <c r="J1" s="20" t="s">
        <v>89</v>
      </c>
      <c r="K1" s="20" t="s">
        <v>59</v>
      </c>
      <c r="L1" s="20" t="s">
        <v>97</v>
      </c>
      <c r="M1" s="20" t="s">
        <v>96</v>
      </c>
      <c r="N1" s="20" t="s">
        <v>1</v>
      </c>
      <c r="O1" s="20" t="s">
        <v>107</v>
      </c>
      <c r="P1" s="20" t="s">
        <v>109</v>
      </c>
      <c r="Q1" s="20" t="s">
        <v>108</v>
      </c>
      <c r="R1" s="20" t="s">
        <v>110</v>
      </c>
      <c r="S1" s="20" t="s">
        <v>111</v>
      </c>
      <c r="T1" s="20" t="s">
        <v>112</v>
      </c>
      <c r="U1" s="20" t="s">
        <v>113</v>
      </c>
      <c r="V1" s="20" t="s">
        <v>114</v>
      </c>
      <c r="W1" s="20" t="s">
        <v>120</v>
      </c>
      <c r="X1" s="24" t="s">
        <v>144</v>
      </c>
    </row>
    <row r="2" spans="1:24">
      <c r="A2" s="16">
        <v>1</v>
      </c>
      <c r="B2" s="17">
        <v>0</v>
      </c>
      <c r="C2" s="18">
        <f>Specification!$G$30</f>
        <v>109.96225200000001</v>
      </c>
      <c r="D2" s="17">
        <v>0</v>
      </c>
      <c r="E2" s="16">
        <v>0</v>
      </c>
      <c r="F2" s="17">
        <f>Specification!$C$23*9.81*SIN((E2*PI()/180))</f>
        <v>0</v>
      </c>
      <c r="G2" s="18">
        <f>IF(J2=1,VLOOKUP(K2,RPM!$E$2:$H$62,3,FALSE)-F2-E2-D2,IF(J2=2,VLOOKUP(K2,RPM!$H$2:$K$62,3,FALSE)-F2-E2-D2,IF(J2=3,VLOOKUP(K2,RPM!$K$2:$N$62,3,FALSE)-F2-E2-D2)))</f>
        <v>861.97417322834644</v>
      </c>
      <c r="H2" s="19">
        <f>IF(J2=1,Specification!$I$14,IF(J2=2,Specification!$I$15,IF(J2=3,Specification!$I$16)))</f>
        <v>612.22379860796673</v>
      </c>
      <c r="I2" s="16">
        <f>G2/H2</f>
        <v>1.4079396704085096</v>
      </c>
      <c r="J2" s="17">
        <v>1</v>
      </c>
      <c r="K2" s="16">
        <v>1000</v>
      </c>
      <c r="L2" s="17">
        <f>(B3-B2)/I2</f>
        <v>1.1918537709395773</v>
      </c>
      <c r="M2" s="16">
        <v>0</v>
      </c>
      <c r="N2" s="17">
        <f>VLOOKUP(K2,RPM!$A$2:$D$62,3,FALSE)</f>
        <v>0.8</v>
      </c>
      <c r="O2" s="16">
        <f>VLOOKUP(K2,RPM!$A$2:$D$62,4,FALSE)</f>
        <v>5.7016</v>
      </c>
      <c r="P2" s="17">
        <f t="shared" ref="P2:P65" si="0">O2*0.7457</f>
        <v>4.25168312</v>
      </c>
      <c r="Q2" s="16" cm="1">
        <f t="array" ref="Q2">_xlfn.XLOOKUP(O2,BSFC!$A$2:$A$24,_xlfn.XLOOKUP(K2,BSFC!$B$1:$O$1,BSFC!$B$2:$O$24,,-1),,-1)</f>
        <v>680</v>
      </c>
      <c r="R2" s="17">
        <f t="shared" ref="R2:R65" si="1">Q2*P2/3600</f>
        <v>0.80309570044444445</v>
      </c>
      <c r="S2" s="16">
        <f>L2*P2/3600</f>
        <v>1.4076068220589299E-3</v>
      </c>
      <c r="T2" s="17">
        <f>S2*Q2</f>
        <v>0.95717263900007232</v>
      </c>
      <c r="U2" s="16">
        <f>T2</f>
        <v>0.95717263900007232</v>
      </c>
      <c r="V2" s="17">
        <f>S2</f>
        <v>1.4076068220589299E-3</v>
      </c>
      <c r="W2" s="16">
        <f>V2*1000*3600</f>
        <v>5067.3845594121476</v>
      </c>
      <c r="X2">
        <f>('Hybrid Info'!A2-Track!P2)*(L2)*1000</f>
        <v>9378.4249560762782</v>
      </c>
    </row>
    <row r="3" spans="1:24">
      <c r="A3" s="16">
        <f>A2+1</f>
        <v>2</v>
      </c>
      <c r="B3" s="17">
        <f>IF(SQRT(B2^2+2*I2)&gt;13.4112,13.4112,SQRT(B2^2+2*I2))</f>
        <v>1.6780582054318078</v>
      </c>
      <c r="C3" s="18">
        <f>Specification!$G$30</f>
        <v>109.96225200000001</v>
      </c>
      <c r="D3" s="17">
        <f>0.5*Specification!$K$4*Track!B3^2*Specification!$K$3*Specification!$K$2</f>
        <v>1.4585036126427726</v>
      </c>
      <c r="E3" s="16">
        <v>0</v>
      </c>
      <c r="F3" s="17">
        <f>Specification!$C$23*9.81*SIN((E3*PI()/180))</f>
        <v>0</v>
      </c>
      <c r="G3" s="18">
        <f>IF(J3=1,VLOOKUP(K3,RPM!$E$2:$H$62,3,FALSE)-F3-E3-D3,IF(J3=2,VLOOKUP(K3,RPM!$H$2:$K$62,3,FALSE)-F3-E3-D3,IF(J3=3,VLOOKUP(K3,RPM!$K$2:$N$62,3,FALSE)-F3-E3-D3)))</f>
        <v>2153.4769294582234</v>
      </c>
      <c r="H3" s="19">
        <f>IF(J3=1,Specification!$I$14,IF(J3=2,Specification!$I$15,IF(J3=3,Specification!$I$16)))</f>
        <v>612.22379860796673</v>
      </c>
      <c r="I3" s="16">
        <f t="shared" ref="I3:I54" si="2">G3/H3</f>
        <v>3.5174668713543222</v>
      </c>
      <c r="J3" s="17">
        <v>1</v>
      </c>
      <c r="K3" s="16">
        <f>IF(J3=1,VLOOKUP(B3,RPM!$F$2:$H$62,3,TRUE),IF(J3=2,VLOOKUP(B3,RPM!$I$2:$K$62,3,TRUE),IF(J3=3,VLOOKUP(B3,RPM!$L$2:$N$62,3,TRUE))))</f>
        <v>2400</v>
      </c>
      <c r="L3" s="17">
        <f t="shared" ref="L3:L66" si="3">IF(I3=0,ABS(1/B3)+L2,IF(ABS(B4-B3)=0,1/B3+L2,ABS((B4-B3)/I3)+L2))</f>
        <v>1.6070793709476765</v>
      </c>
      <c r="M3" s="16">
        <f t="shared" ref="M3:M65" si="4">TAN(E3*PI()/180)+M2</f>
        <v>0</v>
      </c>
      <c r="N3" s="17">
        <f>VLOOKUP(K3,RPM!$A$2:$D$62,3,FALSE)</f>
        <v>4.8</v>
      </c>
      <c r="O3" s="16">
        <f>VLOOKUP(K3,RPM!$A$2:$D$62,4,FALSE)</f>
        <v>14.254</v>
      </c>
      <c r="P3" s="17">
        <f t="shared" si="0"/>
        <v>10.6292078</v>
      </c>
      <c r="Q3" s="16" cm="1">
        <f t="array" ref="Q3">_xlfn.XLOOKUP(O3,BSFC!$A$2:$A$24,_xlfn.XLOOKUP(K3,BSFC!$B$1:$O$1,BSFC!$B$2:$O$24,,-1),,-1)</f>
        <v>562.08051900000009</v>
      </c>
      <c r="R3" s="17">
        <f t="shared" si="1"/>
        <v>1.6595751768841249</v>
      </c>
      <c r="S3" s="16">
        <f t="shared" ref="S3:S66" si="5">(L3-L2)/3600*P3</f>
        <v>1.2259775517682687E-3</v>
      </c>
      <c r="T3" s="17">
        <f>S3*Q3</f>
        <v>0.68909809858025795</v>
      </c>
      <c r="U3" s="16">
        <f>U2+T3</f>
        <v>1.6462707375803303</v>
      </c>
      <c r="V3" s="17">
        <f>S3</f>
        <v>1.2259775517682687E-3</v>
      </c>
      <c r="W3" s="16">
        <f t="shared" ref="W3:W66" si="6">V3*1000*3600</f>
        <v>4413.5191863657674</v>
      </c>
      <c r="X3">
        <f>('Hybrid Info'!$A$2-Track!P3)*(L3-L2)*1000+X2</f>
        <v>9997.6288016163107</v>
      </c>
    </row>
    <row r="4" spans="1:24">
      <c r="A4" s="16">
        <f t="shared" ref="A4:A67" si="7">A3+1</f>
        <v>3</v>
      </c>
      <c r="B4" s="17">
        <f t="shared" ref="B4:B67" si="8">IF(SQRT(B3^2+2*I3)&gt;13.4112,13.4112,SQRT(B3^2+2*I3))</f>
        <v>3.1386004975985178</v>
      </c>
      <c r="C4" s="18">
        <f>Specification!$G$30</f>
        <v>109.96225200000001</v>
      </c>
      <c r="D4" s="17">
        <f>0.5*Specification!$K$4*Track!B4^2*Specification!$K$3*Specification!$K$2</f>
        <v>5.1022947828518097</v>
      </c>
      <c r="E4" s="16">
        <v>0</v>
      </c>
      <c r="F4" s="17">
        <f>Specification!$C$23*9.81*SIN((E4*PI()/180))</f>
        <v>0</v>
      </c>
      <c r="G4" s="18">
        <f>IF(J4=1,VLOOKUP(K4,RPM!$E$2:$H$62,3,FALSE)-F4-E4-D4,IF(J4=2,VLOOKUP(K4,RPM!$H$2:$K$62,3,FALSE)-F4-E4-D4,IF(J4=3,VLOOKUP(K4,RPM!$K$2:$N$62,3,FALSE)-F4-E4-D4)))</f>
        <v>2868.1449493116361</v>
      </c>
      <c r="H4" s="19">
        <f>IF(J4=1,Specification!$I$14,IF(J4=2,Specification!$I$15,IF(J4=3,Specification!$I$16)))</f>
        <v>612.22379860796673</v>
      </c>
      <c r="I4" s="16">
        <f t="shared" si="2"/>
        <v>4.6847981993398999</v>
      </c>
      <c r="J4" s="17">
        <v>1</v>
      </c>
      <c r="K4" s="16">
        <f>IF(J4=1,VLOOKUP(B4,RPM!$F$2:$H$62,3,TRUE),IF(J4=2,VLOOKUP(B4,RPM!$I$2:$K$62,3,TRUE),IF(J4=3,VLOOKUP(B4,RPM!$L$2:$N$62,3,TRUE))))</f>
        <v>4500</v>
      </c>
      <c r="L4" s="17">
        <f t="shared" si="3"/>
        <v>1.8729410353663865</v>
      </c>
      <c r="M4" s="16">
        <f t="shared" si="4"/>
        <v>0</v>
      </c>
      <c r="N4" s="17">
        <f>VLOOKUP(K4,RPM!$A$2:$D$62,3,FALSE)</f>
        <v>12</v>
      </c>
      <c r="O4" s="16">
        <f>VLOOKUP(K4,RPM!$A$2:$D$62,4,FALSE)</f>
        <v>19.005333333333333</v>
      </c>
      <c r="P4" s="17">
        <f t="shared" si="0"/>
        <v>14.172277066666666</v>
      </c>
      <c r="Q4" s="16" cm="1">
        <f t="array" ref="Q4">_xlfn.XLOOKUP(O4,BSFC!$A$2:$A$24,_xlfn.XLOOKUP(K4,BSFC!$B$1:$O$1,BSFC!$B$2:$O$24,,-1),,-1)</f>
        <v>475</v>
      </c>
      <c r="R4" s="17">
        <f t="shared" si="1"/>
        <v>1.8699532240740742</v>
      </c>
      <c r="S4" s="16">
        <f t="shared" si="5"/>
        <v>1.0466292137630868E-3</v>
      </c>
      <c r="T4" s="17">
        <f t="shared" ref="T4:T67" si="9">S4*Q4</f>
        <v>0.4971488765374662</v>
      </c>
      <c r="U4" s="16">
        <f t="shared" ref="U4:U67" si="10">U3+T4</f>
        <v>2.1434196141177964</v>
      </c>
      <c r="V4" s="17">
        <f>V3+S4</f>
        <v>2.2726067655313553E-3</v>
      </c>
      <c r="W4" s="16">
        <f t="shared" si="6"/>
        <v>8181.3843559128791</v>
      </c>
      <c r="X4">
        <f>('Hybrid Info'!$A$2-Track!P4)*(L4-L3)*1000+X3</f>
        <v>9452.127864416032</v>
      </c>
    </row>
    <row r="5" spans="1:24">
      <c r="A5" s="16">
        <f t="shared" si="7"/>
        <v>4</v>
      </c>
      <c r="B5" s="17">
        <f t="shared" si="8"/>
        <v>4.3841087443407991</v>
      </c>
      <c r="C5" s="18">
        <f>Specification!$G$30</f>
        <v>109.96225200000001</v>
      </c>
      <c r="D5" s="17">
        <f>0.5*Specification!$K$4*Track!B5^2*Specification!$K$3*Specification!$K$2</f>
        <v>9.9553401525139051</v>
      </c>
      <c r="E5" s="16">
        <v>0</v>
      </c>
      <c r="F5" s="17">
        <f>Specification!$C$23*9.81*SIN((E5*PI()/180))</f>
        <v>0</v>
      </c>
      <c r="G5" s="18">
        <f>IF(J5=1,VLOOKUP(K5,RPM!$E$2:$H$62,3,FALSE)-F5-E5-D5,IF(J5=2,VLOOKUP(K5,RPM!$H$2:$K$62,3,FALSE)-F5-E5-D5,IF(J5=3,VLOOKUP(K5,RPM!$K$2:$N$62,3,FALSE)-F5-E5-D5)))</f>
        <v>3000.1132012798075</v>
      </c>
      <c r="H5" s="19">
        <f>IF(J5=1,Specification!$I$14,IF(J5=2,Specification!$I$15,IF(J5=3,Specification!$I$16)))</f>
        <v>612.22379860796673</v>
      </c>
      <c r="I5" s="16">
        <f t="shared" si="2"/>
        <v>4.9003537727564055</v>
      </c>
      <c r="J5" s="17">
        <v>1</v>
      </c>
      <c r="K5" s="16">
        <f>IF(J5=1,VLOOKUP(B5,RPM!$F$2:$H$62,3,TRUE),IF(J5=2,VLOOKUP(B5,RPM!$I$2:$K$62,3,TRUE),IF(J5=3,VLOOKUP(B5,RPM!$L$2:$N$62,3,TRUE))))</f>
        <v>6300</v>
      </c>
      <c r="L5" s="17">
        <f t="shared" si="3"/>
        <v>2.0776234765352801</v>
      </c>
      <c r="M5" s="16">
        <f t="shared" si="4"/>
        <v>0</v>
      </c>
      <c r="N5" s="17">
        <f>VLOOKUP(K5,RPM!$A$2:$D$62,3,FALSE)</f>
        <v>17.600000000000001</v>
      </c>
      <c r="O5" s="16">
        <f>VLOOKUP(K5,RPM!$A$2:$D$62,4,FALSE)</f>
        <v>19.91034920634921</v>
      </c>
      <c r="P5" s="17">
        <f t="shared" si="0"/>
        <v>14.847147403174606</v>
      </c>
      <c r="Q5" s="16" cm="1">
        <f t="array" ref="Q5">_xlfn.XLOOKUP(O5,BSFC!$A$2:$A$24,_xlfn.XLOOKUP(K5,BSFC!$B$1:$O$1,BSFC!$B$2:$O$24,,-1),,-1)</f>
        <v>455</v>
      </c>
      <c r="R5" s="17">
        <f t="shared" si="1"/>
        <v>1.8765144634567905</v>
      </c>
      <c r="S5" s="16">
        <f t="shared" si="5"/>
        <v>8.4415288191004969E-4</v>
      </c>
      <c r="T5" s="17">
        <f t="shared" si="9"/>
        <v>0.38408956126907262</v>
      </c>
      <c r="U5" s="16">
        <f t="shared" si="10"/>
        <v>2.5275091753868688</v>
      </c>
      <c r="V5" s="17">
        <f t="shared" ref="V5:V68" si="11">V4+S5</f>
        <v>3.1167596474414049E-3</v>
      </c>
      <c r="W5" s="16">
        <f t="shared" si="6"/>
        <v>11220.334730789058</v>
      </c>
      <c r="X5">
        <f>('Hybrid Info'!$A$2-Track!P5)*(L5-L4)*1000+X4</f>
        <v>8894.0217242818871</v>
      </c>
    </row>
    <row r="6" spans="1:24">
      <c r="A6" s="16">
        <f t="shared" si="7"/>
        <v>5</v>
      </c>
      <c r="B6" s="17">
        <f t="shared" si="8"/>
        <v>5.387125117139778</v>
      </c>
      <c r="C6" s="18">
        <f>Specification!$G$30</f>
        <v>109.96225200000001</v>
      </c>
      <c r="D6" s="17">
        <f>0.5*Specification!$K$4*Track!B6^2*Specification!$K$3*Specification!$K$2</f>
        <v>15.031682435503292</v>
      </c>
      <c r="E6" s="16">
        <v>0</v>
      </c>
      <c r="F6" s="17">
        <f>Specification!$C$23*9.81*SIN((E6*PI()/180))</f>
        <v>0</v>
      </c>
      <c r="G6" s="18">
        <f>IF(J6=1,VLOOKUP(K6,RPM!$E$2:$H$62,3,FALSE)-F6-E6-D6,IF(J6=2,VLOOKUP(K6,RPM!$H$2:$K$62,3,FALSE)-F6-E6-D6,IF(J6=3,VLOOKUP(K6,RPM!$K$2:$N$62,3,FALSE)-F6-E6-D6)))</f>
        <v>1985.9797911303008</v>
      </c>
      <c r="H6" s="19">
        <f>IF(J6=1,Specification!$I$14,IF(J6=2,Specification!$I$15,IF(J6=3,Specification!$I$16)))</f>
        <v>612.22379860796673</v>
      </c>
      <c r="I6" s="16">
        <f t="shared" si="2"/>
        <v>3.2438787836178338</v>
      </c>
      <c r="J6" s="17">
        <v>1</v>
      </c>
      <c r="K6" s="16">
        <f>IF(J6=1,VLOOKUP(B6,RPM!$F$2:$H$62,3,TRUE),IF(J6=2,VLOOKUP(B6,RPM!$I$2:$K$62,3,TRUE),IF(J6=3,VLOOKUP(B6,RPM!$L$2:$N$62,3,TRUE))))</f>
        <v>7000</v>
      </c>
      <c r="L6" s="17">
        <f t="shared" si="3"/>
        <v>2.2538961605150098</v>
      </c>
      <c r="M6" s="16">
        <f t="shared" si="4"/>
        <v>0</v>
      </c>
      <c r="N6" s="17">
        <f>VLOOKUP(K6,RPM!$A$2:$D$62,3,FALSE)</f>
        <v>13</v>
      </c>
      <c r="O6" s="16">
        <f>VLOOKUP(K6,RPM!$A$2:$D$62,4,FALSE)</f>
        <v>13.235857142857142</v>
      </c>
      <c r="P6" s="17">
        <f t="shared" si="0"/>
        <v>9.8699786714285711</v>
      </c>
      <c r="Q6" s="16" cm="1">
        <f t="array" ref="Q6">_xlfn.XLOOKUP(O6,BSFC!$A$2:$A$24,_xlfn.XLOOKUP(K6,BSFC!$B$1:$O$1,BSFC!$B$2:$O$24,,-1),,-1)</f>
        <v>520</v>
      </c>
      <c r="R6" s="17">
        <f t="shared" si="1"/>
        <v>1.425663585873016</v>
      </c>
      <c r="S6" s="16">
        <f t="shared" si="5"/>
        <v>4.8327989756538923E-4</v>
      </c>
      <c r="T6" s="17">
        <f t="shared" si="9"/>
        <v>0.25130554673400241</v>
      </c>
      <c r="U6" s="16">
        <f t="shared" si="10"/>
        <v>2.7788147221208712</v>
      </c>
      <c r="V6" s="17">
        <f t="shared" si="11"/>
        <v>3.6000395450067942E-3</v>
      </c>
      <c r="W6" s="16">
        <f t="shared" si="6"/>
        <v>12960.142362024459</v>
      </c>
      <c r="X6">
        <f>('Hybrid Info'!$A$2-Track!P6)*(L6-L5)*1000+X5</f>
        <v>9290.7191556999787</v>
      </c>
    </row>
    <row r="7" spans="1:24">
      <c r="A7" s="16">
        <f t="shared" si="7"/>
        <v>6</v>
      </c>
      <c r="B7" s="17">
        <f t="shared" si="8"/>
        <v>5.9589323368329952</v>
      </c>
      <c r="C7" s="18">
        <f>Specification!$G$30</f>
        <v>109.96225200000001</v>
      </c>
      <c r="D7" s="17">
        <f>0.5*Specification!$K$4*Track!B7^2*Specification!$K$3*Specification!$K$2</f>
        <v>18.392060031447517</v>
      </c>
      <c r="E7" s="16">
        <v>0</v>
      </c>
      <c r="F7" s="17">
        <f>Specification!$C$23*9.81*SIN((E7*PI()/180))</f>
        <v>0</v>
      </c>
      <c r="G7" s="18">
        <f>IF(J7=1,VLOOKUP(K7,RPM!$E$2:$H$62,3,FALSE)-F7-E7-D7,IF(J7=2,VLOOKUP(K7,RPM!$H$2:$K$62,3,FALSE)-F7-E7-D7,IF(J7=3,VLOOKUP(K7,RPM!$K$2:$N$62,3,FALSE)-F7-E7-D7)))</f>
        <v>1982.6194135343567</v>
      </c>
      <c r="H7" s="19">
        <f>IF(J7=1,Specification!$I$14,IF(J7=2,Specification!$I$15,IF(J7=3,Specification!$I$16)))</f>
        <v>612.22379860796673</v>
      </c>
      <c r="I7" s="16">
        <f t="shared" si="2"/>
        <v>3.2383899777210607</v>
      </c>
      <c r="J7" s="17">
        <v>1</v>
      </c>
      <c r="K7" s="16">
        <f>IF(J7=1,VLOOKUP(B7,RPM!$F$2:$H$62,3,TRUE),IF(J7=2,VLOOKUP(B7,RPM!$I$2:$K$62,3,TRUE),IF(J7=3,VLOOKUP(B7,RPM!$L$2:$N$62,3,TRUE))))</f>
        <v>7000</v>
      </c>
      <c r="L7" s="17">
        <f t="shared" si="3"/>
        <v>2.414686397382269</v>
      </c>
      <c r="M7" s="16">
        <f t="shared" si="4"/>
        <v>0</v>
      </c>
      <c r="N7" s="17">
        <f>VLOOKUP(K7,RPM!$A$2:$D$62,3,FALSE)</f>
        <v>13</v>
      </c>
      <c r="O7" s="16">
        <f>VLOOKUP(K7,RPM!$A$2:$D$62,4,FALSE)</f>
        <v>13.235857142857142</v>
      </c>
      <c r="P7" s="17">
        <f t="shared" si="0"/>
        <v>9.8699786714285711</v>
      </c>
      <c r="Q7" s="16" cm="1">
        <f t="array" ref="Q7">_xlfn.XLOOKUP(O7,BSFC!$A$2:$A$24,_xlfn.XLOOKUP(K7,BSFC!$B$1:$O$1,BSFC!$B$2:$O$24,,-1),,-1)</f>
        <v>520</v>
      </c>
      <c r="R7" s="17">
        <f t="shared" si="1"/>
        <v>1.425663585873016</v>
      </c>
      <c r="S7" s="16">
        <f t="shared" si="5"/>
        <v>4.4083228012605429E-4</v>
      </c>
      <c r="T7" s="17">
        <f t="shared" si="9"/>
        <v>0.22923278566554822</v>
      </c>
      <c r="U7" s="16">
        <f t="shared" si="10"/>
        <v>3.0080475077864195</v>
      </c>
      <c r="V7" s="17">
        <f t="shared" si="11"/>
        <v>4.0408718251328489E-3</v>
      </c>
      <c r="W7" s="16">
        <f t="shared" si="6"/>
        <v>14547.138570478257</v>
      </c>
      <c r="X7">
        <f>('Hybrid Info'!$A$2-Track!P7)*(L7-L6)*1000+X6</f>
        <v>9652.5737126413314</v>
      </c>
    </row>
    <row r="8" spans="1:24">
      <c r="A8" s="16">
        <f t="shared" si="7"/>
        <v>7</v>
      </c>
      <c r="B8" s="17">
        <f t="shared" si="8"/>
        <v>6.4796338284193231</v>
      </c>
      <c r="C8" s="18">
        <f>Specification!$G$30</f>
        <v>109.96225200000001</v>
      </c>
      <c r="D8" s="17">
        <f>0.5*Specification!$K$4*Track!B8^2*Specification!$K$3*Specification!$K$2</f>
        <v>21.746751699650808</v>
      </c>
      <c r="E8" s="16">
        <v>0</v>
      </c>
      <c r="F8" s="17">
        <f>Specification!$C$23*9.81*SIN((E8*PI()/180))</f>
        <v>0</v>
      </c>
      <c r="G8" s="18">
        <f>IF(J8=1,VLOOKUP(K8,RPM!$E$2:$H$62,3,FALSE)-F8-E8-D8,IF(J8=2,VLOOKUP(K8,RPM!$H$2:$K$62,3,FALSE)-F8-E8-D8,IF(J8=3,VLOOKUP(K8,RPM!$K$2:$N$62,3,FALSE)-F8-E8-D8)))</f>
        <v>1979.2647218661534</v>
      </c>
      <c r="H8" s="19">
        <f>IF(J8=1,Specification!$I$14,IF(J8=2,Specification!$I$15,IF(J8=3,Specification!$I$16)))</f>
        <v>612.22379860796673</v>
      </c>
      <c r="I8" s="16">
        <f t="shared" si="2"/>
        <v>3.2329104591596609</v>
      </c>
      <c r="J8" s="17">
        <v>1</v>
      </c>
      <c r="K8" s="16">
        <f>IF(J8=1,VLOOKUP(B8,RPM!$F$2:$H$62,3,TRUE),IF(J8=2,VLOOKUP(B8,RPM!$I$2:$K$62,3,TRUE),IF(J8=3,VLOOKUP(B8,RPM!$L$2:$N$62,3,TRUE))))</f>
        <v>7000</v>
      </c>
      <c r="L8" s="17">
        <f t="shared" si="3"/>
        <v>2.5634921209232751</v>
      </c>
      <c r="M8" s="16">
        <f t="shared" si="4"/>
        <v>0</v>
      </c>
      <c r="N8" s="17">
        <f>VLOOKUP(K8,RPM!$A$2:$D$62,3,FALSE)</f>
        <v>13</v>
      </c>
      <c r="O8" s="16">
        <f>VLOOKUP(K8,RPM!$A$2:$D$62,4,FALSE)</f>
        <v>13.235857142857142</v>
      </c>
      <c r="P8" s="17">
        <f t="shared" si="0"/>
        <v>9.8699786714285711</v>
      </c>
      <c r="Q8" s="16" cm="1">
        <f t="array" ref="Q8">_xlfn.XLOOKUP(O8,BSFC!$A$2:$A$24,_xlfn.XLOOKUP(K8,BSFC!$B$1:$O$1,BSFC!$B$2:$O$24,,-1),,-1)</f>
        <v>520</v>
      </c>
      <c r="R8" s="17">
        <f t="shared" si="1"/>
        <v>1.425663585873016</v>
      </c>
      <c r="S8" s="16">
        <f t="shared" si="5"/>
        <v>4.0797481042672954E-4</v>
      </c>
      <c r="T8" s="17">
        <f t="shared" si="9"/>
        <v>0.21214690142189938</v>
      </c>
      <c r="U8" s="16">
        <f t="shared" si="10"/>
        <v>3.220194409208319</v>
      </c>
      <c r="V8" s="17">
        <f t="shared" si="11"/>
        <v>4.4488466355595783E-3</v>
      </c>
      <c r="W8" s="16">
        <f t="shared" si="6"/>
        <v>16015.847888014481</v>
      </c>
      <c r="X8">
        <f>('Hybrid Info'!$A$2-Track!P8)*(L8-L7)*1000+X7</f>
        <v>9987.4574108768229</v>
      </c>
    </row>
    <row r="9" spans="1:24">
      <c r="A9" s="16">
        <f t="shared" si="7"/>
        <v>8</v>
      </c>
      <c r="B9" s="17">
        <f t="shared" si="8"/>
        <v>6.9607094084378627</v>
      </c>
      <c r="C9" s="18">
        <f>Specification!$G$30</f>
        <v>109.96225200000001</v>
      </c>
      <c r="D9" s="17">
        <f>0.5*Specification!$K$4*Track!B9^2*Specification!$K$3*Specification!$K$2</f>
        <v>25.095767060988607</v>
      </c>
      <c r="E9" s="16">
        <v>0</v>
      </c>
      <c r="F9" s="17">
        <f>Specification!$C$23*9.81*SIN((E9*PI()/180))</f>
        <v>0</v>
      </c>
      <c r="G9" s="18">
        <f>IF(J9=1,VLOOKUP(K9,RPM!$E$2:$H$62,3,FALSE)-F9-E9-D9,IF(J9=2,VLOOKUP(K9,RPM!$H$2:$K$62,3,FALSE)-F9-E9-D9,IF(J9=3,VLOOKUP(K9,RPM!$K$2:$N$62,3,FALSE)-F9-E9-D9)))</f>
        <v>1975.9157065048155</v>
      </c>
      <c r="H9" s="19">
        <f>IF(J9=1,Specification!$I$14,IF(J9=2,Specification!$I$15,IF(J9=3,Specification!$I$16)))</f>
        <v>612.22379860796673</v>
      </c>
      <c r="I9" s="16">
        <f t="shared" si="2"/>
        <v>3.2274402122189954</v>
      </c>
      <c r="J9" s="17">
        <v>1</v>
      </c>
      <c r="K9" s="16">
        <f>IF(J9=1,VLOOKUP(B9,RPM!$F$2:$H$62,3,TRUE),IF(J9=2,VLOOKUP(B9,RPM!$I$2:$K$62,3,TRUE),IF(J9=3,VLOOKUP(B9,RPM!$L$2:$N$62,3,TRUE))))</f>
        <v>7000</v>
      </c>
      <c r="L9" s="17">
        <f t="shared" si="3"/>
        <v>2.7026652349301523</v>
      </c>
      <c r="M9" s="16">
        <f t="shared" si="4"/>
        <v>0</v>
      </c>
      <c r="N9" s="17">
        <f>VLOOKUP(K9,RPM!$A$2:$D$62,3,FALSE)</f>
        <v>13</v>
      </c>
      <c r="O9" s="16">
        <f>VLOOKUP(K9,RPM!$A$2:$D$62,4,FALSE)</f>
        <v>13.235857142857142</v>
      </c>
      <c r="P9" s="17">
        <f t="shared" si="0"/>
        <v>9.8699786714285711</v>
      </c>
      <c r="Q9" s="16" cm="1">
        <f t="array" ref="Q9">_xlfn.XLOOKUP(O9,BSFC!$A$2:$A$24,_xlfn.XLOOKUP(K9,BSFC!$B$1:$O$1,BSFC!$B$2:$O$24,,-1),,-1)</f>
        <v>520</v>
      </c>
      <c r="R9" s="17">
        <f t="shared" si="1"/>
        <v>1.425663585873016</v>
      </c>
      <c r="S9" s="16">
        <f t="shared" si="5"/>
        <v>3.8156546302338211E-4</v>
      </c>
      <c r="T9" s="17">
        <f t="shared" si="9"/>
        <v>0.19841404077215868</v>
      </c>
      <c r="U9" s="16">
        <f t="shared" si="10"/>
        <v>3.4186084499804776</v>
      </c>
      <c r="V9" s="17">
        <f t="shared" si="11"/>
        <v>4.8304120985829604E-3</v>
      </c>
      <c r="W9" s="16">
        <f t="shared" si="6"/>
        <v>17389.483554898656</v>
      </c>
      <c r="X9">
        <f>('Hybrid Info'!$A$2-Track!P9)*(L9-L8)*1000+X8</f>
        <v>10300.663153267029</v>
      </c>
    </row>
    <row r="10" spans="1:24">
      <c r="A10" s="16">
        <f t="shared" si="7"/>
        <v>9</v>
      </c>
      <c r="B10" s="17">
        <f t="shared" si="8"/>
        <v>7.4098823130433971</v>
      </c>
      <c r="C10" s="18">
        <f>Specification!$G$30</f>
        <v>109.96225200000001</v>
      </c>
      <c r="D10" s="17">
        <f>0.5*Specification!$K$4*Track!B10^2*Specification!$K$3*Specification!$K$2</f>
        <v>28.439115720057337</v>
      </c>
      <c r="E10" s="16">
        <v>0</v>
      </c>
      <c r="F10" s="17">
        <f>Specification!$C$23*9.81*SIN((E10*PI()/180))</f>
        <v>0</v>
      </c>
      <c r="G10" s="18">
        <f>IF(J10=1,VLOOKUP(K10,RPM!$E$2:$H$62,3,FALSE)-F10-E10-D10,IF(J10=2,VLOOKUP(K10,RPM!$H$2:$K$62,3,FALSE)-F10-E10-D10,IF(J10=3,VLOOKUP(K10,RPM!$K$2:$N$62,3,FALSE)-F10-E10-D10)))</f>
        <v>1972.5723578457469</v>
      </c>
      <c r="H10" s="19">
        <f>IF(J10=1,Specification!$I$14,IF(J10=2,Specification!$I$15,IF(J10=3,Specification!$I$16)))</f>
        <v>612.22379860796673</v>
      </c>
      <c r="I10" s="16">
        <f t="shared" si="2"/>
        <v>3.2219792212110163</v>
      </c>
      <c r="J10" s="17">
        <v>1</v>
      </c>
      <c r="K10" s="16">
        <f>IF(J10=1,VLOOKUP(B10,RPM!$F$2:$H$62,3,TRUE),IF(J10=2,VLOOKUP(B10,RPM!$I$2:$K$62,3,TRUE),IF(J10=3,VLOOKUP(B10,RPM!$L$2:$N$62,3,TRUE))))</f>
        <v>7000</v>
      </c>
      <c r="L10" s="17">
        <f t="shared" si="3"/>
        <v>2.8338770786639111</v>
      </c>
      <c r="M10" s="16">
        <f t="shared" si="4"/>
        <v>0</v>
      </c>
      <c r="N10" s="17">
        <f>VLOOKUP(K10,RPM!$A$2:$D$62,3,FALSE)</f>
        <v>13</v>
      </c>
      <c r="O10" s="16">
        <f>VLOOKUP(K10,RPM!$A$2:$D$62,4,FALSE)</f>
        <v>13.235857142857142</v>
      </c>
      <c r="P10" s="17">
        <f t="shared" si="0"/>
        <v>9.8699786714285711</v>
      </c>
      <c r="Q10" s="16" cm="1">
        <f t="array" ref="Q10">_xlfn.XLOOKUP(O10,BSFC!$A$2:$A$24,_xlfn.XLOOKUP(K10,BSFC!$B$1:$O$1,BSFC!$B$2:$O$24,,-1),,-1)</f>
        <v>520</v>
      </c>
      <c r="R10" s="17">
        <f t="shared" si="1"/>
        <v>1.425663585873016</v>
      </c>
      <c r="S10" s="16">
        <f t="shared" si="5"/>
        <v>3.5973836085861617E-4</v>
      </c>
      <c r="T10" s="17">
        <f t="shared" si="9"/>
        <v>0.18706394764648041</v>
      </c>
      <c r="U10" s="16">
        <f t="shared" si="10"/>
        <v>3.6056723976269582</v>
      </c>
      <c r="V10" s="17">
        <f t="shared" si="11"/>
        <v>5.1901504594415769E-3</v>
      </c>
      <c r="W10" s="16">
        <f t="shared" si="6"/>
        <v>18684.54165398968</v>
      </c>
      <c r="X10">
        <f>('Hybrid Info'!$A$2-Track!P10)*(L10-L9)*1000+X9</f>
        <v>10595.952248580286</v>
      </c>
    </row>
    <row r="11" spans="1:24">
      <c r="A11" s="16">
        <f t="shared" si="7"/>
        <v>10</v>
      </c>
      <c r="B11" s="17">
        <f t="shared" si="8"/>
        <v>7.8326441471303543</v>
      </c>
      <c r="C11" s="18">
        <f>Specification!$G$30</f>
        <v>109.96225200000001</v>
      </c>
      <c r="D11" s="17">
        <f>0.5*Specification!$K$4*Track!B11^2*Specification!$K$3*Specification!$K$2</f>
        <v>31.776807265201974</v>
      </c>
      <c r="E11" s="16">
        <v>0</v>
      </c>
      <c r="F11" s="17">
        <f>Specification!$C$23*9.81*SIN((E11*PI()/180))</f>
        <v>0</v>
      </c>
      <c r="G11" s="18">
        <f>IF(J11=1,VLOOKUP(K11,RPM!$E$2:$H$62,3,FALSE)-F11-E11-D11,IF(J11=2,VLOOKUP(K11,RPM!$H$2:$K$62,3,FALSE)-F11-E11-D11,IF(J11=3,VLOOKUP(K11,RPM!$K$2:$N$62,3,FALSE)-F11-E11-D11)))</f>
        <v>1969.2346663006022</v>
      </c>
      <c r="H11" s="19">
        <f>IF(J11=1,Specification!$I$14,IF(J11=2,Specification!$I$15,IF(J11=3,Specification!$I$16)))</f>
        <v>612.22379860796673</v>
      </c>
      <c r="I11" s="16">
        <f t="shared" si="2"/>
        <v>3.2165274704742211</v>
      </c>
      <c r="J11" s="17">
        <v>1</v>
      </c>
      <c r="K11" s="16">
        <f>IF(J11=1,VLOOKUP(B11,RPM!$F$2:$H$62,3,TRUE),IF(J11=2,VLOOKUP(B11,RPM!$I$2:$K$62,3,TRUE),IF(J11=3,VLOOKUP(B11,RPM!$L$2:$N$62,3,TRUE))))</f>
        <v>7000</v>
      </c>
      <c r="L11" s="17">
        <f t="shared" si="3"/>
        <v>2.9583658208796981</v>
      </c>
      <c r="M11" s="16">
        <f t="shared" si="4"/>
        <v>0</v>
      </c>
      <c r="N11" s="17">
        <f>VLOOKUP(K11,RPM!$A$2:$D$62,3,FALSE)</f>
        <v>13</v>
      </c>
      <c r="O11" s="16">
        <f>VLOOKUP(K11,RPM!$A$2:$D$62,4,FALSE)</f>
        <v>13.235857142857142</v>
      </c>
      <c r="P11" s="17">
        <f t="shared" si="0"/>
        <v>9.8699786714285711</v>
      </c>
      <c r="Q11" s="16" cm="1">
        <f t="array" ref="Q11">_xlfn.XLOOKUP(O11,BSFC!$A$2:$A$24,_xlfn.XLOOKUP(K11,BSFC!$B$1:$O$1,BSFC!$B$2:$O$24,,-1),,-1)</f>
        <v>520</v>
      </c>
      <c r="R11" s="17">
        <f t="shared" si="1"/>
        <v>1.425663585873016</v>
      </c>
      <c r="S11" s="16">
        <f t="shared" si="5"/>
        <v>3.4130589736188535E-4</v>
      </c>
      <c r="T11" s="17">
        <f t="shared" si="9"/>
        <v>0.17747906662818039</v>
      </c>
      <c r="U11" s="16">
        <f t="shared" si="10"/>
        <v>3.7831514642551385</v>
      </c>
      <c r="V11" s="17">
        <f t="shared" si="11"/>
        <v>5.5314563568034623E-3</v>
      </c>
      <c r="W11" s="16">
        <f t="shared" si="6"/>
        <v>19913.242884492465</v>
      </c>
      <c r="X11">
        <f>('Hybrid Info'!$A$2-Track!P11)*(L11-L10)*1000+X10</f>
        <v>10876.111165790344</v>
      </c>
    </row>
    <row r="12" spans="1:24">
      <c r="A12" s="16">
        <f t="shared" si="7"/>
        <v>11</v>
      </c>
      <c r="B12" s="17">
        <f t="shared" si="8"/>
        <v>8.2330656062322163</v>
      </c>
      <c r="C12" s="18">
        <f>Specification!$G$30</f>
        <v>109.96225200000001</v>
      </c>
      <c r="D12" s="17">
        <f>0.5*Specification!$K$4*Track!B12^2*Specification!$K$3*Specification!$K$2</f>
        <v>35.108851268543546</v>
      </c>
      <c r="E12" s="16">
        <v>0</v>
      </c>
      <c r="F12" s="17">
        <f>Specification!$C$23*9.81*SIN((E12*PI()/180))</f>
        <v>0</v>
      </c>
      <c r="G12" s="18">
        <f>IF(J12=1,VLOOKUP(K12,RPM!$E$2:$H$62,3,FALSE)-F12-E12-D12,IF(J12=2,VLOOKUP(K12,RPM!$H$2:$K$62,3,FALSE)-F12-E12-D12,IF(J12=3,VLOOKUP(K12,RPM!$K$2:$N$62,3,FALSE)-F12-E12-D12)))</f>
        <v>1965.9026222972607</v>
      </c>
      <c r="H12" s="19">
        <f>IF(J12=1,Specification!$I$14,IF(J12=2,Specification!$I$15,IF(J12=3,Specification!$I$16)))</f>
        <v>612.22379860796673</v>
      </c>
      <c r="I12" s="16">
        <f t="shared" si="2"/>
        <v>3.211084944373606</v>
      </c>
      <c r="J12" s="17">
        <v>1</v>
      </c>
      <c r="K12" s="16">
        <f>IF(J12=1,VLOOKUP(B12,RPM!$F$2:$H$62,3,TRUE),IF(J12=2,VLOOKUP(B12,RPM!$I$2:$K$62,3,TRUE),IF(J12=3,VLOOKUP(B12,RPM!$L$2:$N$62,3,TRUE))))</f>
        <v>7000</v>
      </c>
      <c r="L12" s="17">
        <f t="shared" si="3"/>
        <v>3.0770789986866465</v>
      </c>
      <c r="M12" s="16">
        <f t="shared" si="4"/>
        <v>0</v>
      </c>
      <c r="N12" s="17">
        <f>VLOOKUP(K12,RPM!$A$2:$D$62,3,FALSE)</f>
        <v>13</v>
      </c>
      <c r="O12" s="16">
        <f>VLOOKUP(K12,RPM!$A$2:$D$62,4,FALSE)</f>
        <v>13.235857142857142</v>
      </c>
      <c r="P12" s="17">
        <f t="shared" si="0"/>
        <v>9.8699786714285711</v>
      </c>
      <c r="Q12" s="16" cm="1">
        <f t="array" ref="Q12">_xlfn.XLOOKUP(O12,BSFC!$A$2:$A$24,_xlfn.XLOOKUP(K12,BSFC!$B$1:$O$1,BSFC!$B$2:$O$24,,-1),,-1)</f>
        <v>520</v>
      </c>
      <c r="R12" s="17">
        <f t="shared" si="1"/>
        <v>1.425663585873016</v>
      </c>
      <c r="S12" s="16">
        <f t="shared" si="5"/>
        <v>3.2547125915891327E-4</v>
      </c>
      <c r="T12" s="17">
        <f t="shared" si="9"/>
        <v>0.16924505476263491</v>
      </c>
      <c r="U12" s="16">
        <f t="shared" si="10"/>
        <v>3.9523965190177734</v>
      </c>
      <c r="V12" s="17">
        <f t="shared" si="11"/>
        <v>5.8569276159623753E-3</v>
      </c>
      <c r="W12" s="16">
        <f t="shared" si="6"/>
        <v>21084.939417464549</v>
      </c>
      <c r="X12">
        <f>('Hybrid Info'!$A$2-Track!P12)*(L12-L11)*1000+X11</f>
        <v>11143.272314348738</v>
      </c>
    </row>
    <row r="13" spans="1:24">
      <c r="A13" s="16">
        <f t="shared" si="7"/>
        <v>12</v>
      </c>
      <c r="B13" s="17">
        <f t="shared" si="8"/>
        <v>8.6142637041868557</v>
      </c>
      <c r="C13" s="18">
        <f>Specification!$G$30</f>
        <v>109.96225200000001</v>
      </c>
      <c r="D13" s="17">
        <f>0.5*Specification!$K$4*Track!B13^2*Specification!$K$3*Specification!$K$2</f>
        <v>38.435257286006518</v>
      </c>
      <c r="E13" s="16">
        <v>0</v>
      </c>
      <c r="F13" s="17">
        <f>Specification!$C$23*9.81*SIN((E13*PI()/180))</f>
        <v>0</v>
      </c>
      <c r="G13" s="18">
        <f>IF(J13=1,VLOOKUP(K13,RPM!$E$2:$H$62,3,FALSE)-F13-E13-D13,IF(J13=2,VLOOKUP(K13,RPM!$H$2:$K$62,3,FALSE)-F13-E13-D13,IF(J13=3,VLOOKUP(K13,RPM!$K$2:$N$62,3,FALSE)-F13-E13-D13)))</f>
        <v>1962.5762162797976</v>
      </c>
      <c r="H13" s="19">
        <f>IF(J13=1,Specification!$I$14,IF(J13=2,Specification!$I$15,IF(J13=3,Specification!$I$16)))</f>
        <v>612.22379860796673</v>
      </c>
      <c r="I13" s="16">
        <f t="shared" si="2"/>
        <v>3.205651627300623</v>
      </c>
      <c r="J13" s="17">
        <v>1</v>
      </c>
      <c r="K13" s="16">
        <f>IF(J13=1,VLOOKUP(B13,RPM!$F$2:$H$62,3,TRUE),IF(J13=2,VLOOKUP(B13,RPM!$I$2:$K$62,3,TRUE),IF(J13=3,VLOOKUP(B13,RPM!$L$2:$N$62,3,TRUE))))</f>
        <v>7000</v>
      </c>
      <c r="L13" s="17">
        <f t="shared" si="3"/>
        <v>3.1907608871453066</v>
      </c>
      <c r="M13" s="16">
        <f t="shared" si="4"/>
        <v>0</v>
      </c>
      <c r="N13" s="17">
        <f>VLOOKUP(K13,RPM!$A$2:$D$62,3,FALSE)</f>
        <v>13</v>
      </c>
      <c r="O13" s="16">
        <f>VLOOKUP(K13,RPM!$A$2:$D$62,4,FALSE)</f>
        <v>13.235857142857142</v>
      </c>
      <c r="P13" s="17">
        <f t="shared" si="0"/>
        <v>9.8699786714285711</v>
      </c>
      <c r="Q13" s="16" cm="1">
        <f t="array" ref="Q13">_xlfn.XLOOKUP(O13,BSFC!$A$2:$A$24,_xlfn.XLOOKUP(K13,BSFC!$B$1:$O$1,BSFC!$B$2:$O$24,,-1),,-1)</f>
        <v>520</v>
      </c>
      <c r="R13" s="17">
        <f t="shared" si="1"/>
        <v>1.425663585873016</v>
      </c>
      <c r="S13" s="16">
        <f t="shared" si="5"/>
        <v>3.1167717067074924E-4</v>
      </c>
      <c r="T13" s="17">
        <f t="shared" si="9"/>
        <v>0.1620721287487896</v>
      </c>
      <c r="U13" s="16">
        <f t="shared" si="10"/>
        <v>4.1144686477665626</v>
      </c>
      <c r="V13" s="17">
        <f t="shared" si="11"/>
        <v>6.1686047866331244E-3</v>
      </c>
      <c r="W13" s="16">
        <f t="shared" si="6"/>
        <v>22206.977231879246</v>
      </c>
      <c r="X13">
        <f>('Hybrid Info'!$A$2-Track!P13)*(L13-L12)*1000+X12</f>
        <v>11399.110667360339</v>
      </c>
    </row>
    <row r="14" spans="1:24">
      <c r="A14" s="16">
        <f t="shared" si="7"/>
        <v>13</v>
      </c>
      <c r="B14" s="17">
        <f t="shared" si="8"/>
        <v>8.9786882349189678</v>
      </c>
      <c r="C14" s="18">
        <f>Specification!$G$30</f>
        <v>109.96225200000001</v>
      </c>
      <c r="D14" s="17">
        <f>0.5*Specification!$K$4*Track!B14^2*Specification!$K$3*Specification!$K$2</f>
        <v>41.756034857346322</v>
      </c>
      <c r="E14" s="16">
        <v>0</v>
      </c>
      <c r="F14" s="17">
        <f>Specification!$C$23*9.81*SIN((E14*PI()/180))</f>
        <v>0</v>
      </c>
      <c r="G14" s="18">
        <f>IF(J14=1,VLOOKUP(K14,RPM!$E$2:$H$62,3,FALSE)-F14-E14-D14,IF(J14=2,VLOOKUP(K14,RPM!$H$2:$K$62,3,FALSE)-F14-E14-D14,IF(J14=3,VLOOKUP(K14,RPM!$K$2:$N$62,3,FALSE)-F14-E14-D14)))</f>
        <v>1136.7242801032837</v>
      </c>
      <c r="H14" s="19">
        <f>IF(J14=1,Specification!$I$14,IF(J14=2,Specification!$I$15,IF(J14=3,Specification!$I$16)))</f>
        <v>582.50936296077191</v>
      </c>
      <c r="I14" s="16">
        <f t="shared" si="2"/>
        <v>1.9514266248452292</v>
      </c>
      <c r="J14" s="17">
        <v>2</v>
      </c>
      <c r="K14" s="16">
        <f>IF(J14=1,VLOOKUP(B14,RPM!$F$2:$H$62,3,TRUE),IF(J14=2,VLOOKUP(B14,RPM!$I$2:$K$62,3,TRUE),IF(J14=3,VLOOKUP(B14,RPM!$L$2:$N$62,3,TRUE))))</f>
        <v>5000</v>
      </c>
      <c r="L14" s="17">
        <f t="shared" si="3"/>
        <v>3.3008194251122327</v>
      </c>
      <c r="M14" s="16">
        <f t="shared" si="4"/>
        <v>0</v>
      </c>
      <c r="N14" s="17">
        <f>VLOOKUP(K14,RPM!$A$2:$D$62,3,FALSE)</f>
        <v>14</v>
      </c>
      <c r="O14" s="16">
        <f>VLOOKUP(K14,RPM!$A$2:$D$62,4,FALSE)</f>
        <v>19.9556</v>
      </c>
      <c r="P14" s="17">
        <f t="shared" si="0"/>
        <v>14.880890920000001</v>
      </c>
      <c r="Q14" s="16" cm="1">
        <f t="array" ref="Q14">_xlfn.XLOOKUP(O14,BSFC!$A$2:$A$24,_xlfn.XLOOKUP(K14,BSFC!$B$1:$O$1,BSFC!$B$2:$O$24,,-1),,-1)</f>
        <v>440</v>
      </c>
      <c r="R14" s="17">
        <f t="shared" si="1"/>
        <v>1.8187755568888888</v>
      </c>
      <c r="S14" s="16">
        <f t="shared" si="5"/>
        <v>4.549358606390294E-4</v>
      </c>
      <c r="T14" s="17">
        <f t="shared" si="9"/>
        <v>0.20017177868117295</v>
      </c>
      <c r="U14" s="16">
        <f t="shared" si="10"/>
        <v>4.3146404264477356</v>
      </c>
      <c r="V14" s="17">
        <f t="shared" si="11"/>
        <v>6.6235406472721541E-3</v>
      </c>
      <c r="W14" s="16">
        <f t="shared" si="6"/>
        <v>23844.746330179754</v>
      </c>
      <c r="X14">
        <f>('Hybrid Info'!$A$2-Track!P14)*(L14-L13)*1000+X13</f>
        <v>11095.301081366453</v>
      </c>
    </row>
    <row r="15" spans="1:24">
      <c r="A15" s="16">
        <f t="shared" si="7"/>
        <v>14</v>
      </c>
      <c r="B15" s="17">
        <f t="shared" si="8"/>
        <v>9.1934593961991666</v>
      </c>
      <c r="C15" s="18">
        <f>Specification!$G$30</f>
        <v>109.96225200000001</v>
      </c>
      <c r="D15" s="17">
        <f>0.5*Specification!$K$4*Track!B15^2*Specification!$K$3*Specification!$K$2</f>
        <v>43.777543904902501</v>
      </c>
      <c r="E15" s="16">
        <v>0</v>
      </c>
      <c r="F15" s="17">
        <f>Specification!$C$23*9.81*SIN((E15*PI()/180))</f>
        <v>0</v>
      </c>
      <c r="G15" s="18">
        <f>IF(J15=1,VLOOKUP(K15,RPM!$E$2:$H$62,3,FALSE)-F15-E15-D15,IF(J15=2,VLOOKUP(K15,RPM!$H$2:$K$62,3,FALSE)-F15-E15-D15,IF(J15=3,VLOOKUP(K15,RPM!$K$2:$N$62,3,FALSE)-F15-E15-D15)))</f>
        <v>1160.7811869890297</v>
      </c>
      <c r="H15" s="19">
        <f>IF(J15=1,Specification!$I$14,IF(J15=2,Specification!$I$15,IF(J15=3,Specification!$I$16)))</f>
        <v>582.50936296077191</v>
      </c>
      <c r="I15" s="16">
        <f t="shared" si="2"/>
        <v>1.9927253719820475</v>
      </c>
      <c r="J15" s="17">
        <v>2</v>
      </c>
      <c r="K15" s="16">
        <f>IF(J15=1,VLOOKUP(B15,RPM!$F$2:$H$62,3,TRUE),IF(J15=2,VLOOKUP(B15,RPM!$I$2:$K$62,3,TRUE),IF(J15=3,VLOOKUP(B15,RPM!$L$2:$N$62,3,TRUE))))</f>
        <v>5100</v>
      </c>
      <c r="L15" s="17">
        <f t="shared" si="3"/>
        <v>3.4083395042677345</v>
      </c>
      <c r="M15" s="16">
        <f t="shared" si="4"/>
        <v>0</v>
      </c>
      <c r="N15" s="17">
        <f>VLOOKUP(K15,RPM!$A$2:$D$62,3,FALSE)</f>
        <v>14.596</v>
      </c>
      <c r="O15" s="16">
        <f>VLOOKUP(K15,RPM!$A$2:$D$62,4,FALSE)</f>
        <v>20.397194509803921</v>
      </c>
      <c r="P15" s="17">
        <f t="shared" si="0"/>
        <v>15.210187945960785</v>
      </c>
      <c r="Q15" s="16" cm="1">
        <f t="array" ref="Q15">_xlfn.XLOOKUP(O15,BSFC!$A$2:$A$24,_xlfn.XLOOKUP(K15,BSFC!$B$1:$O$1,BSFC!$B$2:$O$24,,-1),,-1)</f>
        <v>460</v>
      </c>
      <c r="R15" s="17">
        <f t="shared" si="1"/>
        <v>1.9435240153172115</v>
      </c>
      <c r="S15" s="16">
        <f t="shared" si="5"/>
        <v>4.5427794775548954E-4</v>
      </c>
      <c r="T15" s="17">
        <f t="shared" si="9"/>
        <v>0.20896785596752518</v>
      </c>
      <c r="U15" s="16">
        <f t="shared" si="10"/>
        <v>4.5236082824152604</v>
      </c>
      <c r="V15" s="17">
        <f t="shared" si="11"/>
        <v>7.077818595027644E-3</v>
      </c>
      <c r="W15" s="16">
        <f t="shared" si="6"/>
        <v>25480.146942099516</v>
      </c>
      <c r="X15">
        <f>('Hybrid Info'!$A$2-Track!P15)*(L15-L14)*1000+X14</f>
        <v>10763.092706986172</v>
      </c>
    </row>
    <row r="16" spans="1:24">
      <c r="A16" s="16">
        <f t="shared" si="7"/>
        <v>15</v>
      </c>
      <c r="B16" s="17">
        <f t="shared" si="8"/>
        <v>9.4077173859298533</v>
      </c>
      <c r="C16" s="18">
        <f>Specification!$G$30</f>
        <v>109.96225200000001</v>
      </c>
      <c r="D16" s="17">
        <f>0.5*Specification!$K$4*Track!B16^2*Specification!$K$3*Specification!$K$2</f>
        <v>45.841834879243351</v>
      </c>
      <c r="E16" s="16">
        <v>0</v>
      </c>
      <c r="F16" s="17">
        <f>Specification!$C$23*9.81*SIN((E16*PI()/180))</f>
        <v>0</v>
      </c>
      <c r="G16" s="18">
        <f>IF(J16=1,VLOOKUP(K16,RPM!$E$2:$H$62,3,FALSE)-F16-E16-D16,IF(J16=2,VLOOKUP(K16,RPM!$H$2:$K$62,3,FALSE)-F16-E16-D16,IF(J16=3,VLOOKUP(K16,RPM!$K$2:$N$62,3,FALSE)-F16-E16-D16)))</f>
        <v>1207.9214543794105</v>
      </c>
      <c r="H16" s="19">
        <f>IF(J16=1,Specification!$I$14,IF(J16=2,Specification!$I$15,IF(J16=3,Specification!$I$16)))</f>
        <v>582.50936296077191</v>
      </c>
      <c r="I16" s="16">
        <f t="shared" si="2"/>
        <v>2.0736515688602863</v>
      </c>
      <c r="J16" s="17">
        <v>2</v>
      </c>
      <c r="K16" s="16">
        <f>IF(J16=1,VLOOKUP(B16,RPM!$F$2:$H$62,3,TRUE),IF(J16=2,VLOOKUP(B16,RPM!$I$2:$K$62,3,TRUE),IF(J16=3,VLOOKUP(B16,RPM!$L$2:$N$62,3,TRUE))))</f>
        <v>5300</v>
      </c>
      <c r="L16" s="17">
        <f t="shared" si="3"/>
        <v>3.513418322785288</v>
      </c>
      <c r="M16" s="16">
        <f t="shared" si="4"/>
        <v>0</v>
      </c>
      <c r="N16" s="17">
        <f>VLOOKUP(K16,RPM!$A$2:$D$62,3,FALSE)</f>
        <v>15.788</v>
      </c>
      <c r="O16" s="16">
        <f>VLOOKUP(K16,RPM!$A$2:$D$62,4,FALSE)</f>
        <v>21.230391698113209</v>
      </c>
      <c r="P16" s="17">
        <f t="shared" si="0"/>
        <v>15.83150308928302</v>
      </c>
      <c r="Q16" s="16" cm="1">
        <f t="array" ref="Q16">_xlfn.XLOOKUP(O16,BSFC!$A$2:$A$24,_xlfn.XLOOKUP(K16,BSFC!$B$1:$O$1,BSFC!$B$2:$O$24,,-1),,-1)</f>
        <v>470</v>
      </c>
      <c r="R16" s="17">
        <f t="shared" si="1"/>
        <v>2.0668906811008387</v>
      </c>
      <c r="S16" s="16">
        <f t="shared" si="5"/>
        <v>4.6209878888301618E-4</v>
      </c>
      <c r="T16" s="17">
        <f t="shared" si="9"/>
        <v>0.21718643077501762</v>
      </c>
      <c r="U16" s="16">
        <f t="shared" si="10"/>
        <v>4.7407947131902777</v>
      </c>
      <c r="V16" s="17">
        <f t="shared" si="11"/>
        <v>7.5399173839106604E-3</v>
      </c>
      <c r="W16" s="16">
        <f t="shared" si="6"/>
        <v>27143.702582078378</v>
      </c>
      <c r="X16">
        <f>('Hybrid Info'!$A$2-Track!P16)*(L16-L15)*1000+X15</f>
        <v>10373.140115828066</v>
      </c>
    </row>
    <row r="17" spans="1:24">
      <c r="A17" s="16">
        <f t="shared" si="7"/>
        <v>16</v>
      </c>
      <c r="B17" s="17">
        <f t="shared" si="8"/>
        <v>9.6256142428027633</v>
      </c>
      <c r="C17" s="18">
        <f>Specification!$G$30</f>
        <v>109.96225200000001</v>
      </c>
      <c r="D17" s="17">
        <f>0.5*Specification!$K$4*Track!B17^2*Specification!$K$3*Specification!$K$2</f>
        <v>47.989958387736841</v>
      </c>
      <c r="E17" s="16">
        <v>0</v>
      </c>
      <c r="F17" s="17">
        <f>Specification!$C$23*9.81*SIN((E17*PI()/180))</f>
        <v>0</v>
      </c>
      <c r="G17" s="18">
        <f>IF(J17=1,VLOOKUP(K17,RPM!$E$2:$H$62,3,FALSE)-F17-E17-D17,IF(J17=2,VLOOKUP(K17,RPM!$H$2:$K$62,3,FALSE)-F17-E17-D17,IF(J17=3,VLOOKUP(K17,RPM!$K$2:$N$62,3,FALSE)-F17-E17-D17)))</f>
        <v>1229.0088167653689</v>
      </c>
      <c r="H17" s="19">
        <f>IF(J17=1,Specification!$I$14,IF(J17=2,Specification!$I$15,IF(J17=3,Specification!$I$16)))</f>
        <v>582.50936296077191</v>
      </c>
      <c r="I17" s="16">
        <f t="shared" si="2"/>
        <v>2.1098524674669212</v>
      </c>
      <c r="J17" s="17">
        <v>2</v>
      </c>
      <c r="K17" s="16">
        <f>IF(J17=1,VLOOKUP(B17,RPM!$F$2:$H$62,3,TRUE),IF(J17=2,VLOOKUP(B17,RPM!$I$2:$K$62,3,TRUE),IF(J17=3,VLOOKUP(B17,RPM!$L$2:$N$62,3,TRUE))))</f>
        <v>5400</v>
      </c>
      <c r="L17" s="17">
        <f t="shared" si="3"/>
        <v>3.6161511203368555</v>
      </c>
      <c r="M17" s="16">
        <f t="shared" si="4"/>
        <v>0</v>
      </c>
      <c r="N17" s="17">
        <f>VLOOKUP(K17,RPM!$A$2:$D$62,3,FALSE)</f>
        <v>16.384</v>
      </c>
      <c r="O17" s="16">
        <f>VLOOKUP(K17,RPM!$A$2:$D$62,4,FALSE)</f>
        <v>21.623845925925924</v>
      </c>
      <c r="P17" s="17">
        <f t="shared" si="0"/>
        <v>16.124901906962961</v>
      </c>
      <c r="Q17" s="16" cm="1">
        <f t="array" ref="Q17">_xlfn.XLOOKUP(O17,BSFC!$A$2:$A$24,_xlfn.XLOOKUP(K17,BSFC!$B$1:$O$1,BSFC!$B$2:$O$24,,-1),,-1)</f>
        <v>470</v>
      </c>
      <c r="R17" s="17">
        <f t="shared" si="1"/>
        <v>2.1051955267423867</v>
      </c>
      <c r="S17" s="16">
        <f t="shared" si="5"/>
        <v>4.6015452309636408E-4</v>
      </c>
      <c r="T17" s="17">
        <f t="shared" si="9"/>
        <v>0.21627262585529111</v>
      </c>
      <c r="U17" s="16">
        <f t="shared" si="10"/>
        <v>4.9570673390455688</v>
      </c>
      <c r="V17" s="17">
        <f t="shared" si="11"/>
        <v>8.0000719070070243E-3</v>
      </c>
      <c r="W17" s="16">
        <f t="shared" si="6"/>
        <v>28800.258865225289</v>
      </c>
      <c r="X17">
        <f>('Hybrid Info'!$A$2-Track!P17)*(L17-L16)*1000+X16</f>
        <v>9961.7520409029148</v>
      </c>
    </row>
    <row r="18" spans="1:24">
      <c r="A18" s="16">
        <f t="shared" si="7"/>
        <v>17</v>
      </c>
      <c r="B18" s="17">
        <f t="shared" si="8"/>
        <v>9.8423652892067182</v>
      </c>
      <c r="C18" s="18">
        <f>Specification!$G$30</f>
        <v>109.96225200000001</v>
      </c>
      <c r="D18" s="17">
        <f>0.5*Specification!$K$4*Track!B18^2*Specification!$K$3*Specification!$K$2</f>
        <v>50.175582893260511</v>
      </c>
      <c r="E18" s="16">
        <v>0</v>
      </c>
      <c r="F18" s="17">
        <f>Specification!$C$23*9.81*SIN((E18*PI()/180))</f>
        <v>0</v>
      </c>
      <c r="G18" s="18">
        <f>IF(J18=1,VLOOKUP(K18,RPM!$E$2:$H$62,3,FALSE)-F18-E18-D18,IF(J18=2,VLOOKUP(K18,RPM!$H$2:$K$62,3,FALSE)-F18-E18-D18,IF(J18=3,VLOOKUP(K18,RPM!$K$2:$N$62,3,FALSE)-F18-E18-D18)))</f>
        <v>1249.2137513944992</v>
      </c>
      <c r="H18" s="19">
        <f>IF(J18=1,Specification!$I$14,IF(J18=2,Specification!$I$15,IF(J18=3,Specification!$I$16)))</f>
        <v>582.50936296077191</v>
      </c>
      <c r="I18" s="16">
        <f t="shared" si="2"/>
        <v>2.1445384929866362</v>
      </c>
      <c r="J18" s="17">
        <v>2</v>
      </c>
      <c r="K18" s="16">
        <f>IF(J18=1,VLOOKUP(B18,RPM!$F$2:$H$62,3,TRUE),IF(J18=2,VLOOKUP(B18,RPM!$I$2:$K$62,3,TRUE),IF(J18=3,VLOOKUP(B18,RPM!$L$2:$N$62,3,TRUE))))</f>
        <v>5500</v>
      </c>
      <c r="L18" s="17">
        <f t="shared" si="3"/>
        <v>3.71665232346938</v>
      </c>
      <c r="M18" s="16">
        <f t="shared" si="4"/>
        <v>0</v>
      </c>
      <c r="N18" s="17">
        <f>VLOOKUP(K18,RPM!$A$2:$D$62,3,FALSE)</f>
        <v>16.98</v>
      </c>
      <c r="O18" s="16">
        <f>VLOOKUP(K18,RPM!$A$2:$D$62,4,FALSE)</f>
        <v>22.00299272727273</v>
      </c>
      <c r="P18" s="17">
        <f t="shared" si="0"/>
        <v>16.407631676727274</v>
      </c>
      <c r="Q18" s="16" cm="1">
        <f t="array" ref="Q18">_xlfn.XLOOKUP(O18,BSFC!$A$2:$A$24,_xlfn.XLOOKUP(K18,BSFC!$B$1:$O$1,BSFC!$B$2:$O$24,,-1),,-1)</f>
        <v>450</v>
      </c>
      <c r="R18" s="17">
        <f t="shared" si="1"/>
        <v>2.0509539595909092</v>
      </c>
      <c r="S18" s="16">
        <f t="shared" si="5"/>
        <v>4.5805186779622546E-4</v>
      </c>
      <c r="T18" s="17">
        <f t="shared" si="9"/>
        <v>0.20612334050830144</v>
      </c>
      <c r="U18" s="16">
        <f t="shared" si="10"/>
        <v>5.1631906795538702</v>
      </c>
      <c r="V18" s="17">
        <f t="shared" si="11"/>
        <v>8.458123774803249E-3</v>
      </c>
      <c r="W18" s="16">
        <f t="shared" si="6"/>
        <v>30449.245589291699</v>
      </c>
      <c r="X18">
        <f>('Hybrid Info'!$A$2-Track!P18)*(L18-L17)*1000+X17</f>
        <v>9530.8855862260443</v>
      </c>
    </row>
    <row r="19" spans="1:24">
      <c r="A19" s="16">
        <f t="shared" si="7"/>
        <v>18</v>
      </c>
      <c r="B19" s="17">
        <f t="shared" si="8"/>
        <v>10.057893987915886</v>
      </c>
      <c r="C19" s="18">
        <f>Specification!$G$30</f>
        <v>109.96225200000001</v>
      </c>
      <c r="D19" s="17">
        <f>0.5*Specification!$K$4*Track!B19^2*Specification!$K$3*Specification!$K$2</f>
        <v>52.397139118439519</v>
      </c>
      <c r="E19" s="16">
        <v>0</v>
      </c>
      <c r="F19" s="17">
        <f>Specification!$C$23*9.81*SIN((E19*PI()/180))</f>
        <v>0</v>
      </c>
      <c r="G19" s="18">
        <f>IF(J19=1,VLOOKUP(K19,RPM!$E$2:$H$62,3,FALSE)-F19-E19-D19,IF(J19=2,VLOOKUP(K19,RPM!$H$2:$K$62,3,FALSE)-F19-E19-D19,IF(J19=3,VLOOKUP(K19,RPM!$K$2:$N$62,3,FALSE)-F19-E19-D19)))</f>
        <v>1224.0894469333041</v>
      </c>
      <c r="H19" s="19">
        <f>IF(J19=1,Specification!$I$14,IF(J19=2,Specification!$I$15,IF(J19=3,Specification!$I$16)))</f>
        <v>582.50936296077191</v>
      </c>
      <c r="I19" s="16">
        <f t="shared" si="2"/>
        <v>2.1014073331139542</v>
      </c>
      <c r="J19" s="17">
        <v>2</v>
      </c>
      <c r="K19" s="16">
        <f>IF(J19=1,VLOOKUP(B19,RPM!$F$2:$H$62,3,TRUE),IF(J19=2,VLOOKUP(B19,RPM!$I$2:$K$62,3,TRUE),IF(J19=3,VLOOKUP(B19,RPM!$L$2:$N$62,3,TRUE))))</f>
        <v>5600</v>
      </c>
      <c r="L19" s="17">
        <f t="shared" si="3"/>
        <v>3.815064961975672</v>
      </c>
      <c r="M19" s="16">
        <f t="shared" si="4"/>
        <v>0</v>
      </c>
      <c r="N19" s="17">
        <f>VLOOKUP(K19,RPM!$A$2:$D$62,3,FALSE)</f>
        <v>16.984000000000002</v>
      </c>
      <c r="O19" s="16">
        <f>VLOOKUP(K19,RPM!$A$2:$D$62,4,FALSE)</f>
        <v>21.615172857142859</v>
      </c>
      <c r="P19" s="17">
        <f t="shared" si="0"/>
        <v>16.118434399571431</v>
      </c>
      <c r="Q19" s="16" cm="1">
        <f t="array" ref="Q19">_xlfn.XLOOKUP(O19,BSFC!$A$2:$A$24,_xlfn.XLOOKUP(K19,BSFC!$B$1:$O$1,BSFC!$B$2:$O$24,,-1),,-1)</f>
        <v>435</v>
      </c>
      <c r="R19" s="17">
        <f t="shared" si="1"/>
        <v>1.9476441566148812</v>
      </c>
      <c r="S19" s="16">
        <f t="shared" si="5"/>
        <v>4.4062712718122364E-4</v>
      </c>
      <c r="T19" s="17">
        <f t="shared" si="9"/>
        <v>0.19167280032383227</v>
      </c>
      <c r="U19" s="16">
        <f t="shared" si="10"/>
        <v>5.3548634798777028</v>
      </c>
      <c r="V19" s="17">
        <f t="shared" si="11"/>
        <v>8.8987509019844719E-3</v>
      </c>
      <c r="W19" s="16">
        <f t="shared" si="6"/>
        <v>32035.503247144101</v>
      </c>
      <c r="X19">
        <f>('Hybrid Info'!$A$2-Track!P19)*(L19-L18)*1000+X18</f>
        <v>9137.4338450405667</v>
      </c>
    </row>
    <row r="20" spans="1:24">
      <c r="A20" s="16">
        <f t="shared" si="7"/>
        <v>19</v>
      </c>
      <c r="B20" s="17">
        <f t="shared" si="8"/>
        <v>10.264699028144101</v>
      </c>
      <c r="C20" s="18">
        <f>Specification!$G$30</f>
        <v>109.96225200000001</v>
      </c>
      <c r="D20" s="17">
        <f>0.5*Specification!$K$4*Track!B20^2*Specification!$K$3*Specification!$K$2</f>
        <v>54.574015195872192</v>
      </c>
      <c r="E20" s="16">
        <v>0</v>
      </c>
      <c r="F20" s="17">
        <f>Specification!$C$23*9.81*SIN((E20*PI()/180))</f>
        <v>0</v>
      </c>
      <c r="G20" s="18">
        <f>IF(J20=1,VLOOKUP(K20,RPM!$E$2:$H$62,3,FALSE)-F20-E20-D20,IF(J20=2,VLOOKUP(K20,RPM!$H$2:$K$62,3,FALSE)-F20-E20-D20,IF(J20=3,VLOOKUP(K20,RPM!$K$2:$N$62,3,FALSE)-F20-E20-D20)))</f>
        <v>1199.8134278211191</v>
      </c>
      <c r="H20" s="19">
        <f>IF(J20=1,Specification!$I$14,IF(J20=2,Specification!$I$15,IF(J20=3,Specification!$I$16)))</f>
        <v>582.50936296077191</v>
      </c>
      <c r="I20" s="16">
        <f t="shared" si="2"/>
        <v>2.0597324336946641</v>
      </c>
      <c r="J20" s="17">
        <v>2</v>
      </c>
      <c r="K20" s="16">
        <f>IF(J20=1,VLOOKUP(B20,RPM!$F$2:$H$62,3,TRUE),IF(J20=2,VLOOKUP(B20,RPM!$I$2:$K$62,3,TRUE),IF(J20=3,VLOOKUP(B20,RPM!$L$2:$N$62,3,TRUE))))</f>
        <v>5700</v>
      </c>
      <c r="L20" s="17">
        <f t="shared" si="3"/>
        <v>3.9115521719405231</v>
      </c>
      <c r="M20" s="16">
        <f t="shared" si="4"/>
        <v>0</v>
      </c>
      <c r="N20" s="17">
        <f>VLOOKUP(K20,RPM!$A$2:$D$62,3,FALSE)</f>
        <v>16.988</v>
      </c>
      <c r="O20" s="16">
        <f>VLOOKUP(K20,RPM!$A$2:$D$62,4,FALSE)</f>
        <v>21.240960701754386</v>
      </c>
      <c r="P20" s="17">
        <f t="shared" si="0"/>
        <v>15.839384395298246</v>
      </c>
      <c r="Q20" s="16" cm="1">
        <f t="array" ref="Q20">_xlfn.XLOOKUP(O20,BSFC!$A$2:$A$24,_xlfn.XLOOKUP(K20,BSFC!$B$1:$O$1,BSFC!$B$2:$O$24,,-1),,-1)</f>
        <v>435</v>
      </c>
      <c r="R20" s="17">
        <f t="shared" si="1"/>
        <v>1.9139256144318715</v>
      </c>
      <c r="S20" s="16">
        <f t="shared" si="5"/>
        <v>4.2452722440642423E-4</v>
      </c>
      <c r="T20" s="17">
        <f t="shared" si="9"/>
        <v>0.18466934261679455</v>
      </c>
      <c r="U20" s="16">
        <f t="shared" si="10"/>
        <v>5.5395328224944977</v>
      </c>
      <c r="V20" s="17">
        <f t="shared" si="11"/>
        <v>9.3232781263908968E-3</v>
      </c>
      <c r="W20" s="16">
        <f t="shared" si="6"/>
        <v>33563.801255007224</v>
      </c>
      <c r="X20">
        <f>('Hybrid Info'!$A$2-Track!P20)*(L20-L19)*1000+X19</f>
        <v>8778.6046846304016</v>
      </c>
    </row>
    <row r="21" spans="1:24">
      <c r="A21" s="16">
        <f t="shared" si="7"/>
        <v>20</v>
      </c>
      <c r="B21" s="17">
        <f t="shared" si="8"/>
        <v>10.463436863945411</v>
      </c>
      <c r="C21" s="18">
        <f>Specification!$G$30</f>
        <v>109.96225200000001</v>
      </c>
      <c r="D21" s="17">
        <f>0.5*Specification!$K$4*Track!B21^2*Specification!$K$3*Specification!$K$2</f>
        <v>56.707719685319191</v>
      </c>
      <c r="E21" s="16">
        <v>0</v>
      </c>
      <c r="F21" s="17">
        <f>Specification!$C$23*9.81*SIN((E21*PI()/180))</f>
        <v>0</v>
      </c>
      <c r="G21" s="18">
        <f>IF(J21=1,VLOOKUP(K21,RPM!$E$2:$H$62,3,FALSE)-F21-E21-D21,IF(J21=2,VLOOKUP(K21,RPM!$H$2:$K$62,3,FALSE)-F21-E21-D21,IF(J21=3,VLOOKUP(K21,RPM!$K$2:$N$62,3,FALSE)-F21-E21-D21)))</f>
        <v>1155.7288077402779</v>
      </c>
      <c r="H21" s="19">
        <f>IF(J21=1,Specification!$I$14,IF(J21=2,Specification!$I$15,IF(J21=3,Specification!$I$16)))</f>
        <v>582.50936296077191</v>
      </c>
      <c r="I21" s="16">
        <f t="shared" si="2"/>
        <v>1.9840518989530964</v>
      </c>
      <c r="J21" s="17">
        <v>2</v>
      </c>
      <c r="K21" s="16">
        <f>IF(J21=1,VLOOKUP(B21,RPM!$F$2:$H$62,3,TRUE),IF(J21=2,VLOOKUP(B21,RPM!$I$2:$K$62,3,TRUE),IF(J21=3,VLOOKUP(B21,RPM!$L$2:$N$62,3,TRUE))))</f>
        <v>5900</v>
      </c>
      <c r="L21" s="17">
        <f t="shared" si="3"/>
        <v>4.0062724464648047</v>
      </c>
      <c r="M21" s="16">
        <f t="shared" si="4"/>
        <v>0</v>
      </c>
      <c r="N21" s="17">
        <f>VLOOKUP(K21,RPM!$A$2:$D$62,3,FALSE)</f>
        <v>16.995999999999999</v>
      </c>
      <c r="O21" s="16">
        <f>VLOOKUP(K21,RPM!$A$2:$D$62,4,FALSE)</f>
        <v>20.530591864406777</v>
      </c>
      <c r="P21" s="17">
        <f t="shared" si="0"/>
        <v>15.309662353288134</v>
      </c>
      <c r="Q21" s="16" cm="1">
        <f t="array" ref="Q21">_xlfn.XLOOKUP(O21,BSFC!$A$2:$A$24,_xlfn.XLOOKUP(K21,BSFC!$B$1:$O$1,BSFC!$B$2:$O$24,,-1),,-1)</f>
        <v>410</v>
      </c>
      <c r="R21" s="17">
        <f t="shared" si="1"/>
        <v>1.7436004346800376</v>
      </c>
      <c r="S21" s="16">
        <f t="shared" si="5"/>
        <v>4.0281539471597561E-4</v>
      </c>
      <c r="T21" s="17">
        <f t="shared" si="9"/>
        <v>0.16515431183355</v>
      </c>
      <c r="U21" s="16">
        <f t="shared" si="10"/>
        <v>5.7046871343280481</v>
      </c>
      <c r="V21" s="17">
        <f t="shared" si="11"/>
        <v>9.7260935211068728E-3</v>
      </c>
      <c r="W21" s="16">
        <f t="shared" si="6"/>
        <v>35013.93667598474</v>
      </c>
      <c r="X21">
        <f>('Hybrid Info'!$A$2-Track!P21)*(L21-L20)*1000+X20</f>
        <v>8476.5220503247474</v>
      </c>
    </row>
    <row r="22" spans="1:24">
      <c r="A22" s="16">
        <f t="shared" si="7"/>
        <v>21</v>
      </c>
      <c r="B22" s="17">
        <f t="shared" si="8"/>
        <v>10.65136680448467</v>
      </c>
      <c r="C22" s="18">
        <f>Specification!$G$30</f>
        <v>109.96225200000001</v>
      </c>
      <c r="D22" s="17">
        <f>0.5*Specification!$K$4*Track!B22^2*Specification!$K$3*Specification!$K$2</f>
        <v>58.763025692468091</v>
      </c>
      <c r="E22" s="16">
        <v>0</v>
      </c>
      <c r="F22" s="17">
        <f>Specification!$C$23*9.81*SIN((E22*PI()/180))</f>
        <v>0</v>
      </c>
      <c r="G22" s="18">
        <f>IF(J22=1,VLOOKUP(K22,RPM!$E$2:$H$62,3,FALSE)-F22-E22-D22,IF(J22=2,VLOOKUP(K22,RPM!$H$2:$K$62,3,FALSE)-F22-E22-D22,IF(J22=3,VLOOKUP(K22,RPM!$K$2:$N$62,3,FALSE)-F22-E22-D22)))</f>
        <v>1133.7468168272169</v>
      </c>
      <c r="H22" s="19">
        <f>IF(J22=1,Specification!$I$14,IF(J22=2,Specification!$I$15,IF(J22=3,Specification!$I$16)))</f>
        <v>582.50936296077191</v>
      </c>
      <c r="I22" s="16">
        <f t="shared" si="2"/>
        <v>1.946315182067841</v>
      </c>
      <c r="J22" s="17">
        <v>2</v>
      </c>
      <c r="K22" s="16">
        <f>IF(J22=1,VLOOKUP(B22,RPM!$F$2:$H$62,3,TRUE),IF(J22=2,VLOOKUP(B22,RPM!$I$2:$K$62,3,TRUE),IF(J22=3,VLOOKUP(B22,RPM!$L$2:$N$62,3,TRUE))))</f>
        <v>6000</v>
      </c>
      <c r="L22" s="17">
        <f t="shared" si="3"/>
        <v>4.0993653198066351</v>
      </c>
      <c r="M22" s="16">
        <f t="shared" si="4"/>
        <v>0</v>
      </c>
      <c r="N22" s="17">
        <f>VLOOKUP(K22,RPM!$A$2:$D$62,3,FALSE)</f>
        <v>17</v>
      </c>
      <c r="O22" s="16">
        <f>VLOOKUP(K22,RPM!$A$2:$D$62,4,FALSE)</f>
        <v>20.193166666666666</v>
      </c>
      <c r="P22" s="17">
        <f t="shared" si="0"/>
        <v>15.058044383333334</v>
      </c>
      <c r="Q22" s="16" cm="1">
        <f t="array" ref="Q22">_xlfn.XLOOKUP(O22,BSFC!$A$2:$A$24,_xlfn.XLOOKUP(K22,BSFC!$B$1:$O$1,BSFC!$B$2:$O$24,,-1),,-1)</f>
        <v>470</v>
      </c>
      <c r="R22" s="17">
        <f t="shared" si="1"/>
        <v>1.9659113500462964</v>
      </c>
      <c r="S22" s="16">
        <f t="shared" si="5"/>
        <v>3.893879495981417E-4</v>
      </c>
      <c r="T22" s="17">
        <f t="shared" si="9"/>
        <v>0.18301233631112659</v>
      </c>
      <c r="U22" s="16">
        <f t="shared" si="10"/>
        <v>5.8876994706391743</v>
      </c>
      <c r="V22" s="17">
        <f t="shared" si="11"/>
        <v>1.0115481470705014E-2</v>
      </c>
      <c r="W22" s="16">
        <f t="shared" si="6"/>
        <v>36415.733294538048</v>
      </c>
      <c r="X22">
        <f>('Hybrid Info'!$A$2-Track!P22)*(L22-L21)*1000+X21</f>
        <v>8203.0533763022668</v>
      </c>
    </row>
    <row r="23" spans="1:24">
      <c r="A23" s="16">
        <f t="shared" si="7"/>
        <v>22</v>
      </c>
      <c r="B23" s="17">
        <f t="shared" si="8"/>
        <v>10.832554877212193</v>
      </c>
      <c r="C23" s="18">
        <f>Specification!$G$30</f>
        <v>109.96225200000001</v>
      </c>
      <c r="D23" s="17">
        <f>0.5*Specification!$K$4*Track!B23^2*Specification!$K$3*Specification!$K$2</f>
        <v>60.779239727806527</v>
      </c>
      <c r="E23" s="16">
        <v>0</v>
      </c>
      <c r="F23" s="17">
        <f>Specification!$C$23*9.81*SIN((E23*PI()/180))</f>
        <v>0</v>
      </c>
      <c r="G23" s="18">
        <f>IF(J23=1,VLOOKUP(K23,RPM!$E$2:$H$62,3,FALSE)-F23-E23-D23,IF(J23=2,VLOOKUP(K23,RPM!$H$2:$K$62,3,FALSE)-F23-E23-D23,IF(J23=3,VLOOKUP(K23,RPM!$K$2:$N$62,3,FALSE)-F23-E23-D23)))</f>
        <v>1125.9807964152164</v>
      </c>
      <c r="H23" s="19">
        <f>IF(J23=1,Specification!$I$14,IF(J23=2,Specification!$I$15,IF(J23=3,Specification!$I$16)))</f>
        <v>582.50936296077191</v>
      </c>
      <c r="I23" s="16">
        <f t="shared" si="2"/>
        <v>1.9329831724799995</v>
      </c>
      <c r="J23" s="17">
        <v>2</v>
      </c>
      <c r="K23" s="16">
        <f>IF(J23=1,VLOOKUP(B23,RPM!$F$2:$H$62,3,TRUE),IF(J23=2,VLOOKUP(B23,RPM!$I$2:$K$62,3,TRUE),IF(J23=3,VLOOKUP(B23,RPM!$L$2:$N$62,3,TRUE))))</f>
        <v>6100</v>
      </c>
      <c r="L23" s="17">
        <f t="shared" si="3"/>
        <v>4.1909315826179858</v>
      </c>
      <c r="M23" s="16">
        <f t="shared" si="4"/>
        <v>0</v>
      </c>
      <c r="N23" s="17">
        <f>VLOOKUP(K23,RPM!$A$2:$D$62,3,FALSE)</f>
        <v>17.2</v>
      </c>
      <c r="O23" s="16">
        <f>VLOOKUP(K23,RPM!$A$2:$D$62,4,FALSE)</f>
        <v>20.095803278688525</v>
      </c>
      <c r="P23" s="17">
        <f t="shared" si="0"/>
        <v>14.985440504918033</v>
      </c>
      <c r="Q23" s="16" cm="1">
        <f t="array" ref="Q23">_xlfn.XLOOKUP(O23,BSFC!$A$2:$A$24,_xlfn.XLOOKUP(K23,BSFC!$B$1:$O$1,BSFC!$B$2:$O$24,,-1),,-1)</f>
        <v>470</v>
      </c>
      <c r="R23" s="17">
        <f t="shared" si="1"/>
        <v>1.9564325103642988</v>
      </c>
      <c r="S23" s="16">
        <f t="shared" si="5"/>
        <v>3.8115577322699577E-4</v>
      </c>
      <c r="T23" s="17">
        <f t="shared" si="9"/>
        <v>0.17914321341668801</v>
      </c>
      <c r="U23" s="16">
        <f t="shared" si="10"/>
        <v>6.066842684055862</v>
      </c>
      <c r="V23" s="17">
        <f t="shared" si="11"/>
        <v>1.049663724393201E-2</v>
      </c>
      <c r="W23" s="16">
        <f t="shared" si="6"/>
        <v>37787.894078155237</v>
      </c>
      <c r="X23">
        <f>('Hybrid Info'!$A$2-Track!P23)*(L23-L22)*1000+X22</f>
        <v>7940.7173235957862</v>
      </c>
    </row>
    <row r="24" spans="1:24">
      <c r="A24" s="16">
        <f t="shared" si="7"/>
        <v>23</v>
      </c>
      <c r="B24" s="17">
        <f t="shared" si="8"/>
        <v>11.009550922393414</v>
      </c>
      <c r="C24" s="18">
        <f>Specification!$G$30</f>
        <v>109.96225200000001</v>
      </c>
      <c r="D24" s="17">
        <f>0.5*Specification!$K$4*Track!B24^2*Specification!$K$3*Specification!$K$2</f>
        <v>62.781642955369378</v>
      </c>
      <c r="E24" s="16">
        <v>0</v>
      </c>
      <c r="F24" s="17">
        <f>Specification!$C$23*9.81*SIN((E24*PI()/180))</f>
        <v>0</v>
      </c>
      <c r="G24" s="18">
        <f>IF(J24=1,VLOOKUP(K24,RPM!$E$2:$H$62,3,FALSE)-F24-E24-D24,IF(J24=2,VLOOKUP(K24,RPM!$H$2:$K$62,3,FALSE)-F24-E24-D24,IF(J24=3,VLOOKUP(K24,RPM!$K$2:$N$62,3,FALSE)-F24-E24-D24)))</f>
        <v>1118.4140644360452</v>
      </c>
      <c r="H24" s="19">
        <f>IF(J24=1,Specification!$I$14,IF(J24=2,Specification!$I$15,IF(J24=3,Specification!$I$16)))</f>
        <v>582.50936296077191</v>
      </c>
      <c r="I24" s="16">
        <f t="shared" si="2"/>
        <v>1.9199932834579396</v>
      </c>
      <c r="J24" s="17">
        <v>2</v>
      </c>
      <c r="K24" s="16">
        <f>IF(J24=1,VLOOKUP(B24,RPM!$F$2:$H$62,3,TRUE),IF(J24=2,VLOOKUP(B24,RPM!$I$2:$K$62,3,TRUE),IF(J24=3,VLOOKUP(B24,RPM!$L$2:$N$62,3,TRUE))))</f>
        <v>6200</v>
      </c>
      <c r="L24" s="17">
        <f t="shared" si="3"/>
        <v>4.2810535989969551</v>
      </c>
      <c r="M24" s="16">
        <f t="shared" si="4"/>
        <v>0</v>
      </c>
      <c r="N24" s="17">
        <f>VLOOKUP(K24,RPM!$A$2:$D$62,3,FALSE)</f>
        <v>17.399999999999999</v>
      </c>
      <c r="O24" s="16">
        <f>VLOOKUP(K24,RPM!$A$2:$D$62,4,FALSE)</f>
        <v>20.001580645161287</v>
      </c>
      <c r="P24" s="17">
        <f t="shared" si="0"/>
        <v>14.915178687096772</v>
      </c>
      <c r="Q24" s="16" cm="1">
        <f t="array" ref="Q24">_xlfn.XLOOKUP(O24,BSFC!$A$2:$A$24,_xlfn.XLOOKUP(K24,BSFC!$B$1:$O$1,BSFC!$B$2:$O$24,,-1),,-1)</f>
        <v>470</v>
      </c>
      <c r="R24" s="17">
        <f t="shared" si="1"/>
        <v>1.9472594397043008</v>
      </c>
      <c r="S24" s="16">
        <f t="shared" si="5"/>
        <v>3.7338499387049707E-4</v>
      </c>
      <c r="T24" s="17">
        <f t="shared" si="9"/>
        <v>0.17549094711913363</v>
      </c>
      <c r="U24" s="16">
        <f t="shared" si="10"/>
        <v>6.2423336311749953</v>
      </c>
      <c r="V24" s="17">
        <f t="shared" si="11"/>
        <v>1.0870022237802507E-2</v>
      </c>
      <c r="W24" s="16">
        <f t="shared" si="6"/>
        <v>39132.080056089027</v>
      </c>
      <c r="X24">
        <f>('Hybrid Info'!$A$2-Track!P24)*(L24-L23)*1000+X23</f>
        <v>7688.8511532638977</v>
      </c>
    </row>
    <row r="25" spans="1:24">
      <c r="A25" s="16">
        <f t="shared" si="7"/>
        <v>24</v>
      </c>
      <c r="B25" s="17">
        <f t="shared" si="8"/>
        <v>11.182584588532722</v>
      </c>
      <c r="C25" s="18">
        <f>Specification!$G$30</f>
        <v>109.96225200000001</v>
      </c>
      <c r="D25" s="17">
        <f>0.5*Specification!$K$4*Track!B25^2*Specification!$K$3*Specification!$K$2</f>
        <v>64.770589782445256</v>
      </c>
      <c r="E25" s="16">
        <v>0</v>
      </c>
      <c r="F25" s="17">
        <f>Specification!$C$23*9.81*SIN((E25*PI()/180))</f>
        <v>0</v>
      </c>
      <c r="G25" s="18">
        <f>IF(J25=1,VLOOKUP(K25,RPM!$E$2:$H$62,3,FALSE)-F25-E25-D25,IF(J25=2,VLOOKUP(K25,RPM!$H$2:$K$62,3,FALSE)-F25-E25-D25,IF(J25=3,VLOOKUP(K25,RPM!$K$2:$N$62,3,FALSE)-F25-E25-D25)))</f>
        <v>1111.0374342145553</v>
      </c>
      <c r="H25" s="19">
        <f>IF(J25=1,Specification!$I$14,IF(J25=2,Specification!$I$15,IF(J25=3,Specification!$I$16)))</f>
        <v>582.50936296077191</v>
      </c>
      <c r="I25" s="16">
        <f t="shared" si="2"/>
        <v>1.9073297441390247</v>
      </c>
      <c r="J25" s="17">
        <v>2</v>
      </c>
      <c r="K25" s="16">
        <f>IF(J25=1,VLOOKUP(B25,RPM!$F$2:$H$62,3,TRUE),IF(J25=2,VLOOKUP(B25,RPM!$I$2:$K$62,3,TRUE),IF(J25=3,VLOOKUP(B25,RPM!$L$2:$N$62,3,TRUE))))</f>
        <v>6300</v>
      </c>
      <c r="L25" s="17">
        <f t="shared" si="3"/>
        <v>4.3698065955798882</v>
      </c>
      <c r="M25" s="16">
        <f t="shared" si="4"/>
        <v>0</v>
      </c>
      <c r="N25" s="17">
        <f>VLOOKUP(K25,RPM!$A$2:$D$62,3,FALSE)</f>
        <v>17.600000000000001</v>
      </c>
      <c r="O25" s="16">
        <f>VLOOKUP(K25,RPM!$A$2:$D$62,4,FALSE)</f>
        <v>19.91034920634921</v>
      </c>
      <c r="P25" s="17">
        <f t="shared" si="0"/>
        <v>14.847147403174606</v>
      </c>
      <c r="Q25" s="16" cm="1">
        <f t="array" ref="Q25">_xlfn.XLOOKUP(O25,BSFC!$A$2:$A$24,_xlfn.XLOOKUP(K25,BSFC!$B$1:$O$1,BSFC!$B$2:$O$24,,-1),,-1)</f>
        <v>455</v>
      </c>
      <c r="R25" s="17">
        <f t="shared" si="1"/>
        <v>1.8765144634567905</v>
      </c>
      <c r="S25" s="16">
        <f t="shared" si="5"/>
        <v>3.6603578409451627E-4</v>
      </c>
      <c r="T25" s="17">
        <f t="shared" si="9"/>
        <v>0.1665462817630049</v>
      </c>
      <c r="U25" s="16">
        <f t="shared" si="10"/>
        <v>6.4088799129380005</v>
      </c>
      <c r="V25" s="17">
        <f t="shared" si="11"/>
        <v>1.1236058021897023E-2</v>
      </c>
      <c r="W25" s="16">
        <f t="shared" si="6"/>
        <v>40449.808878829281</v>
      </c>
      <c r="X25">
        <f>('Hybrid Info'!$A$2-Track!P25)*(L25-L24)*1000+X24</f>
        <v>7446.8489958469509</v>
      </c>
    </row>
    <row r="26" spans="1:24">
      <c r="A26" s="16">
        <f t="shared" si="7"/>
        <v>25</v>
      </c>
      <c r="B26" s="17">
        <f t="shared" si="8"/>
        <v>11.351865818796819</v>
      </c>
      <c r="C26" s="18">
        <f>Specification!$G$30</f>
        <v>109.96225200000001</v>
      </c>
      <c r="D26" s="17">
        <f>0.5*Specification!$K$4*Track!B26^2*Specification!$K$3*Specification!$K$2</f>
        <v>66.746418279074391</v>
      </c>
      <c r="E26" s="16">
        <v>0</v>
      </c>
      <c r="F26" s="17">
        <f>Specification!$C$23*9.81*SIN((E26*PI()/180))</f>
        <v>0</v>
      </c>
      <c r="G26" s="18">
        <f>IF(J26=1,VLOOKUP(K26,RPM!$E$2:$H$62,3,FALSE)-F26-E26-D26,IF(J26=2,VLOOKUP(K26,RPM!$H$2:$K$62,3,FALSE)-F26-E26-D26,IF(J26=3,VLOOKUP(K26,RPM!$K$2:$N$62,3,FALSE)-F26-E26-D26)))</f>
        <v>1103.8422874295873</v>
      </c>
      <c r="H26" s="19">
        <f>IF(J26=1,Specification!$I$14,IF(J26=2,Specification!$I$15,IF(J26=3,Specification!$I$16)))</f>
        <v>582.50936296077191</v>
      </c>
      <c r="I26" s="16">
        <f t="shared" si="2"/>
        <v>1.894977759359936</v>
      </c>
      <c r="J26" s="17">
        <v>2</v>
      </c>
      <c r="K26" s="16">
        <f>IF(J26=1,VLOOKUP(B26,RPM!$F$2:$H$62,3,TRUE),IF(J26=2,VLOOKUP(B26,RPM!$I$2:$K$62,3,TRUE),IF(J26=3,VLOOKUP(B26,RPM!$L$2:$N$62,3,TRUE))))</f>
        <v>6400</v>
      </c>
      <c r="L26" s="17">
        <f t="shared" si="3"/>
        <v>4.4572594964112655</v>
      </c>
      <c r="M26" s="16">
        <f t="shared" si="4"/>
        <v>0</v>
      </c>
      <c r="N26" s="17">
        <f>VLOOKUP(K26,RPM!$A$2:$D$62,3,FALSE)</f>
        <v>17.8</v>
      </c>
      <c r="O26" s="16">
        <f>VLOOKUP(K26,RPM!$A$2:$D$62,4,FALSE)</f>
        <v>19.82196875</v>
      </c>
      <c r="P26" s="17">
        <f t="shared" si="0"/>
        <v>14.781242096875001</v>
      </c>
      <c r="Q26" s="16" cm="1">
        <f t="array" ref="Q26">_xlfn.XLOOKUP(O26,BSFC!$A$2:$A$24,_xlfn.XLOOKUP(K26,BSFC!$B$1:$O$1,BSFC!$B$2:$O$24,,-1),,-1)</f>
        <v>455</v>
      </c>
      <c r="R26" s="17">
        <f t="shared" si="1"/>
        <v>1.8681847650217014</v>
      </c>
      <c r="S26" s="16">
        <f t="shared" si="5"/>
        <v>3.5907291646183046E-4</v>
      </c>
      <c r="T26" s="17">
        <f t="shared" si="9"/>
        <v>0.16337817699013285</v>
      </c>
      <c r="U26" s="16">
        <f t="shared" si="10"/>
        <v>6.5722580899281331</v>
      </c>
      <c r="V26" s="17">
        <f t="shared" si="11"/>
        <v>1.1595130938358853E-2</v>
      </c>
      <c r="W26" s="16">
        <f t="shared" si="6"/>
        <v>41742.471378091868</v>
      </c>
      <c r="X26">
        <f>('Hybrid Info'!$A$2-Track!P26)*(L26-L25)*1000+X25</f>
        <v>7214.1554103807694</v>
      </c>
    </row>
    <row r="27" spans="1:24">
      <c r="A27" s="16">
        <f t="shared" si="7"/>
        <v>26</v>
      </c>
      <c r="B27" s="17">
        <f t="shared" si="8"/>
        <v>11.517587120863789</v>
      </c>
      <c r="C27" s="18">
        <f>Specification!$G$30</f>
        <v>109.96225200000001</v>
      </c>
      <c r="D27" s="17">
        <f>0.5*Specification!$K$4*Track!B27^2*Specification!$K$3*Specification!$K$2</f>
        <v>68.709451188788648</v>
      </c>
      <c r="E27" s="16">
        <v>0</v>
      </c>
      <c r="F27" s="17">
        <f>Specification!$C$23*9.81*SIN((E27*PI()/180))</f>
        <v>0</v>
      </c>
      <c r="G27" s="18">
        <f>IF(J27=1,VLOOKUP(K27,RPM!$E$2:$H$62,3,FALSE)-F27-E27-D27,IF(J27=2,VLOOKUP(K27,RPM!$H$2:$K$62,3,FALSE)-F27-E27-D27,IF(J27=3,VLOOKUP(K27,RPM!$K$2:$N$62,3,FALSE)-F27-E27-D27)))</f>
        <v>1101.879254519873</v>
      </c>
      <c r="H27" s="19">
        <f>IF(J27=1,Specification!$I$14,IF(J27=2,Specification!$I$15,IF(J27=3,Specification!$I$16)))</f>
        <v>582.50936296077191</v>
      </c>
      <c r="I27" s="16">
        <f t="shared" si="2"/>
        <v>1.8916077999489207</v>
      </c>
      <c r="J27" s="17">
        <v>2</v>
      </c>
      <c r="K27" s="16">
        <f>IF(J27=1,VLOOKUP(B27,RPM!$F$2:$H$62,3,TRUE),IF(J27=2,VLOOKUP(B27,RPM!$I$2:$K$62,3,TRUE),IF(J27=3,VLOOKUP(B27,RPM!$L$2:$N$62,3,TRUE))))</f>
        <v>6400</v>
      </c>
      <c r="L27" s="17">
        <f t="shared" si="3"/>
        <v>4.5434728733180192</v>
      </c>
      <c r="M27" s="16">
        <f t="shared" si="4"/>
        <v>0</v>
      </c>
      <c r="N27" s="17">
        <f>VLOOKUP(K27,RPM!$A$2:$D$62,3,FALSE)</f>
        <v>17.8</v>
      </c>
      <c r="O27" s="16">
        <f>VLOOKUP(K27,RPM!$A$2:$D$62,4,FALSE)</f>
        <v>19.82196875</v>
      </c>
      <c r="P27" s="17">
        <f t="shared" si="0"/>
        <v>14.781242096875001</v>
      </c>
      <c r="Q27" s="16" cm="1">
        <f t="array" ref="Q27">_xlfn.XLOOKUP(O27,BSFC!$A$2:$A$24,_xlfn.XLOOKUP(K27,BSFC!$B$1:$O$1,BSFC!$B$2:$O$24,,-1),,-1)</f>
        <v>455</v>
      </c>
      <c r="R27" s="17">
        <f t="shared" si="1"/>
        <v>1.8681847650217014</v>
      </c>
      <c r="S27" s="16">
        <f t="shared" si="5"/>
        <v>3.539835544577385E-4</v>
      </c>
      <c r="T27" s="17">
        <f t="shared" si="9"/>
        <v>0.16106251727827101</v>
      </c>
      <c r="U27" s="16">
        <f t="shared" si="10"/>
        <v>6.7333206072064042</v>
      </c>
      <c r="V27" s="17">
        <f t="shared" si="11"/>
        <v>1.1949114492816592E-2</v>
      </c>
      <c r="W27" s="16">
        <f t="shared" si="6"/>
        <v>43016.812174139726</v>
      </c>
      <c r="X27">
        <f>('Hybrid Info'!$A$2-Track!P27)*(L27-L26)*1000+X26</f>
        <v>6984.7599346805282</v>
      </c>
    </row>
    <row r="28" spans="1:24">
      <c r="A28" s="16">
        <f t="shared" si="7"/>
        <v>27</v>
      </c>
      <c r="B28" s="17">
        <f t="shared" si="8"/>
        <v>11.68066901708054</v>
      </c>
      <c r="C28" s="18">
        <f>Specification!$G$30</f>
        <v>109.96225200000001</v>
      </c>
      <c r="D28" s="17">
        <f>0.5*Specification!$K$4*Track!B28^2*Specification!$K$3*Specification!$K$2</f>
        <v>70.668993112291844</v>
      </c>
      <c r="E28" s="16">
        <v>0</v>
      </c>
      <c r="F28" s="17">
        <f>Specification!$C$23*9.81*SIN((E28*PI()/180))</f>
        <v>0</v>
      </c>
      <c r="G28" s="18">
        <f>IF(J28=1,VLOOKUP(K28,RPM!$E$2:$H$62,3,FALSE)-F28-E28-D28,IF(J28=2,VLOOKUP(K28,RPM!$H$2:$K$62,3,FALSE)-F28-E28-D28,IF(J28=3,VLOOKUP(K28,RPM!$K$2:$N$62,3,FALSE)-F28-E28-D28)))</f>
        <v>1094.8609887169027</v>
      </c>
      <c r="H28" s="19">
        <f>IF(J28=1,Specification!$I$14,IF(J28=2,Specification!$I$15,IF(J28=3,Specification!$I$16)))</f>
        <v>582.50936296077191</v>
      </c>
      <c r="I28" s="16">
        <f t="shared" si="2"/>
        <v>1.879559468627175</v>
      </c>
      <c r="J28" s="17">
        <v>2</v>
      </c>
      <c r="K28" s="16">
        <f>IF(J28=1,VLOOKUP(B28,RPM!$F$2:$H$62,3,TRUE),IF(J28=2,VLOOKUP(B28,RPM!$I$2:$K$62,3,TRUE),IF(J28=3,VLOOKUP(B28,RPM!$L$2:$N$62,3,TRUE))))</f>
        <v>6500</v>
      </c>
      <c r="L28" s="17">
        <f t="shared" si="3"/>
        <v>4.6285027053498364</v>
      </c>
      <c r="M28" s="16">
        <f t="shared" si="4"/>
        <v>0</v>
      </c>
      <c r="N28" s="17">
        <f>VLOOKUP(K28,RPM!$A$2:$D$62,3,FALSE)</f>
        <v>18</v>
      </c>
      <c r="O28" s="16">
        <f>VLOOKUP(K28,RPM!$A$2:$D$62,4,FALSE)</f>
        <v>19.736307692307694</v>
      </c>
      <c r="P28" s="17">
        <f t="shared" si="0"/>
        <v>14.717364646153849</v>
      </c>
      <c r="Q28" s="16" cm="1">
        <f t="array" ref="Q28">_xlfn.XLOOKUP(O28,BSFC!$A$2:$A$24,_xlfn.XLOOKUP(K28,BSFC!$B$1:$O$1,BSFC!$B$2:$O$24,,-1),,-1)</f>
        <v>505</v>
      </c>
      <c r="R28" s="17">
        <f t="shared" si="1"/>
        <v>2.0645192073076926</v>
      </c>
      <c r="S28" s="16">
        <f t="shared" si="5"/>
        <v>3.4761528994818532E-4</v>
      </c>
      <c r="T28" s="17">
        <f t="shared" si="9"/>
        <v>0.1755457214238336</v>
      </c>
      <c r="U28" s="16">
        <f t="shared" si="10"/>
        <v>6.9088663286302374</v>
      </c>
      <c r="V28" s="17">
        <f t="shared" si="11"/>
        <v>1.2296729782764778E-2</v>
      </c>
      <c r="W28" s="16">
        <f t="shared" si="6"/>
        <v>44268.227217953201</v>
      </c>
      <c r="X28">
        <f>('Hybrid Info'!$A$2-Track!P28)*(L28-L27)*1000+X27</f>
        <v>6763.9451092959371</v>
      </c>
    </row>
    <row r="29" spans="1:24">
      <c r="A29" s="16">
        <f t="shared" si="7"/>
        <v>28</v>
      </c>
      <c r="B29" s="17">
        <f t="shared" si="8"/>
        <v>11.84048764299172</v>
      </c>
      <c r="C29" s="18">
        <f>Specification!$G$30</f>
        <v>109.96225200000001</v>
      </c>
      <c r="D29" s="17">
        <f>0.5*Specification!$K$4*Track!B29^2*Specification!$K$3*Specification!$K$2</f>
        <v>72.61605400757459</v>
      </c>
      <c r="E29" s="16">
        <v>0</v>
      </c>
      <c r="F29" s="17">
        <f>Specification!$C$23*9.81*SIN((E29*PI()/180))</f>
        <v>0</v>
      </c>
      <c r="G29" s="18">
        <f>IF(J29=1,VLOOKUP(K29,RPM!$E$2:$H$62,3,FALSE)-F29-E29-D29,IF(J29=2,VLOOKUP(K29,RPM!$H$2:$K$62,3,FALSE)-F29-E29-D29,IF(J29=3,VLOOKUP(K29,RPM!$K$2:$N$62,3,FALSE)-F29-E29-D29)))</f>
        <v>1011.483802828503</v>
      </c>
      <c r="H29" s="19">
        <f>IF(J29=1,Specification!$I$14,IF(J29=2,Specification!$I$15,IF(J29=3,Specification!$I$16)))</f>
        <v>582.50936296077191</v>
      </c>
      <c r="I29" s="16">
        <f t="shared" si="2"/>
        <v>1.7364249695272618</v>
      </c>
      <c r="J29" s="17">
        <v>2</v>
      </c>
      <c r="K29" s="16">
        <f>IF(J29=1,VLOOKUP(B29,RPM!$F$2:$H$62,3,TRUE),IF(J29=2,VLOOKUP(B29,RPM!$I$2:$K$62,3,TRUE),IF(J29=3,VLOOKUP(B29,RPM!$L$2:$N$62,3,TRUE))))</f>
        <v>6600</v>
      </c>
      <c r="L29" s="17">
        <f t="shared" si="3"/>
        <v>4.7124420469626163</v>
      </c>
      <c r="M29" s="16">
        <f t="shared" si="4"/>
        <v>0</v>
      </c>
      <c r="N29" s="17">
        <f>VLOOKUP(K29,RPM!$A$2:$D$62,3,FALSE)</f>
        <v>17</v>
      </c>
      <c r="O29" s="16">
        <f>VLOOKUP(K29,RPM!$A$2:$D$62,4,FALSE)</f>
        <v>18.357424242424244</v>
      </c>
      <c r="P29" s="17">
        <f t="shared" si="0"/>
        <v>13.68913125757576</v>
      </c>
      <c r="Q29" s="16" cm="1">
        <f t="array" ref="Q29">_xlfn.XLOOKUP(O29,BSFC!$A$2:$A$24,_xlfn.XLOOKUP(K29,BSFC!$B$1:$O$1,BSFC!$B$2:$O$24,,-1),,-1)</f>
        <v>490</v>
      </c>
      <c r="R29" s="17">
        <f t="shared" si="1"/>
        <v>1.8632428656144784</v>
      </c>
      <c r="S29" s="16">
        <f t="shared" si="5"/>
        <v>3.1918240694773169E-4</v>
      </c>
      <c r="T29" s="17">
        <f t="shared" si="9"/>
        <v>0.15639937940438853</v>
      </c>
      <c r="U29" s="16">
        <f t="shared" si="10"/>
        <v>7.0652657080346257</v>
      </c>
      <c r="V29" s="17">
        <f t="shared" si="11"/>
        <v>1.261591218971251E-2</v>
      </c>
      <c r="W29" s="16">
        <f t="shared" si="6"/>
        <v>45417.283882965035</v>
      </c>
      <c r="X29">
        <f>('Hybrid Info'!$A$2-Track!P29)*(L29-L28)*1000+X28</f>
        <v>6632.2714231018972</v>
      </c>
    </row>
    <row r="30" spans="1:24">
      <c r="A30" s="16">
        <f t="shared" si="7"/>
        <v>29</v>
      </c>
      <c r="B30" s="17">
        <f t="shared" si="8"/>
        <v>11.986242011693829</v>
      </c>
      <c r="C30" s="18">
        <f>Specification!$G$30</f>
        <v>109.96225200000001</v>
      </c>
      <c r="D30" s="17">
        <f>0.5*Specification!$K$4*Track!B30^2*Specification!$K$3*Specification!$K$2</f>
        <v>74.414839953000651</v>
      </c>
      <c r="E30" s="16">
        <v>0</v>
      </c>
      <c r="F30" s="17">
        <f>Specification!$C$23*9.81*SIN((E30*PI()/180))</f>
        <v>0</v>
      </c>
      <c r="G30" s="18">
        <f>IF(J30=1,VLOOKUP(K30,RPM!$E$2:$H$62,3,FALSE)-F30-E30-D30,IF(J30=2,VLOOKUP(K30,RPM!$H$2:$K$62,3,FALSE)-F30-E30-D30,IF(J30=3,VLOOKUP(K30,RPM!$K$2:$N$62,3,FALSE)-F30-E30-D30)))</f>
        <v>930.68564188975404</v>
      </c>
      <c r="H30" s="19">
        <f>IF(J30=1,Specification!$I$14,IF(J30=2,Specification!$I$15,IF(J30=3,Specification!$I$16)))</f>
        <v>582.50936296077191</v>
      </c>
      <c r="I30" s="16">
        <f t="shared" si="2"/>
        <v>1.5977179099049597</v>
      </c>
      <c r="J30" s="17">
        <v>2</v>
      </c>
      <c r="K30" s="16">
        <f>IF(J30=1,VLOOKUP(B30,RPM!$F$2:$H$62,3,TRUE),IF(J30=2,VLOOKUP(B30,RPM!$I$2:$K$62,3,TRUE),IF(J30=3,VLOOKUP(B30,RPM!$L$2:$N$62,3,TRUE))))</f>
        <v>6700</v>
      </c>
      <c r="L30" s="17">
        <f t="shared" si="3"/>
        <v>4.7954122234278493</v>
      </c>
      <c r="M30" s="16">
        <f t="shared" si="4"/>
        <v>0</v>
      </c>
      <c r="N30" s="17">
        <f>VLOOKUP(K30,RPM!$A$2:$D$62,3,FALSE)</f>
        <v>16</v>
      </c>
      <c r="O30" s="16">
        <f>VLOOKUP(K30,RPM!$A$2:$D$62,4,FALSE)</f>
        <v>17.019701492537312</v>
      </c>
      <c r="P30" s="17">
        <f t="shared" si="0"/>
        <v>12.691591402985074</v>
      </c>
      <c r="Q30" s="16" cm="1">
        <f t="array" ref="Q30">_xlfn.XLOOKUP(O30,BSFC!$A$2:$A$24,_xlfn.XLOOKUP(K30,BSFC!$B$1:$O$1,BSFC!$B$2:$O$24,,-1),,-1)</f>
        <v>485</v>
      </c>
      <c r="R30" s="17">
        <f t="shared" si="1"/>
        <v>1.7098393973466002</v>
      </c>
      <c r="S30" s="16">
        <f t="shared" si="5"/>
        <v>2.9250654953619627E-4</v>
      </c>
      <c r="T30" s="17">
        <f t="shared" si="9"/>
        <v>0.14186567652505519</v>
      </c>
      <c r="U30" s="16">
        <f t="shared" si="10"/>
        <v>7.2071313845596805</v>
      </c>
      <c r="V30" s="17">
        <f t="shared" si="11"/>
        <v>1.2908418739248705E-2</v>
      </c>
      <c r="W30" s="16">
        <f t="shared" si="6"/>
        <v>46470.307461295342</v>
      </c>
      <c r="X30">
        <f>('Hybrid Info'!$A$2-Track!P30)*(L30-L29)*1000+X29</f>
        <v>6584.8841014227273</v>
      </c>
    </row>
    <row r="31" spans="1:24">
      <c r="A31" s="16">
        <f t="shared" si="7"/>
        <v>30</v>
      </c>
      <c r="B31" s="17">
        <f t="shared" si="8"/>
        <v>12.118804948620307</v>
      </c>
      <c r="C31" s="18">
        <f>Specification!$G$30</f>
        <v>109.96225200000001</v>
      </c>
      <c r="D31" s="17">
        <f>0.5*Specification!$K$4*Track!B31^2*Specification!$K$3*Specification!$K$2</f>
        <v>76.069937392583626</v>
      </c>
      <c r="E31" s="16">
        <v>0</v>
      </c>
      <c r="F31" s="17">
        <f>Specification!$C$23*9.81*SIN((E31*PI()/180))</f>
        <v>0</v>
      </c>
      <c r="G31" s="18">
        <f>IF(J31=1,VLOOKUP(K31,RPM!$E$2:$H$62,3,FALSE)-F31-E31-D31,IF(J31=2,VLOOKUP(K31,RPM!$H$2:$K$62,3,FALSE)-F31-E31-D31,IF(J31=3,VLOOKUP(K31,RPM!$K$2:$N$62,3,FALSE)-F31-E31-D31)))</f>
        <v>852.35468048606378</v>
      </c>
      <c r="H31" s="19">
        <f>IF(J31=1,Specification!$I$14,IF(J31=2,Specification!$I$15,IF(J31=3,Specification!$I$16)))</f>
        <v>582.50936296077191</v>
      </c>
      <c r="I31" s="16">
        <f t="shared" si="2"/>
        <v>1.4632463178853043</v>
      </c>
      <c r="J31" s="17">
        <v>2</v>
      </c>
      <c r="K31" s="16">
        <f>IF(J31=1,VLOOKUP(B31,RPM!$F$2:$H$62,3,TRUE),IF(J31=2,VLOOKUP(B31,RPM!$I$2:$K$62,3,TRUE),IF(J31=3,VLOOKUP(B31,RPM!$L$2:$N$62,3,TRUE))))</f>
        <v>6800</v>
      </c>
      <c r="L31" s="17">
        <f t="shared" si="3"/>
        <v>4.87752159299915</v>
      </c>
      <c r="M31" s="16">
        <f t="shared" si="4"/>
        <v>0</v>
      </c>
      <c r="N31" s="17">
        <f>VLOOKUP(K31,RPM!$A$2:$D$62,3,FALSE)</f>
        <v>15</v>
      </c>
      <c r="O31" s="16">
        <f>VLOOKUP(K31,RPM!$A$2:$D$62,4,FALSE)</f>
        <v>15.721323529411764</v>
      </c>
      <c r="P31" s="17">
        <f t="shared" si="0"/>
        <v>11.723390955882353</v>
      </c>
      <c r="Q31" s="16" cm="1">
        <f t="array" ref="Q31">_xlfn.XLOOKUP(O31,BSFC!$A$2:$A$24,_xlfn.XLOOKUP(K31,BSFC!$B$1:$O$1,BSFC!$B$2:$O$24,,-1),,-1)</f>
        <v>440</v>
      </c>
      <c r="R31" s="17">
        <f t="shared" si="1"/>
        <v>1.4328588946078433</v>
      </c>
      <c r="S31" s="16">
        <f t="shared" si="5"/>
        <v>2.6738895572927439E-4</v>
      </c>
      <c r="T31" s="17">
        <f t="shared" si="9"/>
        <v>0.11765114052088073</v>
      </c>
      <c r="U31" s="16">
        <f t="shared" si="10"/>
        <v>7.3247825250805612</v>
      </c>
      <c r="V31" s="17">
        <f t="shared" si="11"/>
        <v>1.3175807694977979E-2</v>
      </c>
      <c r="W31" s="16">
        <f t="shared" si="6"/>
        <v>47432.907701920725</v>
      </c>
      <c r="X31">
        <f>('Hybrid Info'!$A$2-Track!P31)*(L31-L30)*1000+X30</f>
        <v>6617.4867465748293</v>
      </c>
    </row>
    <row r="32" spans="1:24">
      <c r="A32" s="16">
        <f t="shared" si="7"/>
        <v>31</v>
      </c>
      <c r="B32" s="17">
        <f t="shared" si="8"/>
        <v>12.238951181309396</v>
      </c>
      <c r="C32" s="18">
        <f>Specification!$G$30</f>
        <v>109.96225200000001</v>
      </c>
      <c r="D32" s="17">
        <f>0.5*Specification!$K$4*Track!B32^2*Specification!$K$3*Specification!$K$2</f>
        <v>77.585733904093772</v>
      </c>
      <c r="E32" s="16">
        <v>0</v>
      </c>
      <c r="F32" s="17">
        <f>Specification!$C$23*9.81*SIN((E32*PI()/180))</f>
        <v>0</v>
      </c>
      <c r="G32" s="18">
        <f>IF(J32=1,VLOOKUP(K32,RPM!$E$2:$H$62,3,FALSE)-F32-E32-D32,IF(J32=2,VLOOKUP(K32,RPM!$H$2:$K$62,3,FALSE)-F32-E32-D32,IF(J32=3,VLOOKUP(K32,RPM!$K$2:$N$62,3,FALSE)-F32-E32-D32)))</f>
        <v>776.38550882100026</v>
      </c>
      <c r="H32" s="19">
        <f>IF(J32=1,Specification!$I$14,IF(J32=2,Specification!$I$15,IF(J32=3,Specification!$I$16)))</f>
        <v>582.50936296077191</v>
      </c>
      <c r="I32" s="16">
        <f t="shared" si="2"/>
        <v>1.332829235353054</v>
      </c>
      <c r="J32" s="17">
        <v>2</v>
      </c>
      <c r="K32" s="16">
        <f>IF(J32=1,VLOOKUP(B32,RPM!$F$2:$H$62,3,TRUE),IF(J32=2,VLOOKUP(B32,RPM!$I$2:$K$62,3,TRUE),IF(J32=3,VLOOKUP(B32,RPM!$L$2:$N$62,3,TRUE))))</f>
        <v>6900</v>
      </c>
      <c r="L32" s="17">
        <f t="shared" si="3"/>
        <v>4.9588676332705548</v>
      </c>
      <c r="M32" s="16">
        <f t="shared" si="4"/>
        <v>0</v>
      </c>
      <c r="N32" s="17">
        <f>VLOOKUP(K32,RPM!$A$2:$D$62,3,FALSE)</f>
        <v>14</v>
      </c>
      <c r="O32" s="16">
        <f>VLOOKUP(K32,RPM!$A$2:$D$62,4,FALSE)</f>
        <v>14.460579710144927</v>
      </c>
      <c r="P32" s="17">
        <f t="shared" si="0"/>
        <v>10.783254289855073</v>
      </c>
      <c r="Q32" s="16" cm="1">
        <f t="array" ref="Q32">_xlfn.XLOOKUP(O32,BSFC!$A$2:$A$24,_xlfn.XLOOKUP(K32,BSFC!$B$1:$O$1,BSFC!$B$2:$O$24,,-1),,-1)</f>
        <v>425</v>
      </c>
      <c r="R32" s="17">
        <f t="shared" si="1"/>
        <v>1.2730230758856684</v>
      </c>
      <c r="S32" s="16">
        <f t="shared" si="5"/>
        <v>2.4365973269981927E-4</v>
      </c>
      <c r="T32" s="17">
        <f t="shared" si="9"/>
        <v>0.10355538639742319</v>
      </c>
      <c r="U32" s="16">
        <f t="shared" si="10"/>
        <v>7.4283379114779846</v>
      </c>
      <c r="V32" s="17">
        <f t="shared" si="11"/>
        <v>1.3419467427677799E-2</v>
      </c>
      <c r="W32" s="16">
        <f t="shared" si="6"/>
        <v>48310.082739640071</v>
      </c>
      <c r="X32">
        <f>('Hybrid Info'!$A$2-Track!P32)*(L32-L31)*1000+X31</f>
        <v>6726.2626965119498</v>
      </c>
    </row>
    <row r="33" spans="1:24">
      <c r="A33" s="16">
        <f t="shared" si="7"/>
        <v>32</v>
      </c>
      <c r="B33" s="17">
        <f t="shared" si="8"/>
        <v>12.347371561963332</v>
      </c>
      <c r="C33" s="18">
        <f>Specification!$G$30</f>
        <v>109.96225200000001</v>
      </c>
      <c r="D33" s="17">
        <f>0.5*Specification!$K$4*Track!B33^2*Specification!$K$3*Specification!$K$2</f>
        <v>78.966429608359519</v>
      </c>
      <c r="E33" s="16">
        <v>0</v>
      </c>
      <c r="F33" s="17">
        <f>Specification!$C$23*9.81*SIN((E33*PI()/180))</f>
        <v>0</v>
      </c>
      <c r="G33" s="18">
        <f>IF(J33=1,VLOOKUP(K33,RPM!$E$2:$H$62,3,FALSE)-F33-E33-D33,IF(J33=2,VLOOKUP(K33,RPM!$H$2:$K$62,3,FALSE)-F33-E33-D33,IF(J33=3,VLOOKUP(K33,RPM!$K$2:$N$62,3,FALSE)-F33-E33-D33)))</f>
        <v>775.00481311673457</v>
      </c>
      <c r="H33" s="19">
        <f>IF(J33=1,Specification!$I$14,IF(J33=2,Specification!$I$15,IF(J33=3,Specification!$I$16)))</f>
        <v>582.50936296077191</v>
      </c>
      <c r="I33" s="16">
        <f t="shared" si="2"/>
        <v>1.3304589803974121</v>
      </c>
      <c r="J33" s="17">
        <v>2</v>
      </c>
      <c r="K33" s="16">
        <f>IF(J33=1,VLOOKUP(B33,RPM!$F$2:$H$62,3,TRUE),IF(J33=2,VLOOKUP(B33,RPM!$I$2:$K$62,3,TRUE),IF(J33=3,VLOOKUP(B33,RPM!$L$2:$N$62,3,TRUE))))</f>
        <v>6900</v>
      </c>
      <c r="L33" s="17">
        <f t="shared" si="3"/>
        <v>5.0395061957786051</v>
      </c>
      <c r="M33" s="16">
        <f t="shared" si="4"/>
        <v>0</v>
      </c>
      <c r="N33" s="17">
        <f>VLOOKUP(K33,RPM!$A$2:$D$62,3,FALSE)</f>
        <v>14</v>
      </c>
      <c r="O33" s="16">
        <f>VLOOKUP(K33,RPM!$A$2:$D$62,4,FALSE)</f>
        <v>14.460579710144927</v>
      </c>
      <c r="P33" s="17">
        <f t="shared" si="0"/>
        <v>10.783254289855073</v>
      </c>
      <c r="Q33" s="16" cm="1">
        <f t="array" ref="Q33">_xlfn.XLOOKUP(O33,BSFC!$A$2:$A$24,_xlfn.XLOOKUP(K33,BSFC!$B$1:$O$1,BSFC!$B$2:$O$24,,-1),,-1)</f>
        <v>425</v>
      </c>
      <c r="R33" s="17">
        <f t="shared" si="1"/>
        <v>1.2730230758856684</v>
      </c>
      <c r="S33" s="16">
        <f t="shared" si="5"/>
        <v>2.4154059030352234E-4</v>
      </c>
      <c r="T33" s="17">
        <f t="shared" si="9"/>
        <v>0.10265475087899699</v>
      </c>
      <c r="U33" s="16">
        <f t="shared" si="10"/>
        <v>7.5309926623569812</v>
      </c>
      <c r="V33" s="17">
        <f t="shared" si="11"/>
        <v>1.366100801798132E-2</v>
      </c>
      <c r="W33" s="16">
        <f t="shared" si="6"/>
        <v>49179.628864732753</v>
      </c>
      <c r="X33">
        <f>('Hybrid Info'!$A$2-Track!P33)*(L33-L32)*1000+X32</f>
        <v>6834.0926069674742</v>
      </c>
    </row>
    <row r="34" spans="1:24">
      <c r="A34" s="16">
        <f t="shared" si="7"/>
        <v>33</v>
      </c>
      <c r="B34" s="17">
        <f t="shared" si="8"/>
        <v>12.454657861618506</v>
      </c>
      <c r="C34" s="18">
        <f>Specification!$G$30</f>
        <v>109.96225200000001</v>
      </c>
      <c r="D34" s="17">
        <f>0.5*Specification!$K$4*Track!B34^2*Specification!$K$3*Specification!$K$2</f>
        <v>80.344669933685125</v>
      </c>
      <c r="E34" s="16">
        <v>0</v>
      </c>
      <c r="F34" s="17">
        <f>Specification!$C$23*9.81*SIN((E34*PI()/180))</f>
        <v>0</v>
      </c>
      <c r="G34" s="18">
        <f>IF(J34=1,VLOOKUP(K34,RPM!$E$2:$H$62,3,FALSE)-F34-E34-D34,IF(J34=2,VLOOKUP(K34,RPM!$H$2:$K$62,3,FALSE)-F34-E34-D34,IF(J34=3,VLOOKUP(K34,RPM!$K$2:$N$62,3,FALSE)-F34-E34-D34)))</f>
        <v>701.30043692795709</v>
      </c>
      <c r="H34" s="19">
        <f>IF(J34=1,Specification!$I$14,IF(J34=2,Specification!$I$15,IF(J34=3,Specification!$I$16)))</f>
        <v>582.50936296077191</v>
      </c>
      <c r="I34" s="16">
        <f t="shared" si="2"/>
        <v>1.2039298962739333</v>
      </c>
      <c r="J34" s="17">
        <v>2</v>
      </c>
      <c r="K34" s="16">
        <f>IF(J34=1,VLOOKUP(B34,RPM!$F$2:$H$62,3,TRUE),IF(J34=2,VLOOKUP(B34,RPM!$I$2:$K$62,3,TRUE),IF(J34=3,VLOOKUP(B34,RPM!$L$2:$N$62,3,TRUE))))</f>
        <v>7000</v>
      </c>
      <c r="L34" s="17">
        <f t="shared" si="3"/>
        <v>5.1194882525637828</v>
      </c>
      <c r="M34" s="16">
        <f t="shared" si="4"/>
        <v>0</v>
      </c>
      <c r="N34" s="17">
        <f>VLOOKUP(K34,RPM!$A$2:$D$62,3,FALSE)</f>
        <v>13</v>
      </c>
      <c r="O34" s="16">
        <f>VLOOKUP(K34,RPM!$A$2:$D$62,4,FALSE)</f>
        <v>13.235857142857142</v>
      </c>
      <c r="P34" s="17">
        <f t="shared" si="0"/>
        <v>9.8699786714285711</v>
      </c>
      <c r="Q34" s="16" cm="1">
        <f t="array" ref="Q34">_xlfn.XLOOKUP(O34,BSFC!$A$2:$A$24,_xlfn.XLOOKUP(K34,BSFC!$B$1:$O$1,BSFC!$B$2:$O$24,,-1),,-1)</f>
        <v>520</v>
      </c>
      <c r="R34" s="17">
        <f t="shared" si="1"/>
        <v>1.425663585873016</v>
      </c>
      <c r="S34" s="16">
        <f t="shared" si="5"/>
        <v>2.1928366515741457E-4</v>
      </c>
      <c r="T34" s="17">
        <f t="shared" si="9"/>
        <v>0.11402750588185558</v>
      </c>
      <c r="U34" s="16">
        <f t="shared" si="10"/>
        <v>7.6450201682388368</v>
      </c>
      <c r="V34" s="17">
        <f t="shared" si="11"/>
        <v>1.3880291683138734E-2</v>
      </c>
      <c r="W34" s="16">
        <f t="shared" si="6"/>
        <v>49969.050059299443</v>
      </c>
      <c r="X34">
        <f>('Hybrid Info'!$A$2-Track!P34)*(L34-L33)*1000+X33</f>
        <v>7014.0903001430352</v>
      </c>
    </row>
    <row r="35" spans="1:24">
      <c r="A35" s="16">
        <f t="shared" si="7"/>
        <v>34</v>
      </c>
      <c r="B35" s="17">
        <f t="shared" si="8"/>
        <v>12.55095065094766</v>
      </c>
      <c r="C35" s="18">
        <f>Specification!$G$30</f>
        <v>109.96225200000001</v>
      </c>
      <c r="D35" s="17">
        <f>0.5*Specification!$K$4*Track!B35^2*Specification!$K$3*Specification!$K$2</f>
        <v>81.591837081532219</v>
      </c>
      <c r="E35" s="16">
        <v>0</v>
      </c>
      <c r="F35" s="17">
        <f>Specification!$C$23*9.81*SIN((E35*PI()/180))</f>
        <v>0</v>
      </c>
      <c r="G35" s="18">
        <f>IF(J35=1,VLOOKUP(K35,RPM!$E$2:$H$62,3,FALSE)-F35-E35-D35,IF(J35=2,VLOOKUP(K35,RPM!$H$2:$K$62,3,FALSE)-F35-E35-D35,IF(J35=3,VLOOKUP(K35,RPM!$K$2:$N$62,3,FALSE)-F35-E35-D35)))</f>
        <v>554.78753299720802</v>
      </c>
      <c r="H35" s="19">
        <f>IF(J35=1,Specification!$I$14,IF(J35=2,Specification!$I$15,IF(J35=3,Specification!$I$16)))</f>
        <v>578.93404261974786</v>
      </c>
      <c r="I35" s="16">
        <f t="shared" si="2"/>
        <v>0.95829143245183179</v>
      </c>
      <c r="J35" s="17">
        <v>3</v>
      </c>
      <c r="K35" s="16">
        <f>IF(J35=1,VLOOKUP(B35,RPM!$F$2:$H$62,3,TRUE),IF(J35=2,VLOOKUP(B35,RPM!$I$2:$K$62,3,TRUE),IF(J35=3,VLOOKUP(B35,RPM!$L$2:$N$62,3,TRUE))))</f>
        <v>4000</v>
      </c>
      <c r="L35" s="17">
        <f t="shared" si="3"/>
        <v>5.1989226082557209</v>
      </c>
      <c r="M35" s="16">
        <f t="shared" si="4"/>
        <v>0</v>
      </c>
      <c r="N35" s="17">
        <f>VLOOKUP(K35,RPM!$A$2:$D$62,3,FALSE)</f>
        <v>10.5</v>
      </c>
      <c r="O35" s="16">
        <f>VLOOKUP(K35,RPM!$A$2:$D$62,4,FALSE)</f>
        <v>18.708375</v>
      </c>
      <c r="P35" s="17">
        <f t="shared" si="0"/>
        <v>13.950835237500002</v>
      </c>
      <c r="Q35" s="16" cm="1">
        <f t="array" ref="Q35">_xlfn.XLOOKUP(O35,BSFC!$A$2:$A$24,_xlfn.XLOOKUP(K35,BSFC!$B$1:$O$1,BSFC!$B$2:$O$24,,-1),,-1)</f>
        <v>480</v>
      </c>
      <c r="R35" s="17">
        <f t="shared" si="1"/>
        <v>1.8601113650000003</v>
      </c>
      <c r="S35" s="16">
        <f t="shared" si="5"/>
        <v>3.0782655790422204E-4</v>
      </c>
      <c r="T35" s="17">
        <f t="shared" si="9"/>
        <v>0.14775674779402659</v>
      </c>
      <c r="U35" s="16">
        <f t="shared" si="10"/>
        <v>7.7927769160328637</v>
      </c>
      <c r="V35" s="17">
        <f t="shared" si="11"/>
        <v>1.4188118241042956E-2</v>
      </c>
      <c r="W35" s="16">
        <f t="shared" si="6"/>
        <v>51077.225667754639</v>
      </c>
      <c r="X35">
        <f>('Hybrid Info'!$A$2-Track!P35)*(L35-L34)*1000+X34</f>
        <v>6868.6951931974172</v>
      </c>
    </row>
    <row r="36" spans="1:24">
      <c r="A36" s="16">
        <f t="shared" si="7"/>
        <v>35</v>
      </c>
      <c r="B36" s="17">
        <f t="shared" si="8"/>
        <v>12.627071913449576</v>
      </c>
      <c r="C36" s="18">
        <f>Specification!$G$30</f>
        <v>109.96225200000001</v>
      </c>
      <c r="D36" s="17">
        <f>0.5*Specification!$K$4*Track!B36^2*Specification!$K$3*Specification!$K$2</f>
        <v>82.584544045879682</v>
      </c>
      <c r="E36" s="16">
        <v>0</v>
      </c>
      <c r="F36" s="17">
        <f>Specification!$C$23*9.81*SIN((E36*PI()/180))</f>
        <v>0</v>
      </c>
      <c r="G36" s="18">
        <f>IF(J36=1,VLOOKUP(K36,RPM!$E$2:$H$62,3,FALSE)-F36-E36-D36,IF(J36=2,VLOOKUP(K36,RPM!$H$2:$K$62,3,FALSE)-F36-E36-D36,IF(J36=3,VLOOKUP(K36,RPM!$K$2:$N$62,3,FALSE)-F36-E36-D36)))</f>
        <v>556.01217575438932</v>
      </c>
      <c r="H36" s="19">
        <f>IF(J36=1,Specification!$I$14,IF(J36=2,Specification!$I$15,IF(J36=3,Specification!$I$16)))</f>
        <v>578.93404261974786</v>
      </c>
      <c r="I36" s="16">
        <f t="shared" si="2"/>
        <v>0.96040677317638079</v>
      </c>
      <c r="J36" s="17">
        <v>3</v>
      </c>
      <c r="K36" s="16">
        <f>IF(J36=1,VLOOKUP(B36,RPM!$F$2:$H$62,3,TRUE),IF(J36=2,VLOOKUP(B36,RPM!$I$2:$K$62,3,TRUE),IF(J36=3,VLOOKUP(B36,RPM!$L$2:$N$62,3,TRUE))))</f>
        <v>4100</v>
      </c>
      <c r="L36" s="17">
        <f t="shared" si="3"/>
        <v>5.2778804423334007</v>
      </c>
      <c r="M36" s="16">
        <f t="shared" si="4"/>
        <v>0</v>
      </c>
      <c r="N36" s="17">
        <f>VLOOKUP(K36,RPM!$A$2:$D$62,3,FALSE)</f>
        <v>10.8</v>
      </c>
      <c r="O36" s="16">
        <f>VLOOKUP(K36,RPM!$A$2:$D$62,4,FALSE)</f>
        <v>18.773560975609758</v>
      </c>
      <c r="P36" s="17">
        <f t="shared" si="0"/>
        <v>13.999444419512198</v>
      </c>
      <c r="Q36" s="16" cm="1">
        <f t="array" ref="Q36">_xlfn.XLOOKUP(O36,BSFC!$A$2:$A$24,_xlfn.XLOOKUP(K36,BSFC!$B$1:$O$1,BSFC!$B$2:$O$24,,-1),,-1)</f>
        <v>480</v>
      </c>
      <c r="R36" s="17">
        <f t="shared" si="1"/>
        <v>1.8665925892682931</v>
      </c>
      <c r="S36" s="16">
        <f t="shared" si="5"/>
        <v>3.0704605823765108E-4</v>
      </c>
      <c r="T36" s="17">
        <f t="shared" si="9"/>
        <v>0.14738210795407253</v>
      </c>
      <c r="U36" s="16">
        <f t="shared" si="10"/>
        <v>7.9401590239869364</v>
      </c>
      <c r="V36" s="17">
        <f t="shared" si="11"/>
        <v>1.4495164299280607E-2</v>
      </c>
      <c r="W36" s="16">
        <f t="shared" si="6"/>
        <v>52182.591477410184</v>
      </c>
      <c r="X36">
        <f>('Hybrid Info'!$A$2-Track!P36)*(L36-L35)*1000+X35</f>
        <v>6720.3342264619259</v>
      </c>
    </row>
    <row r="37" spans="1:24">
      <c r="A37" s="16">
        <f t="shared" si="7"/>
        <v>36</v>
      </c>
      <c r="B37" s="17">
        <f t="shared" si="8"/>
        <v>12.702903552093117</v>
      </c>
      <c r="C37" s="18">
        <f>Specification!$G$30</f>
        <v>109.96225200000001</v>
      </c>
      <c r="D37" s="17">
        <f>0.5*Specification!$K$4*Track!B37^2*Specification!$K$3*Specification!$K$2</f>
        <v>83.579442320091914</v>
      </c>
      <c r="E37" s="16">
        <v>0</v>
      </c>
      <c r="F37" s="17">
        <f>Specification!$C$23*9.81*SIN((E37*PI()/180))</f>
        <v>0</v>
      </c>
      <c r="G37" s="18">
        <f>IF(J37=1,VLOOKUP(K37,RPM!$E$2:$H$62,3,FALSE)-F37-E37-D37,IF(J37=2,VLOOKUP(K37,RPM!$H$2:$K$62,3,FALSE)-F37-E37-D37,IF(J37=3,VLOOKUP(K37,RPM!$K$2:$N$62,3,FALSE)-F37-E37-D37)))</f>
        <v>555.01727748017697</v>
      </c>
      <c r="H37" s="19">
        <f>IF(J37=1,Specification!$I$14,IF(J37=2,Specification!$I$15,IF(J37=3,Specification!$I$16)))</f>
        <v>578.93404261974786</v>
      </c>
      <c r="I37" s="16">
        <f t="shared" si="2"/>
        <v>0.95868827296569992</v>
      </c>
      <c r="J37" s="17">
        <v>3</v>
      </c>
      <c r="K37" s="16">
        <f>IF(J37=1,VLOOKUP(B37,RPM!$F$2:$H$62,3,TRUE),IF(J37=2,VLOOKUP(B37,RPM!$I$2:$K$62,3,TRUE),IF(J37=3,VLOOKUP(B37,RPM!$L$2:$N$62,3,TRUE))))</f>
        <v>4100</v>
      </c>
      <c r="L37" s="17">
        <f t="shared" si="3"/>
        <v>5.3563701304192186</v>
      </c>
      <c r="M37" s="16">
        <f t="shared" si="4"/>
        <v>0</v>
      </c>
      <c r="N37" s="17">
        <f>VLOOKUP(K37,RPM!$A$2:$D$62,3,FALSE)</f>
        <v>10.8</v>
      </c>
      <c r="O37" s="16">
        <f>VLOOKUP(K37,RPM!$A$2:$D$62,4,FALSE)</f>
        <v>18.773560975609758</v>
      </c>
      <c r="P37" s="17">
        <f t="shared" si="0"/>
        <v>13.999444419512198</v>
      </c>
      <c r="Q37" s="16" cm="1">
        <f t="array" ref="Q37">_xlfn.XLOOKUP(O37,BSFC!$A$2:$A$24,_xlfn.XLOOKUP(K37,BSFC!$B$1:$O$1,BSFC!$B$2:$O$24,,-1),,-1)</f>
        <v>480</v>
      </c>
      <c r="R37" s="17">
        <f t="shared" si="1"/>
        <v>1.8665925892682931</v>
      </c>
      <c r="S37" s="16">
        <f t="shared" si="5"/>
        <v>3.0522556273951574E-4</v>
      </c>
      <c r="T37" s="17">
        <f t="shared" si="9"/>
        <v>0.14650827011496756</v>
      </c>
      <c r="U37" s="16">
        <f t="shared" si="10"/>
        <v>8.086667294101904</v>
      </c>
      <c r="V37" s="17">
        <f t="shared" si="11"/>
        <v>1.4800389862020123E-2</v>
      </c>
      <c r="W37" s="16">
        <f t="shared" si="6"/>
        <v>53281.403503272442</v>
      </c>
      <c r="X37">
        <f>('Hybrid Info'!$A$2-Track!P37)*(L37-L36)*1000+X36</f>
        <v>6572.8529012811614</v>
      </c>
    </row>
    <row r="38" spans="1:24">
      <c r="A38" s="16">
        <f t="shared" si="7"/>
        <v>37</v>
      </c>
      <c r="B38" s="17">
        <f t="shared" si="8"/>
        <v>12.778150695609726</v>
      </c>
      <c r="C38" s="18">
        <f>Specification!$G$30</f>
        <v>109.96225200000001</v>
      </c>
      <c r="D38" s="17">
        <f>0.5*Specification!$K$4*Track!B38^2*Specification!$K$3*Specification!$K$2</f>
        <v>84.572560376857112</v>
      </c>
      <c r="E38" s="16">
        <v>0</v>
      </c>
      <c r="F38" s="17">
        <f>Specification!$C$23*9.81*SIN((E38*PI()/180))</f>
        <v>0</v>
      </c>
      <c r="G38" s="18">
        <f>IF(J38=1,VLOOKUP(K38,RPM!$E$2:$H$62,3,FALSE)-F38-E38-D38,IF(J38=2,VLOOKUP(K38,RPM!$H$2:$K$62,3,FALSE)-F38-E38-D38,IF(J38=3,VLOOKUP(K38,RPM!$K$2:$N$62,3,FALSE)-F38-E38-D38)))</f>
        <v>554.02415942341179</v>
      </c>
      <c r="H38" s="19">
        <f>IF(J38=1,Specification!$I$14,IF(J38=2,Specification!$I$15,IF(J38=3,Specification!$I$16)))</f>
        <v>578.93404261974786</v>
      </c>
      <c r="I38" s="16">
        <f t="shared" si="2"/>
        <v>0.9569728477468421</v>
      </c>
      <c r="J38" s="17">
        <v>3</v>
      </c>
      <c r="K38" s="16">
        <f>IF(J38=1,VLOOKUP(B38,RPM!$F$2:$H$62,3,TRUE),IF(J38=2,VLOOKUP(B38,RPM!$I$2:$K$62,3,TRUE),IF(J38=3,VLOOKUP(B38,RPM!$L$2:$N$62,3,TRUE))))</f>
        <v>4100</v>
      </c>
      <c r="L38" s="17">
        <f t="shared" si="3"/>
        <v>5.4344007178443539</v>
      </c>
      <c r="M38" s="16">
        <f t="shared" si="4"/>
        <v>0</v>
      </c>
      <c r="N38" s="17">
        <f>VLOOKUP(K38,RPM!$A$2:$D$62,3,FALSE)</f>
        <v>10.8</v>
      </c>
      <c r="O38" s="16">
        <f>VLOOKUP(K38,RPM!$A$2:$D$62,4,FALSE)</f>
        <v>18.773560975609758</v>
      </c>
      <c r="P38" s="17">
        <f t="shared" si="0"/>
        <v>13.999444419512198</v>
      </c>
      <c r="Q38" s="16" cm="1">
        <f t="array" ref="Q38">_xlfn.XLOOKUP(O38,BSFC!$A$2:$A$24,_xlfn.XLOOKUP(K38,BSFC!$B$1:$O$1,BSFC!$B$2:$O$24,,-1),,-1)</f>
        <v>480</v>
      </c>
      <c r="R38" s="17">
        <f t="shared" si="1"/>
        <v>1.8665925892682931</v>
      </c>
      <c r="S38" s="16">
        <f t="shared" si="5"/>
        <v>3.034402421333523E-4</v>
      </c>
      <c r="T38" s="17">
        <f t="shared" si="9"/>
        <v>0.14565131622400912</v>
      </c>
      <c r="U38" s="16">
        <f t="shared" si="10"/>
        <v>8.2323186103259136</v>
      </c>
      <c r="V38" s="17">
        <f t="shared" si="11"/>
        <v>1.5103830104153474E-2</v>
      </c>
      <c r="W38" s="16">
        <f t="shared" si="6"/>
        <v>54373.788374952506</v>
      </c>
      <c r="X38">
        <f>('Hybrid Info'!$A$2-Track!P38)*(L38-L37)*1000+X37</f>
        <v>6426.2342215698864</v>
      </c>
    </row>
    <row r="39" spans="1:24">
      <c r="A39" s="16">
        <f t="shared" si="7"/>
        <v>38</v>
      </c>
      <c r="B39" s="17">
        <f t="shared" si="8"/>
        <v>12.852823849069317</v>
      </c>
      <c r="C39" s="18">
        <f>Specification!$G$30</f>
        <v>109.96225200000001</v>
      </c>
      <c r="D39" s="17">
        <f>0.5*Specification!$K$4*Track!B39^2*Specification!$K$3*Specification!$K$2</f>
        <v>85.563901401600631</v>
      </c>
      <c r="E39" s="16">
        <v>0</v>
      </c>
      <c r="F39" s="17">
        <f>Specification!$C$23*9.81*SIN((E39*PI()/180))</f>
        <v>0</v>
      </c>
      <c r="G39" s="18">
        <f>IF(J39=1,VLOOKUP(K39,RPM!$E$2:$H$62,3,FALSE)-F39-E39-D39,IF(J39=2,VLOOKUP(K39,RPM!$H$2:$K$62,3,FALSE)-F39-E39-D39,IF(J39=3,VLOOKUP(K39,RPM!$K$2:$N$62,3,FALSE)-F39-E39-D39)))</f>
        <v>553.03281839866827</v>
      </c>
      <c r="H39" s="19">
        <f>IF(J39=1,Specification!$I$14,IF(J39=2,Specification!$I$15,IF(J39=3,Specification!$I$16)))</f>
        <v>578.93404261974786</v>
      </c>
      <c r="I39" s="16">
        <f t="shared" si="2"/>
        <v>0.95526049201758223</v>
      </c>
      <c r="J39" s="17">
        <v>3</v>
      </c>
      <c r="K39" s="16">
        <f>IF(J39=1,VLOOKUP(B39,RPM!$F$2:$H$62,3,TRUE),IF(J39=2,VLOOKUP(B39,RPM!$I$2:$K$62,3,TRUE),IF(J39=3,VLOOKUP(B39,RPM!$L$2:$N$62,3,TRUE))))</f>
        <v>4100</v>
      </c>
      <c r="L39" s="17">
        <f t="shared" si="3"/>
        <v>5.5119809679773297</v>
      </c>
      <c r="M39" s="16">
        <f t="shared" si="4"/>
        <v>0</v>
      </c>
      <c r="N39" s="17">
        <f>VLOOKUP(K39,RPM!$A$2:$D$62,3,FALSE)</f>
        <v>10.8</v>
      </c>
      <c r="O39" s="16">
        <f>VLOOKUP(K39,RPM!$A$2:$D$62,4,FALSE)</f>
        <v>18.773560975609758</v>
      </c>
      <c r="P39" s="17">
        <f t="shared" si="0"/>
        <v>13.999444419512198</v>
      </c>
      <c r="Q39" s="16" cm="1">
        <f t="array" ref="Q39">_xlfn.XLOOKUP(O39,BSFC!$A$2:$A$24,_xlfn.XLOOKUP(K39,BSFC!$B$1:$O$1,BSFC!$B$2:$O$24,,-1),,-1)</f>
        <v>480</v>
      </c>
      <c r="R39" s="17">
        <f t="shared" si="1"/>
        <v>1.8665925892682931</v>
      </c>
      <c r="S39" s="16">
        <f t="shared" si="5"/>
        <v>3.0168899994123598E-4</v>
      </c>
      <c r="T39" s="17">
        <f t="shared" si="9"/>
        <v>0.14481071997179326</v>
      </c>
      <c r="U39" s="16">
        <f t="shared" si="10"/>
        <v>8.3771293302977075</v>
      </c>
      <c r="V39" s="17">
        <f t="shared" si="11"/>
        <v>1.540551910409471E-2</v>
      </c>
      <c r="W39" s="16">
        <f t="shared" si="6"/>
        <v>55459.868774740957</v>
      </c>
      <c r="X39">
        <f>('Hybrid Info'!$A$2-Track!P39)*(L39-L38)*1000+X38</f>
        <v>6280.4617210478236</v>
      </c>
    </row>
    <row r="40" spans="1:24">
      <c r="A40" s="16">
        <f t="shared" si="7"/>
        <v>39</v>
      </c>
      <c r="B40" s="17">
        <f t="shared" si="8"/>
        <v>12.926933196982191</v>
      </c>
      <c r="C40" s="18">
        <f>Specification!$G$30</f>
        <v>109.96225200000001</v>
      </c>
      <c r="D40" s="17">
        <f>0.5*Specification!$K$4*Track!B40^2*Specification!$K$3*Specification!$K$2</f>
        <v>86.55346857404794</v>
      </c>
      <c r="E40" s="16">
        <v>0</v>
      </c>
      <c r="F40" s="17">
        <f>Specification!$C$23*9.81*SIN((E40*PI()/180))</f>
        <v>0</v>
      </c>
      <c r="G40" s="18">
        <f>IF(J40=1,VLOOKUP(K40,RPM!$E$2:$H$62,3,FALSE)-F40-E40-D40,IF(J40=2,VLOOKUP(K40,RPM!$H$2:$K$62,3,FALSE)-F40-E40-D40,IF(J40=3,VLOOKUP(K40,RPM!$K$2:$N$62,3,FALSE)-F40-E40-D40)))</f>
        <v>552.04325122622095</v>
      </c>
      <c r="H40" s="19">
        <f>IF(J40=1,Specification!$I$14,IF(J40=2,Specification!$I$15,IF(J40=3,Specification!$I$16)))</f>
        <v>578.93404261974786</v>
      </c>
      <c r="I40" s="16">
        <f t="shared" si="2"/>
        <v>0.95355120028554075</v>
      </c>
      <c r="J40" s="17">
        <v>3</v>
      </c>
      <c r="K40" s="16">
        <f>IF(J40=1,VLOOKUP(B40,RPM!$F$2:$H$62,3,TRUE),IF(J40=2,VLOOKUP(B40,RPM!$I$2:$K$62,3,TRUE),IF(J40=3,VLOOKUP(B40,RPM!$L$2:$N$62,3,TRUE))))</f>
        <v>4100</v>
      </c>
      <c r="L40" s="17">
        <f t="shared" si="3"/>
        <v>5.5891193743469216</v>
      </c>
      <c r="M40" s="16">
        <f t="shared" si="4"/>
        <v>0</v>
      </c>
      <c r="N40" s="17">
        <f>VLOOKUP(K40,RPM!$A$2:$D$62,3,FALSE)</f>
        <v>10.8</v>
      </c>
      <c r="O40" s="16">
        <f>VLOOKUP(K40,RPM!$A$2:$D$62,4,FALSE)</f>
        <v>18.773560975609758</v>
      </c>
      <c r="P40" s="17">
        <f t="shared" si="0"/>
        <v>13.999444419512198</v>
      </c>
      <c r="Q40" s="16" cm="1">
        <f t="array" ref="Q40">_xlfn.XLOOKUP(O40,BSFC!$A$2:$A$24,_xlfn.XLOOKUP(K40,BSFC!$B$1:$O$1,BSFC!$B$2:$O$24,,-1),,-1)</f>
        <v>480</v>
      </c>
      <c r="R40" s="17">
        <f t="shared" si="1"/>
        <v>1.8665925892682931</v>
      </c>
      <c r="S40" s="16">
        <f t="shared" si="5"/>
        <v>2.9997078682801321E-4</v>
      </c>
      <c r="T40" s="17">
        <f t="shared" si="9"/>
        <v>0.14398597767744634</v>
      </c>
      <c r="U40" s="16">
        <f t="shared" si="10"/>
        <v>8.5211153079751529</v>
      </c>
      <c r="V40" s="17">
        <f t="shared" si="11"/>
        <v>1.5705489890922724E-2</v>
      </c>
      <c r="W40" s="16">
        <f t="shared" si="6"/>
        <v>56539.763607321809</v>
      </c>
      <c r="X40">
        <f>('Hybrid Info'!$A$2-Track!P40)*(L40-L39)*1000+X39</f>
        <v>6135.5194404608364</v>
      </c>
    </row>
    <row r="41" spans="1:24">
      <c r="A41" s="16">
        <f t="shared" si="7"/>
        <v>40</v>
      </c>
      <c r="B41" s="17">
        <f t="shared" si="8"/>
        <v>13.000488616964029</v>
      </c>
      <c r="C41" s="18">
        <f>Specification!$G$30</f>
        <v>109.96225200000001</v>
      </c>
      <c r="D41" s="17">
        <f>0.5*Specification!$K$4*Track!B41^2*Specification!$K$3*Specification!$K$2</f>
        <v>87.541265068234949</v>
      </c>
      <c r="E41" s="16">
        <v>0</v>
      </c>
      <c r="F41" s="17">
        <f>Specification!$C$23*9.81*SIN((E41*PI()/180))</f>
        <v>0</v>
      </c>
      <c r="G41" s="18">
        <f>IF(J41=1,VLOOKUP(K41,RPM!$E$2:$H$62,3,FALSE)-F41-E41-D41,IF(J41=2,VLOOKUP(K41,RPM!$H$2:$K$62,3,FALSE)-F41-E41-D41,IF(J41=3,VLOOKUP(K41,RPM!$K$2:$N$62,3,FALSE)-F41-E41-D41)))</f>
        <v>553.16721637158514</v>
      </c>
      <c r="H41" s="19">
        <f>IF(J41=1,Specification!$I$14,IF(J41=2,Specification!$I$15,IF(J41=3,Specification!$I$16)))</f>
        <v>578.93404261974786</v>
      </c>
      <c r="I41" s="16">
        <f t="shared" si="2"/>
        <v>0.95549263931420469</v>
      </c>
      <c r="J41" s="17">
        <v>3</v>
      </c>
      <c r="K41" s="16">
        <f>IF(J41=1,VLOOKUP(B41,RPM!$F$2:$H$62,3,TRUE),IF(J41=2,VLOOKUP(B41,RPM!$I$2:$K$62,3,TRUE),IF(J41=3,VLOOKUP(B41,RPM!$L$2:$N$62,3,TRUE))))</f>
        <v>4200</v>
      </c>
      <c r="L41" s="17">
        <f t="shared" si="3"/>
        <v>5.6658233513180125</v>
      </c>
      <c r="M41" s="16">
        <f t="shared" si="4"/>
        <v>0</v>
      </c>
      <c r="N41" s="17">
        <f>VLOOKUP(K41,RPM!$A$2:$D$62,3,FALSE)</f>
        <v>11.1</v>
      </c>
      <c r="O41" s="16">
        <f>VLOOKUP(K41,RPM!$A$2:$D$62,4,FALSE)</f>
        <v>18.835642857142858</v>
      </c>
      <c r="P41" s="17">
        <f t="shared" si="0"/>
        <v>14.045738878571429</v>
      </c>
      <c r="Q41" s="16" cm="1">
        <f t="array" ref="Q41">_xlfn.XLOOKUP(O41,BSFC!$A$2:$A$24,_xlfn.XLOOKUP(K41,BSFC!$B$1:$O$1,BSFC!$B$2:$O$24,,-1),,-1)</f>
        <v>480</v>
      </c>
      <c r="R41" s="17">
        <f t="shared" si="1"/>
        <v>1.8727651838095238</v>
      </c>
      <c r="S41" s="16">
        <f t="shared" si="5"/>
        <v>2.9926778652330523E-4</v>
      </c>
      <c r="T41" s="17">
        <f t="shared" si="9"/>
        <v>0.1436485375311865</v>
      </c>
      <c r="U41" s="16">
        <f t="shared" si="10"/>
        <v>8.6647638455063394</v>
      </c>
      <c r="V41" s="17">
        <f t="shared" si="11"/>
        <v>1.6004757677446028E-2</v>
      </c>
      <c r="W41" s="16">
        <f t="shared" si="6"/>
        <v>57617.127638805694</v>
      </c>
      <c r="X41">
        <f>('Hybrid Info'!$A$2-Track!P41)*(L41-L40)*1000+X40</f>
        <v>5987.8424791711923</v>
      </c>
    </row>
    <row r="42" spans="1:24">
      <c r="A42" s="16">
        <f t="shared" si="7"/>
        <v>41</v>
      </c>
      <c r="B42" s="17">
        <f t="shared" si="8"/>
        <v>13.073778702366033</v>
      </c>
      <c r="C42" s="18">
        <f>Specification!$G$30</f>
        <v>109.96225200000001</v>
      </c>
      <c r="D42" s="17">
        <f>0.5*Specification!$K$4*Track!B42^2*Specification!$K$3*Specification!$K$2</f>
        <v>88.531072725184458</v>
      </c>
      <c r="E42" s="16">
        <v>0</v>
      </c>
      <c r="F42" s="17">
        <f>Specification!$C$23*9.81*SIN((E42*PI()/180))</f>
        <v>0</v>
      </c>
      <c r="G42" s="18">
        <f>IF(J42=1,VLOOKUP(K42,RPM!$E$2:$H$62,3,FALSE)-F42-E42-D42,IF(J42=2,VLOOKUP(K42,RPM!$H$2:$K$62,3,FALSE)-F42-E42-D42,IF(J42=3,VLOOKUP(K42,RPM!$K$2:$N$62,3,FALSE)-F42-E42-D42)))</f>
        <v>552.17740871463559</v>
      </c>
      <c r="H42" s="19">
        <f>IF(J42=1,Specification!$I$14,IF(J42=2,Specification!$I$15,IF(J42=3,Specification!$I$16)))</f>
        <v>578.93404261974786</v>
      </c>
      <c r="I42" s="16">
        <f t="shared" si="2"/>
        <v>0.95378293219027988</v>
      </c>
      <c r="J42" s="17">
        <v>3</v>
      </c>
      <c r="K42" s="16">
        <f>IF(J42=1,VLOOKUP(B42,RPM!$F$2:$H$62,3,TRUE),IF(J42=2,VLOOKUP(B42,RPM!$I$2:$K$62,3,TRUE),IF(J42=3,VLOOKUP(B42,RPM!$L$2:$N$62,3,TRUE))))</f>
        <v>4200</v>
      </c>
      <c r="L42" s="17">
        <f t="shared" si="3"/>
        <v>5.7421001034337298</v>
      </c>
      <c r="M42" s="16">
        <f t="shared" si="4"/>
        <v>0</v>
      </c>
      <c r="N42" s="17">
        <f>VLOOKUP(K42,RPM!$A$2:$D$62,3,FALSE)</f>
        <v>11.1</v>
      </c>
      <c r="O42" s="16">
        <f>VLOOKUP(K42,RPM!$A$2:$D$62,4,FALSE)</f>
        <v>18.835642857142858</v>
      </c>
      <c r="P42" s="17">
        <f t="shared" si="0"/>
        <v>14.045738878571429</v>
      </c>
      <c r="Q42" s="16" cm="1">
        <f t="array" ref="Q42">_xlfn.XLOOKUP(O42,BSFC!$A$2:$A$24,_xlfn.XLOOKUP(K42,BSFC!$B$1:$O$1,BSFC!$B$2:$O$24,,-1),,-1)</f>
        <v>480</v>
      </c>
      <c r="R42" s="17">
        <f t="shared" si="1"/>
        <v>1.8727651838095238</v>
      </c>
      <c r="S42" s="16">
        <f t="shared" si="5"/>
        <v>2.9760092853413486E-4</v>
      </c>
      <c r="T42" s="17">
        <f t="shared" si="9"/>
        <v>0.14284844569638472</v>
      </c>
      <c r="U42" s="16">
        <f t="shared" si="10"/>
        <v>8.8076122912027248</v>
      </c>
      <c r="V42" s="17">
        <f t="shared" si="11"/>
        <v>1.6302358605980161E-2</v>
      </c>
      <c r="W42" s="16">
        <f t="shared" si="6"/>
        <v>58688.490981528579</v>
      </c>
      <c r="X42">
        <f>('Hybrid Info'!$A$2-Track!P42)*(L42-L41)*1000+X41</f>
        <v>5840.9880471808146</v>
      </c>
    </row>
    <row r="43" spans="1:24">
      <c r="A43" s="16">
        <f t="shared" si="7"/>
        <v>42</v>
      </c>
      <c r="B43" s="17">
        <f t="shared" si="8"/>
        <v>13.146530166656913</v>
      </c>
      <c r="C43" s="18">
        <f>Specification!$G$30</f>
        <v>109.96225200000001</v>
      </c>
      <c r="D43" s="17">
        <f>0.5*Specification!$K$4*Track!B43^2*Specification!$K$3*Specification!$K$2</f>
        <v>89.519109273563629</v>
      </c>
      <c r="E43" s="16">
        <v>0</v>
      </c>
      <c r="F43" s="17">
        <f>Specification!$C$23*9.81*SIN((E43*PI()/180))</f>
        <v>0</v>
      </c>
      <c r="G43" s="18">
        <f>IF(J43=1,VLOOKUP(K43,RPM!$E$2:$H$62,3,FALSE)-F43-E43-D43,IF(J43=2,VLOOKUP(K43,RPM!$H$2:$K$62,3,FALSE)-F43-E43-D43,IF(J43=3,VLOOKUP(K43,RPM!$K$2:$N$62,3,FALSE)-F43-E43-D43)))</f>
        <v>551.18937216625636</v>
      </c>
      <c r="H43" s="19">
        <f>IF(J43=1,Specification!$I$14,IF(J43=2,Specification!$I$15,IF(J43=3,Specification!$I$16)))</f>
        <v>578.93404261974786</v>
      </c>
      <c r="I43" s="16">
        <f t="shared" si="2"/>
        <v>0.95207628432430158</v>
      </c>
      <c r="J43" s="17">
        <v>3</v>
      </c>
      <c r="K43" s="16">
        <f>IF(J43=1,VLOOKUP(B43,RPM!$F$2:$H$62,3,TRUE),IF(J43=2,VLOOKUP(B43,RPM!$I$2:$K$62,3,TRUE),IF(J43=3,VLOOKUP(B43,RPM!$L$2:$N$62,3,TRUE))))</f>
        <v>4200</v>
      </c>
      <c r="L43" s="17">
        <f t="shared" si="3"/>
        <v>5.8179574364658757</v>
      </c>
      <c r="M43" s="16">
        <f t="shared" si="4"/>
        <v>0</v>
      </c>
      <c r="N43" s="17">
        <f>VLOOKUP(K43,RPM!$A$2:$D$62,3,FALSE)</f>
        <v>11.1</v>
      </c>
      <c r="O43" s="16">
        <f>VLOOKUP(K43,RPM!$A$2:$D$62,4,FALSE)</f>
        <v>18.835642857142858</v>
      </c>
      <c r="P43" s="17">
        <f t="shared" si="0"/>
        <v>14.045738878571429</v>
      </c>
      <c r="Q43" s="16" cm="1">
        <f t="array" ref="Q43">_xlfn.XLOOKUP(O43,BSFC!$A$2:$A$24,_xlfn.XLOOKUP(K43,BSFC!$B$1:$O$1,BSFC!$B$2:$O$24,,-1),,-1)</f>
        <v>480</v>
      </c>
      <c r="R43" s="17">
        <f t="shared" si="1"/>
        <v>1.8727651838095238</v>
      </c>
      <c r="S43" s="16">
        <f t="shared" si="5"/>
        <v>2.959645254984313E-4</v>
      </c>
      <c r="T43" s="17">
        <f t="shared" si="9"/>
        <v>0.14206297223924702</v>
      </c>
      <c r="U43" s="16">
        <f t="shared" si="10"/>
        <v>8.9496752634419714</v>
      </c>
      <c r="V43" s="17">
        <f t="shared" si="11"/>
        <v>1.6598323131478594E-2</v>
      </c>
      <c r="W43" s="16">
        <f t="shared" si="6"/>
        <v>59753.963273322937</v>
      </c>
      <c r="X43">
        <f>('Hybrid Info'!$A$2-Track!P43)*(L43-L42)*1000+X42</f>
        <v>5694.9411161599373</v>
      </c>
    </row>
    <row r="44" spans="1:24">
      <c r="A44" s="16">
        <f t="shared" si="7"/>
        <v>43</v>
      </c>
      <c r="B44" s="17">
        <f t="shared" si="8"/>
        <v>13.218752134428909</v>
      </c>
      <c r="C44" s="18">
        <f>Specification!$G$30</f>
        <v>109.96225200000001</v>
      </c>
      <c r="D44" s="17">
        <f>0.5*Specification!$K$4*Track!B44^2*Specification!$K$3*Specification!$K$2</f>
        <v>90.505377882498848</v>
      </c>
      <c r="E44" s="16">
        <v>0</v>
      </c>
      <c r="F44" s="17">
        <f>Specification!$C$23*9.81*SIN((E44*PI()/180))</f>
        <v>0</v>
      </c>
      <c r="G44" s="18">
        <f>IF(J44=1,VLOOKUP(K44,RPM!$E$2:$H$62,3,FALSE)-F44-E44-D44,IF(J44=2,VLOOKUP(K44,RPM!$H$2:$K$62,3,FALSE)-F44-E44-D44,IF(J44=3,VLOOKUP(K44,RPM!$K$2:$N$62,3,FALSE)-F44-E44-D44)))</f>
        <v>550.20310355732124</v>
      </c>
      <c r="H44" s="19">
        <f>IF(J44=1,Specification!$I$14,IF(J44=2,Specification!$I$15,IF(J44=3,Specification!$I$16)))</f>
        <v>578.93404261974786</v>
      </c>
      <c r="I44" s="16">
        <f t="shared" si="2"/>
        <v>0.95037269024219828</v>
      </c>
      <c r="J44" s="17">
        <v>3</v>
      </c>
      <c r="K44" s="16">
        <f>IF(J44=1,VLOOKUP(B44,RPM!$F$2:$H$62,3,TRUE),IF(J44=2,VLOOKUP(B44,RPM!$I$2:$K$62,3,TRUE),IF(J44=3,VLOOKUP(B44,RPM!$L$2:$N$62,3,TRUE))))</f>
        <v>4200</v>
      </c>
      <c r="L44" s="17">
        <f t="shared" si="3"/>
        <v>5.8934029262339278</v>
      </c>
      <c r="M44" s="16">
        <f t="shared" si="4"/>
        <v>0</v>
      </c>
      <c r="N44" s="17">
        <f>VLOOKUP(K44,RPM!$A$2:$D$62,3,FALSE)</f>
        <v>11.1</v>
      </c>
      <c r="O44" s="16">
        <f>VLOOKUP(K44,RPM!$A$2:$D$62,4,FALSE)</f>
        <v>18.835642857142858</v>
      </c>
      <c r="P44" s="17">
        <f t="shared" si="0"/>
        <v>14.045738878571429</v>
      </c>
      <c r="Q44" s="16" cm="1">
        <f t="array" ref="Q44">_xlfn.XLOOKUP(O44,BSFC!$A$2:$A$24,_xlfn.XLOOKUP(K44,BSFC!$B$1:$O$1,BSFC!$B$2:$O$24,,-1),,-1)</f>
        <v>480</v>
      </c>
      <c r="R44" s="17">
        <f t="shared" si="1"/>
        <v>1.8727651838095238</v>
      </c>
      <c r="S44" s="16">
        <f t="shared" si="5"/>
        <v>2.9435768023555346E-4</v>
      </c>
      <c r="T44" s="17">
        <f t="shared" si="9"/>
        <v>0.14129168651306567</v>
      </c>
      <c r="U44" s="16">
        <f t="shared" si="10"/>
        <v>9.0909669499550372</v>
      </c>
      <c r="V44" s="17">
        <f t="shared" si="11"/>
        <v>1.6892680811714147E-2</v>
      </c>
      <c r="W44" s="16">
        <f t="shared" si="6"/>
        <v>60813.650922170928</v>
      </c>
      <c r="X44">
        <f>('Hybrid Info'!$A$2-Track!P44)*(L44-L43)*1000+X43</f>
        <v>5549.6871005023913</v>
      </c>
    </row>
    <row r="45" spans="1:24">
      <c r="A45" s="16">
        <f t="shared" si="7"/>
        <v>44</v>
      </c>
      <c r="B45" s="17">
        <f t="shared" si="8"/>
        <v>13.290453467506413</v>
      </c>
      <c r="C45" s="18">
        <f>Specification!$G$30</f>
        <v>109.96225200000001</v>
      </c>
      <c r="D45" s="17">
        <f>0.5*Specification!$K$4*Track!B45^2*Specification!$K$3*Specification!$K$2</f>
        <v>91.489881715445833</v>
      </c>
      <c r="E45" s="16">
        <v>0</v>
      </c>
      <c r="F45" s="17">
        <f>Specification!$C$23*9.81*SIN((E45*PI()/180))</f>
        <v>0</v>
      </c>
      <c r="G45" s="18">
        <f>IF(J45=1,VLOOKUP(K45,RPM!$E$2:$H$62,3,FALSE)-F45-E45-D45,IF(J45=2,VLOOKUP(K45,RPM!$H$2:$K$62,3,FALSE)-F45-E45-D45,IF(J45=3,VLOOKUP(K45,RPM!$K$2:$N$62,3,FALSE)-F45-E45-D45)))</f>
        <v>551.2321398923184</v>
      </c>
      <c r="H45" s="19">
        <f>IF(J45=1,Specification!$I$14,IF(J45=2,Specification!$I$15,IF(J45=3,Specification!$I$16)))</f>
        <v>578.93404261974786</v>
      </c>
      <c r="I45" s="16">
        <f t="shared" si="2"/>
        <v>0.95215015755149768</v>
      </c>
      <c r="J45" s="17">
        <v>3</v>
      </c>
      <c r="K45" s="16">
        <f>IF(J45=1,VLOOKUP(B45,RPM!$F$2:$H$62,3,TRUE),IF(J45=2,VLOOKUP(B45,RPM!$I$2:$K$62,3,TRUE),IF(J45=3,VLOOKUP(B45,RPM!$L$2:$N$62,3,TRUE))))</f>
        <v>4300</v>
      </c>
      <c r="L45" s="17">
        <f t="shared" si="3"/>
        <v>5.9684431950779713</v>
      </c>
      <c r="M45" s="16">
        <f t="shared" si="4"/>
        <v>0</v>
      </c>
      <c r="N45" s="17">
        <f>VLOOKUP(K45,RPM!$A$2:$D$62,3,FALSE)</f>
        <v>11.4</v>
      </c>
      <c r="O45" s="16">
        <f>VLOOKUP(K45,RPM!$A$2:$D$62,4,FALSE)</f>
        <v>18.894837209302327</v>
      </c>
      <c r="P45" s="17">
        <f t="shared" si="0"/>
        <v>14.089880106976747</v>
      </c>
      <c r="Q45" s="16" cm="1">
        <f t="array" ref="Q45">_xlfn.XLOOKUP(O45,BSFC!$A$2:$A$24,_xlfn.XLOOKUP(K45,BSFC!$B$1:$O$1,BSFC!$B$2:$O$24,,-1),,-1)</f>
        <v>480</v>
      </c>
      <c r="R45" s="17">
        <f t="shared" si="1"/>
        <v>1.8786506809302328</v>
      </c>
      <c r="S45" s="16">
        <f t="shared" si="5"/>
        <v>2.936967753355208E-4</v>
      </c>
      <c r="T45" s="17">
        <f t="shared" si="9"/>
        <v>0.14097445216104998</v>
      </c>
      <c r="U45" s="16">
        <f t="shared" si="10"/>
        <v>9.231941402116087</v>
      </c>
      <c r="V45" s="17">
        <f t="shared" si="11"/>
        <v>1.7186377587049669E-2</v>
      </c>
      <c r="W45" s="16">
        <f t="shared" si="6"/>
        <v>61870.959313378808</v>
      </c>
      <c r="X45">
        <f>('Hybrid Info'!$A$2-Track!P45)*(L45-L44)*1000+X44</f>
        <v>5401.900880674254</v>
      </c>
    </row>
    <row r="46" spans="1:24">
      <c r="A46" s="16">
        <f t="shared" si="7"/>
        <v>45</v>
      </c>
      <c r="B46" s="17">
        <f t="shared" si="8"/>
        <v>13.361903071308976</v>
      </c>
      <c r="C46" s="18">
        <f>Specification!$G$30</f>
        <v>109.96225200000001</v>
      </c>
      <c r="D46" s="17">
        <f>0.5*Specification!$K$4*Track!B46^2*Specification!$K$3*Specification!$K$2</f>
        <v>92.476226850649184</v>
      </c>
      <c r="E46" s="16">
        <v>0</v>
      </c>
      <c r="F46" s="17">
        <f>Specification!$C$23*9.81*SIN((E46*PI()/180))</f>
        <v>0</v>
      </c>
      <c r="G46" s="18">
        <f>IF(J46=1,VLOOKUP(K46,RPM!$E$2:$H$62,3,FALSE)-F46-E46-D46,IF(J46=2,VLOOKUP(K46,RPM!$H$2:$K$62,3,FALSE)-F46-E46-D46,IF(J46=3,VLOOKUP(K46,RPM!$K$2:$N$62,3,FALSE)-F46-E46-D46)))</f>
        <v>550.24579475711505</v>
      </c>
      <c r="H46" s="19">
        <f>IF(J46=1,Specification!$I$14,IF(J46=2,Specification!$I$15,IF(J46=3,Specification!$I$16)))</f>
        <v>578.93404261974786</v>
      </c>
      <c r="I46" s="16">
        <f t="shared" si="2"/>
        <v>0.95044643128461581</v>
      </c>
      <c r="J46" s="17">
        <v>3</v>
      </c>
      <c r="K46" s="16">
        <f>IF(J46=1,VLOOKUP(B46,RPM!$F$2:$H$62,3,TRUE),IF(J46=2,VLOOKUP(B46,RPM!$I$2:$K$62,3,TRUE),IF(J46=3,VLOOKUP(B46,RPM!$L$2:$N$62,3,TRUE))))</f>
        <v>4300</v>
      </c>
      <c r="L46" s="17">
        <f t="shared" si="3"/>
        <v>6.0203103251637708</v>
      </c>
      <c r="M46" s="16">
        <f t="shared" si="4"/>
        <v>0</v>
      </c>
      <c r="N46" s="17">
        <f>VLOOKUP(K46,RPM!$A$2:$D$62,3,FALSE)</f>
        <v>11.4</v>
      </c>
      <c r="O46" s="16">
        <f>VLOOKUP(K46,RPM!$A$2:$D$62,4,FALSE)</f>
        <v>18.894837209302327</v>
      </c>
      <c r="P46" s="17">
        <f t="shared" si="0"/>
        <v>14.089880106976747</v>
      </c>
      <c r="Q46" s="16" cm="1">
        <f t="array" ref="Q46">_xlfn.XLOOKUP(O46,BSFC!$A$2:$A$24,_xlfn.XLOOKUP(K46,BSFC!$B$1:$O$1,BSFC!$B$2:$O$24,,-1),,-1)</f>
        <v>480</v>
      </c>
      <c r="R46" s="17">
        <f t="shared" si="1"/>
        <v>1.8786506809302328</v>
      </c>
      <c r="S46" s="16">
        <f t="shared" si="5"/>
        <v>2.030004567783007E-4</v>
      </c>
      <c r="T46" s="17">
        <f t="shared" si="9"/>
        <v>9.7440219253584343E-2</v>
      </c>
      <c r="U46" s="16">
        <f t="shared" si="10"/>
        <v>9.3293816213696719</v>
      </c>
      <c r="V46" s="17">
        <f t="shared" si="11"/>
        <v>1.738937804382797E-2</v>
      </c>
      <c r="W46" s="16">
        <f t="shared" si="6"/>
        <v>62601.760957780694</v>
      </c>
      <c r="X46">
        <f>('Hybrid Info'!$A$2-Track!P46)*(L46-L45)*1000+X45</f>
        <v>5299.7524314909861</v>
      </c>
    </row>
    <row r="47" spans="1:24">
      <c r="A47" s="16">
        <f t="shared" si="7"/>
        <v>46</v>
      </c>
      <c r="B47" s="17">
        <f t="shared" si="8"/>
        <v>13.411199999999999</v>
      </c>
      <c r="C47" s="18">
        <f>Specification!$G$30</f>
        <v>109.96225200000001</v>
      </c>
      <c r="D47" s="17">
        <f>0.5*Specification!$K$4*Track!B47^2*Specification!$K$3*Specification!$K$2</f>
        <v>93.159842569492653</v>
      </c>
      <c r="E47" s="16">
        <v>0</v>
      </c>
      <c r="F47" s="17">
        <f>Specification!$C$23*9.81*SIN((E47*PI()/180))</f>
        <v>0</v>
      </c>
      <c r="G47" s="18">
        <f>IF(J47=1,VLOOKUP(K47,RPM!$E$2:$H$62,3,FALSE)-F47-E47-D47,IF(J47=2,VLOOKUP(K47,RPM!$H$2:$K$62,3,FALSE)-F47-E47-D47,IF(J47=3,VLOOKUP(K47,RPM!$K$2:$N$62,3,FALSE)-F47-E47-D47)))</f>
        <v>549.56217903827155</v>
      </c>
      <c r="H47" s="19">
        <f>IF(J47=1,Specification!$I$14,IF(J47=2,Specification!$I$15,IF(J47=3,Specification!$I$16)))</f>
        <v>578.93404261974786</v>
      </c>
      <c r="I47" s="16">
        <f t="shared" si="2"/>
        <v>0.94926561331828929</v>
      </c>
      <c r="J47" s="17">
        <v>3</v>
      </c>
      <c r="K47" s="16">
        <f>IF(J47=1,VLOOKUP(B47,RPM!$F$2:$H$62,3,TRUE),IF(J47=2,VLOOKUP(B47,RPM!$I$2:$K$62,3,TRUE),IF(J47=3,VLOOKUP(B47,RPM!$L$2:$N$62,3,TRUE))))</f>
        <v>4300</v>
      </c>
      <c r="L47" s="17">
        <f t="shared" si="3"/>
        <v>6.0948748682322513</v>
      </c>
      <c r="M47" s="16">
        <f t="shared" si="4"/>
        <v>0</v>
      </c>
      <c r="N47" s="17">
        <f>VLOOKUP(K47,RPM!$A$2:$D$62,3,FALSE)</f>
        <v>11.4</v>
      </c>
      <c r="O47" s="16">
        <f>VLOOKUP(K47,RPM!$A$2:$D$62,4,FALSE)</f>
        <v>18.894837209302327</v>
      </c>
      <c r="P47" s="17">
        <f t="shared" si="0"/>
        <v>14.089880106976747</v>
      </c>
      <c r="Q47" s="16" cm="1">
        <f t="array" ref="Q47">_xlfn.XLOOKUP(O47,BSFC!$A$2:$A$24,_xlfn.XLOOKUP(K47,BSFC!$B$1:$O$1,BSFC!$B$2:$O$24,,-1),,-1)</f>
        <v>480</v>
      </c>
      <c r="R47" s="17">
        <f t="shared" si="1"/>
        <v>1.8786506809302328</v>
      </c>
      <c r="S47" s="16">
        <f t="shared" si="5"/>
        <v>2.9183485335177611E-4</v>
      </c>
      <c r="T47" s="17">
        <f t="shared" si="9"/>
        <v>0.14008072960885254</v>
      </c>
      <c r="U47" s="16">
        <f t="shared" si="10"/>
        <v>9.4694623509785245</v>
      </c>
      <c r="V47" s="17">
        <f t="shared" si="11"/>
        <v>1.7681212897179745E-2</v>
      </c>
      <c r="W47" s="16">
        <f t="shared" si="6"/>
        <v>63652.366429847076</v>
      </c>
      <c r="X47">
        <f>('Hybrid Info'!$A$2-Track!P47)*(L47-L46)*1000+X46</f>
        <v>5152.9031181415739</v>
      </c>
    </row>
    <row r="48" spans="1:24">
      <c r="A48" s="16">
        <f t="shared" si="7"/>
        <v>47</v>
      </c>
      <c r="B48" s="17">
        <f t="shared" si="8"/>
        <v>13.411199999999999</v>
      </c>
      <c r="C48" s="18">
        <f>Specification!$G$30</f>
        <v>109.96225200000001</v>
      </c>
      <c r="D48" s="17">
        <f>0.5*Specification!$K$4*Track!B48^2*Specification!$K$3*Specification!$K$2</f>
        <v>93.159842569492653</v>
      </c>
      <c r="E48" s="16">
        <v>0</v>
      </c>
      <c r="F48" s="17">
        <f>Specification!$C$23*9.81*SIN((E48*PI()/180))</f>
        <v>0</v>
      </c>
      <c r="G48" s="18">
        <f>IF(J48=1,VLOOKUP(K48,RPM!$E$2:$H$62,3,FALSE)-F48-E48-D48,IF(J48=2,VLOOKUP(K48,RPM!$H$2:$K$62,3,FALSE)-F48-E48-D48,IF(J48=3,VLOOKUP(K48,RPM!$K$2:$N$62,3,FALSE)-F48-E48-D48)))</f>
        <v>549.56217903827155</v>
      </c>
      <c r="H48" s="19">
        <f>IF(J48=1,Specification!$I$14,IF(J48=2,Specification!$I$15,IF(J48=3,Specification!$I$16)))</f>
        <v>578.93404261974786</v>
      </c>
      <c r="I48" s="16">
        <f t="shared" si="2"/>
        <v>0.94926561331828929</v>
      </c>
      <c r="J48" s="17">
        <v>3</v>
      </c>
      <c r="K48" s="16">
        <f>IF(J48=1,VLOOKUP(B48,RPM!$F$2:$H$62,3,TRUE),IF(J48=2,VLOOKUP(B48,RPM!$I$2:$K$62,3,TRUE),IF(J48=3,VLOOKUP(B48,RPM!$L$2:$N$62,3,TRUE))))</f>
        <v>4300</v>
      </c>
      <c r="L48" s="17">
        <f t="shared" si="3"/>
        <v>6.1694394113007318</v>
      </c>
      <c r="M48" s="16">
        <f t="shared" si="4"/>
        <v>0</v>
      </c>
      <c r="N48" s="17">
        <f>VLOOKUP(K48,RPM!$A$2:$D$62,3,FALSE)</f>
        <v>11.4</v>
      </c>
      <c r="O48" s="16">
        <f>VLOOKUP(K48,RPM!$A$2:$D$62,4,FALSE)</f>
        <v>18.894837209302327</v>
      </c>
      <c r="P48" s="17">
        <f t="shared" si="0"/>
        <v>14.089880106976747</v>
      </c>
      <c r="Q48" s="16" cm="1">
        <f t="array" ref="Q48">_xlfn.XLOOKUP(O48,BSFC!$A$2:$A$24,_xlfn.XLOOKUP(K48,BSFC!$B$1:$O$1,BSFC!$B$2:$O$24,,-1),,-1)</f>
        <v>480</v>
      </c>
      <c r="R48" s="17">
        <f t="shared" si="1"/>
        <v>1.8786506809302328</v>
      </c>
      <c r="S48" s="16">
        <f t="shared" si="5"/>
        <v>2.9183485335177611E-4</v>
      </c>
      <c r="T48" s="17">
        <f t="shared" si="9"/>
        <v>0.14008072960885254</v>
      </c>
      <c r="U48" s="16">
        <f t="shared" si="10"/>
        <v>9.6095430805873772</v>
      </c>
      <c r="V48" s="17">
        <f t="shared" si="11"/>
        <v>1.7973047750531521E-2</v>
      </c>
      <c r="W48" s="16">
        <f t="shared" si="6"/>
        <v>64702.971901913472</v>
      </c>
      <c r="X48">
        <f>('Hybrid Info'!$A$2-Track!P48)*(L48-L47)*1000+X47</f>
        <v>5006.0538047921618</v>
      </c>
    </row>
    <row r="49" spans="1:24">
      <c r="A49" s="16">
        <f t="shared" si="7"/>
        <v>48</v>
      </c>
      <c r="B49" s="17">
        <f t="shared" si="8"/>
        <v>13.411199999999999</v>
      </c>
      <c r="C49" s="18">
        <f>Specification!$G$30</f>
        <v>109.96225200000001</v>
      </c>
      <c r="D49" s="17">
        <f>0.5*Specification!$K$4*Track!B49^2*Specification!$K$3*Specification!$K$2</f>
        <v>93.159842569492653</v>
      </c>
      <c r="E49" s="16">
        <v>0</v>
      </c>
      <c r="F49" s="17">
        <f>Specification!$C$23*9.81*SIN((E49*PI()/180))</f>
        <v>0</v>
      </c>
      <c r="G49" s="18">
        <f>IF(J49=1,VLOOKUP(K49,RPM!$E$2:$H$62,3,FALSE)-F49-E49-D49,IF(J49=2,VLOOKUP(K49,RPM!$H$2:$K$62,3,FALSE)-F49-E49-D49,IF(J49=3,VLOOKUP(K49,RPM!$K$2:$N$62,3,FALSE)-F49-E49-D49)))</f>
        <v>549.56217903827155</v>
      </c>
      <c r="H49" s="19">
        <f>IF(J49=1,Specification!$I$14,IF(J49=2,Specification!$I$15,IF(J49=3,Specification!$I$16)))</f>
        <v>578.93404261974786</v>
      </c>
      <c r="I49" s="16">
        <f t="shared" si="2"/>
        <v>0.94926561331828929</v>
      </c>
      <c r="J49" s="17">
        <v>3</v>
      </c>
      <c r="K49" s="16">
        <f>IF(J49=1,VLOOKUP(B49,RPM!$F$2:$H$62,3,TRUE),IF(J49=2,VLOOKUP(B49,RPM!$I$2:$K$62,3,TRUE),IF(J49=3,VLOOKUP(B49,RPM!$L$2:$N$62,3,TRUE))))</f>
        <v>4300</v>
      </c>
      <c r="L49" s="17">
        <f t="shared" si="3"/>
        <v>6.2440039543692123</v>
      </c>
      <c r="M49" s="16">
        <f t="shared" si="4"/>
        <v>0</v>
      </c>
      <c r="N49" s="17">
        <f>VLOOKUP(K49,RPM!$A$2:$D$62,3,FALSE)</f>
        <v>11.4</v>
      </c>
      <c r="O49" s="16">
        <f>VLOOKUP(K49,RPM!$A$2:$D$62,4,FALSE)</f>
        <v>18.894837209302327</v>
      </c>
      <c r="P49" s="17">
        <f t="shared" si="0"/>
        <v>14.089880106976747</v>
      </c>
      <c r="Q49" s="16" cm="1">
        <f t="array" ref="Q49">_xlfn.XLOOKUP(O49,BSFC!$A$2:$A$24,_xlfn.XLOOKUP(K49,BSFC!$B$1:$O$1,BSFC!$B$2:$O$24,,-1),,-1)</f>
        <v>480</v>
      </c>
      <c r="R49" s="17">
        <f t="shared" si="1"/>
        <v>1.8786506809302328</v>
      </c>
      <c r="S49" s="16">
        <f t="shared" si="5"/>
        <v>2.9183485335177611E-4</v>
      </c>
      <c r="T49" s="17">
        <f t="shared" si="9"/>
        <v>0.14008072960885254</v>
      </c>
      <c r="U49" s="16">
        <f t="shared" si="10"/>
        <v>9.7496238101962298</v>
      </c>
      <c r="V49" s="17">
        <f t="shared" si="11"/>
        <v>1.8264882603883297E-2</v>
      </c>
      <c r="W49" s="16">
        <f t="shared" si="6"/>
        <v>65753.577373979875</v>
      </c>
      <c r="X49">
        <f>('Hybrid Info'!$A$2-Track!P49)*(L49-L48)*1000+X48</f>
        <v>4859.2044914427497</v>
      </c>
    </row>
    <row r="50" spans="1:24">
      <c r="A50" s="16">
        <f t="shared" si="7"/>
        <v>49</v>
      </c>
      <c r="B50" s="17">
        <f t="shared" si="8"/>
        <v>13.411199999999999</v>
      </c>
      <c r="C50" s="18">
        <f>Specification!$G$30</f>
        <v>109.96225200000001</v>
      </c>
      <c r="D50" s="17">
        <f>0.5*Specification!$K$4*Track!B50^2*Specification!$K$3*Specification!$K$2</f>
        <v>93.159842569492653</v>
      </c>
      <c r="E50" s="16">
        <v>0</v>
      </c>
      <c r="F50" s="17">
        <f>Specification!$C$23*9.81*SIN((E50*PI()/180))</f>
        <v>0</v>
      </c>
      <c r="G50" s="18">
        <f>IF(J50=1,VLOOKUP(K50,RPM!$E$2:$H$62,3,FALSE)-F50-E50-D50,IF(J50=2,VLOOKUP(K50,RPM!$H$2:$K$62,3,FALSE)-F50-E50-D50,IF(J50=3,VLOOKUP(K50,RPM!$K$2:$N$62,3,FALSE)-F50-E50-D50)))</f>
        <v>549.56217903827155</v>
      </c>
      <c r="H50" s="19">
        <f>IF(J50=1,Specification!$I$14,IF(J50=2,Specification!$I$15,IF(J50=3,Specification!$I$16)))</f>
        <v>578.93404261974786</v>
      </c>
      <c r="I50" s="16">
        <f t="shared" si="2"/>
        <v>0.94926561331828929</v>
      </c>
      <c r="J50" s="17">
        <v>3</v>
      </c>
      <c r="K50" s="16">
        <f>IF(J50=1,VLOOKUP(B50,RPM!$F$2:$H$62,3,TRUE),IF(J50=2,VLOOKUP(B50,RPM!$I$2:$K$62,3,TRUE),IF(J50=3,VLOOKUP(B50,RPM!$L$2:$N$62,3,TRUE))))</f>
        <v>4300</v>
      </c>
      <c r="L50" s="17">
        <f t="shared" si="3"/>
        <v>6.3185684974376928</v>
      </c>
      <c r="M50" s="16">
        <f t="shared" si="4"/>
        <v>0</v>
      </c>
      <c r="N50" s="17">
        <f>VLOOKUP(K50,RPM!$A$2:$D$62,3,FALSE)</f>
        <v>11.4</v>
      </c>
      <c r="O50" s="16">
        <f>VLOOKUP(K50,RPM!$A$2:$D$62,4,FALSE)</f>
        <v>18.894837209302327</v>
      </c>
      <c r="P50" s="17">
        <f t="shared" si="0"/>
        <v>14.089880106976747</v>
      </c>
      <c r="Q50" s="16" cm="1">
        <f t="array" ref="Q50">_xlfn.XLOOKUP(O50,BSFC!$A$2:$A$24,_xlfn.XLOOKUP(K50,BSFC!$B$1:$O$1,BSFC!$B$2:$O$24,,-1),,-1)</f>
        <v>480</v>
      </c>
      <c r="R50" s="17">
        <f t="shared" si="1"/>
        <v>1.8786506809302328</v>
      </c>
      <c r="S50" s="16">
        <f t="shared" si="5"/>
        <v>2.9183485335177611E-4</v>
      </c>
      <c r="T50" s="17">
        <f t="shared" si="9"/>
        <v>0.14008072960885254</v>
      </c>
      <c r="U50" s="16">
        <f t="shared" si="10"/>
        <v>9.8897045398050825</v>
      </c>
      <c r="V50" s="17">
        <f t="shared" si="11"/>
        <v>1.8556717457235073E-2</v>
      </c>
      <c r="W50" s="16">
        <f t="shared" si="6"/>
        <v>66804.182846046271</v>
      </c>
      <c r="X50">
        <f>('Hybrid Info'!$A$2-Track!P50)*(L50-L49)*1000+X49</f>
        <v>4712.3551780933376</v>
      </c>
    </row>
    <row r="51" spans="1:24">
      <c r="A51" s="16">
        <f t="shared" si="7"/>
        <v>50</v>
      </c>
      <c r="B51" s="17">
        <f t="shared" si="8"/>
        <v>13.411199999999999</v>
      </c>
      <c r="C51" s="18">
        <f>Specification!$G$30</f>
        <v>109.96225200000001</v>
      </c>
      <c r="D51" s="17">
        <f>0.5*Specification!$K$4*Track!B51^2*Specification!$K$3*Specification!$K$2</f>
        <v>93.159842569492653</v>
      </c>
      <c r="E51" s="16">
        <v>0</v>
      </c>
      <c r="F51" s="17">
        <f>Specification!$C$23*9.81*SIN((E51*PI()/180))</f>
        <v>0</v>
      </c>
      <c r="G51" s="18">
        <f>IF(J51=1,VLOOKUP(K51,RPM!$E$2:$H$62,3,FALSE)-F51-E51-D51,IF(J51=2,VLOOKUP(K51,RPM!$H$2:$K$62,3,FALSE)-F51-E51-D51,IF(J51=3,VLOOKUP(K51,RPM!$K$2:$N$62,3,FALSE)-F51-E51-D51)))</f>
        <v>549.56217903827155</v>
      </c>
      <c r="H51" s="19">
        <f>IF(J51=1,Specification!$I$14,IF(J51=2,Specification!$I$15,IF(J51=3,Specification!$I$16)))</f>
        <v>578.93404261974786</v>
      </c>
      <c r="I51" s="16">
        <f t="shared" si="2"/>
        <v>0.94926561331828929</v>
      </c>
      <c r="J51" s="17">
        <v>3</v>
      </c>
      <c r="K51" s="16">
        <f>IF(J51=1,VLOOKUP(B51,RPM!$F$2:$H$62,3,TRUE),IF(J51=2,VLOOKUP(B51,RPM!$I$2:$K$62,3,TRUE),IF(J51=3,VLOOKUP(B51,RPM!$L$2:$N$62,3,TRUE))))</f>
        <v>4300</v>
      </c>
      <c r="L51" s="17">
        <f t="shared" si="3"/>
        <v>6.3931330405061733</v>
      </c>
      <c r="M51" s="16">
        <f t="shared" si="4"/>
        <v>0</v>
      </c>
      <c r="N51" s="17">
        <f>VLOOKUP(K51,RPM!$A$2:$D$62,3,FALSE)</f>
        <v>11.4</v>
      </c>
      <c r="O51" s="16">
        <f>VLOOKUP(K51,RPM!$A$2:$D$62,4,FALSE)</f>
        <v>18.894837209302327</v>
      </c>
      <c r="P51" s="17">
        <f t="shared" si="0"/>
        <v>14.089880106976747</v>
      </c>
      <c r="Q51" s="16" cm="1">
        <f t="array" ref="Q51">_xlfn.XLOOKUP(O51,BSFC!$A$2:$A$24,_xlfn.XLOOKUP(K51,BSFC!$B$1:$O$1,BSFC!$B$2:$O$24,,-1),,-1)</f>
        <v>480</v>
      </c>
      <c r="R51" s="17">
        <f t="shared" si="1"/>
        <v>1.8786506809302328</v>
      </c>
      <c r="S51" s="16">
        <f t="shared" si="5"/>
        <v>2.9183485335177611E-4</v>
      </c>
      <c r="T51" s="17">
        <f t="shared" si="9"/>
        <v>0.14008072960885254</v>
      </c>
      <c r="U51" s="16">
        <f t="shared" si="10"/>
        <v>10.029785269413935</v>
      </c>
      <c r="V51" s="17">
        <f t="shared" si="11"/>
        <v>1.8848552310586849E-2</v>
      </c>
      <c r="W51" s="16">
        <f t="shared" si="6"/>
        <v>67854.788318112667</v>
      </c>
      <c r="X51">
        <f>('Hybrid Info'!$A$2-Track!P51)*(L51-L50)*1000+X50</f>
        <v>4565.5058647439255</v>
      </c>
    </row>
    <row r="52" spans="1:24">
      <c r="A52" s="16">
        <f t="shared" si="7"/>
        <v>51</v>
      </c>
      <c r="B52" s="17">
        <f t="shared" si="8"/>
        <v>13.411199999999999</v>
      </c>
      <c r="C52" s="18">
        <f>Specification!$G$30</f>
        <v>109.96225200000001</v>
      </c>
      <c r="D52" s="17">
        <f>0.5*Specification!$K$4*Track!B52^2*Specification!$K$3*Specification!$K$2</f>
        <v>93.159842569492653</v>
      </c>
      <c r="E52" s="16">
        <v>0</v>
      </c>
      <c r="F52" s="17">
        <f>Specification!$C$23*9.81*SIN((E52*PI()/180))</f>
        <v>0</v>
      </c>
      <c r="G52" s="18">
        <f>IF(J52=1,VLOOKUP(K52,RPM!$E$2:$H$62,3,FALSE)-F52-E52-D52,IF(J52=2,VLOOKUP(K52,RPM!$H$2:$K$62,3,FALSE)-F52-E52-D52,IF(J52=3,VLOOKUP(K52,RPM!$K$2:$N$62,3,FALSE)-F52-E52-D52)))</f>
        <v>549.56217903827155</v>
      </c>
      <c r="H52" s="19">
        <f>IF(J52=1,Specification!$I$14,IF(J52=2,Specification!$I$15,IF(J52=3,Specification!$I$16)))</f>
        <v>578.93404261974786</v>
      </c>
      <c r="I52" s="16">
        <f t="shared" si="2"/>
        <v>0.94926561331828929</v>
      </c>
      <c r="J52" s="17">
        <v>3</v>
      </c>
      <c r="K52" s="16">
        <f>IF(J52=1,VLOOKUP(B52,RPM!$F$2:$H$62,3,TRUE),IF(J52=2,VLOOKUP(B52,RPM!$I$2:$K$62,3,TRUE),IF(J52=3,VLOOKUP(B52,RPM!$L$2:$N$62,3,TRUE))))</f>
        <v>4300</v>
      </c>
      <c r="L52" s="17">
        <f t="shared" si="3"/>
        <v>6.4676975835746537</v>
      </c>
      <c r="M52" s="16">
        <f t="shared" si="4"/>
        <v>0</v>
      </c>
      <c r="N52" s="17">
        <f>VLOOKUP(K52,RPM!$A$2:$D$62,3,FALSE)</f>
        <v>11.4</v>
      </c>
      <c r="O52" s="16">
        <f>VLOOKUP(K52,RPM!$A$2:$D$62,4,FALSE)</f>
        <v>18.894837209302327</v>
      </c>
      <c r="P52" s="17">
        <f t="shared" si="0"/>
        <v>14.089880106976747</v>
      </c>
      <c r="Q52" s="16" cm="1">
        <f t="array" ref="Q52">_xlfn.XLOOKUP(O52,BSFC!$A$2:$A$24,_xlfn.XLOOKUP(K52,BSFC!$B$1:$O$1,BSFC!$B$2:$O$24,,-1),,-1)</f>
        <v>480</v>
      </c>
      <c r="R52" s="17">
        <f t="shared" si="1"/>
        <v>1.8786506809302328</v>
      </c>
      <c r="S52" s="16">
        <f t="shared" si="5"/>
        <v>2.9183485335177611E-4</v>
      </c>
      <c r="T52" s="17">
        <f t="shared" si="9"/>
        <v>0.14008072960885254</v>
      </c>
      <c r="U52" s="16">
        <f t="shared" si="10"/>
        <v>10.169865999022788</v>
      </c>
      <c r="V52" s="17">
        <f t="shared" si="11"/>
        <v>1.9140387163938625E-2</v>
      </c>
      <c r="W52" s="16">
        <f t="shared" si="6"/>
        <v>68905.393790179049</v>
      </c>
      <c r="X52">
        <f>('Hybrid Info'!$A$2-Track!P52)*(L52-L51)*1000+X51</f>
        <v>4418.6565513945134</v>
      </c>
    </row>
    <row r="53" spans="1:24">
      <c r="A53" s="16">
        <f t="shared" si="7"/>
        <v>52</v>
      </c>
      <c r="B53" s="17">
        <f t="shared" si="8"/>
        <v>13.411199999999999</v>
      </c>
      <c r="C53" s="18">
        <f>Specification!$G$30</f>
        <v>109.96225200000001</v>
      </c>
      <c r="D53" s="17">
        <f>0.5*Specification!$K$4*Track!B53^2*Specification!$K$3*Specification!$K$2</f>
        <v>93.159842569492653</v>
      </c>
      <c r="E53" s="16">
        <v>0</v>
      </c>
      <c r="F53" s="17">
        <f>Specification!$C$23*9.81*SIN((E53*PI()/180))</f>
        <v>0</v>
      </c>
      <c r="G53" s="18">
        <f>IF(J53=1,VLOOKUP(K53,RPM!$E$2:$H$62,3,FALSE)-F53-E53-D53,IF(J53=2,VLOOKUP(K53,RPM!$H$2:$K$62,3,FALSE)-F53-E53-D53,IF(J53=3,VLOOKUP(K53,RPM!$K$2:$N$62,3,FALSE)-F53-E53-D53)))</f>
        <v>549.56217903827155</v>
      </c>
      <c r="H53" s="19">
        <f>IF(J53=1,Specification!$I$14,IF(J53=2,Specification!$I$15,IF(J53=3,Specification!$I$16)))</f>
        <v>578.93404261974786</v>
      </c>
      <c r="I53" s="16">
        <f t="shared" si="2"/>
        <v>0.94926561331828929</v>
      </c>
      <c r="J53" s="17">
        <v>3</v>
      </c>
      <c r="K53" s="16">
        <f>IF(J53=1,VLOOKUP(B53,RPM!$F$2:$H$62,3,TRUE),IF(J53=2,VLOOKUP(B53,RPM!$I$2:$K$62,3,TRUE),IF(J53=3,VLOOKUP(B53,RPM!$L$2:$N$62,3,TRUE))))</f>
        <v>4300</v>
      </c>
      <c r="L53" s="17">
        <f t="shared" si="3"/>
        <v>6.5422621266431342</v>
      </c>
      <c r="M53" s="16">
        <f t="shared" si="4"/>
        <v>0</v>
      </c>
      <c r="N53" s="17">
        <f>VLOOKUP(K53,RPM!$A$2:$D$62,3,FALSE)</f>
        <v>11.4</v>
      </c>
      <c r="O53" s="16">
        <f>VLOOKUP(K53,RPM!$A$2:$D$62,4,FALSE)</f>
        <v>18.894837209302327</v>
      </c>
      <c r="P53" s="17">
        <f t="shared" si="0"/>
        <v>14.089880106976747</v>
      </c>
      <c r="Q53" s="16" cm="1">
        <f t="array" ref="Q53">_xlfn.XLOOKUP(O53,BSFC!$A$2:$A$24,_xlfn.XLOOKUP(K53,BSFC!$B$1:$O$1,BSFC!$B$2:$O$24,,-1),,-1)</f>
        <v>480</v>
      </c>
      <c r="R53" s="17">
        <f t="shared" si="1"/>
        <v>1.8786506809302328</v>
      </c>
      <c r="S53" s="16">
        <f t="shared" si="5"/>
        <v>2.9183485335177611E-4</v>
      </c>
      <c r="T53" s="17">
        <f t="shared" si="9"/>
        <v>0.14008072960885254</v>
      </c>
      <c r="U53" s="16">
        <f t="shared" si="10"/>
        <v>10.30994672863164</v>
      </c>
      <c r="V53" s="17">
        <f t="shared" si="11"/>
        <v>1.9432222017290401E-2</v>
      </c>
      <c r="W53" s="16">
        <f t="shared" si="6"/>
        <v>69955.999262245445</v>
      </c>
      <c r="X53">
        <f>('Hybrid Info'!$A$2-Track!P53)*(L53-L52)*1000+X52</f>
        <v>4271.8072380451013</v>
      </c>
    </row>
    <row r="54" spans="1:24">
      <c r="A54" s="16">
        <f t="shared" si="7"/>
        <v>53</v>
      </c>
      <c r="B54" s="17">
        <f t="shared" si="8"/>
        <v>13.411199999999999</v>
      </c>
      <c r="C54" s="18">
        <f>Specification!$G$30</f>
        <v>109.96225200000001</v>
      </c>
      <c r="D54" s="17">
        <f>0.5*Specification!$K$4*Track!B54^2*Specification!$K$3*Specification!$K$2</f>
        <v>93.159842569492653</v>
      </c>
      <c r="E54" s="16">
        <v>0</v>
      </c>
      <c r="F54" s="17">
        <f>Specification!$C$23*9.81*SIN((E54*PI()/180))</f>
        <v>0</v>
      </c>
      <c r="G54" s="18">
        <f>IF(J54=1,VLOOKUP(K54,RPM!$E$2:$H$62,3,FALSE)-F54-E54-D54,IF(J54=2,VLOOKUP(K54,RPM!$H$2:$K$62,3,FALSE)-F54-E54-D54,IF(J54=3,VLOOKUP(K54,RPM!$K$2:$N$62,3,FALSE)-F54-E54-D54)))</f>
        <v>549.56217903827155</v>
      </c>
      <c r="H54" s="19">
        <f>IF(J54=1,Specification!$I$14,IF(J54=2,Specification!$I$15,IF(J54=3,Specification!$I$16)))</f>
        <v>578.93404261974786</v>
      </c>
      <c r="I54" s="16">
        <f t="shared" si="2"/>
        <v>0.94926561331828929</v>
      </c>
      <c r="J54" s="17">
        <v>3</v>
      </c>
      <c r="K54" s="16">
        <f>IF(J54=1,VLOOKUP(B54,RPM!$F$2:$H$62,3,TRUE),IF(J54=2,VLOOKUP(B54,RPM!$I$2:$K$62,3,TRUE),IF(J54=3,VLOOKUP(B54,RPM!$L$2:$N$62,3,TRUE))))</f>
        <v>4300</v>
      </c>
      <c r="L54" s="17">
        <f t="shared" si="3"/>
        <v>6.6168266697116147</v>
      </c>
      <c r="M54" s="16">
        <f t="shared" si="4"/>
        <v>0</v>
      </c>
      <c r="N54" s="17">
        <f>VLOOKUP(K54,RPM!$A$2:$D$62,3,FALSE)</f>
        <v>11.4</v>
      </c>
      <c r="O54" s="16">
        <f>VLOOKUP(K54,RPM!$A$2:$D$62,4,FALSE)</f>
        <v>18.894837209302327</v>
      </c>
      <c r="P54" s="17">
        <f t="shared" si="0"/>
        <v>14.089880106976747</v>
      </c>
      <c r="Q54" s="16" cm="1">
        <f t="array" ref="Q54">_xlfn.XLOOKUP(O54,BSFC!$A$2:$A$24,_xlfn.XLOOKUP(K54,BSFC!$B$1:$O$1,BSFC!$B$2:$O$24,,-1),,-1)</f>
        <v>480</v>
      </c>
      <c r="R54" s="17">
        <f t="shared" si="1"/>
        <v>1.8786506809302328</v>
      </c>
      <c r="S54" s="16">
        <f t="shared" si="5"/>
        <v>2.9183485335177611E-4</v>
      </c>
      <c r="T54" s="17">
        <f t="shared" si="9"/>
        <v>0.14008072960885254</v>
      </c>
      <c r="U54" s="16">
        <f t="shared" si="10"/>
        <v>10.450027458240493</v>
      </c>
      <c r="V54" s="17">
        <f t="shared" si="11"/>
        <v>1.9724056870642177E-2</v>
      </c>
      <c r="W54" s="16">
        <f t="shared" si="6"/>
        <v>71006.604734311841</v>
      </c>
      <c r="X54">
        <f>('Hybrid Info'!$A$2-Track!P54)*(L54-L53)*1000+X53</f>
        <v>4124.9579246956891</v>
      </c>
    </row>
    <row r="55" spans="1:24">
      <c r="A55" s="16">
        <f t="shared" si="7"/>
        <v>54</v>
      </c>
      <c r="B55" s="17">
        <f>IF(SQRT(B54^2+2*I54)&gt;13.4112,13.4112,SQRT(B54^2+2*I54))</f>
        <v>13.411199999999999</v>
      </c>
      <c r="C55" s="18">
        <f>Specification!$G$30</f>
        <v>109.96225200000001</v>
      </c>
      <c r="D55" s="17">
        <f>0.5*Specification!$K$4*Track!B55^2*Specification!$K$3*Specification!$K$2</f>
        <v>93.159842569492653</v>
      </c>
      <c r="E55" s="16">
        <v>0</v>
      </c>
      <c r="F55" s="17">
        <f>Specification!$C$23*9.81*SIN((E55*PI()/180))</f>
        <v>0</v>
      </c>
      <c r="G55" s="18">
        <f>IF(J55=1,VLOOKUP(K55,RPM!$E$2:$H$62,3,FALSE)-F55-E55-D55,IF(J55=2,VLOOKUP(K55,RPM!$H$2:$K$62,3,FALSE)-F55-E55-D55,IF(J55=3,VLOOKUP(K55,RPM!$K$2:$N$62,3,FALSE)-F55-E55-D55)))</f>
        <v>549.56217903827155</v>
      </c>
      <c r="H55" s="19">
        <f>IF(J55=1,Specification!$I$14,IF(J55=2,Specification!$I$15,IF(J55=3,Specification!$I$16)))</f>
        <v>578.93404261974786</v>
      </c>
      <c r="I55" s="16">
        <v>0</v>
      </c>
      <c r="J55" s="17">
        <v>3</v>
      </c>
      <c r="K55" s="16">
        <f>IF(J55=1,VLOOKUP(B55,RPM!$F$2:$H$62,3,TRUE),IF(J55=2,VLOOKUP(B55,RPM!$I$2:$K$62,3,TRUE),IF(J55=3,VLOOKUP(B55,RPM!$L$2:$N$62,3,TRUE))))</f>
        <v>4300</v>
      </c>
      <c r="L55" s="17">
        <f t="shared" si="3"/>
        <v>6.6913912127800952</v>
      </c>
      <c r="M55" s="16">
        <f t="shared" si="4"/>
        <v>0</v>
      </c>
      <c r="N55" s="17">
        <f>VLOOKUP(K55,RPM!$A$2:$D$62,3,FALSE)</f>
        <v>11.4</v>
      </c>
      <c r="O55" s="16">
        <f>VLOOKUP(K55,RPM!$A$2:$D$62,4,FALSE)</f>
        <v>18.894837209302327</v>
      </c>
      <c r="P55" s="17">
        <f t="shared" si="0"/>
        <v>14.089880106976747</v>
      </c>
      <c r="Q55" s="16" cm="1">
        <f t="array" ref="Q55">_xlfn.XLOOKUP(O55,BSFC!$A$2:$A$24,_xlfn.XLOOKUP(K55,BSFC!$B$1:$O$1,BSFC!$B$2:$O$24,,-1),,-1)</f>
        <v>480</v>
      </c>
      <c r="R55" s="17">
        <f t="shared" si="1"/>
        <v>1.8786506809302328</v>
      </c>
      <c r="S55" s="16">
        <f t="shared" si="5"/>
        <v>2.9183485335177611E-4</v>
      </c>
      <c r="T55" s="17">
        <f t="shared" si="9"/>
        <v>0.14008072960885254</v>
      </c>
      <c r="U55" s="16">
        <f t="shared" si="10"/>
        <v>10.590108187849346</v>
      </c>
      <c r="V55" s="17">
        <f t="shared" si="11"/>
        <v>2.0015891723993953E-2</v>
      </c>
      <c r="W55" s="16">
        <f t="shared" si="6"/>
        <v>72057.210206378237</v>
      </c>
      <c r="X55">
        <f>('Hybrid Info'!$A$2-Track!P55)*(L55-L54)*1000+X54</f>
        <v>3978.108611346277</v>
      </c>
    </row>
    <row r="56" spans="1:24">
      <c r="A56" s="16">
        <f t="shared" si="7"/>
        <v>55</v>
      </c>
      <c r="B56" s="17">
        <f t="shared" si="8"/>
        <v>13.411199999999999</v>
      </c>
      <c r="C56" s="18">
        <f>Specification!$G$30</f>
        <v>109.96225200000001</v>
      </c>
      <c r="D56" s="17">
        <f>0.5*Specification!$K$4*Track!B56^2*Specification!$K$3*Specification!$K$2</f>
        <v>93.159842569492653</v>
      </c>
      <c r="E56" s="16">
        <v>0</v>
      </c>
      <c r="F56" s="17">
        <f>Specification!$C$23*9.81*SIN((E56*PI()/180))</f>
        <v>0</v>
      </c>
      <c r="G56" s="18">
        <f>IF(J56=1,VLOOKUP(K56,RPM!$E$2:$H$62,3,FALSE)-F56-E56-D56,IF(J56=2,VLOOKUP(K56,RPM!$H$2:$K$62,3,FALSE)-F56-E56-D56,IF(J56=3,VLOOKUP(K56,RPM!$K$2:$N$62,3,FALSE)-F56-E56-D56)))</f>
        <v>549.56217903827155</v>
      </c>
      <c r="H56" s="19">
        <f>IF(J56=1,Specification!$I$14,IF(J56=2,Specification!$I$15,IF(J56=3,Specification!$I$16)))</f>
        <v>578.93404261974786</v>
      </c>
      <c r="I56" s="16">
        <v>0</v>
      </c>
      <c r="J56" s="17">
        <v>3</v>
      </c>
      <c r="K56" s="16">
        <f>IF(J56=1,VLOOKUP(B56,RPM!$F$2:$H$62,3,TRUE),IF(J56=2,VLOOKUP(B56,RPM!$I$2:$K$62,3,TRUE),IF(J56=3,VLOOKUP(B56,RPM!$L$2:$N$62,3,TRUE))))</f>
        <v>4300</v>
      </c>
      <c r="L56" s="17">
        <f t="shared" si="3"/>
        <v>6.7659557558485757</v>
      </c>
      <c r="M56" s="16">
        <f t="shared" si="4"/>
        <v>0</v>
      </c>
      <c r="N56" s="17">
        <f>VLOOKUP(K56,RPM!$A$2:$D$62,3,FALSE)</f>
        <v>11.4</v>
      </c>
      <c r="O56" s="16">
        <f>VLOOKUP(K56,RPM!$A$2:$D$62,4,FALSE)</f>
        <v>18.894837209302327</v>
      </c>
      <c r="P56" s="17">
        <f t="shared" si="0"/>
        <v>14.089880106976747</v>
      </c>
      <c r="Q56" s="16" cm="1">
        <f t="array" ref="Q56">_xlfn.XLOOKUP(O56,BSFC!$A$2:$A$24,_xlfn.XLOOKUP(K56,BSFC!$B$1:$O$1,BSFC!$B$2:$O$24,,-1),,-1)</f>
        <v>480</v>
      </c>
      <c r="R56" s="17">
        <f t="shared" si="1"/>
        <v>1.8786506809302328</v>
      </c>
      <c r="S56" s="16">
        <f t="shared" si="5"/>
        <v>2.9183485335177611E-4</v>
      </c>
      <c r="T56" s="17">
        <f t="shared" si="9"/>
        <v>0.14008072960885254</v>
      </c>
      <c r="U56" s="16">
        <f t="shared" si="10"/>
        <v>10.730188917458198</v>
      </c>
      <c r="V56" s="17">
        <f t="shared" si="11"/>
        <v>2.0307726577345728E-2</v>
      </c>
      <c r="W56" s="16">
        <f t="shared" si="6"/>
        <v>73107.815678444618</v>
      </c>
      <c r="X56">
        <f>('Hybrid Info'!$A$2-Track!P56)*(L56-L55)*1000+X55</f>
        <v>3831.2592979968649</v>
      </c>
    </row>
    <row r="57" spans="1:24">
      <c r="A57" s="16">
        <f t="shared" si="7"/>
        <v>56</v>
      </c>
      <c r="B57" s="17">
        <f t="shared" si="8"/>
        <v>13.411199999999999</v>
      </c>
      <c r="C57" s="18">
        <f>Specification!$G$30</f>
        <v>109.96225200000001</v>
      </c>
      <c r="D57" s="17">
        <f>0.5*Specification!$K$4*Track!B57^2*Specification!$K$3*Specification!$K$2</f>
        <v>93.159842569492653</v>
      </c>
      <c r="E57" s="16">
        <v>0</v>
      </c>
      <c r="F57" s="17">
        <f>Specification!$C$23*9.81*SIN((E57*PI()/180))</f>
        <v>0</v>
      </c>
      <c r="G57" s="18">
        <f>IF(J57=1,VLOOKUP(K57,RPM!$E$2:$H$62,3,FALSE)-F57-E57-D57,IF(J57=2,VLOOKUP(K57,RPM!$H$2:$K$62,3,FALSE)-F57-E57-D57,IF(J57=3,VLOOKUP(K57,RPM!$K$2:$N$62,3,FALSE)-F57-E57-D57)))</f>
        <v>549.56217903827155</v>
      </c>
      <c r="H57" s="19">
        <f>IF(J57=1,Specification!$I$14,IF(J57=2,Specification!$I$15,IF(J57=3,Specification!$I$16)))</f>
        <v>578.93404261974786</v>
      </c>
      <c r="I57" s="16">
        <v>0</v>
      </c>
      <c r="J57" s="17">
        <v>3</v>
      </c>
      <c r="K57" s="16">
        <f>IF(J57=1,VLOOKUP(B57,RPM!$F$2:$H$62,3,TRUE),IF(J57=2,VLOOKUP(B57,RPM!$I$2:$K$62,3,TRUE),IF(J57=3,VLOOKUP(B57,RPM!$L$2:$N$62,3,TRUE))))</f>
        <v>4300</v>
      </c>
      <c r="L57" s="17">
        <f t="shared" si="3"/>
        <v>6.8405202989170562</v>
      </c>
      <c r="M57" s="16">
        <f t="shared" si="4"/>
        <v>0</v>
      </c>
      <c r="N57" s="17">
        <f>VLOOKUP(K57,RPM!$A$2:$D$62,3,FALSE)</f>
        <v>11.4</v>
      </c>
      <c r="O57" s="16">
        <f>VLOOKUP(K57,RPM!$A$2:$D$62,4,FALSE)</f>
        <v>18.894837209302327</v>
      </c>
      <c r="P57" s="17">
        <f t="shared" si="0"/>
        <v>14.089880106976747</v>
      </c>
      <c r="Q57" s="16" cm="1">
        <f t="array" ref="Q57">_xlfn.XLOOKUP(O57,BSFC!$A$2:$A$24,_xlfn.XLOOKUP(K57,BSFC!$B$1:$O$1,BSFC!$B$2:$O$24,,-1),,-1)</f>
        <v>480</v>
      </c>
      <c r="R57" s="17">
        <f t="shared" si="1"/>
        <v>1.8786506809302328</v>
      </c>
      <c r="S57" s="16">
        <f t="shared" si="5"/>
        <v>2.9183485335177611E-4</v>
      </c>
      <c r="T57" s="17">
        <f t="shared" si="9"/>
        <v>0.14008072960885254</v>
      </c>
      <c r="U57" s="16">
        <f t="shared" si="10"/>
        <v>10.870269647067051</v>
      </c>
      <c r="V57" s="17">
        <f t="shared" si="11"/>
        <v>2.0599561430697504E-2</v>
      </c>
      <c r="W57" s="16">
        <f t="shared" si="6"/>
        <v>74158.421150511014</v>
      </c>
      <c r="X57">
        <f>('Hybrid Info'!$A$2-Track!P57)*(L57-L56)*1000+X56</f>
        <v>3684.4099846474528</v>
      </c>
    </row>
    <row r="58" spans="1:24">
      <c r="A58" s="16">
        <f t="shared" si="7"/>
        <v>57</v>
      </c>
      <c r="B58" s="17">
        <f t="shared" si="8"/>
        <v>13.411199999999999</v>
      </c>
      <c r="C58" s="18">
        <f>Specification!$G$30</f>
        <v>109.96225200000001</v>
      </c>
      <c r="D58" s="17">
        <f>0.5*Specification!$K$4*Track!B58^2*Specification!$K$3*Specification!$K$2</f>
        <v>93.159842569492653</v>
      </c>
      <c r="E58" s="16">
        <v>0</v>
      </c>
      <c r="F58" s="17">
        <f>Specification!$C$23*9.81*SIN((E58*PI()/180))</f>
        <v>0</v>
      </c>
      <c r="G58" s="18">
        <f>IF(J58=1,VLOOKUP(K58,RPM!$E$2:$H$62,3,FALSE)-F58-E58-D58,IF(J58=2,VLOOKUP(K58,RPM!$H$2:$K$62,3,FALSE)-F58-E58-D58,IF(J58=3,VLOOKUP(K58,RPM!$K$2:$N$62,3,FALSE)-F58-E58-D58)))</f>
        <v>549.56217903827155</v>
      </c>
      <c r="H58" s="19">
        <f>IF(J58=1,Specification!$I$14,IF(J58=2,Specification!$I$15,IF(J58=3,Specification!$I$16)))</f>
        <v>578.93404261974786</v>
      </c>
      <c r="I58" s="16">
        <v>0</v>
      </c>
      <c r="J58" s="17">
        <v>3</v>
      </c>
      <c r="K58" s="16">
        <f>IF(J58=1,VLOOKUP(B58,RPM!$F$2:$H$62,3,TRUE),IF(J58=2,VLOOKUP(B58,RPM!$I$2:$K$62,3,TRUE),IF(J58=3,VLOOKUP(B58,RPM!$L$2:$N$62,3,TRUE))))</f>
        <v>4300</v>
      </c>
      <c r="L58" s="17">
        <f t="shared" si="3"/>
        <v>6.9150848419855366</v>
      </c>
      <c r="M58" s="16">
        <f t="shared" si="4"/>
        <v>0</v>
      </c>
      <c r="N58" s="17">
        <f>VLOOKUP(K58,RPM!$A$2:$D$62,3,FALSE)</f>
        <v>11.4</v>
      </c>
      <c r="O58" s="16">
        <f>VLOOKUP(K58,RPM!$A$2:$D$62,4,FALSE)</f>
        <v>18.894837209302327</v>
      </c>
      <c r="P58" s="17">
        <f t="shared" si="0"/>
        <v>14.089880106976747</v>
      </c>
      <c r="Q58" s="16" cm="1">
        <f t="array" ref="Q58">_xlfn.XLOOKUP(O58,BSFC!$A$2:$A$24,_xlfn.XLOOKUP(K58,BSFC!$B$1:$O$1,BSFC!$B$2:$O$24,,-1),,-1)</f>
        <v>480</v>
      </c>
      <c r="R58" s="17">
        <f t="shared" si="1"/>
        <v>1.8786506809302328</v>
      </c>
      <c r="S58" s="16">
        <f t="shared" si="5"/>
        <v>2.9183485335177611E-4</v>
      </c>
      <c r="T58" s="17">
        <f t="shared" si="9"/>
        <v>0.14008072960885254</v>
      </c>
      <c r="U58" s="16">
        <f t="shared" si="10"/>
        <v>11.010350376675904</v>
      </c>
      <c r="V58" s="17">
        <f t="shared" si="11"/>
        <v>2.089139628404928E-2</v>
      </c>
      <c r="W58" s="16">
        <f t="shared" si="6"/>
        <v>75209.026622577396</v>
      </c>
      <c r="X58">
        <f>('Hybrid Info'!$A$2-Track!P58)*(L58-L57)*1000+X57</f>
        <v>3537.5606712980407</v>
      </c>
    </row>
    <row r="59" spans="1:24">
      <c r="A59" s="16">
        <f t="shared" si="7"/>
        <v>58</v>
      </c>
      <c r="B59" s="17">
        <f t="shared" si="8"/>
        <v>13.411199999999999</v>
      </c>
      <c r="C59" s="18">
        <f>Specification!$G$30</f>
        <v>109.96225200000001</v>
      </c>
      <c r="D59" s="17">
        <f>0.5*Specification!$K$4*Track!B59^2*Specification!$K$3*Specification!$K$2</f>
        <v>93.159842569492653</v>
      </c>
      <c r="E59" s="16">
        <v>0</v>
      </c>
      <c r="F59" s="17">
        <f>Specification!$C$23*9.81*SIN((E59*PI()/180))</f>
        <v>0</v>
      </c>
      <c r="G59" s="18">
        <f>IF(J59=1,VLOOKUP(K59,RPM!$E$2:$H$62,3,FALSE)-F59-E59-D59,IF(J59=2,VLOOKUP(K59,RPM!$H$2:$K$62,3,FALSE)-F59-E59-D59,IF(J59=3,VLOOKUP(K59,RPM!$K$2:$N$62,3,FALSE)-F59-E59-D59)))</f>
        <v>549.56217903827155</v>
      </c>
      <c r="H59" s="19">
        <f>IF(J59=1,Specification!$I$14,IF(J59=2,Specification!$I$15,IF(J59=3,Specification!$I$16)))</f>
        <v>578.93404261974786</v>
      </c>
      <c r="I59" s="16">
        <v>0</v>
      </c>
      <c r="J59" s="17">
        <v>3</v>
      </c>
      <c r="K59" s="16">
        <f>IF(J59=1,VLOOKUP(B59,RPM!$F$2:$H$62,3,TRUE),IF(J59=2,VLOOKUP(B59,RPM!$I$2:$K$62,3,TRUE),IF(J59=3,VLOOKUP(B59,RPM!$L$2:$N$62,3,TRUE))))</f>
        <v>4300</v>
      </c>
      <c r="L59" s="17">
        <f t="shared" si="3"/>
        <v>6.9896493850540171</v>
      </c>
      <c r="M59" s="16">
        <f t="shared" si="4"/>
        <v>0</v>
      </c>
      <c r="N59" s="17">
        <f>VLOOKUP(K59,RPM!$A$2:$D$62,3,FALSE)</f>
        <v>11.4</v>
      </c>
      <c r="O59" s="16">
        <f>VLOOKUP(K59,RPM!$A$2:$D$62,4,FALSE)</f>
        <v>18.894837209302327</v>
      </c>
      <c r="P59" s="17">
        <f t="shared" si="0"/>
        <v>14.089880106976747</v>
      </c>
      <c r="Q59" s="16" cm="1">
        <f t="array" ref="Q59">_xlfn.XLOOKUP(O59,BSFC!$A$2:$A$24,_xlfn.XLOOKUP(K59,BSFC!$B$1:$O$1,BSFC!$B$2:$O$24,,-1),,-1)</f>
        <v>480</v>
      </c>
      <c r="R59" s="17">
        <f t="shared" si="1"/>
        <v>1.8786506809302328</v>
      </c>
      <c r="S59" s="16">
        <f t="shared" si="5"/>
        <v>2.9183485335177611E-4</v>
      </c>
      <c r="T59" s="17">
        <f t="shared" si="9"/>
        <v>0.14008072960885254</v>
      </c>
      <c r="U59" s="16">
        <f t="shared" si="10"/>
        <v>11.150431106284756</v>
      </c>
      <c r="V59" s="17">
        <f t="shared" si="11"/>
        <v>2.1183231137401056E-2</v>
      </c>
      <c r="W59" s="16">
        <f t="shared" si="6"/>
        <v>76259.632094643792</v>
      </c>
      <c r="X59">
        <f>('Hybrid Info'!$A$2-Track!P59)*(L59-L58)*1000+X58</f>
        <v>3390.7113579486286</v>
      </c>
    </row>
    <row r="60" spans="1:24">
      <c r="A60" s="16">
        <f t="shared" si="7"/>
        <v>59</v>
      </c>
      <c r="B60" s="17">
        <f t="shared" si="8"/>
        <v>13.411199999999999</v>
      </c>
      <c r="C60" s="18">
        <f>Specification!$G$30</f>
        <v>109.96225200000001</v>
      </c>
      <c r="D60" s="17">
        <f>0.5*Specification!$K$4*Track!B60^2*Specification!$K$3*Specification!$K$2</f>
        <v>93.159842569492653</v>
      </c>
      <c r="E60" s="16">
        <v>0</v>
      </c>
      <c r="F60" s="17">
        <f>Specification!$C$23*9.81*SIN((E60*PI()/180))</f>
        <v>0</v>
      </c>
      <c r="G60" s="18">
        <f>IF(J60=1,VLOOKUP(K60,RPM!$E$2:$H$62,3,FALSE)-F60-E60-D60,IF(J60=2,VLOOKUP(K60,RPM!$H$2:$K$62,3,FALSE)-F60-E60-D60,IF(J60=3,VLOOKUP(K60,RPM!$K$2:$N$62,3,FALSE)-F60-E60-D60)))</f>
        <v>549.56217903827155</v>
      </c>
      <c r="H60" s="19">
        <f>IF(J60=1,Specification!$I$14,IF(J60=2,Specification!$I$15,IF(J60=3,Specification!$I$16)))</f>
        <v>578.93404261974786</v>
      </c>
      <c r="I60" s="16">
        <v>0</v>
      </c>
      <c r="J60" s="17">
        <v>3</v>
      </c>
      <c r="K60" s="16">
        <f>IF(J60=1,VLOOKUP(B60,RPM!$F$2:$H$62,3,TRUE),IF(J60=2,VLOOKUP(B60,RPM!$I$2:$K$62,3,TRUE),IF(J60=3,VLOOKUP(B60,RPM!$L$2:$N$62,3,TRUE))))</f>
        <v>4300</v>
      </c>
      <c r="L60" s="17">
        <f t="shared" si="3"/>
        <v>7.0642139281224976</v>
      </c>
      <c r="M60" s="16">
        <f t="shared" si="4"/>
        <v>0</v>
      </c>
      <c r="N60" s="17">
        <f>VLOOKUP(K60,RPM!$A$2:$D$62,3,FALSE)</f>
        <v>11.4</v>
      </c>
      <c r="O60" s="16">
        <f>VLOOKUP(K60,RPM!$A$2:$D$62,4,FALSE)</f>
        <v>18.894837209302327</v>
      </c>
      <c r="P60" s="17">
        <f t="shared" si="0"/>
        <v>14.089880106976747</v>
      </c>
      <c r="Q60" s="16" cm="1">
        <f t="array" ref="Q60">_xlfn.XLOOKUP(O60,BSFC!$A$2:$A$24,_xlfn.XLOOKUP(K60,BSFC!$B$1:$O$1,BSFC!$B$2:$O$24,,-1),,-1)</f>
        <v>480</v>
      </c>
      <c r="R60" s="17">
        <f t="shared" si="1"/>
        <v>1.8786506809302328</v>
      </c>
      <c r="S60" s="16">
        <f t="shared" si="5"/>
        <v>2.9183485335177611E-4</v>
      </c>
      <c r="T60" s="17">
        <f t="shared" si="9"/>
        <v>0.14008072960885254</v>
      </c>
      <c r="U60" s="16">
        <f t="shared" si="10"/>
        <v>11.290511835893609</v>
      </c>
      <c r="V60" s="17">
        <f t="shared" si="11"/>
        <v>2.1475065990752832E-2</v>
      </c>
      <c r="W60" s="16">
        <f t="shared" si="6"/>
        <v>77310.237566710188</v>
      </c>
      <c r="X60">
        <f>('Hybrid Info'!$A$2-Track!P60)*(L60-L59)*1000+X59</f>
        <v>3243.8620445992165</v>
      </c>
    </row>
    <row r="61" spans="1:24">
      <c r="A61" s="16">
        <f t="shared" si="7"/>
        <v>60</v>
      </c>
      <c r="B61" s="17">
        <f t="shared" si="8"/>
        <v>13.411199999999999</v>
      </c>
      <c r="C61" s="18">
        <f>Specification!$G$30</f>
        <v>109.96225200000001</v>
      </c>
      <c r="D61" s="17">
        <f>0.5*Specification!$K$4*Track!B61^2*Specification!$K$3*Specification!$K$2</f>
        <v>93.159842569492653</v>
      </c>
      <c r="E61" s="16">
        <v>0</v>
      </c>
      <c r="F61" s="17">
        <f>Specification!$C$23*9.81*SIN((E61*PI()/180))</f>
        <v>0</v>
      </c>
      <c r="G61" s="18">
        <f>IF(J61=1,VLOOKUP(K61,RPM!$E$2:$H$62,3,FALSE)-F61-E61-D61,IF(J61=2,VLOOKUP(K61,RPM!$H$2:$K$62,3,FALSE)-F61-E61-D61,IF(J61=3,VLOOKUP(K61,RPM!$K$2:$N$62,3,FALSE)-F61-E61-D61)))</f>
        <v>549.56217903827155</v>
      </c>
      <c r="H61" s="19">
        <f>IF(J61=1,Specification!$I$14,IF(J61=2,Specification!$I$15,IF(J61=3,Specification!$I$16)))</f>
        <v>578.93404261974786</v>
      </c>
      <c r="I61" s="16">
        <v>0</v>
      </c>
      <c r="J61" s="17">
        <v>3</v>
      </c>
      <c r="K61" s="16">
        <f>IF(J61=1,VLOOKUP(B61,RPM!$F$2:$H$62,3,TRUE),IF(J61=2,VLOOKUP(B61,RPM!$I$2:$K$62,3,TRUE),IF(J61=3,VLOOKUP(B61,RPM!$L$2:$N$62,3,TRUE))))</f>
        <v>4300</v>
      </c>
      <c r="L61" s="17">
        <f t="shared" si="3"/>
        <v>7.1387784711909781</v>
      </c>
      <c r="M61" s="16">
        <f t="shared" si="4"/>
        <v>0</v>
      </c>
      <c r="N61" s="17">
        <f>VLOOKUP(K61,RPM!$A$2:$D$62,3,FALSE)</f>
        <v>11.4</v>
      </c>
      <c r="O61" s="16">
        <f>VLOOKUP(K61,RPM!$A$2:$D$62,4,FALSE)</f>
        <v>18.894837209302327</v>
      </c>
      <c r="P61" s="17">
        <f t="shared" si="0"/>
        <v>14.089880106976747</v>
      </c>
      <c r="Q61" s="16" cm="1">
        <f t="array" ref="Q61">_xlfn.XLOOKUP(O61,BSFC!$A$2:$A$24,_xlfn.XLOOKUP(K61,BSFC!$B$1:$O$1,BSFC!$B$2:$O$24,,-1),,-1)</f>
        <v>480</v>
      </c>
      <c r="R61" s="17">
        <f t="shared" si="1"/>
        <v>1.8786506809302328</v>
      </c>
      <c r="S61" s="16">
        <f t="shared" si="5"/>
        <v>2.9183485335177611E-4</v>
      </c>
      <c r="T61" s="17">
        <f t="shared" si="9"/>
        <v>0.14008072960885254</v>
      </c>
      <c r="U61" s="16">
        <f t="shared" si="10"/>
        <v>11.430592565502462</v>
      </c>
      <c r="V61" s="17">
        <f t="shared" si="11"/>
        <v>2.1766900844104608E-2</v>
      </c>
      <c r="W61" s="16">
        <f t="shared" si="6"/>
        <v>78360.843038776584</v>
      </c>
      <c r="X61">
        <f>('Hybrid Info'!$A$2-Track!P61)*(L61-L60)*1000+X60</f>
        <v>3097.0127312498043</v>
      </c>
    </row>
    <row r="62" spans="1:24">
      <c r="A62" s="16">
        <f t="shared" si="7"/>
        <v>61</v>
      </c>
      <c r="B62" s="17">
        <f t="shared" si="8"/>
        <v>13.411199999999999</v>
      </c>
      <c r="C62" s="18">
        <f>Specification!$G$30</f>
        <v>109.96225200000001</v>
      </c>
      <c r="D62" s="17">
        <f>0.5*Specification!$K$4*Track!B62^2*Specification!$K$3*Specification!$K$2</f>
        <v>93.159842569492653</v>
      </c>
      <c r="E62" s="16">
        <v>0</v>
      </c>
      <c r="F62" s="17">
        <f>Specification!$C$23*9.81*SIN((E62*PI()/180))</f>
        <v>0</v>
      </c>
      <c r="G62" s="18">
        <f>IF(J62=1,VLOOKUP(K62,RPM!$E$2:$H$62,3,FALSE)-F62-E62-D62,IF(J62=2,VLOOKUP(K62,RPM!$H$2:$K$62,3,FALSE)-F62-E62-D62,IF(J62=3,VLOOKUP(K62,RPM!$K$2:$N$62,3,FALSE)-F62-E62-D62)))</f>
        <v>549.56217903827155</v>
      </c>
      <c r="H62" s="19">
        <f>IF(J62=1,Specification!$I$14,IF(J62=2,Specification!$I$15,IF(J62=3,Specification!$I$16)))</f>
        <v>578.93404261974786</v>
      </c>
      <c r="I62" s="16">
        <v>0</v>
      </c>
      <c r="J62" s="17">
        <v>3</v>
      </c>
      <c r="K62" s="16">
        <f>IF(J62=1,VLOOKUP(B62,RPM!$F$2:$H$62,3,TRUE),IF(J62=2,VLOOKUP(B62,RPM!$I$2:$K$62,3,TRUE),IF(J62=3,VLOOKUP(B62,RPM!$L$2:$N$62,3,TRUE))))</f>
        <v>4300</v>
      </c>
      <c r="L62" s="17">
        <f t="shared" si="3"/>
        <v>7.2133430142594586</v>
      </c>
      <c r="M62" s="16">
        <f t="shared" si="4"/>
        <v>0</v>
      </c>
      <c r="N62" s="17">
        <f>VLOOKUP(K62,RPM!$A$2:$D$62,3,FALSE)</f>
        <v>11.4</v>
      </c>
      <c r="O62" s="16">
        <f>VLOOKUP(K62,RPM!$A$2:$D$62,4,FALSE)</f>
        <v>18.894837209302327</v>
      </c>
      <c r="P62" s="17">
        <f t="shared" si="0"/>
        <v>14.089880106976747</v>
      </c>
      <c r="Q62" s="16" cm="1">
        <f t="array" ref="Q62">_xlfn.XLOOKUP(O62,BSFC!$A$2:$A$24,_xlfn.XLOOKUP(K62,BSFC!$B$1:$O$1,BSFC!$B$2:$O$24,,-1),,-1)</f>
        <v>480</v>
      </c>
      <c r="R62" s="17">
        <f t="shared" si="1"/>
        <v>1.8786506809302328</v>
      </c>
      <c r="S62" s="16">
        <f t="shared" si="5"/>
        <v>2.9183485335177611E-4</v>
      </c>
      <c r="T62" s="17">
        <f t="shared" si="9"/>
        <v>0.14008072960885254</v>
      </c>
      <c r="U62" s="16">
        <f t="shared" si="10"/>
        <v>11.570673295111314</v>
      </c>
      <c r="V62" s="17">
        <f t="shared" si="11"/>
        <v>2.2058735697456384E-2</v>
      </c>
      <c r="W62" s="16">
        <f t="shared" si="6"/>
        <v>79411.44851084298</v>
      </c>
      <c r="X62">
        <f>('Hybrid Info'!$A$2-Track!P62)*(L62-L61)*1000+X61</f>
        <v>2950.1634179003922</v>
      </c>
    </row>
    <row r="63" spans="1:24">
      <c r="A63" s="16">
        <f t="shared" si="7"/>
        <v>62</v>
      </c>
      <c r="B63" s="17">
        <f t="shared" si="8"/>
        <v>13.411199999999999</v>
      </c>
      <c r="C63" s="18">
        <f>Specification!$G$30</f>
        <v>109.96225200000001</v>
      </c>
      <c r="D63" s="17">
        <f>0.5*Specification!$K$4*Track!B63^2*Specification!$K$3*Specification!$K$2</f>
        <v>93.159842569492653</v>
      </c>
      <c r="E63" s="16">
        <v>0</v>
      </c>
      <c r="F63" s="17">
        <f>Specification!$C$23*9.81*SIN((E63*PI()/180))</f>
        <v>0</v>
      </c>
      <c r="G63" s="18">
        <f>IF(J63=1,VLOOKUP(K63,RPM!$E$2:$H$62,3,FALSE)-F63-E63-D63,IF(J63=2,VLOOKUP(K63,RPM!$H$2:$K$62,3,FALSE)-F63-E63-D63,IF(J63=3,VLOOKUP(K63,RPM!$K$2:$N$62,3,FALSE)-F63-E63-D63)))</f>
        <v>549.56217903827155</v>
      </c>
      <c r="H63" s="19">
        <f>IF(J63=1,Specification!$I$14,IF(J63=2,Specification!$I$15,IF(J63=3,Specification!$I$16)))</f>
        <v>578.93404261974786</v>
      </c>
      <c r="I63" s="16">
        <v>0</v>
      </c>
      <c r="J63" s="17">
        <v>3</v>
      </c>
      <c r="K63" s="16">
        <f>IF(J63=1,VLOOKUP(B63,RPM!$F$2:$H$62,3,TRUE),IF(J63=2,VLOOKUP(B63,RPM!$I$2:$K$62,3,TRUE),IF(J63=3,VLOOKUP(B63,RPM!$L$2:$N$62,3,TRUE))))</f>
        <v>4300</v>
      </c>
      <c r="L63" s="17">
        <f t="shared" si="3"/>
        <v>7.287907557327939</v>
      </c>
      <c r="M63" s="16">
        <f t="shared" si="4"/>
        <v>0</v>
      </c>
      <c r="N63" s="17">
        <f>VLOOKUP(K63,RPM!$A$2:$D$62,3,FALSE)</f>
        <v>11.4</v>
      </c>
      <c r="O63" s="16">
        <f>VLOOKUP(K63,RPM!$A$2:$D$62,4,FALSE)</f>
        <v>18.894837209302327</v>
      </c>
      <c r="P63" s="17">
        <f t="shared" si="0"/>
        <v>14.089880106976747</v>
      </c>
      <c r="Q63" s="16" cm="1">
        <f t="array" ref="Q63">_xlfn.XLOOKUP(O63,BSFC!$A$2:$A$24,_xlfn.XLOOKUP(K63,BSFC!$B$1:$O$1,BSFC!$B$2:$O$24,,-1),,-1)</f>
        <v>480</v>
      </c>
      <c r="R63" s="17">
        <f t="shared" si="1"/>
        <v>1.8786506809302328</v>
      </c>
      <c r="S63" s="16">
        <f t="shared" si="5"/>
        <v>2.9183485335177611E-4</v>
      </c>
      <c r="T63" s="17">
        <f t="shared" si="9"/>
        <v>0.14008072960885254</v>
      </c>
      <c r="U63" s="16">
        <f t="shared" si="10"/>
        <v>11.710754024720167</v>
      </c>
      <c r="V63" s="17">
        <f t="shared" si="11"/>
        <v>2.235057055080816E-2</v>
      </c>
      <c r="W63" s="16">
        <f t="shared" si="6"/>
        <v>80462.053982909376</v>
      </c>
      <c r="X63">
        <f>('Hybrid Info'!$A$2-Track!P63)*(L63-L62)*1000+X62</f>
        <v>2803.3141045509801</v>
      </c>
    </row>
    <row r="64" spans="1:24">
      <c r="A64" s="16">
        <f t="shared" si="7"/>
        <v>63</v>
      </c>
      <c r="B64" s="17">
        <f t="shared" si="8"/>
        <v>13.411199999999999</v>
      </c>
      <c r="C64" s="18">
        <f>Specification!$G$30</f>
        <v>109.96225200000001</v>
      </c>
      <c r="D64" s="17">
        <f>0.5*Specification!$K$4*Track!B64^2*Specification!$K$3*Specification!$K$2</f>
        <v>93.159842569492653</v>
      </c>
      <c r="E64" s="16">
        <v>0</v>
      </c>
      <c r="F64" s="17">
        <f>Specification!$C$23*9.81*SIN((E64*PI()/180))</f>
        <v>0</v>
      </c>
      <c r="G64" s="18">
        <f>IF(J64=1,VLOOKUP(K64,RPM!$E$2:$H$62,3,FALSE)-F64-E64-D64,IF(J64=2,VLOOKUP(K64,RPM!$H$2:$K$62,3,FALSE)-F64-E64-D64,IF(J64=3,VLOOKUP(K64,RPM!$K$2:$N$62,3,FALSE)-F64-E64-D64)))</f>
        <v>549.56217903827155</v>
      </c>
      <c r="H64" s="19">
        <f>IF(J64=1,Specification!$I$14,IF(J64=2,Specification!$I$15,IF(J64=3,Specification!$I$16)))</f>
        <v>578.93404261974786</v>
      </c>
      <c r="I64" s="16">
        <v>0</v>
      </c>
      <c r="J64" s="17">
        <v>3</v>
      </c>
      <c r="K64" s="16">
        <f>IF(J64=1,VLOOKUP(B64,RPM!$F$2:$H$62,3,TRUE),IF(J64=2,VLOOKUP(B64,RPM!$I$2:$K$62,3,TRUE),IF(J64=3,VLOOKUP(B64,RPM!$L$2:$N$62,3,TRUE))))</f>
        <v>4300</v>
      </c>
      <c r="L64" s="17">
        <f t="shared" si="3"/>
        <v>7.3624721003964195</v>
      </c>
      <c r="M64" s="16">
        <f t="shared" si="4"/>
        <v>0</v>
      </c>
      <c r="N64" s="17">
        <f>VLOOKUP(K64,RPM!$A$2:$D$62,3,FALSE)</f>
        <v>11.4</v>
      </c>
      <c r="O64" s="16">
        <f>VLOOKUP(K64,RPM!$A$2:$D$62,4,FALSE)</f>
        <v>18.894837209302327</v>
      </c>
      <c r="P64" s="17">
        <f t="shared" si="0"/>
        <v>14.089880106976747</v>
      </c>
      <c r="Q64" s="16" cm="1">
        <f t="array" ref="Q64">_xlfn.XLOOKUP(O64,BSFC!$A$2:$A$24,_xlfn.XLOOKUP(K64,BSFC!$B$1:$O$1,BSFC!$B$2:$O$24,,-1),,-1)</f>
        <v>480</v>
      </c>
      <c r="R64" s="17">
        <f t="shared" si="1"/>
        <v>1.8786506809302328</v>
      </c>
      <c r="S64" s="16">
        <f t="shared" si="5"/>
        <v>2.9183485335177611E-4</v>
      </c>
      <c r="T64" s="17">
        <f t="shared" si="9"/>
        <v>0.14008072960885254</v>
      </c>
      <c r="U64" s="16">
        <f t="shared" si="10"/>
        <v>11.85083475432902</v>
      </c>
      <c r="V64" s="17">
        <f t="shared" si="11"/>
        <v>2.2642405404159936E-2</v>
      </c>
      <c r="W64" s="16">
        <f t="shared" si="6"/>
        <v>81512.659454975757</v>
      </c>
      <c r="X64">
        <f>('Hybrid Info'!$A$2-Track!P64)*(L64-L63)*1000+X63</f>
        <v>2656.464791201568</v>
      </c>
    </row>
    <row r="65" spans="1:24">
      <c r="A65" s="16">
        <f t="shared" si="7"/>
        <v>64</v>
      </c>
      <c r="B65" s="17">
        <f t="shared" si="8"/>
        <v>13.411199999999999</v>
      </c>
      <c r="C65" s="18">
        <f>Specification!$G$30</f>
        <v>109.96225200000001</v>
      </c>
      <c r="D65" s="17">
        <f>0.5*Specification!$K$4*Track!B65^2*Specification!$K$3*Specification!$K$2</f>
        <v>93.159842569492653</v>
      </c>
      <c r="E65" s="16">
        <v>0</v>
      </c>
      <c r="F65" s="17">
        <f>Specification!$C$23*9.81*SIN((E65*PI()/180))</f>
        <v>0</v>
      </c>
      <c r="G65" s="18">
        <f>IF(J65=1,VLOOKUP(K65,RPM!$E$2:$H$62,3,FALSE)-F65-E65-D65,IF(J65=2,VLOOKUP(K65,RPM!$H$2:$K$62,3,FALSE)-F65-E65-D65,IF(J65=3,VLOOKUP(K65,RPM!$K$2:$N$62,3,FALSE)-F65-E65-D65)))</f>
        <v>549.56217903827155</v>
      </c>
      <c r="H65" s="19">
        <f>IF(J65=1,Specification!$I$14,IF(J65=2,Specification!$I$15,IF(J65=3,Specification!$I$16)))</f>
        <v>578.93404261974786</v>
      </c>
      <c r="I65" s="16">
        <v>0</v>
      </c>
      <c r="J65" s="17">
        <v>3</v>
      </c>
      <c r="K65" s="16">
        <f>IF(J65=1,VLOOKUP(B65,RPM!$F$2:$H$62,3,TRUE),IF(J65=2,VLOOKUP(B65,RPM!$I$2:$K$62,3,TRUE),IF(J65=3,VLOOKUP(B65,RPM!$L$2:$N$62,3,TRUE))))</f>
        <v>4300</v>
      </c>
      <c r="L65" s="17">
        <f t="shared" si="3"/>
        <v>7.4370366434649</v>
      </c>
      <c r="M65" s="16">
        <f t="shared" si="4"/>
        <v>0</v>
      </c>
      <c r="N65" s="17">
        <f>VLOOKUP(K65,RPM!$A$2:$D$62,3,FALSE)</f>
        <v>11.4</v>
      </c>
      <c r="O65" s="16">
        <f>VLOOKUP(K65,RPM!$A$2:$D$62,4,FALSE)</f>
        <v>18.894837209302327</v>
      </c>
      <c r="P65" s="17">
        <f t="shared" si="0"/>
        <v>14.089880106976747</v>
      </c>
      <c r="Q65" s="16" cm="1">
        <f t="array" ref="Q65">_xlfn.XLOOKUP(O65,BSFC!$A$2:$A$24,_xlfn.XLOOKUP(K65,BSFC!$B$1:$O$1,BSFC!$B$2:$O$24,,-1),,-1)</f>
        <v>480</v>
      </c>
      <c r="R65" s="17">
        <f t="shared" si="1"/>
        <v>1.8786506809302328</v>
      </c>
      <c r="S65" s="16">
        <f t="shared" si="5"/>
        <v>2.9183485335177611E-4</v>
      </c>
      <c r="T65" s="17">
        <f t="shared" si="9"/>
        <v>0.14008072960885254</v>
      </c>
      <c r="U65" s="16">
        <f t="shared" si="10"/>
        <v>11.990915483937872</v>
      </c>
      <c r="V65" s="17">
        <f t="shared" si="11"/>
        <v>2.2934240257511711E-2</v>
      </c>
      <c r="W65" s="16">
        <f t="shared" si="6"/>
        <v>82563.264927042153</v>
      </c>
      <c r="X65">
        <f>('Hybrid Info'!$A$2-Track!P65)*(L65-L64)*1000+X64</f>
        <v>2509.6154778521559</v>
      </c>
    </row>
    <row r="66" spans="1:24">
      <c r="A66" s="16">
        <f t="shared" si="7"/>
        <v>65</v>
      </c>
      <c r="B66" s="17">
        <f t="shared" si="8"/>
        <v>13.411199999999999</v>
      </c>
      <c r="C66" s="18">
        <f>Specification!$G$30</f>
        <v>109.96225200000001</v>
      </c>
      <c r="D66" s="17">
        <f>0.5*Specification!$K$4*Track!B66^2*Specification!$K$3*Specification!$K$2</f>
        <v>93.159842569492653</v>
      </c>
      <c r="E66" s="16">
        <v>0</v>
      </c>
      <c r="F66" s="17">
        <f>Specification!$C$23*9.81*SIN((E66*PI()/180))</f>
        <v>0</v>
      </c>
      <c r="G66" s="18">
        <f>IF(J66=1,VLOOKUP(K66,RPM!$E$2:$H$62,3,FALSE)-F66-E66-D66,IF(J66=2,VLOOKUP(K66,RPM!$H$2:$K$62,3,FALSE)-F66-E66-D66,IF(J66=3,VLOOKUP(K66,RPM!$K$2:$N$62,3,FALSE)-F66-E66-D66)))</f>
        <v>549.56217903827155</v>
      </c>
      <c r="H66" s="19">
        <f>IF(J66=1,Specification!$I$14,IF(J66=2,Specification!$I$15,IF(J66=3,Specification!$I$16)))</f>
        <v>578.93404261974786</v>
      </c>
      <c r="I66" s="16">
        <v>0</v>
      </c>
      <c r="J66" s="17">
        <v>3</v>
      </c>
      <c r="K66" s="16">
        <f>IF(J66=1,VLOOKUP(B66,RPM!$F$2:$H$62,3,TRUE),IF(J66=2,VLOOKUP(B66,RPM!$I$2:$K$62,3,TRUE),IF(J66=3,VLOOKUP(B66,RPM!$L$2:$N$62,3,TRUE))))</f>
        <v>4300</v>
      </c>
      <c r="L66" s="17">
        <f t="shared" si="3"/>
        <v>7.5116011865333805</v>
      </c>
      <c r="M66" s="16">
        <f t="shared" ref="M66:M129" si="12">TAN(E66*PI()/180)+M65</f>
        <v>0</v>
      </c>
      <c r="N66" s="17">
        <f>VLOOKUP(K66,RPM!$A$2:$D$62,3,FALSE)</f>
        <v>11.4</v>
      </c>
      <c r="O66" s="16">
        <f>VLOOKUP(K66,RPM!$A$2:$D$62,4,FALSE)</f>
        <v>18.894837209302327</v>
      </c>
      <c r="P66" s="17">
        <f t="shared" ref="P66:P129" si="13">O66*0.7457</f>
        <v>14.089880106976747</v>
      </c>
      <c r="Q66" s="16" cm="1">
        <f t="array" ref="Q66">_xlfn.XLOOKUP(O66,BSFC!$A$2:$A$24,_xlfn.XLOOKUP(K66,BSFC!$B$1:$O$1,BSFC!$B$2:$O$24,,-1),,-1)</f>
        <v>480</v>
      </c>
      <c r="R66" s="17">
        <f t="shared" ref="R66:R129" si="14">Q66*P66/3600</f>
        <v>1.8786506809302328</v>
      </c>
      <c r="S66" s="16">
        <f t="shared" si="5"/>
        <v>2.9183485335177611E-4</v>
      </c>
      <c r="T66" s="17">
        <f t="shared" si="9"/>
        <v>0.14008072960885254</v>
      </c>
      <c r="U66" s="16">
        <f t="shared" si="10"/>
        <v>12.130996213546725</v>
      </c>
      <c r="V66" s="17">
        <f t="shared" si="11"/>
        <v>2.3226075110863487E-2</v>
      </c>
      <c r="W66" s="16">
        <f t="shared" si="6"/>
        <v>83613.870399108549</v>
      </c>
      <c r="X66">
        <f>('Hybrid Info'!$A$2-Track!P66)*(L66-L65)*1000+X65</f>
        <v>2362.7661645027438</v>
      </c>
    </row>
    <row r="67" spans="1:24">
      <c r="A67" s="16">
        <f t="shared" si="7"/>
        <v>66</v>
      </c>
      <c r="B67" s="17">
        <f t="shared" si="8"/>
        <v>13.411199999999999</v>
      </c>
      <c r="C67" s="18">
        <f>Specification!$G$30</f>
        <v>109.96225200000001</v>
      </c>
      <c r="D67" s="17">
        <f>0.5*Specification!$K$4*Track!B67^2*Specification!$K$3*Specification!$K$2</f>
        <v>93.159842569492653</v>
      </c>
      <c r="E67" s="16">
        <v>0</v>
      </c>
      <c r="F67" s="17">
        <f>Specification!$C$23*9.81*SIN((E67*PI()/180))</f>
        <v>0</v>
      </c>
      <c r="G67" s="18">
        <f>IF(J67=1,VLOOKUP(K67,RPM!$E$2:$H$62,3,FALSE)-F67-E67-D67,IF(J67=2,VLOOKUP(K67,RPM!$H$2:$K$62,3,FALSE)-F67-E67-D67,IF(J67=3,VLOOKUP(K67,RPM!$K$2:$N$62,3,FALSE)-F67-E67-D67)))</f>
        <v>549.56217903827155</v>
      </c>
      <c r="H67" s="19">
        <f>IF(J67=1,Specification!$I$14,IF(J67=2,Specification!$I$15,IF(J67=3,Specification!$I$16)))</f>
        <v>578.93404261974786</v>
      </c>
      <c r="I67" s="16">
        <v>0</v>
      </c>
      <c r="J67" s="17">
        <v>3</v>
      </c>
      <c r="K67" s="16">
        <f>IF(J67=1,VLOOKUP(B67,RPM!$F$2:$H$62,3,TRUE),IF(J67=2,VLOOKUP(B67,RPM!$I$2:$K$62,3,TRUE),IF(J67=3,VLOOKUP(B67,RPM!$L$2:$N$62,3,TRUE))))</f>
        <v>4300</v>
      </c>
      <c r="L67" s="17">
        <f t="shared" ref="L67:L130" si="15">IF(I67=0,ABS(1/B67)+L66,IF(ABS(B68-B67)=0,1/B67+L66,ABS((B68-B67)/I67)+L66))</f>
        <v>7.586165729601861</v>
      </c>
      <c r="M67" s="16">
        <f t="shared" si="12"/>
        <v>0</v>
      </c>
      <c r="N67" s="17">
        <f>VLOOKUP(K67,RPM!$A$2:$D$62,3,FALSE)</f>
        <v>11.4</v>
      </c>
      <c r="O67" s="16">
        <f>VLOOKUP(K67,RPM!$A$2:$D$62,4,FALSE)</f>
        <v>18.894837209302327</v>
      </c>
      <c r="P67" s="17">
        <f t="shared" si="13"/>
        <v>14.089880106976747</v>
      </c>
      <c r="Q67" s="16" cm="1">
        <f t="array" ref="Q67">_xlfn.XLOOKUP(O67,BSFC!$A$2:$A$24,_xlfn.XLOOKUP(K67,BSFC!$B$1:$O$1,BSFC!$B$2:$O$24,,-1),,-1)</f>
        <v>480</v>
      </c>
      <c r="R67" s="17">
        <f t="shared" si="14"/>
        <v>1.8786506809302328</v>
      </c>
      <c r="S67" s="16">
        <f t="shared" ref="S67:S130" si="16">(L67-L66)/3600*P67</f>
        <v>2.9183485335177611E-4</v>
      </c>
      <c r="T67" s="17">
        <f t="shared" si="9"/>
        <v>0.14008072960885254</v>
      </c>
      <c r="U67" s="16">
        <f t="shared" si="10"/>
        <v>12.271076943155578</v>
      </c>
      <c r="V67" s="17">
        <f t="shared" si="11"/>
        <v>2.3517909964215263E-2</v>
      </c>
      <c r="W67" s="16">
        <f t="shared" ref="W67:W130" si="17">V67*1000*3600</f>
        <v>84664.475871174945</v>
      </c>
      <c r="X67">
        <f>('Hybrid Info'!$A$2-Track!P67)*(L67-L66)*1000+X66</f>
        <v>2215.9168511533317</v>
      </c>
    </row>
    <row r="68" spans="1:24">
      <c r="A68" s="16">
        <f t="shared" ref="A68:A131" si="18">A67+1</f>
        <v>67</v>
      </c>
      <c r="B68" s="17">
        <f t="shared" ref="B68:B131" si="19">IF(SQRT(B67^2+2*I67)&gt;13.4112,13.4112,SQRT(B67^2+2*I67))</f>
        <v>13.411199999999999</v>
      </c>
      <c r="C68" s="18">
        <f>Specification!$G$30</f>
        <v>109.96225200000001</v>
      </c>
      <c r="D68" s="17">
        <f>0.5*Specification!$K$4*Track!B68^2*Specification!$K$3*Specification!$K$2</f>
        <v>93.159842569492653</v>
      </c>
      <c r="E68" s="16">
        <v>0</v>
      </c>
      <c r="F68" s="17">
        <f>Specification!$C$23*9.81*SIN((E68*PI()/180))</f>
        <v>0</v>
      </c>
      <c r="G68" s="18">
        <f>IF(J68=1,VLOOKUP(K68,RPM!$E$2:$H$62,3,FALSE)-F68-E68-D68,IF(J68=2,VLOOKUP(K68,RPM!$H$2:$K$62,3,FALSE)-F68-E68-D68,IF(J68=3,VLOOKUP(K68,RPM!$K$2:$N$62,3,FALSE)-F68-E68-D68)))</f>
        <v>549.56217903827155</v>
      </c>
      <c r="H68" s="19">
        <f>IF(J68=1,Specification!$I$14,IF(J68=2,Specification!$I$15,IF(J68=3,Specification!$I$16)))</f>
        <v>578.93404261974786</v>
      </c>
      <c r="I68" s="16">
        <v>0</v>
      </c>
      <c r="J68" s="17">
        <v>3</v>
      </c>
      <c r="K68" s="16">
        <f>IF(J68=1,VLOOKUP(B68,RPM!$F$2:$H$62,3,TRUE),IF(J68=2,VLOOKUP(B68,RPM!$I$2:$K$62,3,TRUE),IF(J68=3,VLOOKUP(B68,RPM!$L$2:$N$62,3,TRUE))))</f>
        <v>4300</v>
      </c>
      <c r="L68" s="17">
        <f t="shared" si="15"/>
        <v>7.6607302726703415</v>
      </c>
      <c r="M68" s="16">
        <f t="shared" si="12"/>
        <v>0</v>
      </c>
      <c r="N68" s="17">
        <f>VLOOKUP(K68,RPM!$A$2:$D$62,3,FALSE)</f>
        <v>11.4</v>
      </c>
      <c r="O68" s="16">
        <f>VLOOKUP(K68,RPM!$A$2:$D$62,4,FALSE)</f>
        <v>18.894837209302327</v>
      </c>
      <c r="P68" s="17">
        <f t="shared" si="13"/>
        <v>14.089880106976747</v>
      </c>
      <c r="Q68" s="16" cm="1">
        <f t="array" ref="Q68">_xlfn.XLOOKUP(O68,BSFC!$A$2:$A$24,_xlfn.XLOOKUP(K68,BSFC!$B$1:$O$1,BSFC!$B$2:$O$24,,-1),,-1)</f>
        <v>480</v>
      </c>
      <c r="R68" s="17">
        <f t="shared" si="14"/>
        <v>1.8786506809302328</v>
      </c>
      <c r="S68" s="16">
        <f t="shared" si="16"/>
        <v>2.9183485335177611E-4</v>
      </c>
      <c r="T68" s="17">
        <f t="shared" ref="T68:T131" si="20">S68*Q68</f>
        <v>0.14008072960885254</v>
      </c>
      <c r="U68" s="16">
        <f t="shared" ref="U68:U131" si="21">U67+T68</f>
        <v>12.41115767276443</v>
      </c>
      <c r="V68" s="17">
        <f t="shared" si="11"/>
        <v>2.3809744817567039E-2</v>
      </c>
      <c r="W68" s="16">
        <f t="shared" si="17"/>
        <v>85715.081343241342</v>
      </c>
      <c r="X68">
        <f>('Hybrid Info'!$A$2-Track!P68)*(L68-L67)*1000+X67</f>
        <v>2069.0675378039195</v>
      </c>
    </row>
    <row r="69" spans="1:24">
      <c r="A69" s="16">
        <f t="shared" si="18"/>
        <v>68</v>
      </c>
      <c r="B69" s="17">
        <f t="shared" si="19"/>
        <v>13.411199999999999</v>
      </c>
      <c r="C69" s="18">
        <f>Specification!$G$30</f>
        <v>109.96225200000001</v>
      </c>
      <c r="D69" s="17">
        <f>0.5*Specification!$K$4*Track!B69^2*Specification!$K$3*Specification!$K$2</f>
        <v>93.159842569492653</v>
      </c>
      <c r="E69" s="16">
        <v>0</v>
      </c>
      <c r="F69" s="17">
        <f>Specification!$C$23*9.81*SIN((E69*PI()/180))</f>
        <v>0</v>
      </c>
      <c r="G69" s="18">
        <f>IF(J69=1,VLOOKUP(K69,RPM!$E$2:$H$62,3,FALSE)-F69-E69-D69,IF(J69=2,VLOOKUP(K69,RPM!$H$2:$K$62,3,FALSE)-F69-E69-D69,IF(J69=3,VLOOKUP(K69,RPM!$K$2:$N$62,3,FALSE)-F69-E69-D69)))</f>
        <v>549.56217903827155</v>
      </c>
      <c r="H69" s="19">
        <f>IF(J69=1,Specification!$I$14,IF(J69=2,Specification!$I$15,IF(J69=3,Specification!$I$16)))</f>
        <v>578.93404261974786</v>
      </c>
      <c r="I69" s="16">
        <v>0</v>
      </c>
      <c r="J69" s="17">
        <v>3</v>
      </c>
      <c r="K69" s="16">
        <f>IF(J69=1,VLOOKUP(B69,RPM!$F$2:$H$62,3,TRUE),IF(J69=2,VLOOKUP(B69,RPM!$I$2:$K$62,3,TRUE),IF(J69=3,VLOOKUP(B69,RPM!$L$2:$N$62,3,TRUE))))</f>
        <v>4300</v>
      </c>
      <c r="L69" s="17">
        <f t="shared" si="15"/>
        <v>7.7352948157388219</v>
      </c>
      <c r="M69" s="16">
        <f t="shared" si="12"/>
        <v>0</v>
      </c>
      <c r="N69" s="17">
        <f>VLOOKUP(K69,RPM!$A$2:$D$62,3,FALSE)</f>
        <v>11.4</v>
      </c>
      <c r="O69" s="16">
        <f>VLOOKUP(K69,RPM!$A$2:$D$62,4,FALSE)</f>
        <v>18.894837209302327</v>
      </c>
      <c r="P69" s="17">
        <f t="shared" si="13"/>
        <v>14.089880106976747</v>
      </c>
      <c r="Q69" s="16" cm="1">
        <f t="array" ref="Q69">_xlfn.XLOOKUP(O69,BSFC!$A$2:$A$24,_xlfn.XLOOKUP(K69,BSFC!$B$1:$O$1,BSFC!$B$2:$O$24,,-1),,-1)</f>
        <v>480</v>
      </c>
      <c r="R69" s="17">
        <f t="shared" si="14"/>
        <v>1.8786506809302328</v>
      </c>
      <c r="S69" s="16">
        <f t="shared" si="16"/>
        <v>2.9183485335177611E-4</v>
      </c>
      <c r="T69" s="17">
        <f t="shared" si="20"/>
        <v>0.14008072960885254</v>
      </c>
      <c r="U69" s="16">
        <f t="shared" si="21"/>
        <v>12.551238402373283</v>
      </c>
      <c r="V69" s="17">
        <f t="shared" ref="V69:V132" si="22">V68+S69</f>
        <v>2.4101579670918815E-2</v>
      </c>
      <c r="W69" s="16">
        <f t="shared" si="17"/>
        <v>86765.686815307738</v>
      </c>
      <c r="X69">
        <f>('Hybrid Info'!$A$2-Track!P69)*(L69-L68)*1000+X68</f>
        <v>1922.2182244545072</v>
      </c>
    </row>
    <row r="70" spans="1:24">
      <c r="A70" s="16">
        <f t="shared" si="18"/>
        <v>69</v>
      </c>
      <c r="B70" s="17">
        <f t="shared" si="19"/>
        <v>13.411199999999999</v>
      </c>
      <c r="C70" s="18">
        <f>Specification!$G$30</f>
        <v>109.96225200000001</v>
      </c>
      <c r="D70" s="17">
        <f>0.5*Specification!$K$4*Track!B70^2*Specification!$K$3*Specification!$K$2</f>
        <v>93.159842569492653</v>
      </c>
      <c r="E70" s="16">
        <v>0</v>
      </c>
      <c r="F70" s="17">
        <f>Specification!$C$23*9.81*SIN((E70*PI()/180))</f>
        <v>0</v>
      </c>
      <c r="G70" s="18">
        <f>IF(J70=1,VLOOKUP(K70,RPM!$E$2:$H$62,3,FALSE)-F70-E70-D70,IF(J70=2,VLOOKUP(K70,RPM!$H$2:$K$62,3,FALSE)-F70-E70-D70,IF(J70=3,VLOOKUP(K70,RPM!$K$2:$N$62,3,FALSE)-F70-E70-D70)))</f>
        <v>549.56217903827155</v>
      </c>
      <c r="H70" s="19">
        <f>IF(J70=1,Specification!$I$14,IF(J70=2,Specification!$I$15,IF(J70=3,Specification!$I$16)))</f>
        <v>578.93404261974786</v>
      </c>
      <c r="I70" s="16">
        <v>0</v>
      </c>
      <c r="J70" s="17">
        <v>3</v>
      </c>
      <c r="K70" s="16">
        <f>IF(J70=1,VLOOKUP(B70,RPM!$F$2:$H$62,3,TRUE),IF(J70=2,VLOOKUP(B70,RPM!$I$2:$K$62,3,TRUE),IF(J70=3,VLOOKUP(B70,RPM!$L$2:$N$62,3,TRUE))))</f>
        <v>4300</v>
      </c>
      <c r="L70" s="17">
        <f t="shared" si="15"/>
        <v>7.8098593588073024</v>
      </c>
      <c r="M70" s="16">
        <f t="shared" si="12"/>
        <v>0</v>
      </c>
      <c r="N70" s="17">
        <f>VLOOKUP(K70,RPM!$A$2:$D$62,3,FALSE)</f>
        <v>11.4</v>
      </c>
      <c r="O70" s="16">
        <f>VLOOKUP(K70,RPM!$A$2:$D$62,4,FALSE)</f>
        <v>18.894837209302327</v>
      </c>
      <c r="P70" s="17">
        <f t="shared" si="13"/>
        <v>14.089880106976747</v>
      </c>
      <c r="Q70" s="16" cm="1">
        <f t="array" ref="Q70">_xlfn.XLOOKUP(O70,BSFC!$A$2:$A$24,_xlfn.XLOOKUP(K70,BSFC!$B$1:$O$1,BSFC!$B$2:$O$24,,-1),,-1)</f>
        <v>480</v>
      </c>
      <c r="R70" s="17">
        <f t="shared" si="14"/>
        <v>1.8786506809302328</v>
      </c>
      <c r="S70" s="16">
        <f t="shared" si="16"/>
        <v>2.9183485335177611E-4</v>
      </c>
      <c r="T70" s="17">
        <f t="shared" si="20"/>
        <v>0.14008072960885254</v>
      </c>
      <c r="U70" s="16">
        <f t="shared" si="21"/>
        <v>12.691319131982135</v>
      </c>
      <c r="V70" s="17">
        <f t="shared" si="22"/>
        <v>2.4393414524270591E-2</v>
      </c>
      <c r="W70" s="16">
        <f t="shared" si="17"/>
        <v>87816.292287374119</v>
      </c>
      <c r="X70">
        <f>('Hybrid Info'!$A$2-Track!P70)*(L70-L69)*1000+X69</f>
        <v>1775.3689111050949</v>
      </c>
    </row>
    <row r="71" spans="1:24">
      <c r="A71" s="16">
        <f t="shared" si="18"/>
        <v>70</v>
      </c>
      <c r="B71" s="17">
        <f t="shared" si="19"/>
        <v>13.411199999999999</v>
      </c>
      <c r="C71" s="18">
        <f>Specification!$G$30</f>
        <v>109.96225200000001</v>
      </c>
      <c r="D71" s="17">
        <f>0.5*Specification!$K$4*Track!B71^2*Specification!$K$3*Specification!$K$2</f>
        <v>93.159842569492653</v>
      </c>
      <c r="E71" s="16">
        <v>0</v>
      </c>
      <c r="F71" s="17">
        <f>Specification!$C$23*9.81*SIN((E71*PI()/180))</f>
        <v>0</v>
      </c>
      <c r="G71" s="18">
        <f>IF(J71=1,VLOOKUP(K71,RPM!$E$2:$H$62,3,FALSE)-F71-E71-D71,IF(J71=2,VLOOKUP(K71,RPM!$H$2:$K$62,3,FALSE)-F71-E71-D71,IF(J71=3,VLOOKUP(K71,RPM!$K$2:$N$62,3,FALSE)-F71-E71-D71)))</f>
        <v>549.56217903827155</v>
      </c>
      <c r="H71" s="19">
        <f>IF(J71=1,Specification!$I$14,IF(J71=2,Specification!$I$15,IF(J71=3,Specification!$I$16)))</f>
        <v>578.93404261974786</v>
      </c>
      <c r="I71" s="16">
        <v>0</v>
      </c>
      <c r="J71" s="17">
        <v>3</v>
      </c>
      <c r="K71" s="16">
        <f>IF(J71=1,VLOOKUP(B71,RPM!$F$2:$H$62,3,TRUE),IF(J71=2,VLOOKUP(B71,RPM!$I$2:$K$62,3,TRUE),IF(J71=3,VLOOKUP(B71,RPM!$L$2:$N$62,3,TRUE))))</f>
        <v>4300</v>
      </c>
      <c r="L71" s="17">
        <f t="shared" si="15"/>
        <v>7.8844239018757829</v>
      </c>
      <c r="M71" s="16">
        <f t="shared" si="12"/>
        <v>0</v>
      </c>
      <c r="N71" s="17">
        <f>VLOOKUP(K71,RPM!$A$2:$D$62,3,FALSE)</f>
        <v>11.4</v>
      </c>
      <c r="O71" s="16">
        <f>VLOOKUP(K71,RPM!$A$2:$D$62,4,FALSE)</f>
        <v>18.894837209302327</v>
      </c>
      <c r="P71" s="17">
        <f t="shared" si="13"/>
        <v>14.089880106976747</v>
      </c>
      <c r="Q71" s="16" cm="1">
        <f t="array" ref="Q71">_xlfn.XLOOKUP(O71,BSFC!$A$2:$A$24,_xlfn.XLOOKUP(K71,BSFC!$B$1:$O$1,BSFC!$B$2:$O$24,,-1),,-1)</f>
        <v>480</v>
      </c>
      <c r="R71" s="17">
        <f t="shared" si="14"/>
        <v>1.8786506809302328</v>
      </c>
      <c r="S71" s="16">
        <f t="shared" si="16"/>
        <v>2.9183485335177611E-4</v>
      </c>
      <c r="T71" s="17">
        <f t="shared" si="20"/>
        <v>0.14008072960885254</v>
      </c>
      <c r="U71" s="16">
        <f t="shared" si="21"/>
        <v>12.831399861590988</v>
      </c>
      <c r="V71" s="17">
        <f t="shared" si="22"/>
        <v>2.4685249377622367E-2</v>
      </c>
      <c r="W71" s="16">
        <f t="shared" si="17"/>
        <v>88866.897759440515</v>
      </c>
      <c r="X71">
        <f>('Hybrid Info'!$A$2-Track!P71)*(L71-L70)*1000+X70</f>
        <v>1628.5195977556825</v>
      </c>
    </row>
    <row r="72" spans="1:24">
      <c r="A72" s="16">
        <f t="shared" si="18"/>
        <v>71</v>
      </c>
      <c r="B72" s="17">
        <f t="shared" si="19"/>
        <v>13.411199999999999</v>
      </c>
      <c r="C72" s="18">
        <f>Specification!$G$30</f>
        <v>109.96225200000001</v>
      </c>
      <c r="D72" s="17">
        <f>0.5*Specification!$K$4*Track!B72^2*Specification!$K$3*Specification!$K$2</f>
        <v>93.159842569492653</v>
      </c>
      <c r="E72" s="16">
        <v>0</v>
      </c>
      <c r="F72" s="17">
        <f>Specification!$C$23*9.81*SIN((E72*PI()/180))</f>
        <v>0</v>
      </c>
      <c r="G72" s="18">
        <f>IF(J72=1,VLOOKUP(K72,RPM!$E$2:$H$62,3,FALSE)-F72-E72-D72,IF(J72=2,VLOOKUP(K72,RPM!$H$2:$K$62,3,FALSE)-F72-E72-D72,IF(J72=3,VLOOKUP(K72,RPM!$K$2:$N$62,3,FALSE)-F72-E72-D72)))</f>
        <v>549.56217903827155</v>
      </c>
      <c r="H72" s="19">
        <f>IF(J72=1,Specification!$I$14,IF(J72=2,Specification!$I$15,IF(J72=3,Specification!$I$16)))</f>
        <v>578.93404261974786</v>
      </c>
      <c r="I72" s="16">
        <v>0</v>
      </c>
      <c r="J72" s="17">
        <v>3</v>
      </c>
      <c r="K72" s="16">
        <f>IF(J72=1,VLOOKUP(B72,RPM!$F$2:$H$62,3,TRUE),IF(J72=2,VLOOKUP(B72,RPM!$I$2:$K$62,3,TRUE),IF(J72=3,VLOOKUP(B72,RPM!$L$2:$N$62,3,TRUE))))</f>
        <v>4300</v>
      </c>
      <c r="L72" s="17">
        <f t="shared" si="15"/>
        <v>7.9589884449442634</v>
      </c>
      <c r="M72" s="16">
        <f t="shared" si="12"/>
        <v>0</v>
      </c>
      <c r="N72" s="17">
        <f>VLOOKUP(K72,RPM!$A$2:$D$62,3,FALSE)</f>
        <v>11.4</v>
      </c>
      <c r="O72" s="16">
        <f>VLOOKUP(K72,RPM!$A$2:$D$62,4,FALSE)</f>
        <v>18.894837209302327</v>
      </c>
      <c r="P72" s="17">
        <f t="shared" si="13"/>
        <v>14.089880106976747</v>
      </c>
      <c r="Q72" s="16" cm="1">
        <f t="array" ref="Q72">_xlfn.XLOOKUP(O72,BSFC!$A$2:$A$24,_xlfn.XLOOKUP(K72,BSFC!$B$1:$O$1,BSFC!$B$2:$O$24,,-1),,-1)</f>
        <v>480</v>
      </c>
      <c r="R72" s="17">
        <f t="shared" si="14"/>
        <v>1.8786506809302328</v>
      </c>
      <c r="S72" s="16">
        <f t="shared" si="16"/>
        <v>2.9183485335177611E-4</v>
      </c>
      <c r="T72" s="17">
        <f t="shared" si="20"/>
        <v>0.14008072960885254</v>
      </c>
      <c r="U72" s="16">
        <f t="shared" si="21"/>
        <v>12.971480591199841</v>
      </c>
      <c r="V72" s="17">
        <f t="shared" si="22"/>
        <v>2.4977084230974143E-2</v>
      </c>
      <c r="W72" s="16">
        <f t="shared" si="17"/>
        <v>89917.503231506911</v>
      </c>
      <c r="X72">
        <f>('Hybrid Info'!$A$2-Track!P72)*(L72-L71)*1000+X71</f>
        <v>1481.6702844062702</v>
      </c>
    </row>
    <row r="73" spans="1:24">
      <c r="A73" s="16">
        <f t="shared" si="18"/>
        <v>72</v>
      </c>
      <c r="B73" s="17">
        <f t="shared" si="19"/>
        <v>13.411199999999999</v>
      </c>
      <c r="C73" s="18">
        <f>Specification!$G$30</f>
        <v>109.96225200000001</v>
      </c>
      <c r="D73" s="17">
        <f>0.5*Specification!$K$4*Track!B73^2*Specification!$K$3*Specification!$K$2</f>
        <v>93.159842569492653</v>
      </c>
      <c r="E73" s="16">
        <v>0</v>
      </c>
      <c r="F73" s="17">
        <f>Specification!$C$23*9.81*SIN((E73*PI()/180))</f>
        <v>0</v>
      </c>
      <c r="G73" s="18">
        <f>IF(J73=1,VLOOKUP(K73,RPM!$E$2:$H$62,3,FALSE)-F73-E73-D73,IF(J73=2,VLOOKUP(K73,RPM!$H$2:$K$62,3,FALSE)-F73-E73-D73,IF(J73=3,VLOOKUP(K73,RPM!$K$2:$N$62,3,FALSE)-F73-E73-D73)))</f>
        <v>549.56217903827155</v>
      </c>
      <c r="H73" s="19">
        <f>IF(J73=1,Specification!$I$14,IF(J73=2,Specification!$I$15,IF(J73=3,Specification!$I$16)))</f>
        <v>578.93404261974786</v>
      </c>
      <c r="I73" s="16">
        <v>0</v>
      </c>
      <c r="J73" s="17">
        <v>3</v>
      </c>
      <c r="K73" s="16">
        <f>IF(J73=1,VLOOKUP(B73,RPM!$F$2:$H$62,3,TRUE),IF(J73=2,VLOOKUP(B73,RPM!$I$2:$K$62,3,TRUE),IF(J73=3,VLOOKUP(B73,RPM!$L$2:$N$62,3,TRUE))))</f>
        <v>4300</v>
      </c>
      <c r="L73" s="17">
        <f t="shared" si="15"/>
        <v>8.0335529880127439</v>
      </c>
      <c r="M73" s="16">
        <f t="shared" si="12"/>
        <v>0</v>
      </c>
      <c r="N73" s="17">
        <f>VLOOKUP(K73,RPM!$A$2:$D$62,3,FALSE)</f>
        <v>11.4</v>
      </c>
      <c r="O73" s="16">
        <f>VLOOKUP(K73,RPM!$A$2:$D$62,4,FALSE)</f>
        <v>18.894837209302327</v>
      </c>
      <c r="P73" s="17">
        <f t="shared" si="13"/>
        <v>14.089880106976747</v>
      </c>
      <c r="Q73" s="16" cm="1">
        <f t="array" ref="Q73">_xlfn.XLOOKUP(O73,BSFC!$A$2:$A$24,_xlfn.XLOOKUP(K73,BSFC!$B$1:$O$1,BSFC!$B$2:$O$24,,-1),,-1)</f>
        <v>480</v>
      </c>
      <c r="R73" s="17">
        <f t="shared" si="14"/>
        <v>1.8786506809302328</v>
      </c>
      <c r="S73" s="16">
        <f t="shared" si="16"/>
        <v>2.9183485335177611E-4</v>
      </c>
      <c r="T73" s="17">
        <f t="shared" si="20"/>
        <v>0.14008072960885254</v>
      </c>
      <c r="U73" s="16">
        <f t="shared" si="21"/>
        <v>13.111561320808693</v>
      </c>
      <c r="V73" s="17">
        <f t="shared" si="22"/>
        <v>2.5268919084325919E-2</v>
      </c>
      <c r="W73" s="16">
        <f t="shared" si="17"/>
        <v>90968.108703573307</v>
      </c>
      <c r="X73">
        <f>('Hybrid Info'!$A$2-Track!P73)*(L73-L72)*1000+X72</f>
        <v>1334.8209710568578</v>
      </c>
    </row>
    <row r="74" spans="1:24">
      <c r="A74" s="16">
        <f t="shared" si="18"/>
        <v>73</v>
      </c>
      <c r="B74" s="17">
        <f t="shared" si="19"/>
        <v>13.411199999999999</v>
      </c>
      <c r="C74" s="18">
        <f>Specification!$G$30</f>
        <v>109.96225200000001</v>
      </c>
      <c r="D74" s="17">
        <f>0.5*Specification!$K$4*Track!B74^2*Specification!$K$3*Specification!$K$2</f>
        <v>93.159842569492653</v>
      </c>
      <c r="E74" s="16">
        <v>0</v>
      </c>
      <c r="F74" s="17">
        <f>Specification!$C$23*9.81*SIN((E74*PI()/180))</f>
        <v>0</v>
      </c>
      <c r="G74" s="18">
        <f>IF(J74=1,VLOOKUP(K74,RPM!$E$2:$H$62,3,FALSE)-F74-E74-D74,IF(J74=2,VLOOKUP(K74,RPM!$H$2:$K$62,3,FALSE)-F74-E74-D74,IF(J74=3,VLOOKUP(K74,RPM!$K$2:$N$62,3,FALSE)-F74-E74-D74)))</f>
        <v>549.56217903827155</v>
      </c>
      <c r="H74" s="19">
        <f>IF(J74=1,Specification!$I$14,IF(J74=2,Specification!$I$15,IF(J74=3,Specification!$I$16)))</f>
        <v>578.93404261974786</v>
      </c>
      <c r="I74" s="16">
        <v>0</v>
      </c>
      <c r="J74" s="17">
        <v>3</v>
      </c>
      <c r="K74" s="16">
        <f>IF(J74=1,VLOOKUP(B74,RPM!$F$2:$H$62,3,TRUE),IF(J74=2,VLOOKUP(B74,RPM!$I$2:$K$62,3,TRUE),IF(J74=3,VLOOKUP(B74,RPM!$L$2:$N$62,3,TRUE))))</f>
        <v>4300</v>
      </c>
      <c r="L74" s="17">
        <f t="shared" si="15"/>
        <v>8.1081175310812235</v>
      </c>
      <c r="M74" s="16">
        <f t="shared" si="12"/>
        <v>0</v>
      </c>
      <c r="N74" s="17">
        <f>VLOOKUP(K74,RPM!$A$2:$D$62,3,FALSE)</f>
        <v>11.4</v>
      </c>
      <c r="O74" s="16">
        <f>VLOOKUP(K74,RPM!$A$2:$D$62,4,FALSE)</f>
        <v>18.894837209302327</v>
      </c>
      <c r="P74" s="17">
        <f t="shared" si="13"/>
        <v>14.089880106976747</v>
      </c>
      <c r="Q74" s="16" cm="1">
        <f t="array" ref="Q74">_xlfn.XLOOKUP(O74,BSFC!$A$2:$A$24,_xlfn.XLOOKUP(K74,BSFC!$B$1:$O$1,BSFC!$B$2:$O$24,,-1),,-1)</f>
        <v>480</v>
      </c>
      <c r="R74" s="17">
        <f t="shared" si="14"/>
        <v>1.8786506809302328</v>
      </c>
      <c r="S74" s="16">
        <f t="shared" si="16"/>
        <v>2.9183485335177264E-4</v>
      </c>
      <c r="T74" s="17">
        <f t="shared" si="20"/>
        <v>0.14008072960885087</v>
      </c>
      <c r="U74" s="16">
        <f t="shared" si="21"/>
        <v>13.251642050417544</v>
      </c>
      <c r="V74" s="17">
        <f t="shared" si="22"/>
        <v>2.5560753937677691E-2</v>
      </c>
      <c r="W74" s="16">
        <f t="shared" si="17"/>
        <v>92018.714175639689</v>
      </c>
      <c r="X74">
        <f>('Hybrid Info'!$A$2-Track!P74)*(L74-L73)*1000+X73</f>
        <v>1187.9716577074473</v>
      </c>
    </row>
    <row r="75" spans="1:24">
      <c r="A75" s="16">
        <f t="shared" si="18"/>
        <v>74</v>
      </c>
      <c r="B75" s="17">
        <f t="shared" si="19"/>
        <v>13.411199999999999</v>
      </c>
      <c r="C75" s="18">
        <f>Specification!$G$30</f>
        <v>109.96225200000001</v>
      </c>
      <c r="D75" s="17">
        <f>0.5*Specification!$K$4*Track!B75^2*Specification!$K$3*Specification!$K$2</f>
        <v>93.159842569492653</v>
      </c>
      <c r="E75" s="16">
        <v>0</v>
      </c>
      <c r="F75" s="17">
        <f>Specification!$C$23*9.81*SIN((E75*PI()/180))</f>
        <v>0</v>
      </c>
      <c r="G75" s="18">
        <f>IF(J75=1,VLOOKUP(K75,RPM!$E$2:$H$62,3,FALSE)-F75-E75-D75,IF(J75=2,VLOOKUP(K75,RPM!$H$2:$K$62,3,FALSE)-F75-E75-D75,IF(J75=3,VLOOKUP(K75,RPM!$K$2:$N$62,3,FALSE)-F75-E75-D75)))</f>
        <v>549.56217903827155</v>
      </c>
      <c r="H75" s="19">
        <f>IF(J75=1,Specification!$I$14,IF(J75=2,Specification!$I$15,IF(J75=3,Specification!$I$16)))</f>
        <v>578.93404261974786</v>
      </c>
      <c r="I75" s="16">
        <v>0</v>
      </c>
      <c r="J75" s="17">
        <v>3</v>
      </c>
      <c r="K75" s="16">
        <f>IF(J75=1,VLOOKUP(B75,RPM!$F$2:$H$62,3,TRUE),IF(J75=2,VLOOKUP(B75,RPM!$I$2:$K$62,3,TRUE),IF(J75=3,VLOOKUP(B75,RPM!$L$2:$N$62,3,TRUE))))</f>
        <v>4300</v>
      </c>
      <c r="L75" s="17">
        <f t="shared" si="15"/>
        <v>8.1826820741497031</v>
      </c>
      <c r="M75" s="16">
        <f t="shared" si="12"/>
        <v>0</v>
      </c>
      <c r="N75" s="17">
        <f>VLOOKUP(K75,RPM!$A$2:$D$62,3,FALSE)</f>
        <v>11.4</v>
      </c>
      <c r="O75" s="16">
        <f>VLOOKUP(K75,RPM!$A$2:$D$62,4,FALSE)</f>
        <v>18.894837209302327</v>
      </c>
      <c r="P75" s="17">
        <f t="shared" si="13"/>
        <v>14.089880106976747</v>
      </c>
      <c r="Q75" s="16" cm="1">
        <f t="array" ref="Q75">_xlfn.XLOOKUP(O75,BSFC!$A$2:$A$24,_xlfn.XLOOKUP(K75,BSFC!$B$1:$O$1,BSFC!$B$2:$O$24,,-1),,-1)</f>
        <v>480</v>
      </c>
      <c r="R75" s="17">
        <f t="shared" si="14"/>
        <v>1.8786506809302328</v>
      </c>
      <c r="S75" s="16">
        <f t="shared" si="16"/>
        <v>2.9183485335177264E-4</v>
      </c>
      <c r="T75" s="17">
        <f t="shared" si="20"/>
        <v>0.14008072960885087</v>
      </c>
      <c r="U75" s="16">
        <f t="shared" si="21"/>
        <v>13.391722780026395</v>
      </c>
      <c r="V75" s="17">
        <f t="shared" si="22"/>
        <v>2.5852588791029463E-2</v>
      </c>
      <c r="W75" s="16">
        <f t="shared" si="17"/>
        <v>93069.31964770607</v>
      </c>
      <c r="X75">
        <f>('Hybrid Info'!$A$2-Track!P75)*(L75-L74)*1000+X74</f>
        <v>1041.1223443580368</v>
      </c>
    </row>
    <row r="76" spans="1:24">
      <c r="A76" s="16">
        <f t="shared" si="18"/>
        <v>75</v>
      </c>
      <c r="B76" s="17">
        <f t="shared" si="19"/>
        <v>13.411199999999999</v>
      </c>
      <c r="C76" s="18">
        <f>Specification!$G$30</f>
        <v>109.96225200000001</v>
      </c>
      <c r="D76" s="17">
        <f>0.5*Specification!$K$4*Track!B76^2*Specification!$K$3*Specification!$K$2</f>
        <v>93.159842569492653</v>
      </c>
      <c r="E76" s="16">
        <v>0</v>
      </c>
      <c r="F76" s="17">
        <f>Specification!$C$23*9.81*SIN((E76*PI()/180))</f>
        <v>0</v>
      </c>
      <c r="G76" s="18">
        <f>IF(J76=1,VLOOKUP(K76,RPM!$E$2:$H$62,3,FALSE)-F76-E76-D76,IF(J76=2,VLOOKUP(K76,RPM!$H$2:$K$62,3,FALSE)-F76-E76-D76,IF(J76=3,VLOOKUP(K76,RPM!$K$2:$N$62,3,FALSE)-F76-E76-D76)))</f>
        <v>549.56217903827155</v>
      </c>
      <c r="H76" s="19">
        <f>IF(J76=1,Specification!$I$14,IF(J76=2,Specification!$I$15,IF(J76=3,Specification!$I$16)))</f>
        <v>578.93404261974786</v>
      </c>
      <c r="I76" s="16">
        <v>0</v>
      </c>
      <c r="J76" s="17">
        <v>3</v>
      </c>
      <c r="K76" s="16">
        <f>IF(J76=1,VLOOKUP(B76,RPM!$F$2:$H$62,3,TRUE),IF(J76=2,VLOOKUP(B76,RPM!$I$2:$K$62,3,TRUE),IF(J76=3,VLOOKUP(B76,RPM!$L$2:$N$62,3,TRUE))))</f>
        <v>4300</v>
      </c>
      <c r="L76" s="17">
        <f t="shared" si="15"/>
        <v>8.2572466172181826</v>
      </c>
      <c r="M76" s="16">
        <f t="shared" si="12"/>
        <v>0</v>
      </c>
      <c r="N76" s="17">
        <f>VLOOKUP(K76,RPM!$A$2:$D$62,3,FALSE)</f>
        <v>11.4</v>
      </c>
      <c r="O76" s="16">
        <f>VLOOKUP(K76,RPM!$A$2:$D$62,4,FALSE)</f>
        <v>18.894837209302327</v>
      </c>
      <c r="P76" s="17">
        <f t="shared" si="13"/>
        <v>14.089880106976747</v>
      </c>
      <c r="Q76" s="16" cm="1">
        <f t="array" ref="Q76">_xlfn.XLOOKUP(O76,BSFC!$A$2:$A$24,_xlfn.XLOOKUP(K76,BSFC!$B$1:$O$1,BSFC!$B$2:$O$24,,-1),,-1)</f>
        <v>480</v>
      </c>
      <c r="R76" s="17">
        <f t="shared" si="14"/>
        <v>1.8786506809302328</v>
      </c>
      <c r="S76" s="16">
        <f t="shared" si="16"/>
        <v>2.9183485335177264E-4</v>
      </c>
      <c r="T76" s="17">
        <f t="shared" si="20"/>
        <v>0.14008072960885087</v>
      </c>
      <c r="U76" s="16">
        <f t="shared" si="21"/>
        <v>13.531803509635246</v>
      </c>
      <c r="V76" s="17">
        <f t="shared" si="22"/>
        <v>2.6144423644381236E-2</v>
      </c>
      <c r="W76" s="16">
        <f t="shared" si="17"/>
        <v>94119.925119772437</v>
      </c>
      <c r="X76">
        <f>('Hybrid Info'!$A$2-Track!P76)*(L76-L75)*1000+X75</f>
        <v>894.27303100862628</v>
      </c>
    </row>
    <row r="77" spans="1:24">
      <c r="A77" s="16">
        <f t="shared" si="18"/>
        <v>76</v>
      </c>
      <c r="B77" s="17">
        <f t="shared" si="19"/>
        <v>13.411199999999999</v>
      </c>
      <c r="C77" s="18">
        <f>Specification!$G$30</f>
        <v>109.96225200000001</v>
      </c>
      <c r="D77" s="17">
        <f>0.5*Specification!$K$4*Track!B77^2*Specification!$K$3*Specification!$K$2</f>
        <v>93.159842569492653</v>
      </c>
      <c r="E77" s="16">
        <v>0</v>
      </c>
      <c r="F77" s="17">
        <f>Specification!$C$23*9.81*SIN((E77*PI()/180))</f>
        <v>0</v>
      </c>
      <c r="G77" s="18">
        <f>IF(J77=1,VLOOKUP(K77,RPM!$E$2:$H$62,3,FALSE)-F77-E77-D77,IF(J77=2,VLOOKUP(K77,RPM!$H$2:$K$62,3,FALSE)-F77-E77-D77,IF(J77=3,VLOOKUP(K77,RPM!$K$2:$N$62,3,FALSE)-F77-E77-D77)))</f>
        <v>549.56217903827155</v>
      </c>
      <c r="H77" s="19">
        <f>IF(J77=1,Specification!$I$14,IF(J77=2,Specification!$I$15,IF(J77=3,Specification!$I$16)))</f>
        <v>578.93404261974786</v>
      </c>
      <c r="I77" s="16">
        <v>0</v>
      </c>
      <c r="J77" s="17">
        <v>3</v>
      </c>
      <c r="K77" s="16">
        <f>IF(J77=1,VLOOKUP(B77,RPM!$F$2:$H$62,3,TRUE),IF(J77=2,VLOOKUP(B77,RPM!$I$2:$K$62,3,TRUE),IF(J77=3,VLOOKUP(B77,RPM!$L$2:$N$62,3,TRUE))))</f>
        <v>4300</v>
      </c>
      <c r="L77" s="17">
        <f t="shared" si="15"/>
        <v>8.3318111602866622</v>
      </c>
      <c r="M77" s="16">
        <f t="shared" si="12"/>
        <v>0</v>
      </c>
      <c r="N77" s="17">
        <f>VLOOKUP(K77,RPM!$A$2:$D$62,3,FALSE)</f>
        <v>11.4</v>
      </c>
      <c r="O77" s="16">
        <f>VLOOKUP(K77,RPM!$A$2:$D$62,4,FALSE)</f>
        <v>18.894837209302327</v>
      </c>
      <c r="P77" s="17">
        <f t="shared" si="13"/>
        <v>14.089880106976747</v>
      </c>
      <c r="Q77" s="16" cm="1">
        <f t="array" ref="Q77">_xlfn.XLOOKUP(O77,BSFC!$A$2:$A$24,_xlfn.XLOOKUP(K77,BSFC!$B$1:$O$1,BSFC!$B$2:$O$24,,-1),,-1)</f>
        <v>480</v>
      </c>
      <c r="R77" s="17">
        <f t="shared" si="14"/>
        <v>1.8786506809302328</v>
      </c>
      <c r="S77" s="16">
        <f t="shared" si="16"/>
        <v>2.9183485335177264E-4</v>
      </c>
      <c r="T77" s="17">
        <f t="shared" si="20"/>
        <v>0.14008072960885087</v>
      </c>
      <c r="U77" s="16">
        <f t="shared" si="21"/>
        <v>13.671884239244097</v>
      </c>
      <c r="V77" s="17">
        <f t="shared" si="22"/>
        <v>2.6436258497733008E-2</v>
      </c>
      <c r="W77" s="16">
        <f t="shared" si="17"/>
        <v>95170.530591838833</v>
      </c>
      <c r="X77">
        <f>('Hybrid Info'!$A$2-Track!P77)*(L77-L76)*1000+X76</f>
        <v>747.42371765921575</v>
      </c>
    </row>
    <row r="78" spans="1:24">
      <c r="A78" s="16">
        <f t="shared" si="18"/>
        <v>77</v>
      </c>
      <c r="B78" s="17">
        <f t="shared" si="19"/>
        <v>13.411199999999999</v>
      </c>
      <c r="C78" s="18">
        <f>Specification!$G$30</f>
        <v>109.96225200000001</v>
      </c>
      <c r="D78" s="17">
        <f>0.5*Specification!$K$4*Track!B78^2*Specification!$K$3*Specification!$K$2</f>
        <v>93.159842569492653</v>
      </c>
      <c r="E78" s="16">
        <v>0</v>
      </c>
      <c r="F78" s="17">
        <f>Specification!$C$23*9.81*SIN((E78*PI()/180))</f>
        <v>0</v>
      </c>
      <c r="G78" s="18">
        <f>IF(J78=1,VLOOKUP(K78,RPM!$E$2:$H$62,3,FALSE)-F78-E78-D78,IF(J78=2,VLOOKUP(K78,RPM!$H$2:$K$62,3,FALSE)-F78-E78-D78,IF(J78=3,VLOOKUP(K78,RPM!$K$2:$N$62,3,FALSE)-F78-E78-D78)))</f>
        <v>549.56217903827155</v>
      </c>
      <c r="H78" s="19">
        <f>IF(J78=1,Specification!$I$14,IF(J78=2,Specification!$I$15,IF(J78=3,Specification!$I$16)))</f>
        <v>578.93404261974786</v>
      </c>
      <c r="I78" s="16">
        <v>0</v>
      </c>
      <c r="J78" s="17">
        <v>3</v>
      </c>
      <c r="K78" s="16">
        <f>IF(J78=1,VLOOKUP(B78,RPM!$F$2:$H$62,3,TRUE),IF(J78=2,VLOOKUP(B78,RPM!$I$2:$K$62,3,TRUE),IF(J78=3,VLOOKUP(B78,RPM!$L$2:$N$62,3,TRUE))))</f>
        <v>4300</v>
      </c>
      <c r="L78" s="17">
        <f t="shared" si="15"/>
        <v>8.4063757033551418</v>
      </c>
      <c r="M78" s="16">
        <f t="shared" si="12"/>
        <v>0</v>
      </c>
      <c r="N78" s="17">
        <f>VLOOKUP(K78,RPM!$A$2:$D$62,3,FALSE)</f>
        <v>11.4</v>
      </c>
      <c r="O78" s="16">
        <f>VLOOKUP(K78,RPM!$A$2:$D$62,4,FALSE)</f>
        <v>18.894837209302327</v>
      </c>
      <c r="P78" s="17">
        <f t="shared" si="13"/>
        <v>14.089880106976747</v>
      </c>
      <c r="Q78" s="16" cm="1">
        <f t="array" ref="Q78">_xlfn.XLOOKUP(O78,BSFC!$A$2:$A$24,_xlfn.XLOOKUP(K78,BSFC!$B$1:$O$1,BSFC!$B$2:$O$24,,-1),,-1)</f>
        <v>480</v>
      </c>
      <c r="R78" s="17">
        <f t="shared" si="14"/>
        <v>1.8786506809302328</v>
      </c>
      <c r="S78" s="16">
        <f t="shared" si="16"/>
        <v>2.9183485335177264E-4</v>
      </c>
      <c r="T78" s="17">
        <f t="shared" si="20"/>
        <v>0.14008072960885087</v>
      </c>
      <c r="U78" s="16">
        <f t="shared" si="21"/>
        <v>13.811964968852948</v>
      </c>
      <c r="V78" s="17">
        <f t="shared" si="22"/>
        <v>2.6728093351084781E-2</v>
      </c>
      <c r="W78" s="16">
        <f t="shared" si="17"/>
        <v>96221.136063905215</v>
      </c>
      <c r="X78">
        <f>('Hybrid Info'!$A$2-Track!P78)*(L78-L77)*1000+X77</f>
        <v>600.57440430980523</v>
      </c>
    </row>
    <row r="79" spans="1:24">
      <c r="A79" s="16">
        <f t="shared" si="18"/>
        <v>78</v>
      </c>
      <c r="B79" s="17">
        <f t="shared" si="19"/>
        <v>13.411199999999999</v>
      </c>
      <c r="C79" s="18">
        <f>Specification!$G$30</f>
        <v>109.96225200000001</v>
      </c>
      <c r="D79" s="17">
        <f>0.5*Specification!$K$4*Track!B79^2*Specification!$K$3*Specification!$K$2</f>
        <v>93.159842569492653</v>
      </c>
      <c r="E79" s="16">
        <v>0</v>
      </c>
      <c r="F79" s="17">
        <f>Specification!$C$23*9.81*SIN((E79*PI()/180))</f>
        <v>0</v>
      </c>
      <c r="G79" s="18">
        <f>IF(J79=1,VLOOKUP(K79,RPM!$E$2:$H$62,3,FALSE)-F79-E79-D79,IF(J79=2,VLOOKUP(K79,RPM!$H$2:$K$62,3,FALSE)-F79-E79-D79,IF(J79=3,VLOOKUP(K79,RPM!$K$2:$N$62,3,FALSE)-F79-E79-D79)))</f>
        <v>549.56217903827155</v>
      </c>
      <c r="H79" s="19">
        <f>IF(J79=1,Specification!$I$14,IF(J79=2,Specification!$I$15,IF(J79=3,Specification!$I$16)))</f>
        <v>578.93404261974786</v>
      </c>
      <c r="I79" s="16">
        <v>0</v>
      </c>
      <c r="J79" s="17">
        <v>3</v>
      </c>
      <c r="K79" s="16">
        <f>IF(J79=1,VLOOKUP(B79,RPM!$F$2:$H$62,3,TRUE),IF(J79=2,VLOOKUP(B79,RPM!$I$2:$K$62,3,TRUE),IF(J79=3,VLOOKUP(B79,RPM!$L$2:$N$62,3,TRUE))))</f>
        <v>4300</v>
      </c>
      <c r="L79" s="17">
        <f t="shared" si="15"/>
        <v>8.4809402464236214</v>
      </c>
      <c r="M79" s="16">
        <f t="shared" si="12"/>
        <v>0</v>
      </c>
      <c r="N79" s="17">
        <f>VLOOKUP(K79,RPM!$A$2:$D$62,3,FALSE)</f>
        <v>11.4</v>
      </c>
      <c r="O79" s="16">
        <f>VLOOKUP(K79,RPM!$A$2:$D$62,4,FALSE)</f>
        <v>18.894837209302327</v>
      </c>
      <c r="P79" s="17">
        <f t="shared" si="13"/>
        <v>14.089880106976747</v>
      </c>
      <c r="Q79" s="16" cm="1">
        <f t="array" ref="Q79">_xlfn.XLOOKUP(O79,BSFC!$A$2:$A$24,_xlfn.XLOOKUP(K79,BSFC!$B$1:$O$1,BSFC!$B$2:$O$24,,-1),,-1)</f>
        <v>480</v>
      </c>
      <c r="R79" s="17">
        <f t="shared" si="14"/>
        <v>1.8786506809302328</v>
      </c>
      <c r="S79" s="16">
        <f t="shared" si="16"/>
        <v>2.9183485335177264E-4</v>
      </c>
      <c r="T79" s="17">
        <f t="shared" si="20"/>
        <v>0.14008072960885087</v>
      </c>
      <c r="U79" s="16">
        <f t="shared" si="21"/>
        <v>13.952045698461799</v>
      </c>
      <c r="V79" s="17">
        <f t="shared" si="22"/>
        <v>2.7019928204436553E-2</v>
      </c>
      <c r="W79" s="16">
        <f t="shared" si="17"/>
        <v>97271.741535971596</v>
      </c>
      <c r="X79">
        <f>('Hybrid Info'!$A$2-Track!P79)*(L79-L78)*1000+X78</f>
        <v>453.72509096039471</v>
      </c>
    </row>
    <row r="80" spans="1:24">
      <c r="A80" s="16">
        <f t="shared" si="18"/>
        <v>79</v>
      </c>
      <c r="B80" s="17">
        <f t="shared" si="19"/>
        <v>13.411199999999999</v>
      </c>
      <c r="C80" s="18">
        <f>Specification!$G$30</f>
        <v>109.96225200000001</v>
      </c>
      <c r="D80" s="17">
        <f>0.5*Specification!$K$4*Track!B80^2*Specification!$K$3*Specification!$K$2</f>
        <v>93.159842569492653</v>
      </c>
      <c r="E80" s="16">
        <v>0</v>
      </c>
      <c r="F80" s="17">
        <f>Specification!$C$23*9.81*SIN((E80*PI()/180))</f>
        <v>0</v>
      </c>
      <c r="G80" s="18">
        <f>IF(J80=1,VLOOKUP(K80,RPM!$E$2:$H$62,3,FALSE)-F80-E80-D80,IF(J80=2,VLOOKUP(K80,RPM!$H$2:$K$62,3,FALSE)-F80-E80-D80,IF(J80=3,VLOOKUP(K80,RPM!$K$2:$N$62,3,FALSE)-F80-E80-D80)))</f>
        <v>549.56217903827155</v>
      </c>
      <c r="H80" s="19">
        <f>IF(J80=1,Specification!$I$14,IF(J80=2,Specification!$I$15,IF(J80=3,Specification!$I$16)))</f>
        <v>578.93404261974786</v>
      </c>
      <c r="I80" s="16">
        <v>0</v>
      </c>
      <c r="J80" s="17">
        <v>3</v>
      </c>
      <c r="K80" s="16">
        <f>IF(J80=1,VLOOKUP(B80,RPM!$F$2:$H$62,3,TRUE),IF(J80=2,VLOOKUP(B80,RPM!$I$2:$K$62,3,TRUE),IF(J80=3,VLOOKUP(B80,RPM!$L$2:$N$62,3,TRUE))))</f>
        <v>4300</v>
      </c>
      <c r="L80" s="17">
        <f t="shared" si="15"/>
        <v>8.555504789492101</v>
      </c>
      <c r="M80" s="16">
        <f t="shared" si="12"/>
        <v>0</v>
      </c>
      <c r="N80" s="17">
        <f>VLOOKUP(K80,RPM!$A$2:$D$62,3,FALSE)</f>
        <v>11.4</v>
      </c>
      <c r="O80" s="16">
        <f>VLOOKUP(K80,RPM!$A$2:$D$62,4,FALSE)</f>
        <v>18.894837209302327</v>
      </c>
      <c r="P80" s="17">
        <f t="shared" si="13"/>
        <v>14.089880106976747</v>
      </c>
      <c r="Q80" s="16" cm="1">
        <f t="array" ref="Q80">_xlfn.XLOOKUP(O80,BSFC!$A$2:$A$24,_xlfn.XLOOKUP(K80,BSFC!$B$1:$O$1,BSFC!$B$2:$O$24,,-1),,-1)</f>
        <v>480</v>
      </c>
      <c r="R80" s="17">
        <f t="shared" si="14"/>
        <v>1.8786506809302328</v>
      </c>
      <c r="S80" s="16">
        <f t="shared" si="16"/>
        <v>2.9183485335177264E-4</v>
      </c>
      <c r="T80" s="17">
        <f t="shared" si="20"/>
        <v>0.14008072960885087</v>
      </c>
      <c r="U80" s="16">
        <f t="shared" si="21"/>
        <v>14.09212642807065</v>
      </c>
      <c r="V80" s="17">
        <f t="shared" si="22"/>
        <v>2.7311763057788326E-2</v>
      </c>
      <c r="W80" s="16">
        <f t="shared" si="17"/>
        <v>98322.347008037978</v>
      </c>
      <c r="X80">
        <f>('Hybrid Info'!$A$2-Track!P80)*(L80-L79)*1000+X79</f>
        <v>306.87577761098419</v>
      </c>
    </row>
    <row r="81" spans="1:24">
      <c r="A81" s="16">
        <f t="shared" si="18"/>
        <v>80</v>
      </c>
      <c r="B81" s="17">
        <f t="shared" si="19"/>
        <v>13.411199999999999</v>
      </c>
      <c r="C81" s="18">
        <f>Specification!$G$30</f>
        <v>109.96225200000001</v>
      </c>
      <c r="D81" s="17">
        <f>0.5*Specification!$K$4*Track!B81^2*Specification!$K$3*Specification!$K$2</f>
        <v>93.159842569492653</v>
      </c>
      <c r="E81" s="16">
        <v>0</v>
      </c>
      <c r="F81" s="17">
        <f>Specification!$C$23*9.81*SIN((E81*PI()/180))</f>
        <v>0</v>
      </c>
      <c r="G81" s="18">
        <f>IF(J81=1,VLOOKUP(K81,RPM!$E$2:$H$62,3,FALSE)-F81-E81-D81,IF(J81=2,VLOOKUP(K81,RPM!$H$2:$K$62,3,FALSE)-F81-E81-D81,IF(J81=3,VLOOKUP(K81,RPM!$K$2:$N$62,3,FALSE)-F81-E81-D81)))</f>
        <v>549.56217903827155</v>
      </c>
      <c r="H81" s="19">
        <f>IF(J81=1,Specification!$I$14,IF(J81=2,Specification!$I$15,IF(J81=3,Specification!$I$16)))</f>
        <v>578.93404261974786</v>
      </c>
      <c r="I81" s="16">
        <v>0</v>
      </c>
      <c r="J81" s="17">
        <v>3</v>
      </c>
      <c r="K81" s="16">
        <f>IF(J81=1,VLOOKUP(B81,RPM!$F$2:$H$62,3,TRUE),IF(J81=2,VLOOKUP(B81,RPM!$I$2:$K$62,3,TRUE),IF(J81=3,VLOOKUP(B81,RPM!$L$2:$N$62,3,TRUE))))</f>
        <v>4300</v>
      </c>
      <c r="L81" s="17">
        <f t="shared" si="15"/>
        <v>8.6300693325605806</v>
      </c>
      <c r="M81" s="16">
        <f t="shared" si="12"/>
        <v>0</v>
      </c>
      <c r="N81" s="17">
        <f>VLOOKUP(K81,RPM!$A$2:$D$62,3,FALSE)</f>
        <v>11.4</v>
      </c>
      <c r="O81" s="16">
        <f>VLOOKUP(K81,RPM!$A$2:$D$62,4,FALSE)</f>
        <v>18.894837209302327</v>
      </c>
      <c r="P81" s="17">
        <f t="shared" si="13"/>
        <v>14.089880106976747</v>
      </c>
      <c r="Q81" s="16" cm="1">
        <f t="array" ref="Q81">_xlfn.XLOOKUP(O81,BSFC!$A$2:$A$24,_xlfn.XLOOKUP(K81,BSFC!$B$1:$O$1,BSFC!$B$2:$O$24,,-1),,-1)</f>
        <v>480</v>
      </c>
      <c r="R81" s="17">
        <f t="shared" si="14"/>
        <v>1.8786506809302328</v>
      </c>
      <c r="S81" s="16">
        <f t="shared" si="16"/>
        <v>2.9183485335177264E-4</v>
      </c>
      <c r="T81" s="17">
        <f t="shared" si="20"/>
        <v>0.14008072960885087</v>
      </c>
      <c r="U81" s="16">
        <f t="shared" si="21"/>
        <v>14.2322071576795</v>
      </c>
      <c r="V81" s="17">
        <f t="shared" si="22"/>
        <v>2.7603597911140098E-2</v>
      </c>
      <c r="W81" s="16">
        <f t="shared" si="17"/>
        <v>99372.952480104359</v>
      </c>
      <c r="X81">
        <f>('Hybrid Info'!$A$2-Track!P81)*(L81-L80)*1000+X80</f>
        <v>160.02646426157366</v>
      </c>
    </row>
    <row r="82" spans="1:24">
      <c r="A82" s="16">
        <f t="shared" si="18"/>
        <v>81</v>
      </c>
      <c r="B82" s="17">
        <f t="shared" si="19"/>
        <v>13.411199999999999</v>
      </c>
      <c r="C82" s="18">
        <f>Specification!$G$30</f>
        <v>109.96225200000001</v>
      </c>
      <c r="D82" s="17">
        <f>0.5*Specification!$K$4*Track!B82^2*Specification!$K$3*Specification!$K$2</f>
        <v>93.159842569492653</v>
      </c>
      <c r="E82" s="16">
        <v>0</v>
      </c>
      <c r="F82" s="17">
        <f>Specification!$C$23*9.81*SIN((E82*PI()/180))</f>
        <v>0</v>
      </c>
      <c r="G82" s="18">
        <f>IF(J82=1,VLOOKUP(K82,RPM!$E$2:$H$62,3,FALSE)-F82-E82-D82,IF(J82=2,VLOOKUP(K82,RPM!$H$2:$K$62,3,FALSE)-F82-E82-D82,IF(J82=3,VLOOKUP(K82,RPM!$K$2:$N$62,3,FALSE)-F82-E82-D82)))</f>
        <v>549.56217903827155</v>
      </c>
      <c r="H82" s="19">
        <f>IF(J82=1,Specification!$I$14,IF(J82=2,Specification!$I$15,IF(J82=3,Specification!$I$16)))</f>
        <v>578.93404261974786</v>
      </c>
      <c r="I82" s="16">
        <v>0</v>
      </c>
      <c r="J82" s="17">
        <v>3</v>
      </c>
      <c r="K82" s="16">
        <f>IF(J82=1,VLOOKUP(B82,RPM!$F$2:$H$62,3,TRUE),IF(J82=2,VLOOKUP(B82,RPM!$I$2:$K$62,3,TRUE),IF(J82=3,VLOOKUP(B82,RPM!$L$2:$N$62,3,TRUE))))</f>
        <v>4300</v>
      </c>
      <c r="L82" s="17">
        <f t="shared" si="15"/>
        <v>8.7046338756290602</v>
      </c>
      <c r="M82" s="16">
        <f t="shared" si="12"/>
        <v>0</v>
      </c>
      <c r="N82" s="17">
        <f>VLOOKUP(K82,RPM!$A$2:$D$62,3,FALSE)</f>
        <v>11.4</v>
      </c>
      <c r="O82" s="16">
        <f>VLOOKUP(K82,RPM!$A$2:$D$62,4,FALSE)</f>
        <v>18.894837209302327</v>
      </c>
      <c r="P82" s="17">
        <f t="shared" si="13"/>
        <v>14.089880106976747</v>
      </c>
      <c r="Q82" s="16" cm="1">
        <f t="array" ref="Q82">_xlfn.XLOOKUP(O82,BSFC!$A$2:$A$24,_xlfn.XLOOKUP(K82,BSFC!$B$1:$O$1,BSFC!$B$2:$O$24,,-1),,-1)</f>
        <v>480</v>
      </c>
      <c r="R82" s="17">
        <f t="shared" si="14"/>
        <v>1.8786506809302328</v>
      </c>
      <c r="S82" s="16">
        <f t="shared" si="16"/>
        <v>2.9183485335177264E-4</v>
      </c>
      <c r="T82" s="17">
        <f t="shared" si="20"/>
        <v>0.14008072960885087</v>
      </c>
      <c r="U82" s="16">
        <f t="shared" si="21"/>
        <v>14.372287887288351</v>
      </c>
      <c r="V82" s="17">
        <f t="shared" si="22"/>
        <v>2.789543276449187E-2</v>
      </c>
      <c r="W82" s="16">
        <f t="shared" si="17"/>
        <v>100423.55795217074</v>
      </c>
      <c r="X82">
        <f>('Hybrid Info'!$A$2-Track!P82)*(L82-L81)*1000+X81</f>
        <v>13.177150912163142</v>
      </c>
    </row>
    <row r="83" spans="1:24">
      <c r="A83" s="16">
        <f t="shared" si="18"/>
        <v>82</v>
      </c>
      <c r="B83" s="17">
        <f t="shared" si="19"/>
        <v>13.411199999999999</v>
      </c>
      <c r="C83" s="18">
        <f>Specification!$G$30</f>
        <v>109.96225200000001</v>
      </c>
      <c r="D83" s="17">
        <f>0.5*Specification!$K$4*Track!B83^2*Specification!$K$3*Specification!$K$2</f>
        <v>93.159842569492653</v>
      </c>
      <c r="E83" s="16">
        <v>0</v>
      </c>
      <c r="F83" s="17">
        <f>Specification!$C$23*9.81*SIN((E83*PI()/180))</f>
        <v>0</v>
      </c>
      <c r="G83" s="18">
        <f>IF(J83=1,VLOOKUP(K83,RPM!$E$2:$H$62,3,FALSE)-F83-E83-D83,IF(J83=2,VLOOKUP(K83,RPM!$H$2:$K$62,3,FALSE)-F83-E83-D83,IF(J83=3,VLOOKUP(K83,RPM!$K$2:$N$62,3,FALSE)-F83-E83-D83)))</f>
        <v>549.56217903827155</v>
      </c>
      <c r="H83" s="19">
        <f>IF(J83=1,Specification!$I$14,IF(J83=2,Specification!$I$15,IF(J83=3,Specification!$I$16)))</f>
        <v>578.93404261974786</v>
      </c>
      <c r="I83" s="16">
        <v>0</v>
      </c>
      <c r="J83" s="17">
        <v>3</v>
      </c>
      <c r="K83" s="16">
        <f>IF(J83=1,VLOOKUP(B83,RPM!$F$2:$H$62,3,TRUE),IF(J83=2,VLOOKUP(B83,RPM!$I$2:$K$62,3,TRUE),IF(J83=3,VLOOKUP(B83,RPM!$L$2:$N$62,3,TRUE))))</f>
        <v>4300</v>
      </c>
      <c r="L83" s="17">
        <f t="shared" si="15"/>
        <v>8.7791984186975398</v>
      </c>
      <c r="M83" s="16">
        <f t="shared" si="12"/>
        <v>0</v>
      </c>
      <c r="N83" s="17">
        <f>VLOOKUP(K83,RPM!$A$2:$D$62,3,FALSE)</f>
        <v>11.4</v>
      </c>
      <c r="O83" s="16">
        <f>VLOOKUP(K83,RPM!$A$2:$D$62,4,FALSE)</f>
        <v>18.894837209302327</v>
      </c>
      <c r="P83" s="17">
        <f t="shared" si="13"/>
        <v>14.089880106976747</v>
      </c>
      <c r="Q83" s="16" cm="1">
        <f t="array" ref="Q83">_xlfn.XLOOKUP(O83,BSFC!$A$2:$A$24,_xlfn.XLOOKUP(K83,BSFC!$B$1:$O$1,BSFC!$B$2:$O$24,,-1),,-1)</f>
        <v>480</v>
      </c>
      <c r="R83" s="17">
        <f t="shared" si="14"/>
        <v>1.8786506809302328</v>
      </c>
      <c r="S83" s="16">
        <f t="shared" si="16"/>
        <v>2.9183485335177264E-4</v>
      </c>
      <c r="T83" s="17">
        <f t="shared" si="20"/>
        <v>0.14008072960885087</v>
      </c>
      <c r="U83" s="16">
        <f t="shared" si="21"/>
        <v>14.512368616897202</v>
      </c>
      <c r="V83" s="17">
        <f t="shared" si="22"/>
        <v>2.8187267617843643E-2</v>
      </c>
      <c r="W83" s="16">
        <f t="shared" si="17"/>
        <v>101474.16342423711</v>
      </c>
      <c r="X83">
        <f>('Hybrid Info'!$A$2-Track!P83)*(L83-L82)*1000+X82</f>
        <v>-133.67216243724738</v>
      </c>
    </row>
    <row r="84" spans="1:24">
      <c r="A84" s="16">
        <f t="shared" si="18"/>
        <v>83</v>
      </c>
      <c r="B84" s="17">
        <f t="shared" si="19"/>
        <v>13.411199999999999</v>
      </c>
      <c r="C84" s="18">
        <f>Specification!$G$30</f>
        <v>109.96225200000001</v>
      </c>
      <c r="D84" s="17">
        <f>0.5*Specification!$K$4*Track!B84^2*Specification!$K$3*Specification!$K$2</f>
        <v>93.159842569492653</v>
      </c>
      <c r="E84" s="16">
        <v>0</v>
      </c>
      <c r="F84" s="17">
        <f>Specification!$C$23*9.81*SIN((E84*PI()/180))</f>
        <v>0</v>
      </c>
      <c r="G84" s="18">
        <f>IF(J84=1,VLOOKUP(K84,RPM!$E$2:$H$62,3,FALSE)-F84-E84-D84,IF(J84=2,VLOOKUP(K84,RPM!$H$2:$K$62,3,FALSE)-F84-E84-D84,IF(J84=3,VLOOKUP(K84,RPM!$K$2:$N$62,3,FALSE)-F84-E84-D84)))</f>
        <v>549.56217903827155</v>
      </c>
      <c r="H84" s="19">
        <f>IF(J84=1,Specification!$I$14,IF(J84=2,Specification!$I$15,IF(J84=3,Specification!$I$16)))</f>
        <v>578.93404261974786</v>
      </c>
      <c r="I84" s="16">
        <v>0</v>
      </c>
      <c r="J84" s="17">
        <v>3</v>
      </c>
      <c r="K84" s="16">
        <f>IF(J84=1,VLOOKUP(B84,RPM!$F$2:$H$62,3,TRUE),IF(J84=2,VLOOKUP(B84,RPM!$I$2:$K$62,3,TRUE),IF(J84=3,VLOOKUP(B84,RPM!$L$2:$N$62,3,TRUE))))</f>
        <v>4300</v>
      </c>
      <c r="L84" s="17">
        <f t="shared" si="15"/>
        <v>8.8537629617660194</v>
      </c>
      <c r="M84" s="16">
        <f t="shared" si="12"/>
        <v>0</v>
      </c>
      <c r="N84" s="17">
        <f>VLOOKUP(K84,RPM!$A$2:$D$62,3,FALSE)</f>
        <v>11.4</v>
      </c>
      <c r="O84" s="16">
        <f>VLOOKUP(K84,RPM!$A$2:$D$62,4,FALSE)</f>
        <v>18.894837209302327</v>
      </c>
      <c r="P84" s="17">
        <f t="shared" si="13"/>
        <v>14.089880106976747</v>
      </c>
      <c r="Q84" s="16" cm="1">
        <f t="array" ref="Q84">_xlfn.XLOOKUP(O84,BSFC!$A$2:$A$24,_xlfn.XLOOKUP(K84,BSFC!$B$1:$O$1,BSFC!$B$2:$O$24,,-1),,-1)</f>
        <v>480</v>
      </c>
      <c r="R84" s="17">
        <f t="shared" si="14"/>
        <v>1.8786506809302328</v>
      </c>
      <c r="S84" s="16">
        <f t="shared" si="16"/>
        <v>2.9183485335177264E-4</v>
      </c>
      <c r="T84" s="17">
        <f t="shared" si="20"/>
        <v>0.14008072960885087</v>
      </c>
      <c r="U84" s="16">
        <f t="shared" si="21"/>
        <v>14.652449346506053</v>
      </c>
      <c r="V84" s="17">
        <f t="shared" si="22"/>
        <v>2.8479102471195415E-2</v>
      </c>
      <c r="W84" s="16">
        <f t="shared" si="17"/>
        <v>102524.76889630349</v>
      </c>
      <c r="X84">
        <f>('Hybrid Info'!$A$2-Track!P84)*(L84-L83)*1000+X83</f>
        <v>-280.5214757866579</v>
      </c>
    </row>
    <row r="85" spans="1:24">
      <c r="A85" s="16">
        <f t="shared" si="18"/>
        <v>84</v>
      </c>
      <c r="B85" s="17">
        <f t="shared" si="19"/>
        <v>13.411199999999999</v>
      </c>
      <c r="C85" s="18">
        <f>Specification!$G$30</f>
        <v>109.96225200000001</v>
      </c>
      <c r="D85" s="17">
        <f>0.5*Specification!$K$4*Track!B85^2*Specification!$K$3*Specification!$K$2</f>
        <v>93.159842569492653</v>
      </c>
      <c r="E85" s="16">
        <v>0</v>
      </c>
      <c r="F85" s="17">
        <f>Specification!$C$23*9.81*SIN((E85*PI()/180))</f>
        <v>0</v>
      </c>
      <c r="G85" s="18">
        <f>IF(J85=1,VLOOKUP(K85,RPM!$E$2:$H$62,3,FALSE)-F85-E85-D85,IF(J85=2,VLOOKUP(K85,RPM!$H$2:$K$62,3,FALSE)-F85-E85-D85,IF(J85=3,VLOOKUP(K85,RPM!$K$2:$N$62,3,FALSE)-F85-E85-D85)))</f>
        <v>549.56217903827155</v>
      </c>
      <c r="H85" s="19">
        <f>IF(J85=1,Specification!$I$14,IF(J85=2,Specification!$I$15,IF(J85=3,Specification!$I$16)))</f>
        <v>578.93404261974786</v>
      </c>
      <c r="I85" s="16">
        <v>0</v>
      </c>
      <c r="J85" s="17">
        <v>3</v>
      </c>
      <c r="K85" s="16">
        <f>IF(J85=1,VLOOKUP(B85,RPM!$F$2:$H$62,3,TRUE),IF(J85=2,VLOOKUP(B85,RPM!$I$2:$K$62,3,TRUE),IF(J85=3,VLOOKUP(B85,RPM!$L$2:$N$62,3,TRUE))))</f>
        <v>4300</v>
      </c>
      <c r="L85" s="17">
        <f t="shared" si="15"/>
        <v>8.928327504834499</v>
      </c>
      <c r="M85" s="16">
        <f t="shared" si="12"/>
        <v>0</v>
      </c>
      <c r="N85" s="17">
        <f>VLOOKUP(K85,RPM!$A$2:$D$62,3,FALSE)</f>
        <v>11.4</v>
      </c>
      <c r="O85" s="16">
        <f>VLOOKUP(K85,RPM!$A$2:$D$62,4,FALSE)</f>
        <v>18.894837209302327</v>
      </c>
      <c r="P85" s="17">
        <f t="shared" si="13"/>
        <v>14.089880106976747</v>
      </c>
      <c r="Q85" s="16" cm="1">
        <f t="array" ref="Q85">_xlfn.XLOOKUP(O85,BSFC!$A$2:$A$24,_xlfn.XLOOKUP(K85,BSFC!$B$1:$O$1,BSFC!$B$2:$O$24,,-1),,-1)</f>
        <v>480</v>
      </c>
      <c r="R85" s="17">
        <f t="shared" si="14"/>
        <v>1.8786506809302328</v>
      </c>
      <c r="S85" s="16">
        <f t="shared" si="16"/>
        <v>2.9183485335177264E-4</v>
      </c>
      <c r="T85" s="17">
        <f t="shared" si="20"/>
        <v>0.14008072960885087</v>
      </c>
      <c r="U85" s="16">
        <f t="shared" si="21"/>
        <v>14.792530076114904</v>
      </c>
      <c r="V85" s="17">
        <f t="shared" si="22"/>
        <v>2.8770937324547188E-2</v>
      </c>
      <c r="W85" s="16">
        <f t="shared" si="17"/>
        <v>103575.37436836987</v>
      </c>
      <c r="X85">
        <f>('Hybrid Info'!$A$2-Track!P85)*(L85-L84)*1000+X84</f>
        <v>-427.37078913606842</v>
      </c>
    </row>
    <row r="86" spans="1:24">
      <c r="A86" s="16">
        <f t="shared" si="18"/>
        <v>85</v>
      </c>
      <c r="B86" s="17">
        <f>IF(SQRT(B85^2+2*I85)&gt;13.4112,13.4112,SQRT(B85^2+2*I85))</f>
        <v>13.411199999999999</v>
      </c>
      <c r="C86" s="18">
        <f>Specification!$G$30</f>
        <v>109.96225200000001</v>
      </c>
      <c r="D86" s="17">
        <f>0.5*Specification!$K$4*Track!B86^2*Specification!$K$3*Specification!$K$2</f>
        <v>93.159842569492653</v>
      </c>
      <c r="E86" s="16">
        <v>0</v>
      </c>
      <c r="F86" s="17">
        <f>Specification!$C$23*9.81*SIN((E86*PI()/180))</f>
        <v>0</v>
      </c>
      <c r="G86" s="18">
        <f>IF(J86=1,VLOOKUP(K86,RPM!$E$2:$H$62,3,FALSE)-F86-E86-D86,IF(J86=2,VLOOKUP(K86,RPM!$H$2:$K$62,3,FALSE)-F86-E86-D86,IF(J86=3,VLOOKUP(K86,RPM!$K$2:$N$62,3,FALSE)-F86-E86-D86)))</f>
        <v>549.56217903827155</v>
      </c>
      <c r="H86" s="19">
        <f>IF(J86=1,Specification!$I$14,IF(J86=2,Specification!$I$15,IF(J86=3,Specification!$I$16)))</f>
        <v>578.93404261974786</v>
      </c>
      <c r="I86" s="16">
        <v>0</v>
      </c>
      <c r="J86" s="17">
        <v>3</v>
      </c>
      <c r="K86" s="16">
        <f>IF(J86=1,VLOOKUP(B86,RPM!$F$2:$H$62,3,TRUE),IF(J86=2,VLOOKUP(B86,RPM!$I$2:$K$62,3,TRUE),IF(J86=3,VLOOKUP(B86,RPM!$L$2:$N$62,3,TRUE))))</f>
        <v>4300</v>
      </c>
      <c r="L86" s="17">
        <f t="shared" si="15"/>
        <v>9.0028920479029786</v>
      </c>
      <c r="M86" s="16">
        <f t="shared" si="12"/>
        <v>0</v>
      </c>
      <c r="N86" s="17">
        <f>VLOOKUP(K86,RPM!$A$2:$D$62,3,FALSE)</f>
        <v>11.4</v>
      </c>
      <c r="O86" s="16">
        <f>VLOOKUP(K86,RPM!$A$2:$D$62,4,FALSE)</f>
        <v>18.894837209302327</v>
      </c>
      <c r="P86" s="17">
        <f t="shared" si="13"/>
        <v>14.089880106976747</v>
      </c>
      <c r="Q86" s="16" cm="1">
        <f t="array" ref="Q86">_xlfn.XLOOKUP(O86,BSFC!$A$2:$A$24,_xlfn.XLOOKUP(K86,BSFC!$B$1:$O$1,BSFC!$B$2:$O$24,,-1),,-1)</f>
        <v>480</v>
      </c>
      <c r="R86" s="17">
        <f t="shared" si="14"/>
        <v>1.8786506809302328</v>
      </c>
      <c r="S86" s="16">
        <f t="shared" si="16"/>
        <v>2.9183485335177264E-4</v>
      </c>
      <c r="T86" s="17">
        <f t="shared" si="20"/>
        <v>0.14008072960885087</v>
      </c>
      <c r="U86" s="16">
        <f t="shared" si="21"/>
        <v>14.932610805723755</v>
      </c>
      <c r="V86" s="17">
        <f t="shared" si="22"/>
        <v>2.906277217789896E-2</v>
      </c>
      <c r="W86" s="16">
        <f t="shared" si="17"/>
        <v>104625.97984043625</v>
      </c>
      <c r="X86">
        <f>('Hybrid Info'!$A$2-Track!P86)*(L86-L85)*1000+X85</f>
        <v>-574.22010248547895</v>
      </c>
    </row>
    <row r="87" spans="1:24">
      <c r="A87" s="16">
        <f t="shared" si="18"/>
        <v>86</v>
      </c>
      <c r="B87" s="17">
        <f t="shared" si="19"/>
        <v>13.411199999999999</v>
      </c>
      <c r="C87" s="18">
        <f>Specification!$G$30</f>
        <v>109.96225200000001</v>
      </c>
      <c r="D87" s="17">
        <f>0.5*Specification!$K$4*Track!B87^2*Specification!$K$3*Specification!$K$2</f>
        <v>93.159842569492653</v>
      </c>
      <c r="E87" s="16">
        <v>0</v>
      </c>
      <c r="F87" s="17">
        <f>Specification!$C$23*9.81*SIN((E87*PI()/180))</f>
        <v>0</v>
      </c>
      <c r="G87" s="18">
        <f>IF(J87=1,VLOOKUP(K87,RPM!$E$2:$H$62,3,FALSE)-F87-E87-D87,IF(J87=2,VLOOKUP(K87,RPM!$H$2:$K$62,3,FALSE)-F87-E87-D87,IF(J87=3,VLOOKUP(K87,RPM!$K$2:$N$62,3,FALSE)-F87-E87-D87)))</f>
        <v>549.56217903827155</v>
      </c>
      <c r="H87" s="19">
        <f>IF(J87=1,Specification!$I$14,IF(J87=2,Specification!$I$15,IF(J87=3,Specification!$I$16)))</f>
        <v>578.93404261974786</v>
      </c>
      <c r="I87" s="16">
        <v>0</v>
      </c>
      <c r="J87" s="17">
        <v>3</v>
      </c>
      <c r="K87" s="16">
        <f>IF(J87=1,VLOOKUP(B87,RPM!$F$2:$H$62,3,TRUE),IF(J87=2,VLOOKUP(B87,RPM!$I$2:$K$62,3,TRUE),IF(J87=3,VLOOKUP(B87,RPM!$L$2:$N$62,3,TRUE))))</f>
        <v>4300</v>
      </c>
      <c r="L87" s="17">
        <f t="shared" si="15"/>
        <v>9.0774565909714582</v>
      </c>
      <c r="M87" s="16">
        <f t="shared" si="12"/>
        <v>0</v>
      </c>
      <c r="N87" s="17">
        <f>VLOOKUP(K87,RPM!$A$2:$D$62,3,FALSE)</f>
        <v>11.4</v>
      </c>
      <c r="O87" s="16">
        <f>VLOOKUP(K87,RPM!$A$2:$D$62,4,FALSE)</f>
        <v>18.894837209302327</v>
      </c>
      <c r="P87" s="17">
        <f t="shared" si="13"/>
        <v>14.089880106976747</v>
      </c>
      <c r="Q87" s="16" cm="1">
        <f t="array" ref="Q87">_xlfn.XLOOKUP(O87,BSFC!$A$2:$A$24,_xlfn.XLOOKUP(K87,BSFC!$B$1:$O$1,BSFC!$B$2:$O$24,,-1),,-1)</f>
        <v>480</v>
      </c>
      <c r="R87" s="17">
        <f t="shared" si="14"/>
        <v>1.8786506809302328</v>
      </c>
      <c r="S87" s="16">
        <f t="shared" si="16"/>
        <v>2.9183485335177264E-4</v>
      </c>
      <c r="T87" s="17">
        <f t="shared" si="20"/>
        <v>0.14008072960885087</v>
      </c>
      <c r="U87" s="16">
        <f t="shared" si="21"/>
        <v>15.072691535332606</v>
      </c>
      <c r="V87" s="17">
        <f t="shared" si="22"/>
        <v>2.9354607031250732E-2</v>
      </c>
      <c r="W87" s="16">
        <f t="shared" si="17"/>
        <v>105676.58531250263</v>
      </c>
      <c r="X87">
        <f>('Hybrid Info'!$A$2-Track!P87)*(L87-L86)*1000+X86</f>
        <v>-721.06941583488947</v>
      </c>
    </row>
    <row r="88" spans="1:24">
      <c r="A88" s="16">
        <f t="shared" si="18"/>
        <v>87</v>
      </c>
      <c r="B88" s="17">
        <f t="shared" si="19"/>
        <v>13.411199999999999</v>
      </c>
      <c r="C88" s="18">
        <f>Specification!$G$30</f>
        <v>109.96225200000001</v>
      </c>
      <c r="D88" s="17">
        <f>0.5*Specification!$K$4*Track!B88^2*Specification!$K$3*Specification!$K$2</f>
        <v>93.159842569492653</v>
      </c>
      <c r="E88" s="16">
        <v>0</v>
      </c>
      <c r="F88" s="17">
        <f>Specification!$C$23*9.81*SIN((E88*PI()/180))</f>
        <v>0</v>
      </c>
      <c r="G88" s="18">
        <f>IF(J88=1,VLOOKUP(K88,RPM!$E$2:$H$62,3,FALSE)-F88-E88-D88,IF(J88=2,VLOOKUP(K88,RPM!$H$2:$K$62,3,FALSE)-F88-E88-D88,IF(J88=3,VLOOKUP(K88,RPM!$K$2:$N$62,3,FALSE)-F88-E88-D88)))</f>
        <v>549.56217903827155</v>
      </c>
      <c r="H88" s="19">
        <f>IF(J88=1,Specification!$I$14,IF(J88=2,Specification!$I$15,IF(J88=3,Specification!$I$16)))</f>
        <v>578.93404261974786</v>
      </c>
      <c r="I88" s="16">
        <v>0</v>
      </c>
      <c r="J88" s="17">
        <v>3</v>
      </c>
      <c r="K88" s="16">
        <f>IF(J88=1,VLOOKUP(B88,RPM!$F$2:$H$62,3,TRUE),IF(J88=2,VLOOKUP(B88,RPM!$I$2:$K$62,3,TRUE),IF(J88=3,VLOOKUP(B88,RPM!$L$2:$N$62,3,TRUE))))</f>
        <v>4300</v>
      </c>
      <c r="L88" s="17">
        <f t="shared" si="15"/>
        <v>9.1520211340399378</v>
      </c>
      <c r="M88" s="16">
        <f t="shared" si="12"/>
        <v>0</v>
      </c>
      <c r="N88" s="17">
        <f>VLOOKUP(K88,RPM!$A$2:$D$62,3,FALSE)</f>
        <v>11.4</v>
      </c>
      <c r="O88" s="16">
        <f>VLOOKUP(K88,RPM!$A$2:$D$62,4,FALSE)</f>
        <v>18.894837209302327</v>
      </c>
      <c r="P88" s="17">
        <f t="shared" si="13"/>
        <v>14.089880106976747</v>
      </c>
      <c r="Q88" s="16" cm="1">
        <f t="array" ref="Q88">_xlfn.XLOOKUP(O88,BSFC!$A$2:$A$24,_xlfn.XLOOKUP(K88,BSFC!$B$1:$O$1,BSFC!$B$2:$O$24,,-1),,-1)</f>
        <v>480</v>
      </c>
      <c r="R88" s="17">
        <f t="shared" si="14"/>
        <v>1.8786506809302328</v>
      </c>
      <c r="S88" s="16">
        <f t="shared" si="16"/>
        <v>2.9183485335177264E-4</v>
      </c>
      <c r="T88" s="17">
        <f t="shared" si="20"/>
        <v>0.14008072960885087</v>
      </c>
      <c r="U88" s="16">
        <f t="shared" si="21"/>
        <v>15.212772264941457</v>
      </c>
      <c r="V88" s="17">
        <f t="shared" si="22"/>
        <v>2.9646441884602505E-2</v>
      </c>
      <c r="W88" s="16">
        <f t="shared" si="17"/>
        <v>106727.19078456903</v>
      </c>
      <c r="X88">
        <f>('Hybrid Info'!$A$2-Track!P88)*(L88-L87)*1000+X87</f>
        <v>-867.91872918429999</v>
      </c>
    </row>
    <row r="89" spans="1:24">
      <c r="A89" s="16">
        <f t="shared" si="18"/>
        <v>88</v>
      </c>
      <c r="B89" s="17">
        <f t="shared" si="19"/>
        <v>13.411199999999999</v>
      </c>
      <c r="C89" s="18">
        <f>Specification!$G$30</f>
        <v>109.96225200000001</v>
      </c>
      <c r="D89" s="17">
        <f>0.5*Specification!$K$4*Track!B89^2*Specification!$K$3*Specification!$K$2</f>
        <v>93.159842569492653</v>
      </c>
      <c r="E89" s="16">
        <v>0</v>
      </c>
      <c r="F89" s="17">
        <f>Specification!$C$23*9.81*SIN((E89*PI()/180))</f>
        <v>0</v>
      </c>
      <c r="G89" s="18">
        <f>IF(J89=1,VLOOKUP(K89,RPM!$E$2:$H$62,3,FALSE)-F89-E89-D89,IF(J89=2,VLOOKUP(K89,RPM!$H$2:$K$62,3,FALSE)-F89-E89-D89,IF(J89=3,VLOOKUP(K89,RPM!$K$2:$N$62,3,FALSE)-F89-E89-D89)))</f>
        <v>549.56217903827155</v>
      </c>
      <c r="H89" s="19">
        <f>IF(J89=1,Specification!$I$14,IF(J89=2,Specification!$I$15,IF(J89=3,Specification!$I$16)))</f>
        <v>578.93404261974786</v>
      </c>
      <c r="I89" s="16">
        <v>0</v>
      </c>
      <c r="J89" s="17">
        <v>3</v>
      </c>
      <c r="K89" s="16">
        <f>IF(J89=1,VLOOKUP(B89,RPM!$F$2:$H$62,3,TRUE),IF(J89=2,VLOOKUP(B89,RPM!$I$2:$K$62,3,TRUE),IF(J89=3,VLOOKUP(B89,RPM!$L$2:$N$62,3,TRUE))))</f>
        <v>4300</v>
      </c>
      <c r="L89" s="17">
        <f t="shared" si="15"/>
        <v>9.2265856771084174</v>
      </c>
      <c r="M89" s="16">
        <f t="shared" si="12"/>
        <v>0</v>
      </c>
      <c r="N89" s="17">
        <f>VLOOKUP(K89,RPM!$A$2:$D$62,3,FALSE)</f>
        <v>11.4</v>
      </c>
      <c r="O89" s="16">
        <f>VLOOKUP(K89,RPM!$A$2:$D$62,4,FALSE)</f>
        <v>18.894837209302327</v>
      </c>
      <c r="P89" s="17">
        <f t="shared" si="13"/>
        <v>14.089880106976747</v>
      </c>
      <c r="Q89" s="16" cm="1">
        <f t="array" ref="Q89">_xlfn.XLOOKUP(O89,BSFC!$A$2:$A$24,_xlfn.XLOOKUP(K89,BSFC!$B$1:$O$1,BSFC!$B$2:$O$24,,-1),,-1)</f>
        <v>480</v>
      </c>
      <c r="R89" s="17">
        <f t="shared" si="14"/>
        <v>1.8786506809302328</v>
      </c>
      <c r="S89" s="16">
        <f t="shared" si="16"/>
        <v>2.9183485335177264E-4</v>
      </c>
      <c r="T89" s="17">
        <f t="shared" si="20"/>
        <v>0.14008072960885087</v>
      </c>
      <c r="U89" s="16">
        <f t="shared" si="21"/>
        <v>15.352852994550307</v>
      </c>
      <c r="V89" s="17">
        <f t="shared" si="22"/>
        <v>2.9938276737954277E-2</v>
      </c>
      <c r="W89" s="16">
        <f t="shared" si="17"/>
        <v>107777.7962566354</v>
      </c>
      <c r="X89">
        <f>('Hybrid Info'!$A$2-Track!P89)*(L89-L88)*1000+X88</f>
        <v>-1014.7680425337105</v>
      </c>
    </row>
    <row r="90" spans="1:24">
      <c r="A90" s="16">
        <f t="shared" si="18"/>
        <v>89</v>
      </c>
      <c r="B90" s="17">
        <f t="shared" si="19"/>
        <v>13.411199999999999</v>
      </c>
      <c r="C90" s="18">
        <f>Specification!$G$30</f>
        <v>109.96225200000001</v>
      </c>
      <c r="D90" s="17">
        <f>0.5*Specification!$K$4*Track!B90^2*Specification!$K$3*Specification!$K$2</f>
        <v>93.159842569492653</v>
      </c>
      <c r="E90" s="16">
        <v>0</v>
      </c>
      <c r="F90" s="17">
        <f>Specification!$C$23*9.81*SIN((E90*PI()/180))</f>
        <v>0</v>
      </c>
      <c r="G90" s="18">
        <f>IF(J90=1,VLOOKUP(K90,RPM!$E$2:$H$62,3,FALSE)-F90-E90-D90,IF(J90=2,VLOOKUP(K90,RPM!$H$2:$K$62,3,FALSE)-F90-E90-D90,IF(J90=3,VLOOKUP(K90,RPM!$K$2:$N$62,3,FALSE)-F90-E90-D90)))</f>
        <v>549.56217903827155</v>
      </c>
      <c r="H90" s="19">
        <f>IF(J90=1,Specification!$I$14,IF(J90=2,Specification!$I$15,IF(J90=3,Specification!$I$16)))</f>
        <v>578.93404261974786</v>
      </c>
      <c r="I90" s="16">
        <v>0</v>
      </c>
      <c r="J90" s="17">
        <v>3</v>
      </c>
      <c r="K90" s="16">
        <f>IF(J90=1,VLOOKUP(B90,RPM!$F$2:$H$62,3,TRUE),IF(J90=2,VLOOKUP(B90,RPM!$I$2:$K$62,3,TRUE),IF(J90=3,VLOOKUP(B90,RPM!$L$2:$N$62,3,TRUE))))</f>
        <v>4300</v>
      </c>
      <c r="L90" s="17">
        <f t="shared" si="15"/>
        <v>9.301150220176897</v>
      </c>
      <c r="M90" s="16">
        <f t="shared" si="12"/>
        <v>0</v>
      </c>
      <c r="N90" s="17">
        <f>VLOOKUP(K90,RPM!$A$2:$D$62,3,FALSE)</f>
        <v>11.4</v>
      </c>
      <c r="O90" s="16">
        <f>VLOOKUP(K90,RPM!$A$2:$D$62,4,FALSE)</f>
        <v>18.894837209302327</v>
      </c>
      <c r="P90" s="17">
        <f t="shared" si="13"/>
        <v>14.089880106976747</v>
      </c>
      <c r="Q90" s="16" cm="1">
        <f t="array" ref="Q90">_xlfn.XLOOKUP(O90,BSFC!$A$2:$A$24,_xlfn.XLOOKUP(K90,BSFC!$B$1:$O$1,BSFC!$B$2:$O$24,,-1),,-1)</f>
        <v>480</v>
      </c>
      <c r="R90" s="17">
        <f t="shared" si="14"/>
        <v>1.8786506809302328</v>
      </c>
      <c r="S90" s="16">
        <f t="shared" si="16"/>
        <v>2.9183485335177264E-4</v>
      </c>
      <c r="T90" s="17">
        <f t="shared" si="20"/>
        <v>0.14008072960885087</v>
      </c>
      <c r="U90" s="16">
        <f t="shared" si="21"/>
        <v>15.492933724159158</v>
      </c>
      <c r="V90" s="17">
        <f t="shared" si="22"/>
        <v>3.023011159130605E-2</v>
      </c>
      <c r="W90" s="16">
        <f t="shared" si="17"/>
        <v>108828.40172870178</v>
      </c>
      <c r="X90">
        <f>('Hybrid Info'!$A$2-Track!P90)*(L90-L89)*1000+X89</f>
        <v>-1161.617355883121</v>
      </c>
    </row>
    <row r="91" spans="1:24">
      <c r="A91" s="16">
        <f t="shared" si="18"/>
        <v>90</v>
      </c>
      <c r="B91" s="17">
        <f t="shared" si="19"/>
        <v>13.411199999999999</v>
      </c>
      <c r="C91" s="18">
        <f>Specification!$G$30</f>
        <v>109.96225200000001</v>
      </c>
      <c r="D91" s="17">
        <f>0.5*Specification!$K$4*Track!B91^2*Specification!$K$3*Specification!$K$2</f>
        <v>93.159842569492653</v>
      </c>
      <c r="E91" s="16">
        <v>0</v>
      </c>
      <c r="F91" s="17">
        <f>Specification!$C$23*9.81*SIN((E91*PI()/180))</f>
        <v>0</v>
      </c>
      <c r="G91" s="18">
        <f>IF(J91=1,VLOOKUP(K91,RPM!$E$2:$H$62,3,FALSE)-F91-E91-D91,IF(J91=2,VLOOKUP(K91,RPM!$H$2:$K$62,3,FALSE)-F91-E91-D91,IF(J91=3,VLOOKUP(K91,RPM!$K$2:$N$62,3,FALSE)-F91-E91-D91)))</f>
        <v>549.56217903827155</v>
      </c>
      <c r="H91" s="19">
        <f>IF(J91=1,Specification!$I$14,IF(J91=2,Specification!$I$15,IF(J91=3,Specification!$I$16)))</f>
        <v>578.93404261974786</v>
      </c>
      <c r="I91" s="16">
        <v>0</v>
      </c>
      <c r="J91" s="17">
        <v>3</v>
      </c>
      <c r="K91" s="16">
        <f>IF(J91=1,VLOOKUP(B91,RPM!$F$2:$H$62,3,TRUE),IF(J91=2,VLOOKUP(B91,RPM!$I$2:$K$62,3,TRUE),IF(J91=3,VLOOKUP(B91,RPM!$L$2:$N$62,3,TRUE))))</f>
        <v>4300</v>
      </c>
      <c r="L91" s="17">
        <f t="shared" si="15"/>
        <v>9.3757147632453766</v>
      </c>
      <c r="M91" s="16">
        <f t="shared" si="12"/>
        <v>0</v>
      </c>
      <c r="N91" s="17">
        <f>VLOOKUP(K91,RPM!$A$2:$D$62,3,FALSE)</f>
        <v>11.4</v>
      </c>
      <c r="O91" s="16">
        <f>VLOOKUP(K91,RPM!$A$2:$D$62,4,FALSE)</f>
        <v>18.894837209302327</v>
      </c>
      <c r="P91" s="17">
        <f t="shared" si="13"/>
        <v>14.089880106976747</v>
      </c>
      <c r="Q91" s="16" cm="1">
        <f t="array" ref="Q91">_xlfn.XLOOKUP(O91,BSFC!$A$2:$A$24,_xlfn.XLOOKUP(K91,BSFC!$B$1:$O$1,BSFC!$B$2:$O$24,,-1),,-1)</f>
        <v>480</v>
      </c>
      <c r="R91" s="17">
        <f t="shared" si="14"/>
        <v>1.8786506809302328</v>
      </c>
      <c r="S91" s="16">
        <f t="shared" si="16"/>
        <v>2.9183485335177264E-4</v>
      </c>
      <c r="T91" s="17">
        <f t="shared" si="20"/>
        <v>0.14008072960885087</v>
      </c>
      <c r="U91" s="16">
        <f t="shared" si="21"/>
        <v>15.633014453768009</v>
      </c>
      <c r="V91" s="17">
        <f t="shared" si="22"/>
        <v>3.0521946444657822E-2</v>
      </c>
      <c r="W91" s="16">
        <f t="shared" si="17"/>
        <v>109879.00720076816</v>
      </c>
      <c r="X91">
        <f>('Hybrid Info'!$A$2-Track!P91)*(L91-L90)*1000+X90</f>
        <v>-1308.4666692325316</v>
      </c>
    </row>
    <row r="92" spans="1:24">
      <c r="A92" s="16">
        <f t="shared" si="18"/>
        <v>91</v>
      </c>
      <c r="B92" s="17">
        <f t="shared" si="19"/>
        <v>13.411199999999999</v>
      </c>
      <c r="C92" s="18">
        <f>Specification!$G$30</f>
        <v>109.96225200000001</v>
      </c>
      <c r="D92" s="17">
        <f>0.5*Specification!$K$4*Track!B92^2*Specification!$K$3*Specification!$K$2</f>
        <v>93.159842569492653</v>
      </c>
      <c r="E92" s="16">
        <v>0</v>
      </c>
      <c r="F92" s="17">
        <f>Specification!$C$23*9.81*SIN((E92*PI()/180))</f>
        <v>0</v>
      </c>
      <c r="G92" s="18">
        <f>IF(J92=1,VLOOKUP(K92,RPM!$E$2:$H$62,3,FALSE)-F92-E92-D92,IF(J92=2,VLOOKUP(K92,RPM!$H$2:$K$62,3,FALSE)-F92-E92-D92,IF(J92=3,VLOOKUP(K92,RPM!$K$2:$N$62,3,FALSE)-F92-E92-D92)))</f>
        <v>549.56217903827155</v>
      </c>
      <c r="H92" s="19">
        <f>IF(J92=1,Specification!$I$14,IF(J92=2,Specification!$I$15,IF(J92=3,Specification!$I$16)))</f>
        <v>578.93404261974786</v>
      </c>
      <c r="I92" s="16">
        <v>0</v>
      </c>
      <c r="J92" s="17">
        <v>3</v>
      </c>
      <c r="K92" s="16">
        <f>IF(J92=1,VLOOKUP(B92,RPM!$F$2:$H$62,3,TRUE),IF(J92=2,VLOOKUP(B92,RPM!$I$2:$K$62,3,TRUE),IF(J92=3,VLOOKUP(B92,RPM!$L$2:$N$62,3,TRUE))))</f>
        <v>4300</v>
      </c>
      <c r="L92" s="17">
        <f t="shared" si="15"/>
        <v>9.4502793063138562</v>
      </c>
      <c r="M92" s="16">
        <f t="shared" si="12"/>
        <v>0</v>
      </c>
      <c r="N92" s="17">
        <f>VLOOKUP(K92,RPM!$A$2:$D$62,3,FALSE)</f>
        <v>11.4</v>
      </c>
      <c r="O92" s="16">
        <f>VLOOKUP(K92,RPM!$A$2:$D$62,4,FALSE)</f>
        <v>18.894837209302327</v>
      </c>
      <c r="P92" s="17">
        <f t="shared" si="13"/>
        <v>14.089880106976747</v>
      </c>
      <c r="Q92" s="16" cm="1">
        <f t="array" ref="Q92">_xlfn.XLOOKUP(O92,BSFC!$A$2:$A$24,_xlfn.XLOOKUP(K92,BSFC!$B$1:$O$1,BSFC!$B$2:$O$24,,-1),,-1)</f>
        <v>480</v>
      </c>
      <c r="R92" s="17">
        <f t="shared" si="14"/>
        <v>1.8786506809302328</v>
      </c>
      <c r="S92" s="16">
        <f t="shared" si="16"/>
        <v>2.9183485335177264E-4</v>
      </c>
      <c r="T92" s="17">
        <f t="shared" si="20"/>
        <v>0.14008072960885087</v>
      </c>
      <c r="U92" s="16">
        <f t="shared" si="21"/>
        <v>15.77309518337686</v>
      </c>
      <c r="V92" s="17">
        <f t="shared" si="22"/>
        <v>3.0813781298009595E-2</v>
      </c>
      <c r="W92" s="16">
        <f t="shared" si="17"/>
        <v>110929.61267283454</v>
      </c>
      <c r="X92">
        <f>('Hybrid Info'!$A$2-Track!P92)*(L92-L91)*1000+X91</f>
        <v>-1455.3159825819421</v>
      </c>
    </row>
    <row r="93" spans="1:24">
      <c r="A93" s="16">
        <f t="shared" si="18"/>
        <v>92</v>
      </c>
      <c r="B93" s="17">
        <f t="shared" si="19"/>
        <v>13.411199999999999</v>
      </c>
      <c r="C93" s="18">
        <f>Specification!$G$30</f>
        <v>109.96225200000001</v>
      </c>
      <c r="D93" s="17">
        <f>0.5*Specification!$K$4*Track!B93^2*Specification!$K$3*Specification!$K$2</f>
        <v>93.159842569492653</v>
      </c>
      <c r="E93" s="16">
        <v>0</v>
      </c>
      <c r="F93" s="17">
        <f>Specification!$C$23*9.81*SIN((E93*PI()/180))</f>
        <v>0</v>
      </c>
      <c r="G93" s="18">
        <f>IF(J93=1,VLOOKUP(K93,RPM!$E$2:$H$62,3,FALSE)-F93-E93-D93,IF(J93=2,VLOOKUP(K93,RPM!$H$2:$K$62,3,FALSE)-F93-E93-D93,IF(J93=3,VLOOKUP(K93,RPM!$K$2:$N$62,3,FALSE)-F93-E93-D93)))</f>
        <v>549.56217903827155</v>
      </c>
      <c r="H93" s="19">
        <f>IF(J93=1,Specification!$I$14,IF(J93=2,Specification!$I$15,IF(J93=3,Specification!$I$16)))</f>
        <v>578.93404261974786</v>
      </c>
      <c r="I93" s="16">
        <v>0</v>
      </c>
      <c r="J93" s="17">
        <v>3</v>
      </c>
      <c r="K93" s="16">
        <f>IF(J93=1,VLOOKUP(B93,RPM!$F$2:$H$62,3,TRUE),IF(J93=2,VLOOKUP(B93,RPM!$I$2:$K$62,3,TRUE),IF(J93=3,VLOOKUP(B93,RPM!$L$2:$N$62,3,TRUE))))</f>
        <v>4300</v>
      </c>
      <c r="L93" s="17">
        <f t="shared" si="15"/>
        <v>9.5248438493823357</v>
      </c>
      <c r="M93" s="16">
        <f t="shared" si="12"/>
        <v>0</v>
      </c>
      <c r="N93" s="17">
        <f>VLOOKUP(K93,RPM!$A$2:$D$62,3,FALSE)</f>
        <v>11.4</v>
      </c>
      <c r="O93" s="16">
        <f>VLOOKUP(K93,RPM!$A$2:$D$62,4,FALSE)</f>
        <v>18.894837209302327</v>
      </c>
      <c r="P93" s="17">
        <f t="shared" si="13"/>
        <v>14.089880106976747</v>
      </c>
      <c r="Q93" s="16" cm="1">
        <f t="array" ref="Q93">_xlfn.XLOOKUP(O93,BSFC!$A$2:$A$24,_xlfn.XLOOKUP(K93,BSFC!$B$1:$O$1,BSFC!$B$2:$O$24,,-1),,-1)</f>
        <v>480</v>
      </c>
      <c r="R93" s="17">
        <f t="shared" si="14"/>
        <v>1.8786506809302328</v>
      </c>
      <c r="S93" s="16">
        <f t="shared" si="16"/>
        <v>2.9183485335177264E-4</v>
      </c>
      <c r="T93" s="17">
        <f t="shared" si="20"/>
        <v>0.14008072960885087</v>
      </c>
      <c r="U93" s="16">
        <f t="shared" si="21"/>
        <v>15.913175912985711</v>
      </c>
      <c r="V93" s="17">
        <f t="shared" si="22"/>
        <v>3.1105616151361367E-2</v>
      </c>
      <c r="W93" s="16">
        <f t="shared" si="17"/>
        <v>111980.21814490092</v>
      </c>
      <c r="X93">
        <f>('Hybrid Info'!$A$2-Track!P93)*(L93-L92)*1000+X92</f>
        <v>-1602.1652959313526</v>
      </c>
    </row>
    <row r="94" spans="1:24">
      <c r="A94" s="16">
        <f t="shared" si="18"/>
        <v>93</v>
      </c>
      <c r="B94" s="17">
        <f t="shared" si="19"/>
        <v>13.411199999999999</v>
      </c>
      <c r="C94" s="18">
        <f>Specification!$G$30</f>
        <v>109.96225200000001</v>
      </c>
      <c r="D94" s="17">
        <f>0.5*Specification!$K$4*Track!B94^2*Specification!$K$3*Specification!$K$2</f>
        <v>93.159842569492653</v>
      </c>
      <c r="E94" s="16">
        <v>0</v>
      </c>
      <c r="F94" s="17">
        <f>Specification!$C$23*9.81*SIN((E94*PI()/180))</f>
        <v>0</v>
      </c>
      <c r="G94" s="18">
        <f>IF(J94=1,VLOOKUP(K94,RPM!$E$2:$H$62,3,FALSE)-F94-E94-D94,IF(J94=2,VLOOKUP(K94,RPM!$H$2:$K$62,3,FALSE)-F94-E94-D94,IF(J94=3,VLOOKUP(K94,RPM!$K$2:$N$62,3,FALSE)-F94-E94-D94)))</f>
        <v>549.56217903827155</v>
      </c>
      <c r="H94" s="19">
        <f>IF(J94=1,Specification!$I$14,IF(J94=2,Specification!$I$15,IF(J94=3,Specification!$I$16)))</f>
        <v>578.93404261974786</v>
      </c>
      <c r="I94" s="16">
        <v>0</v>
      </c>
      <c r="J94" s="17">
        <v>3</v>
      </c>
      <c r="K94" s="16">
        <f>IF(J94=1,VLOOKUP(B94,RPM!$F$2:$H$62,3,TRUE),IF(J94=2,VLOOKUP(B94,RPM!$I$2:$K$62,3,TRUE),IF(J94=3,VLOOKUP(B94,RPM!$L$2:$N$62,3,TRUE))))</f>
        <v>4300</v>
      </c>
      <c r="L94" s="17">
        <f t="shared" si="15"/>
        <v>9.5994083924508153</v>
      </c>
      <c r="M94" s="16">
        <f t="shared" si="12"/>
        <v>0</v>
      </c>
      <c r="N94" s="17">
        <f>VLOOKUP(K94,RPM!$A$2:$D$62,3,FALSE)</f>
        <v>11.4</v>
      </c>
      <c r="O94" s="16">
        <f>VLOOKUP(K94,RPM!$A$2:$D$62,4,FALSE)</f>
        <v>18.894837209302327</v>
      </c>
      <c r="P94" s="17">
        <f t="shared" si="13"/>
        <v>14.089880106976747</v>
      </c>
      <c r="Q94" s="16" cm="1">
        <f t="array" ref="Q94">_xlfn.XLOOKUP(O94,BSFC!$A$2:$A$24,_xlfn.XLOOKUP(K94,BSFC!$B$1:$O$1,BSFC!$B$2:$O$24,,-1),,-1)</f>
        <v>480</v>
      </c>
      <c r="R94" s="17">
        <f t="shared" si="14"/>
        <v>1.8786506809302328</v>
      </c>
      <c r="S94" s="16">
        <f t="shared" si="16"/>
        <v>2.9183485335177264E-4</v>
      </c>
      <c r="T94" s="17">
        <f t="shared" si="20"/>
        <v>0.14008072960885087</v>
      </c>
      <c r="U94" s="16">
        <f t="shared" si="21"/>
        <v>16.053256642594562</v>
      </c>
      <c r="V94" s="17">
        <f t="shared" si="22"/>
        <v>3.1397451004713139E-2</v>
      </c>
      <c r="W94" s="16">
        <f t="shared" si="17"/>
        <v>113030.8236169673</v>
      </c>
      <c r="X94">
        <f>('Hybrid Info'!$A$2-Track!P94)*(L94-L93)*1000+X93</f>
        <v>-1749.0146092807631</v>
      </c>
    </row>
    <row r="95" spans="1:24">
      <c r="A95" s="16">
        <f t="shared" si="18"/>
        <v>94</v>
      </c>
      <c r="B95" s="17">
        <f t="shared" si="19"/>
        <v>13.411199999999999</v>
      </c>
      <c r="C95" s="18">
        <f>Specification!$G$30</f>
        <v>109.96225200000001</v>
      </c>
      <c r="D95" s="17">
        <f>0.5*Specification!$K$4*Track!B95^2*Specification!$K$3*Specification!$K$2</f>
        <v>93.159842569492653</v>
      </c>
      <c r="E95" s="16">
        <v>0</v>
      </c>
      <c r="F95" s="17">
        <f>Specification!$C$23*9.81*SIN((E95*PI()/180))</f>
        <v>0</v>
      </c>
      <c r="G95" s="18">
        <f>IF(J95=1,VLOOKUP(K95,RPM!$E$2:$H$62,3,FALSE)-F95-E95-D95,IF(J95=2,VLOOKUP(K95,RPM!$H$2:$K$62,3,FALSE)-F95-E95-D95,IF(J95=3,VLOOKUP(K95,RPM!$K$2:$N$62,3,FALSE)-F95-E95-D95)))</f>
        <v>549.56217903827155</v>
      </c>
      <c r="H95" s="19">
        <f>IF(J95=1,Specification!$I$14,IF(J95=2,Specification!$I$15,IF(J95=3,Specification!$I$16)))</f>
        <v>578.93404261974786</v>
      </c>
      <c r="I95" s="16">
        <v>0</v>
      </c>
      <c r="J95" s="17">
        <v>3</v>
      </c>
      <c r="K95" s="16">
        <f>IF(J95=1,VLOOKUP(B95,RPM!$F$2:$H$62,3,TRUE),IF(J95=2,VLOOKUP(B95,RPM!$I$2:$K$62,3,TRUE),IF(J95=3,VLOOKUP(B95,RPM!$L$2:$N$62,3,TRUE))))</f>
        <v>4300</v>
      </c>
      <c r="L95" s="17">
        <f t="shared" si="15"/>
        <v>9.6739729355192949</v>
      </c>
      <c r="M95" s="16">
        <f t="shared" si="12"/>
        <v>0</v>
      </c>
      <c r="N95" s="17">
        <f>VLOOKUP(K95,RPM!$A$2:$D$62,3,FALSE)</f>
        <v>11.4</v>
      </c>
      <c r="O95" s="16">
        <f>VLOOKUP(K95,RPM!$A$2:$D$62,4,FALSE)</f>
        <v>18.894837209302327</v>
      </c>
      <c r="P95" s="17">
        <f t="shared" si="13"/>
        <v>14.089880106976747</v>
      </c>
      <c r="Q95" s="16" cm="1">
        <f t="array" ref="Q95">_xlfn.XLOOKUP(O95,BSFC!$A$2:$A$24,_xlfn.XLOOKUP(K95,BSFC!$B$1:$O$1,BSFC!$B$2:$O$24,,-1),,-1)</f>
        <v>480</v>
      </c>
      <c r="R95" s="17">
        <f t="shared" si="14"/>
        <v>1.8786506809302328</v>
      </c>
      <c r="S95" s="16">
        <f t="shared" si="16"/>
        <v>2.9183485335177264E-4</v>
      </c>
      <c r="T95" s="17">
        <f t="shared" si="20"/>
        <v>0.14008072960885087</v>
      </c>
      <c r="U95" s="16">
        <f t="shared" si="21"/>
        <v>16.193337372203413</v>
      </c>
      <c r="V95" s="17">
        <f t="shared" si="22"/>
        <v>3.1689285858064915E-2</v>
      </c>
      <c r="W95" s="16">
        <f t="shared" si="17"/>
        <v>114081.4290890337</v>
      </c>
      <c r="X95">
        <f>('Hybrid Info'!$A$2-Track!P95)*(L95-L94)*1000+X94</f>
        <v>-1895.8639226301736</v>
      </c>
    </row>
    <row r="96" spans="1:24">
      <c r="A96" s="16">
        <f t="shared" si="18"/>
        <v>95</v>
      </c>
      <c r="B96" s="17">
        <f t="shared" si="19"/>
        <v>13.411199999999999</v>
      </c>
      <c r="C96" s="18">
        <f>Specification!$G$30</f>
        <v>109.96225200000001</v>
      </c>
      <c r="D96" s="17">
        <f>0.5*Specification!$K$4*Track!B96^2*Specification!$K$3*Specification!$K$2</f>
        <v>93.159842569492653</v>
      </c>
      <c r="E96" s="16">
        <v>0</v>
      </c>
      <c r="F96" s="17">
        <f>Specification!$C$23*9.81*SIN((E96*PI()/180))</f>
        <v>0</v>
      </c>
      <c r="G96" s="18">
        <f>IF(J96=1,VLOOKUP(K96,RPM!$E$2:$H$62,3,FALSE)-F96-E96-D96,IF(J96=2,VLOOKUP(K96,RPM!$H$2:$K$62,3,FALSE)-F96-E96-D96,IF(J96=3,VLOOKUP(K96,RPM!$K$2:$N$62,3,FALSE)-F96-E96-D96)))</f>
        <v>549.56217903827155</v>
      </c>
      <c r="H96" s="19">
        <f>IF(J96=1,Specification!$I$14,IF(J96=2,Specification!$I$15,IF(J96=3,Specification!$I$16)))</f>
        <v>578.93404261974786</v>
      </c>
      <c r="I96" s="16">
        <v>0</v>
      </c>
      <c r="J96" s="17">
        <v>3</v>
      </c>
      <c r="K96" s="16">
        <f>IF(J96=1,VLOOKUP(B96,RPM!$F$2:$H$62,3,TRUE),IF(J96=2,VLOOKUP(B96,RPM!$I$2:$K$62,3,TRUE),IF(J96=3,VLOOKUP(B96,RPM!$L$2:$N$62,3,TRUE))))</f>
        <v>4300</v>
      </c>
      <c r="L96" s="17">
        <f t="shared" si="15"/>
        <v>9.7485374785877745</v>
      </c>
      <c r="M96" s="16">
        <f t="shared" si="12"/>
        <v>0</v>
      </c>
      <c r="N96" s="17">
        <f>VLOOKUP(K96,RPM!$A$2:$D$62,3,FALSE)</f>
        <v>11.4</v>
      </c>
      <c r="O96" s="16">
        <f>VLOOKUP(K96,RPM!$A$2:$D$62,4,FALSE)</f>
        <v>18.894837209302327</v>
      </c>
      <c r="P96" s="17">
        <f t="shared" si="13"/>
        <v>14.089880106976747</v>
      </c>
      <c r="Q96" s="16" cm="1">
        <f t="array" ref="Q96">_xlfn.XLOOKUP(O96,BSFC!$A$2:$A$24,_xlfn.XLOOKUP(K96,BSFC!$B$1:$O$1,BSFC!$B$2:$O$24,,-1),,-1)</f>
        <v>480</v>
      </c>
      <c r="R96" s="17">
        <f t="shared" si="14"/>
        <v>1.8786506809302328</v>
      </c>
      <c r="S96" s="16">
        <f t="shared" si="16"/>
        <v>2.9183485335177264E-4</v>
      </c>
      <c r="T96" s="17">
        <f t="shared" si="20"/>
        <v>0.14008072960885087</v>
      </c>
      <c r="U96" s="16">
        <f t="shared" si="21"/>
        <v>16.333418101812264</v>
      </c>
      <c r="V96" s="17">
        <f t="shared" si="22"/>
        <v>3.1981120711416691E-2</v>
      </c>
      <c r="W96" s="16">
        <f t="shared" si="17"/>
        <v>115132.03456110008</v>
      </c>
      <c r="X96">
        <f>('Hybrid Info'!$A$2-Track!P96)*(L96-L95)*1000+X95</f>
        <v>-2042.7132359795842</v>
      </c>
    </row>
    <row r="97" spans="1:24">
      <c r="A97" s="16">
        <f t="shared" si="18"/>
        <v>96</v>
      </c>
      <c r="B97" s="17">
        <f t="shared" si="19"/>
        <v>13.411199999999999</v>
      </c>
      <c r="C97" s="18">
        <f>Specification!$G$30</f>
        <v>109.96225200000001</v>
      </c>
      <c r="D97" s="17">
        <f>0.5*Specification!$K$4*Track!B97^2*Specification!$K$3*Specification!$K$2</f>
        <v>93.159842569492653</v>
      </c>
      <c r="E97" s="16">
        <v>0</v>
      </c>
      <c r="F97" s="17">
        <f>Specification!$C$23*9.81*SIN((E97*PI()/180))</f>
        <v>0</v>
      </c>
      <c r="G97" s="18">
        <f>IF(J97=1,VLOOKUP(K97,RPM!$E$2:$H$62,3,FALSE)-F97-E97-D97,IF(J97=2,VLOOKUP(K97,RPM!$H$2:$K$62,3,FALSE)-F97-E97-D97,IF(J97=3,VLOOKUP(K97,RPM!$K$2:$N$62,3,FALSE)-F97-E97-D97)))</f>
        <v>549.56217903827155</v>
      </c>
      <c r="H97" s="19">
        <f>IF(J97=1,Specification!$I$14,IF(J97=2,Specification!$I$15,IF(J97=3,Specification!$I$16)))</f>
        <v>578.93404261974786</v>
      </c>
      <c r="I97" s="16">
        <v>0</v>
      </c>
      <c r="J97" s="17">
        <v>3</v>
      </c>
      <c r="K97" s="16">
        <f>IF(J97=1,VLOOKUP(B97,RPM!$F$2:$H$62,3,TRUE),IF(J97=2,VLOOKUP(B97,RPM!$I$2:$K$62,3,TRUE),IF(J97=3,VLOOKUP(B97,RPM!$L$2:$N$62,3,TRUE))))</f>
        <v>4300</v>
      </c>
      <c r="L97" s="17">
        <f t="shared" si="15"/>
        <v>9.8231020216562541</v>
      </c>
      <c r="M97" s="16">
        <f t="shared" si="12"/>
        <v>0</v>
      </c>
      <c r="N97" s="17">
        <f>VLOOKUP(K97,RPM!$A$2:$D$62,3,FALSE)</f>
        <v>11.4</v>
      </c>
      <c r="O97" s="16">
        <f>VLOOKUP(K97,RPM!$A$2:$D$62,4,FALSE)</f>
        <v>18.894837209302327</v>
      </c>
      <c r="P97" s="17">
        <f t="shared" si="13"/>
        <v>14.089880106976747</v>
      </c>
      <c r="Q97" s="16" cm="1">
        <f t="array" ref="Q97">_xlfn.XLOOKUP(O97,BSFC!$A$2:$A$24,_xlfn.XLOOKUP(K97,BSFC!$B$1:$O$1,BSFC!$B$2:$O$24,,-1),,-1)</f>
        <v>480</v>
      </c>
      <c r="R97" s="17">
        <f t="shared" si="14"/>
        <v>1.8786506809302328</v>
      </c>
      <c r="S97" s="16">
        <f t="shared" si="16"/>
        <v>2.9183485335177264E-4</v>
      </c>
      <c r="T97" s="17">
        <f t="shared" si="20"/>
        <v>0.14008072960885087</v>
      </c>
      <c r="U97" s="16">
        <f t="shared" si="21"/>
        <v>16.473498831421114</v>
      </c>
      <c r="V97" s="17">
        <f t="shared" si="22"/>
        <v>3.2272955564768467E-2</v>
      </c>
      <c r="W97" s="16">
        <f t="shared" si="17"/>
        <v>116182.64003316648</v>
      </c>
      <c r="X97">
        <f>('Hybrid Info'!$A$2-Track!P97)*(L97-L96)*1000+X96</f>
        <v>-2189.5625493289945</v>
      </c>
    </row>
    <row r="98" spans="1:24">
      <c r="A98" s="16">
        <f t="shared" si="18"/>
        <v>97</v>
      </c>
      <c r="B98" s="17">
        <f t="shared" si="19"/>
        <v>13.411199999999999</v>
      </c>
      <c r="C98" s="18">
        <f>Specification!$G$30</f>
        <v>109.96225200000001</v>
      </c>
      <c r="D98" s="17">
        <f>0.5*Specification!$K$4*Track!B98^2*Specification!$K$3*Specification!$K$2</f>
        <v>93.159842569492653</v>
      </c>
      <c r="E98" s="16">
        <v>0</v>
      </c>
      <c r="F98" s="17">
        <f>Specification!$C$23*9.81*SIN((E98*PI()/180))</f>
        <v>0</v>
      </c>
      <c r="G98" s="18">
        <f>IF(J98=1,VLOOKUP(K98,RPM!$E$2:$H$62,3,FALSE)-F98-E98-D98,IF(J98=2,VLOOKUP(K98,RPM!$H$2:$K$62,3,FALSE)-F98-E98-D98,IF(J98=3,VLOOKUP(K98,RPM!$K$2:$N$62,3,FALSE)-F98-E98-D98)))</f>
        <v>549.56217903827155</v>
      </c>
      <c r="H98" s="19">
        <f>IF(J98=1,Specification!$I$14,IF(J98=2,Specification!$I$15,IF(J98=3,Specification!$I$16)))</f>
        <v>578.93404261974786</v>
      </c>
      <c r="I98" s="16">
        <v>0</v>
      </c>
      <c r="J98" s="17">
        <v>3</v>
      </c>
      <c r="K98" s="16">
        <f>IF(J98=1,VLOOKUP(B98,RPM!$F$2:$H$62,3,TRUE),IF(J98=2,VLOOKUP(B98,RPM!$I$2:$K$62,3,TRUE),IF(J98=3,VLOOKUP(B98,RPM!$L$2:$N$62,3,TRUE))))</f>
        <v>4300</v>
      </c>
      <c r="L98" s="17">
        <f t="shared" si="15"/>
        <v>9.8976665647247337</v>
      </c>
      <c r="M98" s="16">
        <f t="shared" si="12"/>
        <v>0</v>
      </c>
      <c r="N98" s="17">
        <f>VLOOKUP(K98,RPM!$A$2:$D$62,3,FALSE)</f>
        <v>11.4</v>
      </c>
      <c r="O98" s="16">
        <f>VLOOKUP(K98,RPM!$A$2:$D$62,4,FALSE)</f>
        <v>18.894837209302327</v>
      </c>
      <c r="P98" s="17">
        <f t="shared" si="13"/>
        <v>14.089880106976747</v>
      </c>
      <c r="Q98" s="16" cm="1">
        <f t="array" ref="Q98">_xlfn.XLOOKUP(O98,BSFC!$A$2:$A$24,_xlfn.XLOOKUP(K98,BSFC!$B$1:$O$1,BSFC!$B$2:$O$24,,-1),,-1)</f>
        <v>480</v>
      </c>
      <c r="R98" s="17">
        <f t="shared" si="14"/>
        <v>1.8786506809302328</v>
      </c>
      <c r="S98" s="16">
        <f t="shared" si="16"/>
        <v>2.9183485335177264E-4</v>
      </c>
      <c r="T98" s="17">
        <f t="shared" si="20"/>
        <v>0.14008072960885087</v>
      </c>
      <c r="U98" s="16">
        <f t="shared" si="21"/>
        <v>16.613579561029965</v>
      </c>
      <c r="V98" s="17">
        <f t="shared" si="22"/>
        <v>3.2564790418120243E-2</v>
      </c>
      <c r="W98" s="16">
        <f t="shared" si="17"/>
        <v>117233.24550523289</v>
      </c>
      <c r="X98">
        <f>('Hybrid Info'!$A$2-Track!P98)*(L98-L97)*1000+X97</f>
        <v>-2336.4118626784048</v>
      </c>
    </row>
    <row r="99" spans="1:24">
      <c r="A99" s="16">
        <f t="shared" si="18"/>
        <v>98</v>
      </c>
      <c r="B99" s="17">
        <f t="shared" si="19"/>
        <v>13.411199999999999</v>
      </c>
      <c r="C99" s="18">
        <f>Specification!$G$30</f>
        <v>109.96225200000001</v>
      </c>
      <c r="D99" s="17">
        <f>0.5*Specification!$K$4*Track!B99^2*Specification!$K$3*Specification!$K$2</f>
        <v>93.159842569492653</v>
      </c>
      <c r="E99" s="16">
        <v>0</v>
      </c>
      <c r="F99" s="17">
        <f>Specification!$C$23*9.81*SIN((E99*PI()/180))</f>
        <v>0</v>
      </c>
      <c r="G99" s="18">
        <f>IF(J99=1,VLOOKUP(K99,RPM!$E$2:$H$62,3,FALSE)-F99-E99-D99,IF(J99=2,VLOOKUP(K99,RPM!$H$2:$K$62,3,FALSE)-F99-E99-D99,IF(J99=3,VLOOKUP(K99,RPM!$K$2:$N$62,3,FALSE)-F99-E99-D99)))</f>
        <v>549.56217903827155</v>
      </c>
      <c r="H99" s="19">
        <f>IF(J99=1,Specification!$I$14,IF(J99=2,Specification!$I$15,IF(J99=3,Specification!$I$16)))</f>
        <v>578.93404261974786</v>
      </c>
      <c r="I99" s="16">
        <v>0</v>
      </c>
      <c r="J99" s="17">
        <v>3</v>
      </c>
      <c r="K99" s="16">
        <f>IF(J99=1,VLOOKUP(B99,RPM!$F$2:$H$62,3,TRUE),IF(J99=2,VLOOKUP(B99,RPM!$I$2:$K$62,3,TRUE),IF(J99=3,VLOOKUP(B99,RPM!$L$2:$N$62,3,TRUE))))</f>
        <v>4300</v>
      </c>
      <c r="L99" s="17">
        <f t="shared" si="15"/>
        <v>9.9722311077932133</v>
      </c>
      <c r="M99" s="16">
        <f t="shared" si="12"/>
        <v>0</v>
      </c>
      <c r="N99" s="17">
        <f>VLOOKUP(K99,RPM!$A$2:$D$62,3,FALSE)</f>
        <v>11.4</v>
      </c>
      <c r="O99" s="16">
        <f>VLOOKUP(K99,RPM!$A$2:$D$62,4,FALSE)</f>
        <v>18.894837209302327</v>
      </c>
      <c r="P99" s="17">
        <f t="shared" si="13"/>
        <v>14.089880106976747</v>
      </c>
      <c r="Q99" s="16" cm="1">
        <f t="array" ref="Q99">_xlfn.XLOOKUP(O99,BSFC!$A$2:$A$24,_xlfn.XLOOKUP(K99,BSFC!$B$1:$O$1,BSFC!$B$2:$O$24,,-1),,-1)</f>
        <v>480</v>
      </c>
      <c r="R99" s="17">
        <f t="shared" si="14"/>
        <v>1.8786506809302328</v>
      </c>
      <c r="S99" s="16">
        <f t="shared" si="16"/>
        <v>2.9183485335177264E-4</v>
      </c>
      <c r="T99" s="17">
        <f t="shared" si="20"/>
        <v>0.14008072960885087</v>
      </c>
      <c r="U99" s="16">
        <f t="shared" si="21"/>
        <v>16.753660290638816</v>
      </c>
      <c r="V99" s="17">
        <f t="shared" si="22"/>
        <v>3.2856625271472019E-2</v>
      </c>
      <c r="W99" s="16">
        <f t="shared" si="17"/>
        <v>118283.85097729927</v>
      </c>
      <c r="X99">
        <f>('Hybrid Info'!$A$2-Track!P99)*(L99-L98)*1000+X98</f>
        <v>-2483.2611760278151</v>
      </c>
    </row>
    <row r="100" spans="1:24">
      <c r="A100" s="16">
        <f t="shared" si="18"/>
        <v>99</v>
      </c>
      <c r="B100" s="17">
        <f t="shared" si="19"/>
        <v>13.411199999999999</v>
      </c>
      <c r="C100" s="18">
        <f>Specification!$G$30</f>
        <v>109.96225200000001</v>
      </c>
      <c r="D100" s="17">
        <f>0.5*Specification!$K$4*Track!B100^2*Specification!$K$3*Specification!$K$2</f>
        <v>93.159842569492653</v>
      </c>
      <c r="E100" s="16">
        <v>0</v>
      </c>
      <c r="F100" s="17">
        <f>Specification!$C$23*9.81*SIN((E100*PI()/180))</f>
        <v>0</v>
      </c>
      <c r="G100" s="18">
        <f>IF(J100=1,VLOOKUP(K100,RPM!$E$2:$H$62,3,FALSE)-F100-E100-D100,IF(J100=2,VLOOKUP(K100,RPM!$H$2:$K$62,3,FALSE)-F100-E100-D100,IF(J100=3,VLOOKUP(K100,RPM!$K$2:$N$62,3,FALSE)-F100-E100-D100)))</f>
        <v>549.56217903827155</v>
      </c>
      <c r="H100" s="19">
        <f>IF(J100=1,Specification!$I$14,IF(J100=2,Specification!$I$15,IF(J100=3,Specification!$I$16)))</f>
        <v>578.93404261974786</v>
      </c>
      <c r="I100" s="16">
        <v>0</v>
      </c>
      <c r="J100" s="17">
        <v>3</v>
      </c>
      <c r="K100" s="16">
        <f>IF(J100=1,VLOOKUP(B100,RPM!$F$2:$H$62,3,TRUE),IF(J100=2,VLOOKUP(B100,RPM!$I$2:$K$62,3,TRUE),IF(J100=3,VLOOKUP(B100,RPM!$L$2:$N$62,3,TRUE))))</f>
        <v>4300</v>
      </c>
      <c r="L100" s="17">
        <f t="shared" si="15"/>
        <v>10.046795650861693</v>
      </c>
      <c r="M100" s="16">
        <f t="shared" si="12"/>
        <v>0</v>
      </c>
      <c r="N100" s="17">
        <f>VLOOKUP(K100,RPM!$A$2:$D$62,3,FALSE)</f>
        <v>11.4</v>
      </c>
      <c r="O100" s="16">
        <f>VLOOKUP(K100,RPM!$A$2:$D$62,4,FALSE)</f>
        <v>18.894837209302327</v>
      </c>
      <c r="P100" s="17">
        <f t="shared" si="13"/>
        <v>14.089880106976747</v>
      </c>
      <c r="Q100" s="16" cm="1">
        <f t="array" ref="Q100">_xlfn.XLOOKUP(O100,BSFC!$A$2:$A$24,_xlfn.XLOOKUP(K100,BSFC!$B$1:$O$1,BSFC!$B$2:$O$24,,-1),,-1)</f>
        <v>480</v>
      </c>
      <c r="R100" s="17">
        <f t="shared" si="14"/>
        <v>1.8786506809302328</v>
      </c>
      <c r="S100" s="16">
        <f t="shared" si="16"/>
        <v>2.9183485335177264E-4</v>
      </c>
      <c r="T100" s="17">
        <f t="shared" si="20"/>
        <v>0.14008072960885087</v>
      </c>
      <c r="U100" s="16">
        <f t="shared" si="21"/>
        <v>16.893741020247667</v>
      </c>
      <c r="V100" s="17">
        <f t="shared" si="22"/>
        <v>3.3148460124823795E-2</v>
      </c>
      <c r="W100" s="16">
        <f t="shared" si="17"/>
        <v>119334.45644936565</v>
      </c>
      <c r="X100">
        <f>('Hybrid Info'!$A$2-Track!P100)*(L100-L99)*1000+X99</f>
        <v>-2630.1104893772253</v>
      </c>
    </row>
    <row r="101" spans="1:24">
      <c r="A101" s="16">
        <f t="shared" si="18"/>
        <v>100</v>
      </c>
      <c r="B101" s="17">
        <f t="shared" si="19"/>
        <v>13.411199999999999</v>
      </c>
      <c r="C101" s="18">
        <f>Specification!$G$30</f>
        <v>109.96225200000001</v>
      </c>
      <c r="D101" s="17">
        <f>0.5*Specification!$K$4*Track!B101^2*Specification!$K$3*Specification!$K$2</f>
        <v>93.159842569492653</v>
      </c>
      <c r="E101" s="16">
        <v>0</v>
      </c>
      <c r="F101" s="17">
        <f>Specification!$C$23*9.81*SIN((E101*PI()/180))</f>
        <v>0</v>
      </c>
      <c r="G101" s="18">
        <f>IF(J101=1,VLOOKUP(K101,RPM!$E$2:$H$62,3,FALSE)-F101-E101-D101,IF(J101=2,VLOOKUP(K101,RPM!$H$2:$K$62,3,FALSE)-F101-E101-D101,IF(J101=3,VLOOKUP(K101,RPM!$K$2:$N$62,3,FALSE)-F101-E101-D101)))</f>
        <v>549.56217903827155</v>
      </c>
      <c r="H101" s="19">
        <f>IF(J101=1,Specification!$I$14,IF(J101=2,Specification!$I$15,IF(J101=3,Specification!$I$16)))</f>
        <v>578.93404261974786</v>
      </c>
      <c r="I101" s="16">
        <v>0</v>
      </c>
      <c r="J101" s="17">
        <v>3</v>
      </c>
      <c r="K101" s="16">
        <f>IF(J101=1,VLOOKUP(B101,RPM!$F$2:$H$62,3,TRUE),IF(J101=2,VLOOKUP(B101,RPM!$I$2:$K$62,3,TRUE),IF(J101=3,VLOOKUP(B101,RPM!$L$2:$N$62,3,TRUE))))</f>
        <v>4300</v>
      </c>
      <c r="L101" s="17">
        <f t="shared" si="15"/>
        <v>10.121360193930172</v>
      </c>
      <c r="M101" s="16">
        <f t="shared" si="12"/>
        <v>0</v>
      </c>
      <c r="N101" s="17">
        <f>VLOOKUP(K101,RPM!$A$2:$D$62,3,FALSE)</f>
        <v>11.4</v>
      </c>
      <c r="O101" s="16">
        <f>VLOOKUP(K101,RPM!$A$2:$D$62,4,FALSE)</f>
        <v>18.894837209302327</v>
      </c>
      <c r="P101" s="17">
        <f t="shared" si="13"/>
        <v>14.089880106976747</v>
      </c>
      <c r="Q101" s="16" cm="1">
        <f t="array" ref="Q101">_xlfn.XLOOKUP(O101,BSFC!$A$2:$A$24,_xlfn.XLOOKUP(K101,BSFC!$B$1:$O$1,BSFC!$B$2:$O$24,,-1),,-1)</f>
        <v>480</v>
      </c>
      <c r="R101" s="17">
        <f t="shared" si="14"/>
        <v>1.8786506809302328</v>
      </c>
      <c r="S101" s="16">
        <f t="shared" si="16"/>
        <v>2.9183485335177264E-4</v>
      </c>
      <c r="T101" s="17">
        <f t="shared" si="20"/>
        <v>0.14008072960885087</v>
      </c>
      <c r="U101" s="16">
        <f t="shared" si="21"/>
        <v>17.033821749856518</v>
      </c>
      <c r="V101" s="17">
        <f t="shared" si="22"/>
        <v>3.3440294978175571E-2</v>
      </c>
      <c r="W101" s="16">
        <f t="shared" si="17"/>
        <v>120385.06192143206</v>
      </c>
      <c r="X101">
        <f>('Hybrid Info'!$A$2-Track!P101)*(L101-L100)*1000+X100</f>
        <v>-2776.9598027266356</v>
      </c>
    </row>
    <row r="102" spans="1:24">
      <c r="A102" s="16">
        <f t="shared" si="18"/>
        <v>101</v>
      </c>
      <c r="B102" s="17">
        <f t="shared" si="19"/>
        <v>13.411199999999999</v>
      </c>
      <c r="C102" s="18">
        <f>Specification!$G$30</f>
        <v>109.96225200000001</v>
      </c>
      <c r="D102" s="17">
        <f>0.5*Specification!$K$4*Track!B102^2*Specification!$K$3*Specification!$K$2</f>
        <v>93.159842569492653</v>
      </c>
      <c r="E102" s="16">
        <v>0</v>
      </c>
      <c r="F102" s="17">
        <f>Specification!$C$23*9.81*SIN((E102*PI()/180))</f>
        <v>0</v>
      </c>
      <c r="G102" s="18">
        <f>IF(J102=1,VLOOKUP(K102,RPM!$E$2:$H$62,3,FALSE)-F102-E102-D102,IF(J102=2,VLOOKUP(K102,RPM!$H$2:$K$62,3,FALSE)-F102-E102-D102,IF(J102=3,VLOOKUP(K102,RPM!$K$2:$N$62,3,FALSE)-F102-E102-D102)))</f>
        <v>549.56217903827155</v>
      </c>
      <c r="H102" s="19">
        <f>IF(J102=1,Specification!$I$14,IF(J102=2,Specification!$I$15,IF(J102=3,Specification!$I$16)))</f>
        <v>578.93404261974786</v>
      </c>
      <c r="I102" s="16">
        <v>0</v>
      </c>
      <c r="J102" s="17">
        <v>3</v>
      </c>
      <c r="K102" s="16">
        <f>IF(J102=1,VLOOKUP(B102,RPM!$F$2:$H$62,3,TRUE),IF(J102=2,VLOOKUP(B102,RPM!$I$2:$K$62,3,TRUE),IF(J102=3,VLOOKUP(B102,RPM!$L$2:$N$62,3,TRUE))))</f>
        <v>4300</v>
      </c>
      <c r="L102" s="17">
        <f t="shared" si="15"/>
        <v>10.195924736998652</v>
      </c>
      <c r="M102" s="16">
        <f t="shared" si="12"/>
        <v>0</v>
      </c>
      <c r="N102" s="17">
        <f>VLOOKUP(K102,RPM!$A$2:$D$62,3,FALSE)</f>
        <v>11.4</v>
      </c>
      <c r="O102" s="16">
        <f>VLOOKUP(K102,RPM!$A$2:$D$62,4,FALSE)</f>
        <v>18.894837209302327</v>
      </c>
      <c r="P102" s="17">
        <f t="shared" si="13"/>
        <v>14.089880106976747</v>
      </c>
      <c r="Q102" s="16" cm="1">
        <f t="array" ref="Q102">_xlfn.XLOOKUP(O102,BSFC!$A$2:$A$24,_xlfn.XLOOKUP(K102,BSFC!$B$1:$O$1,BSFC!$B$2:$O$24,,-1),,-1)</f>
        <v>480</v>
      </c>
      <c r="R102" s="17">
        <f t="shared" si="14"/>
        <v>1.8786506809302328</v>
      </c>
      <c r="S102" s="16">
        <f t="shared" si="16"/>
        <v>2.9183485335177264E-4</v>
      </c>
      <c r="T102" s="17">
        <f t="shared" si="20"/>
        <v>0.14008072960885087</v>
      </c>
      <c r="U102" s="16">
        <f t="shared" si="21"/>
        <v>17.173902479465369</v>
      </c>
      <c r="V102" s="17">
        <f t="shared" si="22"/>
        <v>3.3732129831527347E-2</v>
      </c>
      <c r="W102" s="16">
        <f t="shared" si="17"/>
        <v>121435.66739349844</v>
      </c>
      <c r="X102">
        <f>('Hybrid Info'!$A$2-Track!P102)*(L102-L101)*1000+X101</f>
        <v>-2923.8091160760459</v>
      </c>
    </row>
    <row r="103" spans="1:24">
      <c r="A103" s="16">
        <f t="shared" si="18"/>
        <v>102</v>
      </c>
      <c r="B103" s="17">
        <f t="shared" si="19"/>
        <v>13.411199999999999</v>
      </c>
      <c r="C103" s="18">
        <f>Specification!$G$30</f>
        <v>109.96225200000001</v>
      </c>
      <c r="D103" s="17">
        <f>0.5*Specification!$K$4*Track!B103^2*Specification!$K$3*Specification!$K$2</f>
        <v>93.159842569492653</v>
      </c>
      <c r="E103" s="16">
        <v>0</v>
      </c>
      <c r="F103" s="17">
        <f>Specification!$C$23*9.81*SIN((E103*PI()/180))</f>
        <v>0</v>
      </c>
      <c r="G103" s="18">
        <f>IF(J103=1,VLOOKUP(K103,RPM!$E$2:$H$62,3,FALSE)-F103-E103-D103,IF(J103=2,VLOOKUP(K103,RPM!$H$2:$K$62,3,FALSE)-F103-E103-D103,IF(J103=3,VLOOKUP(K103,RPM!$K$2:$N$62,3,FALSE)-F103-E103-D103)))</f>
        <v>549.56217903827155</v>
      </c>
      <c r="H103" s="19">
        <f>IF(J103=1,Specification!$I$14,IF(J103=2,Specification!$I$15,IF(J103=3,Specification!$I$16)))</f>
        <v>578.93404261974786</v>
      </c>
      <c r="I103" s="16">
        <v>0</v>
      </c>
      <c r="J103" s="17">
        <v>3</v>
      </c>
      <c r="K103" s="16">
        <f>IF(J103=1,VLOOKUP(B103,RPM!$F$2:$H$62,3,TRUE),IF(J103=2,VLOOKUP(B103,RPM!$I$2:$K$62,3,TRUE),IF(J103=3,VLOOKUP(B103,RPM!$L$2:$N$62,3,TRUE))))</f>
        <v>4300</v>
      </c>
      <c r="L103" s="17">
        <f t="shared" si="15"/>
        <v>10.270489280067132</v>
      </c>
      <c r="M103" s="16">
        <f t="shared" si="12"/>
        <v>0</v>
      </c>
      <c r="N103" s="17">
        <f>VLOOKUP(K103,RPM!$A$2:$D$62,3,FALSE)</f>
        <v>11.4</v>
      </c>
      <c r="O103" s="16">
        <f>VLOOKUP(K103,RPM!$A$2:$D$62,4,FALSE)</f>
        <v>18.894837209302327</v>
      </c>
      <c r="P103" s="17">
        <f t="shared" si="13"/>
        <v>14.089880106976747</v>
      </c>
      <c r="Q103" s="16" cm="1">
        <f t="array" ref="Q103">_xlfn.XLOOKUP(O103,BSFC!$A$2:$A$24,_xlfn.XLOOKUP(K103,BSFC!$B$1:$O$1,BSFC!$B$2:$O$24,,-1),,-1)</f>
        <v>480</v>
      </c>
      <c r="R103" s="17">
        <f t="shared" si="14"/>
        <v>1.8786506809302328</v>
      </c>
      <c r="S103" s="16">
        <f t="shared" si="16"/>
        <v>2.9183485335177264E-4</v>
      </c>
      <c r="T103" s="17">
        <f t="shared" si="20"/>
        <v>0.14008072960885087</v>
      </c>
      <c r="U103" s="16">
        <f t="shared" si="21"/>
        <v>17.31398320907422</v>
      </c>
      <c r="V103" s="17">
        <f t="shared" si="22"/>
        <v>3.4023964684879122E-2</v>
      </c>
      <c r="W103" s="16">
        <f t="shared" si="17"/>
        <v>122486.27286556485</v>
      </c>
      <c r="X103">
        <f>('Hybrid Info'!$A$2-Track!P103)*(L103-L102)*1000+X102</f>
        <v>-3070.6584294254562</v>
      </c>
    </row>
    <row r="104" spans="1:24">
      <c r="A104" s="16">
        <f t="shared" si="18"/>
        <v>103</v>
      </c>
      <c r="B104" s="17">
        <f t="shared" si="19"/>
        <v>13.411199999999999</v>
      </c>
      <c r="C104" s="18">
        <f>Specification!$G$30</f>
        <v>109.96225200000001</v>
      </c>
      <c r="D104" s="17">
        <f>0.5*Specification!$K$4*Track!B104^2*Specification!$K$3*Specification!$K$2</f>
        <v>93.159842569492653</v>
      </c>
      <c r="E104" s="16">
        <v>0</v>
      </c>
      <c r="F104" s="17">
        <f>Specification!$C$23*9.81*SIN((E104*PI()/180))</f>
        <v>0</v>
      </c>
      <c r="G104" s="18">
        <f>IF(J104=1,VLOOKUP(K104,RPM!$E$2:$H$62,3,FALSE)-F104-E104-D104,IF(J104=2,VLOOKUP(K104,RPM!$H$2:$K$62,3,FALSE)-F104-E104-D104,IF(J104=3,VLOOKUP(K104,RPM!$K$2:$N$62,3,FALSE)-F104-E104-D104)))</f>
        <v>549.56217903827155</v>
      </c>
      <c r="H104" s="19">
        <f>IF(J104=1,Specification!$I$14,IF(J104=2,Specification!$I$15,IF(J104=3,Specification!$I$16)))</f>
        <v>578.93404261974786</v>
      </c>
      <c r="I104" s="16">
        <v>0</v>
      </c>
      <c r="J104" s="17">
        <v>3</v>
      </c>
      <c r="K104" s="16">
        <f>IF(J104=1,VLOOKUP(B104,RPM!$F$2:$H$62,3,TRUE),IF(J104=2,VLOOKUP(B104,RPM!$I$2:$K$62,3,TRUE),IF(J104=3,VLOOKUP(B104,RPM!$L$2:$N$62,3,TRUE))))</f>
        <v>4300</v>
      </c>
      <c r="L104" s="17">
        <f t="shared" si="15"/>
        <v>10.345053823135611</v>
      </c>
      <c r="M104" s="16">
        <f t="shared" si="12"/>
        <v>0</v>
      </c>
      <c r="N104" s="17">
        <f>VLOOKUP(K104,RPM!$A$2:$D$62,3,FALSE)</f>
        <v>11.4</v>
      </c>
      <c r="O104" s="16">
        <f>VLOOKUP(K104,RPM!$A$2:$D$62,4,FALSE)</f>
        <v>18.894837209302327</v>
      </c>
      <c r="P104" s="17">
        <f t="shared" si="13"/>
        <v>14.089880106976747</v>
      </c>
      <c r="Q104" s="16" cm="1">
        <f t="array" ref="Q104">_xlfn.XLOOKUP(O104,BSFC!$A$2:$A$24,_xlfn.XLOOKUP(K104,BSFC!$B$1:$O$1,BSFC!$B$2:$O$24,,-1),,-1)</f>
        <v>480</v>
      </c>
      <c r="R104" s="17">
        <f t="shared" si="14"/>
        <v>1.8786506809302328</v>
      </c>
      <c r="S104" s="16">
        <f t="shared" si="16"/>
        <v>2.9183485335177264E-4</v>
      </c>
      <c r="T104" s="17">
        <f t="shared" si="20"/>
        <v>0.14008072960885087</v>
      </c>
      <c r="U104" s="16">
        <f t="shared" si="21"/>
        <v>17.45406393868307</v>
      </c>
      <c r="V104" s="17">
        <f t="shared" si="22"/>
        <v>3.4315799538230898E-2</v>
      </c>
      <c r="W104" s="16">
        <f t="shared" si="17"/>
        <v>123536.87833763123</v>
      </c>
      <c r="X104">
        <f>('Hybrid Info'!$A$2-Track!P104)*(L104-L103)*1000+X103</f>
        <v>-3217.5077427748665</v>
      </c>
    </row>
    <row r="105" spans="1:24">
      <c r="A105" s="16">
        <f t="shared" si="18"/>
        <v>104</v>
      </c>
      <c r="B105" s="17">
        <f t="shared" si="19"/>
        <v>13.411199999999999</v>
      </c>
      <c r="C105" s="18">
        <f>Specification!$G$30</f>
        <v>109.96225200000001</v>
      </c>
      <c r="D105" s="17">
        <f>0.5*Specification!$K$4*Track!B105^2*Specification!$K$3*Specification!$K$2</f>
        <v>93.159842569492653</v>
      </c>
      <c r="E105" s="16">
        <v>0</v>
      </c>
      <c r="F105" s="17">
        <f>Specification!$C$23*9.81*SIN((E105*PI()/180))</f>
        <v>0</v>
      </c>
      <c r="G105" s="18">
        <f>IF(J105=1,VLOOKUP(K105,RPM!$E$2:$H$62,3,FALSE)-F105-E105-D105,IF(J105=2,VLOOKUP(K105,RPM!$H$2:$K$62,3,FALSE)-F105-E105-D105,IF(J105=3,VLOOKUP(K105,RPM!$K$2:$N$62,3,FALSE)-F105-E105-D105)))</f>
        <v>549.56217903827155</v>
      </c>
      <c r="H105" s="19">
        <f>IF(J105=1,Specification!$I$14,IF(J105=2,Specification!$I$15,IF(J105=3,Specification!$I$16)))</f>
        <v>578.93404261974786</v>
      </c>
      <c r="I105" s="16">
        <v>0</v>
      </c>
      <c r="J105" s="17">
        <v>3</v>
      </c>
      <c r="K105" s="16">
        <f>IF(J105=1,VLOOKUP(B105,RPM!$F$2:$H$62,3,TRUE),IF(J105=2,VLOOKUP(B105,RPM!$I$2:$K$62,3,TRUE),IF(J105=3,VLOOKUP(B105,RPM!$L$2:$N$62,3,TRUE))))</f>
        <v>4300</v>
      </c>
      <c r="L105" s="17">
        <f t="shared" si="15"/>
        <v>10.419618366204091</v>
      </c>
      <c r="M105" s="16">
        <f t="shared" si="12"/>
        <v>0</v>
      </c>
      <c r="N105" s="17">
        <f>VLOOKUP(K105,RPM!$A$2:$D$62,3,FALSE)</f>
        <v>11.4</v>
      </c>
      <c r="O105" s="16">
        <f>VLOOKUP(K105,RPM!$A$2:$D$62,4,FALSE)</f>
        <v>18.894837209302327</v>
      </c>
      <c r="P105" s="17">
        <f t="shared" si="13"/>
        <v>14.089880106976747</v>
      </c>
      <c r="Q105" s="16" cm="1">
        <f t="array" ref="Q105">_xlfn.XLOOKUP(O105,BSFC!$A$2:$A$24,_xlfn.XLOOKUP(K105,BSFC!$B$1:$O$1,BSFC!$B$2:$O$24,,-1),,-1)</f>
        <v>480</v>
      </c>
      <c r="R105" s="17">
        <f t="shared" si="14"/>
        <v>1.8786506809302328</v>
      </c>
      <c r="S105" s="16">
        <f t="shared" si="16"/>
        <v>2.9183485335177264E-4</v>
      </c>
      <c r="T105" s="17">
        <f t="shared" si="20"/>
        <v>0.14008072960885087</v>
      </c>
      <c r="U105" s="16">
        <f t="shared" si="21"/>
        <v>17.594144668291921</v>
      </c>
      <c r="V105" s="17">
        <f t="shared" si="22"/>
        <v>3.4607634391582674E-2</v>
      </c>
      <c r="W105" s="16">
        <f t="shared" si="17"/>
        <v>124587.48380969762</v>
      </c>
      <c r="X105">
        <f>('Hybrid Info'!$A$2-Track!P105)*(L105-L104)*1000+X104</f>
        <v>-3364.3570561242768</v>
      </c>
    </row>
    <row r="106" spans="1:24">
      <c r="A106" s="16">
        <f t="shared" si="18"/>
        <v>105</v>
      </c>
      <c r="B106" s="17">
        <f t="shared" si="19"/>
        <v>13.411199999999999</v>
      </c>
      <c r="C106" s="18">
        <f>Specification!$G$30</f>
        <v>109.96225200000001</v>
      </c>
      <c r="D106" s="17">
        <f>0.5*Specification!$K$4*Track!B106^2*Specification!$K$3*Specification!$K$2</f>
        <v>93.159842569492653</v>
      </c>
      <c r="E106" s="16">
        <v>0</v>
      </c>
      <c r="F106" s="17">
        <f>Specification!$C$23*9.81*SIN((E106*PI()/180))</f>
        <v>0</v>
      </c>
      <c r="G106" s="18">
        <f>IF(J106=1,VLOOKUP(K106,RPM!$E$2:$H$62,3,FALSE)-F106-E106-D106,IF(J106=2,VLOOKUP(K106,RPM!$H$2:$K$62,3,FALSE)-F106-E106-D106,IF(J106=3,VLOOKUP(K106,RPM!$K$2:$N$62,3,FALSE)-F106-E106-D106)))</f>
        <v>549.56217903827155</v>
      </c>
      <c r="H106" s="19">
        <f>IF(J106=1,Specification!$I$14,IF(J106=2,Specification!$I$15,IF(J106=3,Specification!$I$16)))</f>
        <v>578.93404261974786</v>
      </c>
      <c r="I106" s="16">
        <v>0</v>
      </c>
      <c r="J106" s="17">
        <v>3</v>
      </c>
      <c r="K106" s="16">
        <f>IF(J106=1,VLOOKUP(B106,RPM!$F$2:$H$62,3,TRUE),IF(J106=2,VLOOKUP(B106,RPM!$I$2:$K$62,3,TRUE),IF(J106=3,VLOOKUP(B106,RPM!$L$2:$N$62,3,TRUE))))</f>
        <v>4300</v>
      </c>
      <c r="L106" s="17">
        <f t="shared" si="15"/>
        <v>10.49418290927257</v>
      </c>
      <c r="M106" s="16">
        <f t="shared" si="12"/>
        <v>0</v>
      </c>
      <c r="N106" s="17">
        <f>VLOOKUP(K106,RPM!$A$2:$D$62,3,FALSE)</f>
        <v>11.4</v>
      </c>
      <c r="O106" s="16">
        <f>VLOOKUP(K106,RPM!$A$2:$D$62,4,FALSE)</f>
        <v>18.894837209302327</v>
      </c>
      <c r="P106" s="17">
        <f t="shared" si="13"/>
        <v>14.089880106976747</v>
      </c>
      <c r="Q106" s="16" cm="1">
        <f t="array" ref="Q106">_xlfn.XLOOKUP(O106,BSFC!$A$2:$A$24,_xlfn.XLOOKUP(K106,BSFC!$B$1:$O$1,BSFC!$B$2:$O$24,,-1),,-1)</f>
        <v>480</v>
      </c>
      <c r="R106" s="17">
        <f t="shared" si="14"/>
        <v>1.8786506809302328</v>
      </c>
      <c r="S106" s="16">
        <f t="shared" si="16"/>
        <v>2.9183485335177264E-4</v>
      </c>
      <c r="T106" s="17">
        <f t="shared" si="20"/>
        <v>0.14008072960885087</v>
      </c>
      <c r="U106" s="16">
        <f t="shared" si="21"/>
        <v>17.734225397900772</v>
      </c>
      <c r="V106" s="17">
        <f t="shared" si="22"/>
        <v>3.489946924493445E-2</v>
      </c>
      <c r="W106" s="16">
        <f t="shared" si="17"/>
        <v>125638.08928176403</v>
      </c>
      <c r="X106">
        <f>('Hybrid Info'!$A$2-Track!P106)*(L106-L105)*1000+X105</f>
        <v>-3511.2063694736871</v>
      </c>
    </row>
    <row r="107" spans="1:24">
      <c r="A107" s="16">
        <f t="shared" si="18"/>
        <v>106</v>
      </c>
      <c r="B107" s="17">
        <f t="shared" si="19"/>
        <v>13.411199999999999</v>
      </c>
      <c r="C107" s="18">
        <f>Specification!$G$30</f>
        <v>109.96225200000001</v>
      </c>
      <c r="D107" s="17">
        <f>0.5*Specification!$K$4*Track!B107^2*Specification!$K$3*Specification!$K$2</f>
        <v>93.159842569492653</v>
      </c>
      <c r="E107" s="16">
        <v>0</v>
      </c>
      <c r="F107" s="17">
        <f>Specification!$C$23*9.81*SIN((E107*PI()/180))</f>
        <v>0</v>
      </c>
      <c r="G107" s="18">
        <f>IF(J107=1,VLOOKUP(K107,RPM!$E$2:$H$62,3,FALSE)-F107-E107-D107,IF(J107=2,VLOOKUP(K107,RPM!$H$2:$K$62,3,FALSE)-F107-E107-D107,IF(J107=3,VLOOKUP(K107,RPM!$K$2:$N$62,3,FALSE)-F107-E107-D107)))</f>
        <v>549.56217903827155</v>
      </c>
      <c r="H107" s="19">
        <f>IF(J107=1,Specification!$I$14,IF(J107=2,Specification!$I$15,IF(J107=3,Specification!$I$16)))</f>
        <v>578.93404261974786</v>
      </c>
      <c r="I107" s="16">
        <v>0</v>
      </c>
      <c r="J107" s="17">
        <v>3</v>
      </c>
      <c r="K107" s="16">
        <f>IF(J107=1,VLOOKUP(B107,RPM!$F$2:$H$62,3,TRUE),IF(J107=2,VLOOKUP(B107,RPM!$I$2:$K$62,3,TRUE),IF(J107=3,VLOOKUP(B107,RPM!$L$2:$N$62,3,TRUE))))</f>
        <v>4300</v>
      </c>
      <c r="L107" s="17">
        <f t="shared" si="15"/>
        <v>10.56874745234105</v>
      </c>
      <c r="M107" s="16">
        <f t="shared" si="12"/>
        <v>0</v>
      </c>
      <c r="N107" s="17">
        <f>VLOOKUP(K107,RPM!$A$2:$D$62,3,FALSE)</f>
        <v>11.4</v>
      </c>
      <c r="O107" s="16">
        <f>VLOOKUP(K107,RPM!$A$2:$D$62,4,FALSE)</f>
        <v>18.894837209302327</v>
      </c>
      <c r="P107" s="17">
        <f t="shared" si="13"/>
        <v>14.089880106976747</v>
      </c>
      <c r="Q107" s="16" cm="1">
        <f t="array" ref="Q107">_xlfn.XLOOKUP(O107,BSFC!$A$2:$A$24,_xlfn.XLOOKUP(K107,BSFC!$B$1:$O$1,BSFC!$B$2:$O$24,,-1),,-1)</f>
        <v>480</v>
      </c>
      <c r="R107" s="17">
        <f t="shared" si="14"/>
        <v>1.8786506809302328</v>
      </c>
      <c r="S107" s="16">
        <f t="shared" si="16"/>
        <v>2.9183485335177264E-4</v>
      </c>
      <c r="T107" s="17">
        <f t="shared" si="20"/>
        <v>0.14008072960885087</v>
      </c>
      <c r="U107" s="16">
        <f t="shared" si="21"/>
        <v>17.874306127509623</v>
      </c>
      <c r="V107" s="17">
        <f t="shared" si="22"/>
        <v>3.5191304098286226E-2</v>
      </c>
      <c r="W107" s="16">
        <f t="shared" si="17"/>
        <v>126688.69475383041</v>
      </c>
      <c r="X107">
        <f>('Hybrid Info'!$A$2-Track!P107)*(L107-L106)*1000+X106</f>
        <v>-3658.0556828230974</v>
      </c>
    </row>
    <row r="108" spans="1:24">
      <c r="A108" s="16">
        <f t="shared" si="18"/>
        <v>107</v>
      </c>
      <c r="B108" s="17">
        <f t="shared" si="19"/>
        <v>13.411199999999999</v>
      </c>
      <c r="C108" s="18">
        <f>Specification!$G$30</f>
        <v>109.96225200000001</v>
      </c>
      <c r="D108" s="17">
        <f>0.5*Specification!$K$4*Track!B108^2*Specification!$K$3*Specification!$K$2</f>
        <v>93.159842569492653</v>
      </c>
      <c r="E108" s="16">
        <v>0</v>
      </c>
      <c r="F108" s="17">
        <f>Specification!$C$23*9.81*SIN((E108*PI()/180))</f>
        <v>0</v>
      </c>
      <c r="G108" s="18">
        <f>IF(J108=1,VLOOKUP(K108,RPM!$E$2:$H$62,3,FALSE)-F108-E108-D108,IF(J108=2,VLOOKUP(K108,RPM!$H$2:$K$62,3,FALSE)-F108-E108-D108,IF(J108=3,VLOOKUP(K108,RPM!$K$2:$N$62,3,FALSE)-F108-E108-D108)))</f>
        <v>549.56217903827155</v>
      </c>
      <c r="H108" s="19">
        <f>IF(J108=1,Specification!$I$14,IF(J108=2,Specification!$I$15,IF(J108=3,Specification!$I$16)))</f>
        <v>578.93404261974786</v>
      </c>
      <c r="I108" s="16">
        <v>0</v>
      </c>
      <c r="J108" s="17">
        <v>3</v>
      </c>
      <c r="K108" s="16">
        <f>IF(J108=1,VLOOKUP(B108,RPM!$F$2:$H$62,3,TRUE),IF(J108=2,VLOOKUP(B108,RPM!$I$2:$K$62,3,TRUE),IF(J108=3,VLOOKUP(B108,RPM!$L$2:$N$62,3,TRUE))))</f>
        <v>4300</v>
      </c>
      <c r="L108" s="17">
        <f t="shared" si="15"/>
        <v>10.64331199540953</v>
      </c>
      <c r="M108" s="16">
        <f t="shared" si="12"/>
        <v>0</v>
      </c>
      <c r="N108" s="17">
        <f>VLOOKUP(K108,RPM!$A$2:$D$62,3,FALSE)</f>
        <v>11.4</v>
      </c>
      <c r="O108" s="16">
        <f>VLOOKUP(K108,RPM!$A$2:$D$62,4,FALSE)</f>
        <v>18.894837209302327</v>
      </c>
      <c r="P108" s="17">
        <f t="shared" si="13"/>
        <v>14.089880106976747</v>
      </c>
      <c r="Q108" s="16" cm="1">
        <f t="array" ref="Q108">_xlfn.XLOOKUP(O108,BSFC!$A$2:$A$24,_xlfn.XLOOKUP(K108,BSFC!$B$1:$O$1,BSFC!$B$2:$O$24,,-1),,-1)</f>
        <v>480</v>
      </c>
      <c r="R108" s="17">
        <f t="shared" si="14"/>
        <v>1.8786506809302328</v>
      </c>
      <c r="S108" s="16">
        <f t="shared" si="16"/>
        <v>2.9183485335177264E-4</v>
      </c>
      <c r="T108" s="17">
        <f t="shared" si="20"/>
        <v>0.14008072960885087</v>
      </c>
      <c r="U108" s="16">
        <f t="shared" si="21"/>
        <v>18.014386857118474</v>
      </c>
      <c r="V108" s="17">
        <f t="shared" si="22"/>
        <v>3.5483138951638002E-2</v>
      </c>
      <c r="W108" s="16">
        <f t="shared" si="17"/>
        <v>127739.30022589682</v>
      </c>
      <c r="X108">
        <f>('Hybrid Info'!$A$2-Track!P108)*(L108-L107)*1000+X107</f>
        <v>-3804.9049961725077</v>
      </c>
    </row>
    <row r="109" spans="1:24">
      <c r="A109" s="16">
        <f t="shared" si="18"/>
        <v>108</v>
      </c>
      <c r="B109" s="17">
        <f t="shared" si="19"/>
        <v>13.411199999999999</v>
      </c>
      <c r="C109" s="18">
        <f>Specification!$G$30</f>
        <v>109.96225200000001</v>
      </c>
      <c r="D109" s="17">
        <f>0.5*Specification!$K$4*Track!B109^2*Specification!$K$3*Specification!$K$2</f>
        <v>93.159842569492653</v>
      </c>
      <c r="E109" s="16">
        <v>0</v>
      </c>
      <c r="F109" s="17">
        <f>Specification!$C$23*9.81*SIN((E109*PI()/180))</f>
        <v>0</v>
      </c>
      <c r="G109" s="18">
        <f>IF(J109=1,VLOOKUP(K109,RPM!$E$2:$H$62,3,FALSE)-F109-E109-D109,IF(J109=2,VLOOKUP(K109,RPM!$H$2:$K$62,3,FALSE)-F109-E109-D109,IF(J109=3,VLOOKUP(K109,RPM!$K$2:$N$62,3,FALSE)-F109-E109-D109)))</f>
        <v>549.56217903827155</v>
      </c>
      <c r="H109" s="19">
        <f>IF(J109=1,Specification!$I$14,IF(J109=2,Specification!$I$15,IF(J109=3,Specification!$I$16)))</f>
        <v>578.93404261974786</v>
      </c>
      <c r="I109" s="16">
        <v>0</v>
      </c>
      <c r="J109" s="17">
        <v>3</v>
      </c>
      <c r="K109" s="16">
        <f>IF(J109=1,VLOOKUP(B109,RPM!$F$2:$H$62,3,TRUE),IF(J109=2,VLOOKUP(B109,RPM!$I$2:$K$62,3,TRUE),IF(J109=3,VLOOKUP(B109,RPM!$L$2:$N$62,3,TRUE))))</f>
        <v>4300</v>
      </c>
      <c r="L109" s="17">
        <f t="shared" si="15"/>
        <v>10.717876538478009</v>
      </c>
      <c r="M109" s="16">
        <f t="shared" si="12"/>
        <v>0</v>
      </c>
      <c r="N109" s="17">
        <f>VLOOKUP(K109,RPM!$A$2:$D$62,3,FALSE)</f>
        <v>11.4</v>
      </c>
      <c r="O109" s="16">
        <f>VLOOKUP(K109,RPM!$A$2:$D$62,4,FALSE)</f>
        <v>18.894837209302327</v>
      </c>
      <c r="P109" s="17">
        <f t="shared" si="13"/>
        <v>14.089880106976747</v>
      </c>
      <c r="Q109" s="16" cm="1">
        <f t="array" ref="Q109">_xlfn.XLOOKUP(O109,BSFC!$A$2:$A$24,_xlfn.XLOOKUP(K109,BSFC!$B$1:$O$1,BSFC!$B$2:$O$24,,-1),,-1)</f>
        <v>480</v>
      </c>
      <c r="R109" s="17">
        <f t="shared" si="14"/>
        <v>1.8786506809302328</v>
      </c>
      <c r="S109" s="16">
        <f t="shared" si="16"/>
        <v>2.9183485335177264E-4</v>
      </c>
      <c r="T109" s="17">
        <f t="shared" si="20"/>
        <v>0.14008072960885087</v>
      </c>
      <c r="U109" s="16">
        <f t="shared" si="21"/>
        <v>18.154467586727325</v>
      </c>
      <c r="V109" s="17">
        <f t="shared" si="22"/>
        <v>3.5774973804989778E-2</v>
      </c>
      <c r="W109" s="16">
        <f t="shared" si="17"/>
        <v>128789.9056979632</v>
      </c>
      <c r="X109">
        <f>('Hybrid Info'!$A$2-Track!P109)*(L109-L108)*1000+X108</f>
        <v>-3951.754309521918</v>
      </c>
    </row>
    <row r="110" spans="1:24">
      <c r="A110" s="16">
        <f t="shared" si="18"/>
        <v>109</v>
      </c>
      <c r="B110" s="17">
        <f t="shared" si="19"/>
        <v>13.411199999999999</v>
      </c>
      <c r="C110" s="18">
        <f>Specification!$G$30</f>
        <v>109.96225200000001</v>
      </c>
      <c r="D110" s="17">
        <f>0.5*Specification!$K$4*Track!B110^2*Specification!$K$3*Specification!$K$2</f>
        <v>93.159842569492653</v>
      </c>
      <c r="E110" s="16">
        <v>0</v>
      </c>
      <c r="F110" s="17">
        <f>Specification!$C$23*9.81*SIN((E110*PI()/180))</f>
        <v>0</v>
      </c>
      <c r="G110" s="18">
        <f>IF(J110=1,VLOOKUP(K110,RPM!$E$2:$H$62,3,FALSE)-F110-E110-D110,IF(J110=2,VLOOKUP(K110,RPM!$H$2:$K$62,3,FALSE)-F110-E110-D110,IF(J110=3,VLOOKUP(K110,RPM!$K$2:$N$62,3,FALSE)-F110-E110-D110)))</f>
        <v>549.56217903827155</v>
      </c>
      <c r="H110" s="19">
        <f>IF(J110=1,Specification!$I$14,IF(J110=2,Specification!$I$15,IF(J110=3,Specification!$I$16)))</f>
        <v>578.93404261974786</v>
      </c>
      <c r="I110" s="16">
        <v>0</v>
      </c>
      <c r="J110" s="17">
        <v>3</v>
      </c>
      <c r="K110" s="16">
        <f>IF(J110=1,VLOOKUP(B110,RPM!$F$2:$H$62,3,TRUE),IF(J110=2,VLOOKUP(B110,RPM!$I$2:$K$62,3,TRUE),IF(J110=3,VLOOKUP(B110,RPM!$L$2:$N$62,3,TRUE))))</f>
        <v>4300</v>
      </c>
      <c r="L110" s="17">
        <f t="shared" si="15"/>
        <v>10.792441081546489</v>
      </c>
      <c r="M110" s="16">
        <f t="shared" si="12"/>
        <v>0</v>
      </c>
      <c r="N110" s="17">
        <f>VLOOKUP(K110,RPM!$A$2:$D$62,3,FALSE)</f>
        <v>11.4</v>
      </c>
      <c r="O110" s="16">
        <f>VLOOKUP(K110,RPM!$A$2:$D$62,4,FALSE)</f>
        <v>18.894837209302327</v>
      </c>
      <c r="P110" s="17">
        <f t="shared" si="13"/>
        <v>14.089880106976747</v>
      </c>
      <c r="Q110" s="16" cm="1">
        <f t="array" ref="Q110">_xlfn.XLOOKUP(O110,BSFC!$A$2:$A$24,_xlfn.XLOOKUP(K110,BSFC!$B$1:$O$1,BSFC!$B$2:$O$24,,-1),,-1)</f>
        <v>480</v>
      </c>
      <c r="R110" s="17">
        <f t="shared" si="14"/>
        <v>1.8786506809302328</v>
      </c>
      <c r="S110" s="16">
        <f t="shared" si="16"/>
        <v>2.9183485335177264E-4</v>
      </c>
      <c r="T110" s="17">
        <f t="shared" si="20"/>
        <v>0.14008072960885087</v>
      </c>
      <c r="U110" s="16">
        <f t="shared" si="21"/>
        <v>18.294548316336176</v>
      </c>
      <c r="V110" s="17">
        <f t="shared" si="22"/>
        <v>3.6066808658341554E-2</v>
      </c>
      <c r="W110" s="16">
        <f t="shared" si="17"/>
        <v>129840.51117002961</v>
      </c>
      <c r="X110">
        <f>('Hybrid Info'!$A$2-Track!P110)*(L110-L109)*1000+X109</f>
        <v>-4098.6036228713283</v>
      </c>
    </row>
    <row r="111" spans="1:24">
      <c r="A111" s="16">
        <f t="shared" si="18"/>
        <v>110</v>
      </c>
      <c r="B111" s="17">
        <f t="shared" si="19"/>
        <v>13.411199999999999</v>
      </c>
      <c r="C111" s="18">
        <f>Specification!$G$30</f>
        <v>109.96225200000001</v>
      </c>
      <c r="D111" s="17">
        <f>0.5*Specification!$K$4*Track!B111^2*Specification!$K$3*Specification!$K$2</f>
        <v>93.159842569492653</v>
      </c>
      <c r="E111" s="16">
        <v>0</v>
      </c>
      <c r="F111" s="17">
        <f>Specification!$C$23*9.81*SIN((E111*PI()/180))</f>
        <v>0</v>
      </c>
      <c r="G111" s="18">
        <f>IF(J111=1,VLOOKUP(K111,RPM!$E$2:$H$62,3,FALSE)-F111-E111-D111,IF(J111=2,VLOOKUP(K111,RPM!$H$2:$K$62,3,FALSE)-F111-E111-D111,IF(J111=3,VLOOKUP(K111,RPM!$K$2:$N$62,3,FALSE)-F111-E111-D111)))</f>
        <v>549.56217903827155</v>
      </c>
      <c r="H111" s="19">
        <f>IF(J111=1,Specification!$I$14,IF(J111=2,Specification!$I$15,IF(J111=3,Specification!$I$16)))</f>
        <v>578.93404261974786</v>
      </c>
      <c r="I111" s="16">
        <v>0</v>
      </c>
      <c r="J111" s="17">
        <v>3</v>
      </c>
      <c r="K111" s="16">
        <f>IF(J111=1,VLOOKUP(B111,RPM!$F$2:$H$62,3,TRUE),IF(J111=2,VLOOKUP(B111,RPM!$I$2:$K$62,3,TRUE),IF(J111=3,VLOOKUP(B111,RPM!$L$2:$N$62,3,TRUE))))</f>
        <v>4300</v>
      </c>
      <c r="L111" s="17">
        <f t="shared" si="15"/>
        <v>10.867005624614968</v>
      </c>
      <c r="M111" s="16">
        <f t="shared" si="12"/>
        <v>0</v>
      </c>
      <c r="N111" s="17">
        <f>VLOOKUP(K111,RPM!$A$2:$D$62,3,FALSE)</f>
        <v>11.4</v>
      </c>
      <c r="O111" s="16">
        <f>VLOOKUP(K111,RPM!$A$2:$D$62,4,FALSE)</f>
        <v>18.894837209302327</v>
      </c>
      <c r="P111" s="17">
        <f t="shared" si="13"/>
        <v>14.089880106976747</v>
      </c>
      <c r="Q111" s="16" cm="1">
        <f t="array" ref="Q111">_xlfn.XLOOKUP(O111,BSFC!$A$2:$A$24,_xlfn.XLOOKUP(K111,BSFC!$B$1:$O$1,BSFC!$B$2:$O$24,,-1),,-1)</f>
        <v>480</v>
      </c>
      <c r="R111" s="17">
        <f t="shared" si="14"/>
        <v>1.8786506809302328</v>
      </c>
      <c r="S111" s="16">
        <f t="shared" si="16"/>
        <v>2.9183485335177264E-4</v>
      </c>
      <c r="T111" s="17">
        <f t="shared" si="20"/>
        <v>0.14008072960885087</v>
      </c>
      <c r="U111" s="16">
        <f t="shared" si="21"/>
        <v>18.434629045945027</v>
      </c>
      <c r="V111" s="17">
        <f t="shared" si="22"/>
        <v>3.635864351169333E-2</v>
      </c>
      <c r="W111" s="16">
        <f t="shared" si="17"/>
        <v>130891.11664209599</v>
      </c>
      <c r="X111">
        <f>('Hybrid Info'!$A$2-Track!P111)*(L111-L110)*1000+X110</f>
        <v>-4245.4529362207386</v>
      </c>
    </row>
    <row r="112" spans="1:24">
      <c r="A112" s="16">
        <f t="shared" si="18"/>
        <v>111</v>
      </c>
      <c r="B112" s="17">
        <f t="shared" si="19"/>
        <v>13.411199999999999</v>
      </c>
      <c r="C112" s="18">
        <f>Specification!$G$30</f>
        <v>109.96225200000001</v>
      </c>
      <c r="D112" s="17">
        <f>0.5*Specification!$K$4*Track!B112^2*Specification!$K$3*Specification!$K$2</f>
        <v>93.159842569492653</v>
      </c>
      <c r="E112" s="16">
        <v>0</v>
      </c>
      <c r="F112" s="17">
        <f>Specification!$C$23*9.81*SIN((E112*PI()/180))</f>
        <v>0</v>
      </c>
      <c r="G112" s="18">
        <f>IF(J112=1,VLOOKUP(K112,RPM!$E$2:$H$62,3,FALSE)-F112-E112-D112,IF(J112=2,VLOOKUP(K112,RPM!$H$2:$K$62,3,FALSE)-F112-E112-D112,IF(J112=3,VLOOKUP(K112,RPM!$K$2:$N$62,3,FALSE)-F112-E112-D112)))</f>
        <v>549.56217903827155</v>
      </c>
      <c r="H112" s="19">
        <f>IF(J112=1,Specification!$I$14,IF(J112=2,Specification!$I$15,IF(J112=3,Specification!$I$16)))</f>
        <v>578.93404261974786</v>
      </c>
      <c r="I112" s="16">
        <v>0</v>
      </c>
      <c r="J112" s="17">
        <v>3</v>
      </c>
      <c r="K112" s="16">
        <f>IF(J112=1,VLOOKUP(B112,RPM!$F$2:$H$62,3,TRUE),IF(J112=2,VLOOKUP(B112,RPM!$I$2:$K$62,3,TRUE),IF(J112=3,VLOOKUP(B112,RPM!$L$2:$N$62,3,TRUE))))</f>
        <v>4300</v>
      </c>
      <c r="L112" s="17">
        <f t="shared" si="15"/>
        <v>10.941570167683448</v>
      </c>
      <c r="M112" s="16">
        <f t="shared" si="12"/>
        <v>0</v>
      </c>
      <c r="N112" s="17">
        <f>VLOOKUP(K112,RPM!$A$2:$D$62,3,FALSE)</f>
        <v>11.4</v>
      </c>
      <c r="O112" s="16">
        <f>VLOOKUP(K112,RPM!$A$2:$D$62,4,FALSE)</f>
        <v>18.894837209302327</v>
      </c>
      <c r="P112" s="17">
        <f t="shared" si="13"/>
        <v>14.089880106976747</v>
      </c>
      <c r="Q112" s="16" cm="1">
        <f t="array" ref="Q112">_xlfn.XLOOKUP(O112,BSFC!$A$2:$A$24,_xlfn.XLOOKUP(K112,BSFC!$B$1:$O$1,BSFC!$B$2:$O$24,,-1),,-1)</f>
        <v>480</v>
      </c>
      <c r="R112" s="17">
        <f t="shared" si="14"/>
        <v>1.8786506809302328</v>
      </c>
      <c r="S112" s="16">
        <f t="shared" si="16"/>
        <v>2.9183485335177264E-4</v>
      </c>
      <c r="T112" s="17">
        <f t="shared" si="20"/>
        <v>0.14008072960885087</v>
      </c>
      <c r="U112" s="16">
        <f t="shared" si="21"/>
        <v>18.574709775553877</v>
      </c>
      <c r="V112" s="17">
        <f t="shared" si="22"/>
        <v>3.6650478365045105E-2</v>
      </c>
      <c r="W112" s="16">
        <f t="shared" si="17"/>
        <v>131941.72211416237</v>
      </c>
      <c r="X112">
        <f>('Hybrid Info'!$A$2-Track!P112)*(L112-L111)*1000+X111</f>
        <v>-4392.3022495701489</v>
      </c>
    </row>
    <row r="113" spans="1:24">
      <c r="A113" s="16">
        <f t="shared" si="18"/>
        <v>112</v>
      </c>
      <c r="B113" s="17">
        <f t="shared" si="19"/>
        <v>13.411199999999999</v>
      </c>
      <c r="C113" s="18">
        <f>Specification!$G$30</f>
        <v>109.96225200000001</v>
      </c>
      <c r="D113" s="17">
        <f>0.5*Specification!$K$4*Track!B113^2*Specification!$K$3*Specification!$K$2</f>
        <v>93.159842569492653</v>
      </c>
      <c r="E113" s="16">
        <v>0</v>
      </c>
      <c r="F113" s="17">
        <f>Specification!$C$23*9.81*SIN((E113*PI()/180))</f>
        <v>0</v>
      </c>
      <c r="G113" s="18">
        <f>IF(J113=1,VLOOKUP(K113,RPM!$E$2:$H$62,3,FALSE)-F113-E113-D113,IF(J113=2,VLOOKUP(K113,RPM!$H$2:$K$62,3,FALSE)-F113-E113-D113,IF(J113=3,VLOOKUP(K113,RPM!$K$2:$N$62,3,FALSE)-F113-E113-D113)))</f>
        <v>549.56217903827155</v>
      </c>
      <c r="H113" s="19">
        <f>IF(J113=1,Specification!$I$14,IF(J113=2,Specification!$I$15,IF(J113=3,Specification!$I$16)))</f>
        <v>578.93404261974786</v>
      </c>
      <c r="I113" s="16">
        <v>0</v>
      </c>
      <c r="J113" s="17">
        <v>3</v>
      </c>
      <c r="K113" s="16">
        <f>IF(J113=1,VLOOKUP(B113,RPM!$F$2:$H$62,3,TRUE),IF(J113=2,VLOOKUP(B113,RPM!$I$2:$K$62,3,TRUE),IF(J113=3,VLOOKUP(B113,RPM!$L$2:$N$62,3,TRUE))))</f>
        <v>4300</v>
      </c>
      <c r="L113" s="17">
        <f t="shared" si="15"/>
        <v>11.016134710751928</v>
      </c>
      <c r="M113" s="16">
        <f t="shared" si="12"/>
        <v>0</v>
      </c>
      <c r="N113" s="17">
        <f>VLOOKUP(K113,RPM!$A$2:$D$62,3,FALSE)</f>
        <v>11.4</v>
      </c>
      <c r="O113" s="16">
        <f>VLOOKUP(K113,RPM!$A$2:$D$62,4,FALSE)</f>
        <v>18.894837209302327</v>
      </c>
      <c r="P113" s="17">
        <f t="shared" si="13"/>
        <v>14.089880106976747</v>
      </c>
      <c r="Q113" s="16" cm="1">
        <f t="array" ref="Q113">_xlfn.XLOOKUP(O113,BSFC!$A$2:$A$24,_xlfn.XLOOKUP(K113,BSFC!$B$1:$O$1,BSFC!$B$2:$O$24,,-1),,-1)</f>
        <v>480</v>
      </c>
      <c r="R113" s="17">
        <f t="shared" si="14"/>
        <v>1.8786506809302328</v>
      </c>
      <c r="S113" s="16">
        <f t="shared" si="16"/>
        <v>2.9183485335177264E-4</v>
      </c>
      <c r="T113" s="17">
        <f t="shared" si="20"/>
        <v>0.14008072960885087</v>
      </c>
      <c r="U113" s="16">
        <f t="shared" si="21"/>
        <v>18.714790505162728</v>
      </c>
      <c r="V113" s="17">
        <f t="shared" si="22"/>
        <v>3.6942313218396881E-2</v>
      </c>
      <c r="W113" s="16">
        <f t="shared" si="17"/>
        <v>132992.32758622878</v>
      </c>
      <c r="X113">
        <f>('Hybrid Info'!$A$2-Track!P113)*(L113-L112)*1000+X112</f>
        <v>-4539.1515629195592</v>
      </c>
    </row>
    <row r="114" spans="1:24">
      <c r="A114" s="16">
        <f t="shared" si="18"/>
        <v>113</v>
      </c>
      <c r="B114" s="17">
        <f t="shared" si="19"/>
        <v>13.411199999999999</v>
      </c>
      <c r="C114" s="18">
        <f>Specification!$G$30</f>
        <v>109.96225200000001</v>
      </c>
      <c r="D114" s="17">
        <f>0.5*Specification!$K$4*Track!B114^2*Specification!$K$3*Specification!$K$2</f>
        <v>93.159842569492653</v>
      </c>
      <c r="E114" s="16">
        <v>0</v>
      </c>
      <c r="F114" s="17">
        <f>Specification!$C$23*9.81*SIN((E114*PI()/180))</f>
        <v>0</v>
      </c>
      <c r="G114" s="18">
        <f>IF(J114=1,VLOOKUP(K114,RPM!$E$2:$H$62,3,FALSE)-F114-E114-D114,IF(J114=2,VLOOKUP(K114,RPM!$H$2:$K$62,3,FALSE)-F114-E114-D114,IF(J114=3,VLOOKUP(K114,RPM!$K$2:$N$62,3,FALSE)-F114-E114-D114)))</f>
        <v>549.56217903827155</v>
      </c>
      <c r="H114" s="19">
        <f>IF(J114=1,Specification!$I$14,IF(J114=2,Specification!$I$15,IF(J114=3,Specification!$I$16)))</f>
        <v>578.93404261974786</v>
      </c>
      <c r="I114" s="16">
        <v>0</v>
      </c>
      <c r="J114" s="17">
        <v>3</v>
      </c>
      <c r="K114" s="16">
        <f>IF(J114=1,VLOOKUP(B114,RPM!$F$2:$H$62,3,TRUE),IF(J114=2,VLOOKUP(B114,RPM!$I$2:$K$62,3,TRUE),IF(J114=3,VLOOKUP(B114,RPM!$L$2:$N$62,3,TRUE))))</f>
        <v>4300</v>
      </c>
      <c r="L114" s="17">
        <f t="shared" si="15"/>
        <v>11.090699253820407</v>
      </c>
      <c r="M114" s="16">
        <f t="shared" si="12"/>
        <v>0</v>
      </c>
      <c r="N114" s="17">
        <f>VLOOKUP(K114,RPM!$A$2:$D$62,3,FALSE)</f>
        <v>11.4</v>
      </c>
      <c r="O114" s="16">
        <f>VLOOKUP(K114,RPM!$A$2:$D$62,4,FALSE)</f>
        <v>18.894837209302327</v>
      </c>
      <c r="P114" s="17">
        <f t="shared" si="13"/>
        <v>14.089880106976747</v>
      </c>
      <c r="Q114" s="16" cm="1">
        <f t="array" ref="Q114">_xlfn.XLOOKUP(O114,BSFC!$A$2:$A$24,_xlfn.XLOOKUP(K114,BSFC!$B$1:$O$1,BSFC!$B$2:$O$24,,-1),,-1)</f>
        <v>480</v>
      </c>
      <c r="R114" s="17">
        <f t="shared" si="14"/>
        <v>1.8786506809302328</v>
      </c>
      <c r="S114" s="16">
        <f t="shared" si="16"/>
        <v>2.9183485335177264E-4</v>
      </c>
      <c r="T114" s="17">
        <f t="shared" si="20"/>
        <v>0.14008072960885087</v>
      </c>
      <c r="U114" s="16">
        <f t="shared" si="21"/>
        <v>18.854871234771579</v>
      </c>
      <c r="V114" s="17">
        <f t="shared" si="22"/>
        <v>3.7234148071748657E-2</v>
      </c>
      <c r="W114" s="16">
        <f t="shared" si="17"/>
        <v>134042.93305829517</v>
      </c>
      <c r="X114">
        <f>('Hybrid Info'!$A$2-Track!P114)*(L114-L113)*1000+X113</f>
        <v>-4686.0008762689695</v>
      </c>
    </row>
    <row r="115" spans="1:24">
      <c r="A115" s="16">
        <f t="shared" si="18"/>
        <v>114</v>
      </c>
      <c r="B115" s="17">
        <f t="shared" si="19"/>
        <v>13.411199999999999</v>
      </c>
      <c r="C115" s="18">
        <f>Specification!$G$30</f>
        <v>109.96225200000001</v>
      </c>
      <c r="D115" s="17">
        <f>0.5*Specification!$K$4*Track!B115^2*Specification!$K$3*Specification!$K$2</f>
        <v>93.159842569492653</v>
      </c>
      <c r="E115" s="16">
        <v>0</v>
      </c>
      <c r="F115" s="17">
        <f>Specification!$C$23*9.81*SIN((E115*PI()/180))</f>
        <v>0</v>
      </c>
      <c r="G115" s="18">
        <f>IF(J115=1,VLOOKUP(K115,RPM!$E$2:$H$62,3,FALSE)-F115-E115-D115,IF(J115=2,VLOOKUP(K115,RPM!$H$2:$K$62,3,FALSE)-F115-E115-D115,IF(J115=3,VLOOKUP(K115,RPM!$K$2:$N$62,3,FALSE)-F115-E115-D115)))</f>
        <v>549.56217903827155</v>
      </c>
      <c r="H115" s="19">
        <f>IF(J115=1,Specification!$I$14,IF(J115=2,Specification!$I$15,IF(J115=3,Specification!$I$16)))</f>
        <v>578.93404261974786</v>
      </c>
      <c r="I115" s="16">
        <v>0</v>
      </c>
      <c r="J115" s="17">
        <v>3</v>
      </c>
      <c r="K115" s="16">
        <f>IF(J115=1,VLOOKUP(B115,RPM!$F$2:$H$62,3,TRUE),IF(J115=2,VLOOKUP(B115,RPM!$I$2:$K$62,3,TRUE),IF(J115=3,VLOOKUP(B115,RPM!$L$2:$N$62,3,TRUE))))</f>
        <v>4300</v>
      </c>
      <c r="L115" s="17">
        <f t="shared" si="15"/>
        <v>11.165263796888887</v>
      </c>
      <c r="M115" s="16">
        <f t="shared" si="12"/>
        <v>0</v>
      </c>
      <c r="N115" s="17">
        <f>VLOOKUP(K115,RPM!$A$2:$D$62,3,FALSE)</f>
        <v>11.4</v>
      </c>
      <c r="O115" s="16">
        <f>VLOOKUP(K115,RPM!$A$2:$D$62,4,FALSE)</f>
        <v>18.894837209302327</v>
      </c>
      <c r="P115" s="17">
        <f t="shared" si="13"/>
        <v>14.089880106976747</v>
      </c>
      <c r="Q115" s="16" cm="1">
        <f t="array" ref="Q115">_xlfn.XLOOKUP(O115,BSFC!$A$2:$A$24,_xlfn.XLOOKUP(K115,BSFC!$B$1:$O$1,BSFC!$B$2:$O$24,,-1),,-1)</f>
        <v>480</v>
      </c>
      <c r="R115" s="17">
        <f t="shared" si="14"/>
        <v>1.8786506809302328</v>
      </c>
      <c r="S115" s="16">
        <f t="shared" si="16"/>
        <v>2.9183485335177264E-4</v>
      </c>
      <c r="T115" s="17">
        <f t="shared" si="20"/>
        <v>0.14008072960885087</v>
      </c>
      <c r="U115" s="16">
        <f t="shared" si="21"/>
        <v>18.99495196438043</v>
      </c>
      <c r="V115" s="17">
        <f t="shared" si="22"/>
        <v>3.7525982925100433E-2</v>
      </c>
      <c r="W115" s="16">
        <f t="shared" si="17"/>
        <v>135093.53853036158</v>
      </c>
      <c r="X115">
        <f>('Hybrid Info'!$A$2-Track!P115)*(L115-L114)*1000+X114</f>
        <v>-4832.8501896183798</v>
      </c>
    </row>
    <row r="116" spans="1:24">
      <c r="A116" s="16">
        <f t="shared" si="18"/>
        <v>115</v>
      </c>
      <c r="B116" s="17">
        <f t="shared" si="19"/>
        <v>13.411199999999999</v>
      </c>
      <c r="C116" s="18">
        <f>Specification!$G$30</f>
        <v>109.96225200000001</v>
      </c>
      <c r="D116" s="17">
        <f>0.5*Specification!$K$4*Track!B116^2*Specification!$K$3*Specification!$K$2</f>
        <v>93.159842569492653</v>
      </c>
      <c r="E116" s="16">
        <v>0</v>
      </c>
      <c r="F116" s="17">
        <f>Specification!$C$23*9.81*SIN((E116*PI()/180))</f>
        <v>0</v>
      </c>
      <c r="G116" s="18">
        <f>IF(J116=1,VLOOKUP(K116,RPM!$E$2:$H$62,3,FALSE)-F116-E116-D116,IF(J116=2,VLOOKUP(K116,RPM!$H$2:$K$62,3,FALSE)-F116-E116-D116,IF(J116=3,VLOOKUP(K116,RPM!$K$2:$N$62,3,FALSE)-F116-E116-D116)))</f>
        <v>549.56217903827155</v>
      </c>
      <c r="H116" s="19">
        <f>IF(J116=1,Specification!$I$14,IF(J116=2,Specification!$I$15,IF(J116=3,Specification!$I$16)))</f>
        <v>578.93404261974786</v>
      </c>
      <c r="I116" s="16">
        <v>0</v>
      </c>
      <c r="J116" s="17">
        <v>3</v>
      </c>
      <c r="K116" s="16">
        <f>IF(J116=1,VLOOKUP(B116,RPM!$F$2:$H$62,3,TRUE),IF(J116=2,VLOOKUP(B116,RPM!$I$2:$K$62,3,TRUE),IF(J116=3,VLOOKUP(B116,RPM!$L$2:$N$62,3,TRUE))))</f>
        <v>4300</v>
      </c>
      <c r="L116" s="17">
        <f t="shared" si="15"/>
        <v>11.239828339957366</v>
      </c>
      <c r="M116" s="16">
        <f t="shared" si="12"/>
        <v>0</v>
      </c>
      <c r="N116" s="17">
        <f>VLOOKUP(K116,RPM!$A$2:$D$62,3,FALSE)</f>
        <v>11.4</v>
      </c>
      <c r="O116" s="16">
        <f>VLOOKUP(K116,RPM!$A$2:$D$62,4,FALSE)</f>
        <v>18.894837209302327</v>
      </c>
      <c r="P116" s="17">
        <f t="shared" si="13"/>
        <v>14.089880106976747</v>
      </c>
      <c r="Q116" s="16" cm="1">
        <f t="array" ref="Q116">_xlfn.XLOOKUP(O116,BSFC!$A$2:$A$24,_xlfn.XLOOKUP(K116,BSFC!$B$1:$O$1,BSFC!$B$2:$O$24,,-1),,-1)</f>
        <v>480</v>
      </c>
      <c r="R116" s="17">
        <f t="shared" si="14"/>
        <v>1.8786506809302328</v>
      </c>
      <c r="S116" s="16">
        <f t="shared" si="16"/>
        <v>2.9183485335177264E-4</v>
      </c>
      <c r="T116" s="17">
        <f t="shared" si="20"/>
        <v>0.14008072960885087</v>
      </c>
      <c r="U116" s="16">
        <f t="shared" si="21"/>
        <v>19.135032693989281</v>
      </c>
      <c r="V116" s="17">
        <f t="shared" si="22"/>
        <v>3.7817817778452209E-2</v>
      </c>
      <c r="W116" s="16">
        <f t="shared" si="17"/>
        <v>136144.14400242796</v>
      </c>
      <c r="X116">
        <f>('Hybrid Info'!$A$2-Track!P116)*(L116-L115)*1000+X115</f>
        <v>-4979.6995029677901</v>
      </c>
    </row>
    <row r="117" spans="1:24">
      <c r="A117" s="16">
        <f t="shared" si="18"/>
        <v>116</v>
      </c>
      <c r="B117" s="17">
        <f t="shared" si="19"/>
        <v>13.411199999999999</v>
      </c>
      <c r="C117" s="18">
        <f>Specification!$G$30</f>
        <v>109.96225200000001</v>
      </c>
      <c r="D117" s="17">
        <f>0.5*Specification!$K$4*Track!B117^2*Specification!$K$3*Specification!$K$2</f>
        <v>93.159842569492653</v>
      </c>
      <c r="E117" s="16">
        <v>0</v>
      </c>
      <c r="F117" s="17">
        <f>Specification!$C$23*9.81*SIN((E117*PI()/180))</f>
        <v>0</v>
      </c>
      <c r="G117" s="18">
        <f>IF(J117=1,VLOOKUP(K117,RPM!$E$2:$H$62,3,FALSE)-F117-E117-D117,IF(J117=2,VLOOKUP(K117,RPM!$H$2:$K$62,3,FALSE)-F117-E117-D117,IF(J117=3,VLOOKUP(K117,RPM!$K$2:$N$62,3,FALSE)-F117-E117-D117)))</f>
        <v>549.56217903827155</v>
      </c>
      <c r="H117" s="19">
        <f>IF(J117=1,Specification!$I$14,IF(J117=2,Specification!$I$15,IF(J117=3,Specification!$I$16)))</f>
        <v>578.93404261974786</v>
      </c>
      <c r="I117" s="16">
        <v>0</v>
      </c>
      <c r="J117" s="17">
        <v>3</v>
      </c>
      <c r="K117" s="16">
        <f>IF(J117=1,VLOOKUP(B117,RPM!$F$2:$H$62,3,TRUE),IF(J117=2,VLOOKUP(B117,RPM!$I$2:$K$62,3,TRUE),IF(J117=3,VLOOKUP(B117,RPM!$L$2:$N$62,3,TRUE))))</f>
        <v>4300</v>
      </c>
      <c r="L117" s="17">
        <f t="shared" si="15"/>
        <v>11.314392883025846</v>
      </c>
      <c r="M117" s="16">
        <f t="shared" si="12"/>
        <v>0</v>
      </c>
      <c r="N117" s="17">
        <f>VLOOKUP(K117,RPM!$A$2:$D$62,3,FALSE)</f>
        <v>11.4</v>
      </c>
      <c r="O117" s="16">
        <f>VLOOKUP(K117,RPM!$A$2:$D$62,4,FALSE)</f>
        <v>18.894837209302327</v>
      </c>
      <c r="P117" s="17">
        <f t="shared" si="13"/>
        <v>14.089880106976747</v>
      </c>
      <c r="Q117" s="16" cm="1">
        <f t="array" ref="Q117">_xlfn.XLOOKUP(O117,BSFC!$A$2:$A$24,_xlfn.XLOOKUP(K117,BSFC!$B$1:$O$1,BSFC!$B$2:$O$24,,-1),,-1)</f>
        <v>480</v>
      </c>
      <c r="R117" s="17">
        <f t="shared" si="14"/>
        <v>1.8786506809302328</v>
      </c>
      <c r="S117" s="16">
        <f t="shared" si="16"/>
        <v>2.9183485335177264E-4</v>
      </c>
      <c r="T117" s="17">
        <f t="shared" si="20"/>
        <v>0.14008072960885087</v>
      </c>
      <c r="U117" s="16">
        <f t="shared" si="21"/>
        <v>19.275113423598132</v>
      </c>
      <c r="V117" s="17">
        <f t="shared" si="22"/>
        <v>3.8109652631803985E-2</v>
      </c>
      <c r="W117" s="16">
        <f t="shared" si="17"/>
        <v>137194.74947449434</v>
      </c>
      <c r="X117">
        <f>('Hybrid Info'!$A$2-Track!P117)*(L117-L116)*1000+X116</f>
        <v>-5126.5488163172004</v>
      </c>
    </row>
    <row r="118" spans="1:24">
      <c r="A118" s="16">
        <f t="shared" si="18"/>
        <v>117</v>
      </c>
      <c r="B118" s="17">
        <f t="shared" si="19"/>
        <v>13.411199999999999</v>
      </c>
      <c r="C118" s="18">
        <f>Specification!$G$30</f>
        <v>109.96225200000001</v>
      </c>
      <c r="D118" s="17">
        <f>0.5*Specification!$K$4*Track!B118^2*Specification!$K$3*Specification!$K$2</f>
        <v>93.159842569492653</v>
      </c>
      <c r="E118" s="16">
        <v>0</v>
      </c>
      <c r="F118" s="17">
        <f>Specification!$C$23*9.81*SIN((E118*PI()/180))</f>
        <v>0</v>
      </c>
      <c r="G118" s="18">
        <f>IF(J118=1,VLOOKUP(K118,RPM!$E$2:$H$62,3,FALSE)-F118-E118-D118,IF(J118=2,VLOOKUP(K118,RPM!$H$2:$K$62,3,FALSE)-F118-E118-D118,IF(J118=3,VLOOKUP(K118,RPM!$K$2:$N$62,3,FALSE)-F118-E118-D118)))</f>
        <v>549.56217903827155</v>
      </c>
      <c r="H118" s="19">
        <f>IF(J118=1,Specification!$I$14,IF(J118=2,Specification!$I$15,IF(J118=3,Specification!$I$16)))</f>
        <v>578.93404261974786</v>
      </c>
      <c r="I118" s="16">
        <v>0</v>
      </c>
      <c r="J118" s="17">
        <v>3</v>
      </c>
      <c r="K118" s="16">
        <f>IF(J118=1,VLOOKUP(B118,RPM!$F$2:$H$62,3,TRUE),IF(J118=2,VLOOKUP(B118,RPM!$I$2:$K$62,3,TRUE),IF(J118=3,VLOOKUP(B118,RPM!$L$2:$N$62,3,TRUE))))</f>
        <v>4300</v>
      </c>
      <c r="L118" s="17">
        <f t="shared" si="15"/>
        <v>11.388957426094326</v>
      </c>
      <c r="M118" s="16">
        <f t="shared" si="12"/>
        <v>0</v>
      </c>
      <c r="N118" s="17">
        <f>VLOOKUP(K118,RPM!$A$2:$D$62,3,FALSE)</f>
        <v>11.4</v>
      </c>
      <c r="O118" s="16">
        <f>VLOOKUP(K118,RPM!$A$2:$D$62,4,FALSE)</f>
        <v>18.894837209302327</v>
      </c>
      <c r="P118" s="17">
        <f t="shared" si="13"/>
        <v>14.089880106976747</v>
      </c>
      <c r="Q118" s="16" cm="1">
        <f t="array" ref="Q118">_xlfn.XLOOKUP(O118,BSFC!$A$2:$A$24,_xlfn.XLOOKUP(K118,BSFC!$B$1:$O$1,BSFC!$B$2:$O$24,,-1),,-1)</f>
        <v>480</v>
      </c>
      <c r="R118" s="17">
        <f t="shared" si="14"/>
        <v>1.8786506809302328</v>
      </c>
      <c r="S118" s="16">
        <f t="shared" si="16"/>
        <v>2.9183485335177264E-4</v>
      </c>
      <c r="T118" s="17">
        <f t="shared" si="20"/>
        <v>0.14008072960885087</v>
      </c>
      <c r="U118" s="16">
        <f t="shared" si="21"/>
        <v>19.415194153206983</v>
      </c>
      <c r="V118" s="17">
        <f t="shared" si="22"/>
        <v>3.8401487485155761E-2</v>
      </c>
      <c r="W118" s="16">
        <f t="shared" si="17"/>
        <v>138245.35494656075</v>
      </c>
      <c r="X118">
        <f>('Hybrid Info'!$A$2-Track!P118)*(L118-L117)*1000+X117</f>
        <v>-5273.3981296666107</v>
      </c>
    </row>
    <row r="119" spans="1:24">
      <c r="A119" s="16">
        <f t="shared" si="18"/>
        <v>118</v>
      </c>
      <c r="B119" s="17">
        <f t="shared" si="19"/>
        <v>13.411199999999999</v>
      </c>
      <c r="C119" s="18">
        <f>Specification!$G$30</f>
        <v>109.96225200000001</v>
      </c>
      <c r="D119" s="17">
        <f>0.5*Specification!$K$4*Track!B119^2*Specification!$K$3*Specification!$K$2</f>
        <v>93.159842569492653</v>
      </c>
      <c r="E119" s="16">
        <v>0</v>
      </c>
      <c r="F119" s="17">
        <f>Specification!$C$23*9.81*SIN((E119*PI()/180))</f>
        <v>0</v>
      </c>
      <c r="G119" s="18">
        <f>IF(J119=1,VLOOKUP(K119,RPM!$E$2:$H$62,3,FALSE)-F119-E119-D119,IF(J119=2,VLOOKUP(K119,RPM!$H$2:$K$62,3,FALSE)-F119-E119-D119,IF(J119=3,VLOOKUP(K119,RPM!$K$2:$N$62,3,FALSE)-F119-E119-D119)))</f>
        <v>549.56217903827155</v>
      </c>
      <c r="H119" s="19">
        <f>IF(J119=1,Specification!$I$14,IF(J119=2,Specification!$I$15,IF(J119=3,Specification!$I$16)))</f>
        <v>578.93404261974786</v>
      </c>
      <c r="I119" s="16">
        <v>0</v>
      </c>
      <c r="J119" s="17">
        <v>3</v>
      </c>
      <c r="K119" s="16">
        <f>IF(J119=1,VLOOKUP(B119,RPM!$F$2:$H$62,3,TRUE),IF(J119=2,VLOOKUP(B119,RPM!$I$2:$K$62,3,TRUE),IF(J119=3,VLOOKUP(B119,RPM!$L$2:$N$62,3,TRUE))))</f>
        <v>4300</v>
      </c>
      <c r="L119" s="17">
        <f t="shared" si="15"/>
        <v>11.463521969162805</v>
      </c>
      <c r="M119" s="16">
        <f t="shared" si="12"/>
        <v>0</v>
      </c>
      <c r="N119" s="17">
        <f>VLOOKUP(K119,RPM!$A$2:$D$62,3,FALSE)</f>
        <v>11.4</v>
      </c>
      <c r="O119" s="16">
        <f>VLOOKUP(K119,RPM!$A$2:$D$62,4,FALSE)</f>
        <v>18.894837209302327</v>
      </c>
      <c r="P119" s="17">
        <f t="shared" si="13"/>
        <v>14.089880106976747</v>
      </c>
      <c r="Q119" s="16" cm="1">
        <f t="array" ref="Q119">_xlfn.XLOOKUP(O119,BSFC!$A$2:$A$24,_xlfn.XLOOKUP(K119,BSFC!$B$1:$O$1,BSFC!$B$2:$O$24,,-1),,-1)</f>
        <v>480</v>
      </c>
      <c r="R119" s="17">
        <f t="shared" si="14"/>
        <v>1.8786506809302328</v>
      </c>
      <c r="S119" s="16">
        <f t="shared" si="16"/>
        <v>2.9183485335177264E-4</v>
      </c>
      <c r="T119" s="17">
        <f t="shared" si="20"/>
        <v>0.14008072960885087</v>
      </c>
      <c r="U119" s="16">
        <f t="shared" si="21"/>
        <v>19.555274882815834</v>
      </c>
      <c r="V119" s="17">
        <f t="shared" si="22"/>
        <v>3.8693322338507537E-2</v>
      </c>
      <c r="W119" s="16">
        <f t="shared" si="17"/>
        <v>139295.96041862713</v>
      </c>
      <c r="X119">
        <f>('Hybrid Info'!$A$2-Track!P119)*(L119-L118)*1000+X118</f>
        <v>-5420.247443016021</v>
      </c>
    </row>
    <row r="120" spans="1:24">
      <c r="A120" s="16">
        <f t="shared" si="18"/>
        <v>119</v>
      </c>
      <c r="B120" s="17">
        <f t="shared" si="19"/>
        <v>13.411199999999999</v>
      </c>
      <c r="C120" s="18">
        <f>Specification!$G$30</f>
        <v>109.96225200000001</v>
      </c>
      <c r="D120" s="17">
        <f>0.5*Specification!$K$4*Track!B120^2*Specification!$K$3*Specification!$K$2</f>
        <v>93.159842569492653</v>
      </c>
      <c r="E120" s="16">
        <v>0</v>
      </c>
      <c r="F120" s="17">
        <f>Specification!$C$23*9.81*SIN((E120*PI()/180))</f>
        <v>0</v>
      </c>
      <c r="G120" s="18">
        <f>IF(J120=1,VLOOKUP(K120,RPM!$E$2:$H$62,3,FALSE)-F120-E120-D120,IF(J120=2,VLOOKUP(K120,RPM!$H$2:$K$62,3,FALSE)-F120-E120-D120,IF(J120=3,VLOOKUP(K120,RPM!$K$2:$N$62,3,FALSE)-F120-E120-D120)))</f>
        <v>549.56217903827155</v>
      </c>
      <c r="H120" s="19">
        <f>IF(J120=1,Specification!$I$14,IF(J120=2,Specification!$I$15,IF(J120=3,Specification!$I$16)))</f>
        <v>578.93404261974786</v>
      </c>
      <c r="I120" s="16">
        <v>0</v>
      </c>
      <c r="J120" s="17">
        <v>3</v>
      </c>
      <c r="K120" s="16">
        <f>IF(J120=1,VLOOKUP(B120,RPM!$F$2:$H$62,3,TRUE),IF(J120=2,VLOOKUP(B120,RPM!$I$2:$K$62,3,TRUE),IF(J120=3,VLOOKUP(B120,RPM!$L$2:$N$62,3,TRUE))))</f>
        <v>4300</v>
      </c>
      <c r="L120" s="17">
        <f t="shared" si="15"/>
        <v>11.538086512231285</v>
      </c>
      <c r="M120" s="16">
        <f t="shared" si="12"/>
        <v>0</v>
      </c>
      <c r="N120" s="17">
        <f>VLOOKUP(K120,RPM!$A$2:$D$62,3,FALSE)</f>
        <v>11.4</v>
      </c>
      <c r="O120" s="16">
        <f>VLOOKUP(K120,RPM!$A$2:$D$62,4,FALSE)</f>
        <v>18.894837209302327</v>
      </c>
      <c r="P120" s="17">
        <f t="shared" si="13"/>
        <v>14.089880106976747</v>
      </c>
      <c r="Q120" s="16" cm="1">
        <f t="array" ref="Q120">_xlfn.XLOOKUP(O120,BSFC!$A$2:$A$24,_xlfn.XLOOKUP(K120,BSFC!$B$1:$O$1,BSFC!$B$2:$O$24,,-1),,-1)</f>
        <v>480</v>
      </c>
      <c r="R120" s="17">
        <f t="shared" si="14"/>
        <v>1.8786506809302328</v>
      </c>
      <c r="S120" s="16">
        <f t="shared" si="16"/>
        <v>2.9183485335177264E-4</v>
      </c>
      <c r="T120" s="17">
        <f t="shared" si="20"/>
        <v>0.14008072960885087</v>
      </c>
      <c r="U120" s="16">
        <f t="shared" si="21"/>
        <v>19.695355612424684</v>
      </c>
      <c r="V120" s="17">
        <f t="shared" si="22"/>
        <v>3.8985157191859313E-2</v>
      </c>
      <c r="W120" s="16">
        <f t="shared" si="17"/>
        <v>140346.56589069354</v>
      </c>
      <c r="X120">
        <f>('Hybrid Info'!$A$2-Track!P120)*(L120-L119)*1000+X119</f>
        <v>-5567.0967563654312</v>
      </c>
    </row>
    <row r="121" spans="1:24">
      <c r="A121" s="16">
        <f t="shared" si="18"/>
        <v>120</v>
      </c>
      <c r="B121" s="17">
        <f t="shared" si="19"/>
        <v>13.411199999999999</v>
      </c>
      <c r="C121" s="18">
        <f>Specification!$G$30</f>
        <v>109.96225200000001</v>
      </c>
      <c r="D121" s="17">
        <f>0.5*Specification!$K$4*Track!B121^2*Specification!$K$3*Specification!$K$2</f>
        <v>93.159842569492653</v>
      </c>
      <c r="E121" s="16">
        <v>0</v>
      </c>
      <c r="F121" s="17">
        <f>Specification!$C$23*9.81*SIN((E121*PI()/180))</f>
        <v>0</v>
      </c>
      <c r="G121" s="18">
        <f>IF(J121=1,VLOOKUP(K121,RPM!$E$2:$H$62,3,FALSE)-F121-E121-D121,IF(J121=2,VLOOKUP(K121,RPM!$H$2:$K$62,3,FALSE)-F121-E121-D121,IF(J121=3,VLOOKUP(K121,RPM!$K$2:$N$62,3,FALSE)-F121-E121-D121)))</f>
        <v>549.56217903827155</v>
      </c>
      <c r="H121" s="19">
        <f>IF(J121=1,Specification!$I$14,IF(J121=2,Specification!$I$15,IF(J121=3,Specification!$I$16)))</f>
        <v>578.93404261974786</v>
      </c>
      <c r="I121" s="16">
        <v>0</v>
      </c>
      <c r="J121" s="17">
        <v>3</v>
      </c>
      <c r="K121" s="16">
        <f>IF(J121=1,VLOOKUP(B121,RPM!$F$2:$H$62,3,TRUE),IF(J121=2,VLOOKUP(B121,RPM!$I$2:$K$62,3,TRUE),IF(J121=3,VLOOKUP(B121,RPM!$L$2:$N$62,3,TRUE))))</f>
        <v>4300</v>
      </c>
      <c r="L121" s="17">
        <f t="shared" si="15"/>
        <v>11.612651055299764</v>
      </c>
      <c r="M121" s="16">
        <f t="shared" si="12"/>
        <v>0</v>
      </c>
      <c r="N121" s="17">
        <f>VLOOKUP(K121,RPM!$A$2:$D$62,3,FALSE)</f>
        <v>11.4</v>
      </c>
      <c r="O121" s="16">
        <f>VLOOKUP(K121,RPM!$A$2:$D$62,4,FALSE)</f>
        <v>18.894837209302327</v>
      </c>
      <c r="P121" s="17">
        <f t="shared" si="13"/>
        <v>14.089880106976747</v>
      </c>
      <c r="Q121" s="16" cm="1">
        <f t="array" ref="Q121">_xlfn.XLOOKUP(O121,BSFC!$A$2:$A$24,_xlfn.XLOOKUP(K121,BSFC!$B$1:$O$1,BSFC!$B$2:$O$24,,-1),,-1)</f>
        <v>480</v>
      </c>
      <c r="R121" s="17">
        <f t="shared" si="14"/>
        <v>1.8786506809302328</v>
      </c>
      <c r="S121" s="16">
        <f t="shared" si="16"/>
        <v>2.9183485335177264E-4</v>
      </c>
      <c r="T121" s="17">
        <f t="shared" si="20"/>
        <v>0.14008072960885087</v>
      </c>
      <c r="U121" s="16">
        <f t="shared" si="21"/>
        <v>19.835436342033535</v>
      </c>
      <c r="V121" s="17">
        <f t="shared" si="22"/>
        <v>3.9276992045211089E-2</v>
      </c>
      <c r="W121" s="16">
        <f t="shared" si="17"/>
        <v>141397.17136275992</v>
      </c>
      <c r="X121">
        <f>('Hybrid Info'!$A$2-Track!P121)*(L121-L120)*1000+X120</f>
        <v>-5713.9460697148415</v>
      </c>
    </row>
    <row r="122" spans="1:24">
      <c r="A122" s="16">
        <f t="shared" si="18"/>
        <v>121</v>
      </c>
      <c r="B122" s="17">
        <f t="shared" si="19"/>
        <v>13.411199999999999</v>
      </c>
      <c r="C122" s="18">
        <f>Specification!$G$30</f>
        <v>109.96225200000001</v>
      </c>
      <c r="D122" s="17">
        <f>0.5*Specification!$K$4*Track!B122^2*Specification!$K$3*Specification!$K$2</f>
        <v>93.159842569492653</v>
      </c>
      <c r="E122" s="16">
        <v>0</v>
      </c>
      <c r="F122" s="17">
        <f>Specification!$C$23*9.81*SIN((E122*PI()/180))</f>
        <v>0</v>
      </c>
      <c r="G122" s="18">
        <f>IF(J122=1,VLOOKUP(K122,RPM!$E$2:$H$62,3,FALSE)-F122-E122-D122,IF(J122=2,VLOOKUP(K122,RPM!$H$2:$K$62,3,FALSE)-F122-E122-D122,IF(J122=3,VLOOKUP(K122,RPM!$K$2:$N$62,3,FALSE)-F122-E122-D122)))</f>
        <v>549.56217903827155</v>
      </c>
      <c r="H122" s="19">
        <f>IF(J122=1,Specification!$I$14,IF(J122=2,Specification!$I$15,IF(J122=3,Specification!$I$16)))</f>
        <v>578.93404261974786</v>
      </c>
      <c r="I122" s="16">
        <v>0</v>
      </c>
      <c r="J122" s="17">
        <v>3</v>
      </c>
      <c r="K122" s="16">
        <f>IF(J122=1,VLOOKUP(B122,RPM!$F$2:$H$62,3,TRUE),IF(J122=2,VLOOKUP(B122,RPM!$I$2:$K$62,3,TRUE),IF(J122=3,VLOOKUP(B122,RPM!$L$2:$N$62,3,TRUE))))</f>
        <v>4300</v>
      </c>
      <c r="L122" s="17">
        <f t="shared" si="15"/>
        <v>11.687215598368244</v>
      </c>
      <c r="M122" s="16">
        <f t="shared" si="12"/>
        <v>0</v>
      </c>
      <c r="N122" s="17">
        <f>VLOOKUP(K122,RPM!$A$2:$D$62,3,FALSE)</f>
        <v>11.4</v>
      </c>
      <c r="O122" s="16">
        <f>VLOOKUP(K122,RPM!$A$2:$D$62,4,FALSE)</f>
        <v>18.894837209302327</v>
      </c>
      <c r="P122" s="17">
        <f t="shared" si="13"/>
        <v>14.089880106976747</v>
      </c>
      <c r="Q122" s="16" cm="1">
        <f t="array" ref="Q122">_xlfn.XLOOKUP(O122,BSFC!$A$2:$A$24,_xlfn.XLOOKUP(K122,BSFC!$B$1:$O$1,BSFC!$B$2:$O$24,,-1),,-1)</f>
        <v>480</v>
      </c>
      <c r="R122" s="17">
        <f t="shared" si="14"/>
        <v>1.8786506809302328</v>
      </c>
      <c r="S122" s="16">
        <f t="shared" si="16"/>
        <v>2.9183485335177264E-4</v>
      </c>
      <c r="T122" s="17">
        <f t="shared" si="20"/>
        <v>0.14008072960885087</v>
      </c>
      <c r="U122" s="16">
        <f t="shared" si="21"/>
        <v>19.975517071642386</v>
      </c>
      <c r="V122" s="17">
        <f t="shared" si="22"/>
        <v>3.9568826898562864E-2</v>
      </c>
      <c r="W122" s="16">
        <f t="shared" si="17"/>
        <v>142447.77683482631</v>
      </c>
      <c r="X122">
        <f>('Hybrid Info'!$A$2-Track!P122)*(L122-L121)*1000+X121</f>
        <v>-5860.7953830642518</v>
      </c>
    </row>
    <row r="123" spans="1:24">
      <c r="A123" s="16">
        <f t="shared" si="18"/>
        <v>122</v>
      </c>
      <c r="B123" s="17">
        <f t="shared" si="19"/>
        <v>13.411199999999999</v>
      </c>
      <c r="C123" s="18">
        <f>Specification!$G$30</f>
        <v>109.96225200000001</v>
      </c>
      <c r="D123" s="17">
        <f>0.5*Specification!$K$4*Track!B123^2*Specification!$K$3*Specification!$K$2</f>
        <v>93.159842569492653</v>
      </c>
      <c r="E123" s="16">
        <v>0</v>
      </c>
      <c r="F123" s="17">
        <f>Specification!$C$23*9.81*SIN((E123*PI()/180))</f>
        <v>0</v>
      </c>
      <c r="G123" s="18">
        <f>IF(J123=1,VLOOKUP(K123,RPM!$E$2:$H$62,3,FALSE)-F123-E123-D123,IF(J123=2,VLOOKUP(K123,RPM!$H$2:$K$62,3,FALSE)-F123-E123-D123,IF(J123=3,VLOOKUP(K123,RPM!$K$2:$N$62,3,FALSE)-F123-E123-D123)))</f>
        <v>549.56217903827155</v>
      </c>
      <c r="H123" s="19">
        <f>IF(J123=1,Specification!$I$14,IF(J123=2,Specification!$I$15,IF(J123=3,Specification!$I$16)))</f>
        <v>578.93404261974786</v>
      </c>
      <c r="I123" s="16">
        <v>0</v>
      </c>
      <c r="J123" s="17">
        <v>3</v>
      </c>
      <c r="K123" s="16">
        <f>IF(J123=1,VLOOKUP(B123,RPM!$F$2:$H$62,3,TRUE),IF(J123=2,VLOOKUP(B123,RPM!$I$2:$K$62,3,TRUE),IF(J123=3,VLOOKUP(B123,RPM!$L$2:$N$62,3,TRUE))))</f>
        <v>4300</v>
      </c>
      <c r="L123" s="17">
        <f t="shared" si="15"/>
        <v>11.761780141436724</v>
      </c>
      <c r="M123" s="16">
        <f t="shared" si="12"/>
        <v>0</v>
      </c>
      <c r="N123" s="17">
        <f>VLOOKUP(K123,RPM!$A$2:$D$62,3,FALSE)</f>
        <v>11.4</v>
      </c>
      <c r="O123" s="16">
        <f>VLOOKUP(K123,RPM!$A$2:$D$62,4,FALSE)</f>
        <v>18.894837209302327</v>
      </c>
      <c r="P123" s="17">
        <f t="shared" si="13"/>
        <v>14.089880106976747</v>
      </c>
      <c r="Q123" s="16" cm="1">
        <f t="array" ref="Q123">_xlfn.XLOOKUP(O123,BSFC!$A$2:$A$24,_xlfn.XLOOKUP(K123,BSFC!$B$1:$O$1,BSFC!$B$2:$O$24,,-1),,-1)</f>
        <v>480</v>
      </c>
      <c r="R123" s="17">
        <f t="shared" si="14"/>
        <v>1.8786506809302328</v>
      </c>
      <c r="S123" s="16">
        <f t="shared" si="16"/>
        <v>2.9183485335177264E-4</v>
      </c>
      <c r="T123" s="17">
        <f t="shared" si="20"/>
        <v>0.14008072960885087</v>
      </c>
      <c r="U123" s="16">
        <f t="shared" si="21"/>
        <v>20.115597801251237</v>
      </c>
      <c r="V123" s="17">
        <f t="shared" si="22"/>
        <v>3.986066175191464E-2</v>
      </c>
      <c r="W123" s="16">
        <f t="shared" si="17"/>
        <v>143498.38230689272</v>
      </c>
      <c r="X123">
        <f>('Hybrid Info'!$A$2-Track!P123)*(L123-L122)*1000+X122</f>
        <v>-6007.6446964136621</v>
      </c>
    </row>
    <row r="124" spans="1:24">
      <c r="A124" s="16">
        <f t="shared" si="18"/>
        <v>123</v>
      </c>
      <c r="B124" s="17">
        <f t="shared" si="19"/>
        <v>13.411199999999999</v>
      </c>
      <c r="C124" s="18">
        <f>Specification!$G$30</f>
        <v>109.96225200000001</v>
      </c>
      <c r="D124" s="17">
        <f>0.5*Specification!$K$4*Track!B124^2*Specification!$K$3*Specification!$K$2</f>
        <v>93.159842569492653</v>
      </c>
      <c r="E124" s="16">
        <v>0</v>
      </c>
      <c r="F124" s="17">
        <f>Specification!$C$23*9.81*SIN((E124*PI()/180))</f>
        <v>0</v>
      </c>
      <c r="G124" s="18">
        <f>IF(J124=1,VLOOKUP(K124,RPM!$E$2:$H$62,3,FALSE)-F124-E124-D124,IF(J124=2,VLOOKUP(K124,RPM!$H$2:$K$62,3,FALSE)-F124-E124-D124,IF(J124=3,VLOOKUP(K124,RPM!$K$2:$N$62,3,FALSE)-F124-E124-D124)))</f>
        <v>549.56217903827155</v>
      </c>
      <c r="H124" s="19">
        <f>IF(J124=1,Specification!$I$14,IF(J124=2,Specification!$I$15,IF(J124=3,Specification!$I$16)))</f>
        <v>578.93404261974786</v>
      </c>
      <c r="I124" s="16">
        <v>0</v>
      </c>
      <c r="J124" s="17">
        <v>3</v>
      </c>
      <c r="K124" s="16">
        <f>IF(J124=1,VLOOKUP(B124,RPM!$F$2:$H$62,3,TRUE),IF(J124=2,VLOOKUP(B124,RPM!$I$2:$K$62,3,TRUE),IF(J124=3,VLOOKUP(B124,RPM!$L$2:$N$62,3,TRUE))))</f>
        <v>4300</v>
      </c>
      <c r="L124" s="17">
        <f t="shared" si="15"/>
        <v>11.836344684505203</v>
      </c>
      <c r="M124" s="16">
        <f t="shared" si="12"/>
        <v>0</v>
      </c>
      <c r="N124" s="17">
        <f>VLOOKUP(K124,RPM!$A$2:$D$62,3,FALSE)</f>
        <v>11.4</v>
      </c>
      <c r="O124" s="16">
        <f>VLOOKUP(K124,RPM!$A$2:$D$62,4,FALSE)</f>
        <v>18.894837209302327</v>
      </c>
      <c r="P124" s="17">
        <f t="shared" si="13"/>
        <v>14.089880106976747</v>
      </c>
      <c r="Q124" s="16" cm="1">
        <f t="array" ref="Q124">_xlfn.XLOOKUP(O124,BSFC!$A$2:$A$24,_xlfn.XLOOKUP(K124,BSFC!$B$1:$O$1,BSFC!$B$2:$O$24,,-1),,-1)</f>
        <v>480</v>
      </c>
      <c r="R124" s="17">
        <f t="shared" si="14"/>
        <v>1.8786506809302328</v>
      </c>
      <c r="S124" s="16">
        <f t="shared" si="16"/>
        <v>2.9183485335177264E-4</v>
      </c>
      <c r="T124" s="17">
        <f t="shared" si="20"/>
        <v>0.14008072960885087</v>
      </c>
      <c r="U124" s="16">
        <f t="shared" si="21"/>
        <v>20.255678530860088</v>
      </c>
      <c r="V124" s="17">
        <f t="shared" si="22"/>
        <v>4.0152496605266416E-2</v>
      </c>
      <c r="W124" s="16">
        <f t="shared" si="17"/>
        <v>144548.9877789591</v>
      </c>
      <c r="X124">
        <f>('Hybrid Info'!$A$2-Track!P124)*(L124-L123)*1000+X123</f>
        <v>-6154.4940097630724</v>
      </c>
    </row>
    <row r="125" spans="1:24">
      <c r="A125" s="16">
        <f t="shared" si="18"/>
        <v>124</v>
      </c>
      <c r="B125" s="17">
        <f t="shared" si="19"/>
        <v>13.411199999999999</v>
      </c>
      <c r="C125" s="18">
        <f>Specification!$G$30</f>
        <v>109.96225200000001</v>
      </c>
      <c r="D125" s="17">
        <f>0.5*Specification!$K$4*Track!B125^2*Specification!$K$3*Specification!$K$2</f>
        <v>93.159842569492653</v>
      </c>
      <c r="E125" s="16">
        <v>0</v>
      </c>
      <c r="F125" s="17">
        <f>Specification!$C$23*9.81*SIN((E125*PI()/180))</f>
        <v>0</v>
      </c>
      <c r="G125" s="18">
        <f>IF(J125=1,VLOOKUP(K125,RPM!$E$2:$H$62,3,FALSE)-F125-E125-D125,IF(J125=2,VLOOKUP(K125,RPM!$H$2:$K$62,3,FALSE)-F125-E125-D125,IF(J125=3,VLOOKUP(K125,RPM!$K$2:$N$62,3,FALSE)-F125-E125-D125)))</f>
        <v>549.56217903827155</v>
      </c>
      <c r="H125" s="19">
        <f>IF(J125=1,Specification!$I$14,IF(J125=2,Specification!$I$15,IF(J125=3,Specification!$I$16)))</f>
        <v>578.93404261974786</v>
      </c>
      <c r="I125" s="16">
        <v>0</v>
      </c>
      <c r="J125" s="17">
        <v>3</v>
      </c>
      <c r="K125" s="16">
        <f>IF(J125=1,VLOOKUP(B125,RPM!$F$2:$H$62,3,TRUE),IF(J125=2,VLOOKUP(B125,RPM!$I$2:$K$62,3,TRUE),IF(J125=3,VLOOKUP(B125,RPM!$L$2:$N$62,3,TRUE))))</f>
        <v>4300</v>
      </c>
      <c r="L125" s="17">
        <f t="shared" si="15"/>
        <v>11.910909227573683</v>
      </c>
      <c r="M125" s="16">
        <f t="shared" si="12"/>
        <v>0</v>
      </c>
      <c r="N125" s="17">
        <f>VLOOKUP(K125,RPM!$A$2:$D$62,3,FALSE)</f>
        <v>11.4</v>
      </c>
      <c r="O125" s="16">
        <f>VLOOKUP(K125,RPM!$A$2:$D$62,4,FALSE)</f>
        <v>18.894837209302327</v>
      </c>
      <c r="P125" s="17">
        <f t="shared" si="13"/>
        <v>14.089880106976747</v>
      </c>
      <c r="Q125" s="16" cm="1">
        <f t="array" ref="Q125">_xlfn.XLOOKUP(O125,BSFC!$A$2:$A$24,_xlfn.XLOOKUP(K125,BSFC!$B$1:$O$1,BSFC!$B$2:$O$24,,-1),,-1)</f>
        <v>480</v>
      </c>
      <c r="R125" s="17">
        <f t="shared" si="14"/>
        <v>1.8786506809302328</v>
      </c>
      <c r="S125" s="16">
        <f t="shared" si="16"/>
        <v>2.9183485335177264E-4</v>
      </c>
      <c r="T125" s="17">
        <f t="shared" si="20"/>
        <v>0.14008072960885087</v>
      </c>
      <c r="U125" s="16">
        <f t="shared" si="21"/>
        <v>20.395759260468939</v>
      </c>
      <c r="V125" s="17">
        <f t="shared" si="22"/>
        <v>4.0444331458618192E-2</v>
      </c>
      <c r="W125" s="16">
        <f t="shared" si="17"/>
        <v>145599.59325102551</v>
      </c>
      <c r="X125">
        <f>('Hybrid Info'!$A$2-Track!P125)*(L125-L124)*1000+X124</f>
        <v>-6301.3433231124827</v>
      </c>
    </row>
    <row r="126" spans="1:24">
      <c r="A126" s="16">
        <f t="shared" si="18"/>
        <v>125</v>
      </c>
      <c r="B126" s="17">
        <f t="shared" si="19"/>
        <v>13.411199999999999</v>
      </c>
      <c r="C126" s="18">
        <f>Specification!$G$30</f>
        <v>109.96225200000001</v>
      </c>
      <c r="D126" s="17">
        <f>0.5*Specification!$K$4*Track!B126^2*Specification!$K$3*Specification!$K$2</f>
        <v>93.159842569492653</v>
      </c>
      <c r="E126" s="16">
        <v>0</v>
      </c>
      <c r="F126" s="17">
        <f>Specification!$C$23*9.81*SIN((E126*PI()/180))</f>
        <v>0</v>
      </c>
      <c r="G126" s="18">
        <f>IF(J126=1,VLOOKUP(K126,RPM!$E$2:$H$62,3,FALSE)-F126-E126-D126,IF(J126=2,VLOOKUP(K126,RPM!$H$2:$K$62,3,FALSE)-F126-E126-D126,IF(J126=3,VLOOKUP(K126,RPM!$K$2:$N$62,3,FALSE)-F126-E126-D126)))</f>
        <v>549.56217903827155</v>
      </c>
      <c r="H126" s="19">
        <f>IF(J126=1,Specification!$I$14,IF(J126=2,Specification!$I$15,IF(J126=3,Specification!$I$16)))</f>
        <v>578.93404261974786</v>
      </c>
      <c r="I126" s="16">
        <v>0</v>
      </c>
      <c r="J126" s="17">
        <v>3</v>
      </c>
      <c r="K126" s="16">
        <f>IF(J126=1,VLOOKUP(B126,RPM!$F$2:$H$62,3,TRUE),IF(J126=2,VLOOKUP(B126,RPM!$I$2:$K$62,3,TRUE),IF(J126=3,VLOOKUP(B126,RPM!$L$2:$N$62,3,TRUE))))</f>
        <v>4300</v>
      </c>
      <c r="L126" s="17">
        <f t="shared" si="15"/>
        <v>11.985473770642162</v>
      </c>
      <c r="M126" s="16">
        <f t="shared" si="12"/>
        <v>0</v>
      </c>
      <c r="N126" s="17">
        <f>VLOOKUP(K126,RPM!$A$2:$D$62,3,FALSE)</f>
        <v>11.4</v>
      </c>
      <c r="O126" s="16">
        <f>VLOOKUP(K126,RPM!$A$2:$D$62,4,FALSE)</f>
        <v>18.894837209302327</v>
      </c>
      <c r="P126" s="17">
        <f t="shared" si="13"/>
        <v>14.089880106976747</v>
      </c>
      <c r="Q126" s="16" cm="1">
        <f t="array" ref="Q126">_xlfn.XLOOKUP(O126,BSFC!$A$2:$A$24,_xlfn.XLOOKUP(K126,BSFC!$B$1:$O$1,BSFC!$B$2:$O$24,,-1),,-1)</f>
        <v>480</v>
      </c>
      <c r="R126" s="17">
        <f t="shared" si="14"/>
        <v>1.8786506809302328</v>
      </c>
      <c r="S126" s="16">
        <f t="shared" si="16"/>
        <v>2.9183485335177264E-4</v>
      </c>
      <c r="T126" s="17">
        <f t="shared" si="20"/>
        <v>0.14008072960885087</v>
      </c>
      <c r="U126" s="16">
        <f t="shared" si="21"/>
        <v>20.53583999007779</v>
      </c>
      <c r="V126" s="17">
        <f t="shared" si="22"/>
        <v>4.0736166311969968E-2</v>
      </c>
      <c r="W126" s="16">
        <f t="shared" si="17"/>
        <v>146650.19872309189</v>
      </c>
      <c r="X126">
        <f>('Hybrid Info'!$A$2-Track!P126)*(L126-L125)*1000+X125</f>
        <v>-6448.192636461893</v>
      </c>
    </row>
    <row r="127" spans="1:24">
      <c r="A127" s="16">
        <f t="shared" si="18"/>
        <v>126</v>
      </c>
      <c r="B127" s="17">
        <f t="shared" si="19"/>
        <v>13.411199999999999</v>
      </c>
      <c r="C127" s="18">
        <f>Specification!$G$30</f>
        <v>109.96225200000001</v>
      </c>
      <c r="D127" s="17">
        <f>0.5*Specification!$K$4*Track!B127^2*Specification!$K$3*Specification!$K$2</f>
        <v>93.159842569492653</v>
      </c>
      <c r="E127" s="16">
        <v>0</v>
      </c>
      <c r="F127" s="17">
        <f>Specification!$C$23*9.81*SIN((E127*PI()/180))</f>
        <v>0</v>
      </c>
      <c r="G127" s="18">
        <f>IF(J127=1,VLOOKUP(K127,RPM!$E$2:$H$62,3,FALSE)-F127-E127-D127,IF(J127=2,VLOOKUP(K127,RPM!$H$2:$K$62,3,FALSE)-F127-E127-D127,IF(J127=3,VLOOKUP(K127,RPM!$K$2:$N$62,3,FALSE)-F127-E127-D127)))</f>
        <v>549.56217903827155</v>
      </c>
      <c r="H127" s="19">
        <f>IF(J127=1,Specification!$I$14,IF(J127=2,Specification!$I$15,IF(J127=3,Specification!$I$16)))</f>
        <v>578.93404261974786</v>
      </c>
      <c r="I127" s="16">
        <v>0</v>
      </c>
      <c r="J127" s="17">
        <v>3</v>
      </c>
      <c r="K127" s="16">
        <f>IF(J127=1,VLOOKUP(B127,RPM!$F$2:$H$62,3,TRUE),IF(J127=2,VLOOKUP(B127,RPM!$I$2:$K$62,3,TRUE),IF(J127=3,VLOOKUP(B127,RPM!$L$2:$N$62,3,TRUE))))</f>
        <v>4300</v>
      </c>
      <c r="L127" s="17">
        <f t="shared" si="15"/>
        <v>12.060038313710642</v>
      </c>
      <c r="M127" s="16">
        <f t="shared" si="12"/>
        <v>0</v>
      </c>
      <c r="N127" s="17">
        <f>VLOOKUP(K127,RPM!$A$2:$D$62,3,FALSE)</f>
        <v>11.4</v>
      </c>
      <c r="O127" s="16">
        <f>VLOOKUP(K127,RPM!$A$2:$D$62,4,FALSE)</f>
        <v>18.894837209302327</v>
      </c>
      <c r="P127" s="17">
        <f t="shared" si="13"/>
        <v>14.089880106976747</v>
      </c>
      <c r="Q127" s="16" cm="1">
        <f t="array" ref="Q127">_xlfn.XLOOKUP(O127,BSFC!$A$2:$A$24,_xlfn.XLOOKUP(K127,BSFC!$B$1:$O$1,BSFC!$B$2:$O$24,,-1),,-1)</f>
        <v>480</v>
      </c>
      <c r="R127" s="17">
        <f t="shared" si="14"/>
        <v>1.8786506809302328</v>
      </c>
      <c r="S127" s="16">
        <f t="shared" si="16"/>
        <v>2.9183485335177264E-4</v>
      </c>
      <c r="T127" s="17">
        <f t="shared" si="20"/>
        <v>0.14008072960885087</v>
      </c>
      <c r="U127" s="16">
        <f t="shared" si="21"/>
        <v>20.675920719686641</v>
      </c>
      <c r="V127" s="17">
        <f t="shared" si="22"/>
        <v>4.1028001165321744E-2</v>
      </c>
      <c r="W127" s="16">
        <f t="shared" si="17"/>
        <v>147700.8041951583</v>
      </c>
      <c r="X127">
        <f>('Hybrid Info'!$A$2-Track!P127)*(L127-L126)*1000+X126</f>
        <v>-6595.0419498113033</v>
      </c>
    </row>
    <row r="128" spans="1:24">
      <c r="A128" s="16">
        <f t="shared" si="18"/>
        <v>127</v>
      </c>
      <c r="B128" s="17">
        <f t="shared" si="19"/>
        <v>13.411199999999999</v>
      </c>
      <c r="C128" s="18">
        <f>Specification!$G$30</f>
        <v>109.96225200000001</v>
      </c>
      <c r="D128" s="17">
        <f>0.5*Specification!$K$4*Track!B128^2*Specification!$K$3*Specification!$K$2</f>
        <v>93.159842569492653</v>
      </c>
      <c r="E128" s="16">
        <v>0</v>
      </c>
      <c r="F128" s="17">
        <f>Specification!$C$23*9.81*SIN((E128*PI()/180))</f>
        <v>0</v>
      </c>
      <c r="G128" s="18">
        <f>IF(J128=1,VLOOKUP(K128,RPM!$E$2:$H$62,3,FALSE)-F128-E128-D128,IF(J128=2,VLOOKUP(K128,RPM!$H$2:$K$62,3,FALSE)-F128-E128-D128,IF(J128=3,VLOOKUP(K128,RPM!$K$2:$N$62,3,FALSE)-F128-E128-D128)))</f>
        <v>549.56217903827155</v>
      </c>
      <c r="H128" s="19">
        <f>IF(J128=1,Specification!$I$14,IF(J128=2,Specification!$I$15,IF(J128=3,Specification!$I$16)))</f>
        <v>578.93404261974786</v>
      </c>
      <c r="I128" s="16">
        <v>0</v>
      </c>
      <c r="J128" s="17">
        <v>3</v>
      </c>
      <c r="K128" s="16">
        <f>IF(J128=1,VLOOKUP(B128,RPM!$F$2:$H$62,3,TRUE),IF(J128=2,VLOOKUP(B128,RPM!$I$2:$K$62,3,TRUE),IF(J128=3,VLOOKUP(B128,RPM!$L$2:$N$62,3,TRUE))))</f>
        <v>4300</v>
      </c>
      <c r="L128" s="17">
        <f t="shared" si="15"/>
        <v>12.134602856779122</v>
      </c>
      <c r="M128" s="16">
        <f t="shared" si="12"/>
        <v>0</v>
      </c>
      <c r="N128" s="17">
        <f>VLOOKUP(K128,RPM!$A$2:$D$62,3,FALSE)</f>
        <v>11.4</v>
      </c>
      <c r="O128" s="16">
        <f>VLOOKUP(K128,RPM!$A$2:$D$62,4,FALSE)</f>
        <v>18.894837209302327</v>
      </c>
      <c r="P128" s="17">
        <f t="shared" si="13"/>
        <v>14.089880106976747</v>
      </c>
      <c r="Q128" s="16" cm="1">
        <f t="array" ref="Q128">_xlfn.XLOOKUP(O128,BSFC!$A$2:$A$24,_xlfn.XLOOKUP(K128,BSFC!$B$1:$O$1,BSFC!$B$2:$O$24,,-1),,-1)</f>
        <v>480</v>
      </c>
      <c r="R128" s="17">
        <f t="shared" si="14"/>
        <v>1.8786506809302328</v>
      </c>
      <c r="S128" s="16">
        <f t="shared" si="16"/>
        <v>2.9183485335177264E-4</v>
      </c>
      <c r="T128" s="17">
        <f t="shared" si="20"/>
        <v>0.14008072960885087</v>
      </c>
      <c r="U128" s="16">
        <f t="shared" si="21"/>
        <v>20.816001449295491</v>
      </c>
      <c r="V128" s="17">
        <f t="shared" si="22"/>
        <v>4.131983601867352E-2</v>
      </c>
      <c r="W128" s="16">
        <f t="shared" si="17"/>
        <v>148751.40966722468</v>
      </c>
      <c r="X128">
        <f>('Hybrid Info'!$A$2-Track!P128)*(L128-L127)*1000+X127</f>
        <v>-6741.8912631607136</v>
      </c>
    </row>
    <row r="129" spans="1:24">
      <c r="A129" s="16">
        <f t="shared" si="18"/>
        <v>128</v>
      </c>
      <c r="B129" s="17">
        <f t="shared" si="19"/>
        <v>13.411199999999999</v>
      </c>
      <c r="C129" s="18">
        <f>Specification!$G$30</f>
        <v>109.96225200000001</v>
      </c>
      <c r="D129" s="17">
        <f>0.5*Specification!$K$4*Track!B129^2*Specification!$K$3*Specification!$K$2</f>
        <v>93.159842569492653</v>
      </c>
      <c r="E129" s="16">
        <v>0</v>
      </c>
      <c r="F129" s="17">
        <f>Specification!$C$23*9.81*SIN((E129*PI()/180))</f>
        <v>0</v>
      </c>
      <c r="G129" s="18">
        <f>IF(J129=1,VLOOKUP(K129,RPM!$E$2:$H$62,3,FALSE)-F129-E129-D129,IF(J129=2,VLOOKUP(K129,RPM!$H$2:$K$62,3,FALSE)-F129-E129-D129,IF(J129=3,VLOOKUP(K129,RPM!$K$2:$N$62,3,FALSE)-F129-E129-D129)))</f>
        <v>549.56217903827155</v>
      </c>
      <c r="H129" s="19">
        <f>IF(J129=1,Specification!$I$14,IF(J129=2,Specification!$I$15,IF(J129=3,Specification!$I$16)))</f>
        <v>578.93404261974786</v>
      </c>
      <c r="I129" s="16">
        <v>0</v>
      </c>
      <c r="J129" s="17">
        <v>3</v>
      </c>
      <c r="K129" s="16">
        <f>IF(J129=1,VLOOKUP(B129,RPM!$F$2:$H$62,3,TRUE),IF(J129=2,VLOOKUP(B129,RPM!$I$2:$K$62,3,TRUE),IF(J129=3,VLOOKUP(B129,RPM!$L$2:$N$62,3,TRUE))))</f>
        <v>4300</v>
      </c>
      <c r="L129" s="17">
        <f t="shared" si="15"/>
        <v>12.209167399847601</v>
      </c>
      <c r="M129" s="16">
        <f t="shared" si="12"/>
        <v>0</v>
      </c>
      <c r="N129" s="17">
        <f>VLOOKUP(K129,RPM!$A$2:$D$62,3,FALSE)</f>
        <v>11.4</v>
      </c>
      <c r="O129" s="16">
        <f>VLOOKUP(K129,RPM!$A$2:$D$62,4,FALSE)</f>
        <v>18.894837209302327</v>
      </c>
      <c r="P129" s="17">
        <f t="shared" si="13"/>
        <v>14.089880106976747</v>
      </c>
      <c r="Q129" s="16" cm="1">
        <f t="array" ref="Q129">_xlfn.XLOOKUP(O129,BSFC!$A$2:$A$24,_xlfn.XLOOKUP(K129,BSFC!$B$1:$O$1,BSFC!$B$2:$O$24,,-1),,-1)</f>
        <v>480</v>
      </c>
      <c r="R129" s="17">
        <f t="shared" si="14"/>
        <v>1.8786506809302328</v>
      </c>
      <c r="S129" s="16">
        <f t="shared" si="16"/>
        <v>2.9183485335177264E-4</v>
      </c>
      <c r="T129" s="17">
        <f t="shared" si="20"/>
        <v>0.14008072960885087</v>
      </c>
      <c r="U129" s="16">
        <f t="shared" si="21"/>
        <v>20.956082178904342</v>
      </c>
      <c r="V129" s="17">
        <f t="shared" si="22"/>
        <v>4.1611670872025296E-2</v>
      </c>
      <c r="W129" s="16">
        <f t="shared" si="17"/>
        <v>149802.01513929106</v>
      </c>
      <c r="X129">
        <f>('Hybrid Info'!$A$2-Track!P129)*(L129-L128)*1000+X128</f>
        <v>-6888.7405765101239</v>
      </c>
    </row>
    <row r="130" spans="1:24">
      <c r="A130" s="16">
        <f t="shared" si="18"/>
        <v>129</v>
      </c>
      <c r="B130" s="17">
        <f t="shared" si="19"/>
        <v>13.411199999999999</v>
      </c>
      <c r="C130" s="18">
        <f>Specification!$G$30</f>
        <v>109.96225200000001</v>
      </c>
      <c r="D130" s="17">
        <f>0.5*Specification!$K$4*Track!B130^2*Specification!$K$3*Specification!$K$2</f>
        <v>93.159842569492653</v>
      </c>
      <c r="E130" s="16">
        <v>0</v>
      </c>
      <c r="F130" s="17">
        <f>Specification!$C$23*9.81*SIN((E130*PI()/180))</f>
        <v>0</v>
      </c>
      <c r="G130" s="18">
        <f>IF(J130=1,VLOOKUP(K130,RPM!$E$2:$H$62,3,FALSE)-F130-E130-D130,IF(J130=2,VLOOKUP(K130,RPM!$H$2:$K$62,3,FALSE)-F130-E130-D130,IF(J130=3,VLOOKUP(K130,RPM!$K$2:$N$62,3,FALSE)-F130-E130-D130)))</f>
        <v>549.56217903827155</v>
      </c>
      <c r="H130" s="19">
        <f>IF(J130=1,Specification!$I$14,IF(J130=2,Specification!$I$15,IF(J130=3,Specification!$I$16)))</f>
        <v>578.93404261974786</v>
      </c>
      <c r="I130" s="16">
        <v>0</v>
      </c>
      <c r="J130" s="17">
        <v>3</v>
      </c>
      <c r="K130" s="16">
        <f>IF(J130=1,VLOOKUP(B130,RPM!$F$2:$H$62,3,TRUE),IF(J130=2,VLOOKUP(B130,RPM!$I$2:$K$62,3,TRUE),IF(J130=3,VLOOKUP(B130,RPM!$L$2:$N$62,3,TRUE))))</f>
        <v>4300</v>
      </c>
      <c r="L130" s="17">
        <f t="shared" si="15"/>
        <v>12.283731942916081</v>
      </c>
      <c r="M130" s="16">
        <f t="shared" ref="M130:M193" si="23">TAN(E130*PI()/180)+M129</f>
        <v>0</v>
      </c>
      <c r="N130" s="17">
        <f>VLOOKUP(K130,RPM!$A$2:$D$62,3,FALSE)</f>
        <v>11.4</v>
      </c>
      <c r="O130" s="16">
        <f>VLOOKUP(K130,RPM!$A$2:$D$62,4,FALSE)</f>
        <v>18.894837209302327</v>
      </c>
      <c r="P130" s="17">
        <f t="shared" ref="P130:P193" si="24">O130*0.7457</f>
        <v>14.089880106976747</v>
      </c>
      <c r="Q130" s="16" cm="1">
        <f t="array" ref="Q130">_xlfn.XLOOKUP(O130,BSFC!$A$2:$A$24,_xlfn.XLOOKUP(K130,BSFC!$B$1:$O$1,BSFC!$B$2:$O$24,,-1),,-1)</f>
        <v>480</v>
      </c>
      <c r="R130" s="17">
        <f t="shared" ref="R130:R193" si="25">Q130*P130/3600</f>
        <v>1.8786506809302328</v>
      </c>
      <c r="S130" s="16">
        <f t="shared" si="16"/>
        <v>2.9183485335177264E-4</v>
      </c>
      <c r="T130" s="17">
        <f t="shared" si="20"/>
        <v>0.14008072960885087</v>
      </c>
      <c r="U130" s="16">
        <f t="shared" si="21"/>
        <v>21.096162908513193</v>
      </c>
      <c r="V130" s="17">
        <f t="shared" si="22"/>
        <v>4.1903505725377072E-2</v>
      </c>
      <c r="W130" s="16">
        <f t="shared" si="17"/>
        <v>150852.62061135747</v>
      </c>
      <c r="X130">
        <f>('Hybrid Info'!$A$2-Track!P130)*(L130-L129)*1000+X129</f>
        <v>-7035.5898898595342</v>
      </c>
    </row>
    <row r="131" spans="1:24">
      <c r="A131" s="16">
        <f t="shared" si="18"/>
        <v>130</v>
      </c>
      <c r="B131" s="17">
        <f t="shared" si="19"/>
        <v>13.411199999999999</v>
      </c>
      <c r="C131" s="18">
        <f>Specification!$G$30</f>
        <v>109.96225200000001</v>
      </c>
      <c r="D131" s="17">
        <f>0.5*Specification!$K$4*Track!B131^2*Specification!$K$3*Specification!$K$2</f>
        <v>93.159842569492653</v>
      </c>
      <c r="E131" s="16">
        <v>0</v>
      </c>
      <c r="F131" s="17">
        <f>Specification!$C$23*9.81*SIN((E131*PI()/180))</f>
        <v>0</v>
      </c>
      <c r="G131" s="18">
        <f>IF(J131=1,VLOOKUP(K131,RPM!$E$2:$H$62,3,FALSE)-F131-E131-D131,IF(J131=2,VLOOKUP(K131,RPM!$H$2:$K$62,3,FALSE)-F131-E131-D131,IF(J131=3,VLOOKUP(K131,RPM!$K$2:$N$62,3,FALSE)-F131-E131-D131)))</f>
        <v>549.56217903827155</v>
      </c>
      <c r="H131" s="19">
        <f>IF(J131=1,Specification!$I$14,IF(J131=2,Specification!$I$15,IF(J131=3,Specification!$I$16)))</f>
        <v>578.93404261974786</v>
      </c>
      <c r="I131" s="16">
        <v>0</v>
      </c>
      <c r="J131" s="17">
        <v>3</v>
      </c>
      <c r="K131" s="16">
        <f>IF(J131=1,VLOOKUP(B131,RPM!$F$2:$H$62,3,TRUE),IF(J131=2,VLOOKUP(B131,RPM!$I$2:$K$62,3,TRUE),IF(J131=3,VLOOKUP(B131,RPM!$L$2:$N$62,3,TRUE))))</f>
        <v>4300</v>
      </c>
      <c r="L131" s="17">
        <f t="shared" ref="L131:L194" si="26">IF(I131=0,ABS(1/B131)+L130,IF(ABS(B132-B131)=0,1/B131+L130,ABS((B132-B131)/I131)+L130))</f>
        <v>12.35829648598456</v>
      </c>
      <c r="M131" s="16">
        <f t="shared" si="23"/>
        <v>0</v>
      </c>
      <c r="N131" s="17">
        <f>VLOOKUP(K131,RPM!$A$2:$D$62,3,FALSE)</f>
        <v>11.4</v>
      </c>
      <c r="O131" s="16">
        <f>VLOOKUP(K131,RPM!$A$2:$D$62,4,FALSE)</f>
        <v>18.894837209302327</v>
      </c>
      <c r="P131" s="17">
        <f t="shared" si="24"/>
        <v>14.089880106976747</v>
      </c>
      <c r="Q131" s="16" cm="1">
        <f t="array" ref="Q131">_xlfn.XLOOKUP(O131,BSFC!$A$2:$A$24,_xlfn.XLOOKUP(K131,BSFC!$B$1:$O$1,BSFC!$B$2:$O$24,,-1),,-1)</f>
        <v>480</v>
      </c>
      <c r="R131" s="17">
        <f t="shared" si="25"/>
        <v>1.8786506809302328</v>
      </c>
      <c r="S131" s="16">
        <f t="shared" ref="S131:S194" si="27">(L131-L130)/3600*P131</f>
        <v>2.9183485335177264E-4</v>
      </c>
      <c r="T131" s="17">
        <f t="shared" si="20"/>
        <v>0.14008072960885087</v>
      </c>
      <c r="U131" s="16">
        <f t="shared" si="21"/>
        <v>21.236243638122044</v>
      </c>
      <c r="V131" s="17">
        <f t="shared" si="22"/>
        <v>4.2195340578728847E-2</v>
      </c>
      <c r="W131" s="16">
        <f t="shared" ref="W131:W194" si="28">V131*1000*3600</f>
        <v>151903.22608342386</v>
      </c>
      <c r="X131">
        <f>('Hybrid Info'!$A$2-Track!P131)*(L131-L130)*1000+X130</f>
        <v>-7182.4392032089445</v>
      </c>
    </row>
    <row r="132" spans="1:24">
      <c r="A132" s="16">
        <f t="shared" ref="A132:A195" si="29">A131+1</f>
        <v>131</v>
      </c>
      <c r="B132" s="17">
        <f t="shared" ref="B132:B195" si="30">IF(SQRT(B131^2+2*I131)&gt;13.4112,13.4112,SQRT(B131^2+2*I131))</f>
        <v>13.411199999999999</v>
      </c>
      <c r="C132" s="18">
        <f>Specification!$G$30</f>
        <v>109.96225200000001</v>
      </c>
      <c r="D132" s="17">
        <f>0.5*Specification!$K$4*Track!B132^2*Specification!$K$3*Specification!$K$2</f>
        <v>93.159842569492653</v>
      </c>
      <c r="E132" s="16">
        <v>0</v>
      </c>
      <c r="F132" s="17">
        <f>Specification!$C$23*9.81*SIN((E132*PI()/180))</f>
        <v>0</v>
      </c>
      <c r="G132" s="18">
        <f>IF(J132=1,VLOOKUP(K132,RPM!$E$2:$H$62,3,FALSE)-F132-E132-D132,IF(J132=2,VLOOKUP(K132,RPM!$H$2:$K$62,3,FALSE)-F132-E132-D132,IF(J132=3,VLOOKUP(K132,RPM!$K$2:$N$62,3,FALSE)-F132-E132-D132)))</f>
        <v>549.56217903827155</v>
      </c>
      <c r="H132" s="19">
        <f>IF(J132=1,Specification!$I$14,IF(J132=2,Specification!$I$15,IF(J132=3,Specification!$I$16)))</f>
        <v>578.93404261974786</v>
      </c>
      <c r="I132" s="16">
        <v>0</v>
      </c>
      <c r="J132" s="17">
        <v>3</v>
      </c>
      <c r="K132" s="16">
        <f>IF(J132=1,VLOOKUP(B132,RPM!$F$2:$H$62,3,TRUE),IF(J132=2,VLOOKUP(B132,RPM!$I$2:$K$62,3,TRUE),IF(J132=3,VLOOKUP(B132,RPM!$L$2:$N$62,3,TRUE))))</f>
        <v>4300</v>
      </c>
      <c r="L132" s="17">
        <f t="shared" si="26"/>
        <v>12.43286102905304</v>
      </c>
      <c r="M132" s="16">
        <f t="shared" si="23"/>
        <v>0</v>
      </c>
      <c r="N132" s="17">
        <f>VLOOKUP(K132,RPM!$A$2:$D$62,3,FALSE)</f>
        <v>11.4</v>
      </c>
      <c r="O132" s="16">
        <f>VLOOKUP(K132,RPM!$A$2:$D$62,4,FALSE)</f>
        <v>18.894837209302327</v>
      </c>
      <c r="P132" s="17">
        <f t="shared" si="24"/>
        <v>14.089880106976747</v>
      </c>
      <c r="Q132" s="16" cm="1">
        <f t="array" ref="Q132">_xlfn.XLOOKUP(O132,BSFC!$A$2:$A$24,_xlfn.XLOOKUP(K132,BSFC!$B$1:$O$1,BSFC!$B$2:$O$24,,-1),,-1)</f>
        <v>480</v>
      </c>
      <c r="R132" s="17">
        <f t="shared" si="25"/>
        <v>1.8786506809302328</v>
      </c>
      <c r="S132" s="16">
        <f t="shared" si="27"/>
        <v>2.9183485335177264E-4</v>
      </c>
      <c r="T132" s="17">
        <f t="shared" ref="T132:T195" si="31">S132*Q132</f>
        <v>0.14008072960885087</v>
      </c>
      <c r="U132" s="16">
        <f t="shared" ref="U132:U195" si="32">U131+T132</f>
        <v>21.376324367730895</v>
      </c>
      <c r="V132" s="17">
        <f t="shared" si="22"/>
        <v>4.2487175432080623E-2</v>
      </c>
      <c r="W132" s="16">
        <f t="shared" si="28"/>
        <v>152953.83155549027</v>
      </c>
      <c r="X132">
        <f>('Hybrid Info'!$A$2-Track!P132)*(L132-L131)*1000+X131</f>
        <v>-7329.2885165583548</v>
      </c>
    </row>
    <row r="133" spans="1:24">
      <c r="A133" s="16">
        <f t="shared" si="29"/>
        <v>132</v>
      </c>
      <c r="B133" s="17">
        <f t="shared" si="30"/>
        <v>13.411199999999999</v>
      </c>
      <c r="C133" s="18">
        <f>Specification!$G$30</f>
        <v>109.96225200000001</v>
      </c>
      <c r="D133" s="17">
        <f>0.5*Specification!$K$4*Track!B133^2*Specification!$K$3*Specification!$K$2</f>
        <v>93.159842569492653</v>
      </c>
      <c r="E133" s="16">
        <v>0</v>
      </c>
      <c r="F133" s="17">
        <f>Specification!$C$23*9.81*SIN((E133*PI()/180))</f>
        <v>0</v>
      </c>
      <c r="G133" s="18">
        <f>IF(J133=1,VLOOKUP(K133,RPM!$E$2:$H$62,3,FALSE)-F133-E133-D133,IF(J133=2,VLOOKUP(K133,RPM!$H$2:$K$62,3,FALSE)-F133-E133-D133,IF(J133=3,VLOOKUP(K133,RPM!$K$2:$N$62,3,FALSE)-F133-E133-D133)))</f>
        <v>549.56217903827155</v>
      </c>
      <c r="H133" s="19">
        <f>IF(J133=1,Specification!$I$14,IF(J133=2,Specification!$I$15,IF(J133=3,Specification!$I$16)))</f>
        <v>578.93404261974786</v>
      </c>
      <c r="I133" s="16">
        <v>0</v>
      </c>
      <c r="J133" s="17">
        <v>3</v>
      </c>
      <c r="K133" s="16">
        <f>IF(J133=1,VLOOKUP(B133,RPM!$F$2:$H$62,3,TRUE),IF(J133=2,VLOOKUP(B133,RPM!$I$2:$K$62,3,TRUE),IF(J133=3,VLOOKUP(B133,RPM!$L$2:$N$62,3,TRUE))))</f>
        <v>4300</v>
      </c>
      <c r="L133" s="17">
        <f t="shared" si="26"/>
        <v>12.50742557212152</v>
      </c>
      <c r="M133" s="16">
        <f t="shared" si="23"/>
        <v>0</v>
      </c>
      <c r="N133" s="17">
        <f>VLOOKUP(K133,RPM!$A$2:$D$62,3,FALSE)</f>
        <v>11.4</v>
      </c>
      <c r="O133" s="16">
        <f>VLOOKUP(K133,RPM!$A$2:$D$62,4,FALSE)</f>
        <v>18.894837209302327</v>
      </c>
      <c r="P133" s="17">
        <f t="shared" si="24"/>
        <v>14.089880106976747</v>
      </c>
      <c r="Q133" s="16" cm="1">
        <f t="array" ref="Q133">_xlfn.XLOOKUP(O133,BSFC!$A$2:$A$24,_xlfn.XLOOKUP(K133,BSFC!$B$1:$O$1,BSFC!$B$2:$O$24,,-1),,-1)</f>
        <v>480</v>
      </c>
      <c r="R133" s="17">
        <f t="shared" si="25"/>
        <v>1.8786506809302328</v>
      </c>
      <c r="S133" s="16">
        <f t="shared" si="27"/>
        <v>2.9183485335177264E-4</v>
      </c>
      <c r="T133" s="17">
        <f t="shared" si="31"/>
        <v>0.14008072960885087</v>
      </c>
      <c r="U133" s="16">
        <f t="shared" si="32"/>
        <v>21.516405097339746</v>
      </c>
      <c r="V133" s="17">
        <f t="shared" ref="V133:V196" si="33">V132+S133</f>
        <v>4.2779010285432399E-2</v>
      </c>
      <c r="W133" s="16">
        <f t="shared" si="28"/>
        <v>154004.43702755665</v>
      </c>
      <c r="X133">
        <f>('Hybrid Info'!$A$2-Track!P133)*(L133-L132)*1000+X132</f>
        <v>-7476.1378299077651</v>
      </c>
    </row>
    <row r="134" spans="1:24">
      <c r="A134" s="16">
        <f t="shared" si="29"/>
        <v>133</v>
      </c>
      <c r="B134" s="17">
        <f t="shared" si="30"/>
        <v>13.411199999999999</v>
      </c>
      <c r="C134" s="18">
        <f>Specification!$G$30</f>
        <v>109.96225200000001</v>
      </c>
      <c r="D134" s="17">
        <f>0.5*Specification!$K$4*Track!B134^2*Specification!$K$3*Specification!$K$2</f>
        <v>93.159842569492653</v>
      </c>
      <c r="E134" s="16">
        <v>0</v>
      </c>
      <c r="F134" s="17">
        <f>Specification!$C$23*9.81*SIN((E134*PI()/180))</f>
        <v>0</v>
      </c>
      <c r="G134" s="18">
        <f>IF(J134=1,VLOOKUP(K134,RPM!$E$2:$H$62,3,FALSE)-F134-E134-D134,IF(J134=2,VLOOKUP(K134,RPM!$H$2:$K$62,3,FALSE)-F134-E134-D134,IF(J134=3,VLOOKUP(K134,RPM!$K$2:$N$62,3,FALSE)-F134-E134-D134)))</f>
        <v>549.56217903827155</v>
      </c>
      <c r="H134" s="19">
        <f>IF(J134=1,Specification!$I$14,IF(J134=2,Specification!$I$15,IF(J134=3,Specification!$I$16)))</f>
        <v>578.93404261974786</v>
      </c>
      <c r="I134" s="16">
        <v>0</v>
      </c>
      <c r="J134" s="17">
        <v>3</v>
      </c>
      <c r="K134" s="16">
        <f>IF(J134=1,VLOOKUP(B134,RPM!$F$2:$H$62,3,TRUE),IF(J134=2,VLOOKUP(B134,RPM!$I$2:$K$62,3,TRUE),IF(J134=3,VLOOKUP(B134,RPM!$L$2:$N$62,3,TRUE))))</f>
        <v>4300</v>
      </c>
      <c r="L134" s="17">
        <f t="shared" si="26"/>
        <v>12.581990115189999</v>
      </c>
      <c r="M134" s="16">
        <f t="shared" si="23"/>
        <v>0</v>
      </c>
      <c r="N134" s="17">
        <f>VLOOKUP(K134,RPM!$A$2:$D$62,3,FALSE)</f>
        <v>11.4</v>
      </c>
      <c r="O134" s="16">
        <f>VLOOKUP(K134,RPM!$A$2:$D$62,4,FALSE)</f>
        <v>18.894837209302327</v>
      </c>
      <c r="P134" s="17">
        <f t="shared" si="24"/>
        <v>14.089880106976747</v>
      </c>
      <c r="Q134" s="16" cm="1">
        <f t="array" ref="Q134">_xlfn.XLOOKUP(O134,BSFC!$A$2:$A$24,_xlfn.XLOOKUP(K134,BSFC!$B$1:$O$1,BSFC!$B$2:$O$24,,-1),,-1)</f>
        <v>480</v>
      </c>
      <c r="R134" s="17">
        <f t="shared" si="25"/>
        <v>1.8786506809302328</v>
      </c>
      <c r="S134" s="16">
        <f t="shared" si="27"/>
        <v>2.9183485335177264E-4</v>
      </c>
      <c r="T134" s="17">
        <f t="shared" si="31"/>
        <v>0.14008072960885087</v>
      </c>
      <c r="U134" s="16">
        <f t="shared" si="32"/>
        <v>21.656485826948597</v>
      </c>
      <c r="V134" s="17">
        <f t="shared" si="33"/>
        <v>4.3070845138784175E-2</v>
      </c>
      <c r="W134" s="16">
        <f t="shared" si="28"/>
        <v>155055.04249962303</v>
      </c>
      <c r="X134">
        <f>('Hybrid Info'!$A$2-Track!P134)*(L134-L133)*1000+X133</f>
        <v>-7622.9871432571754</v>
      </c>
    </row>
    <row r="135" spans="1:24">
      <c r="A135" s="16">
        <f t="shared" si="29"/>
        <v>134</v>
      </c>
      <c r="B135" s="17">
        <f t="shared" si="30"/>
        <v>13.411199999999999</v>
      </c>
      <c r="C135" s="18">
        <f>Specification!$G$30</f>
        <v>109.96225200000001</v>
      </c>
      <c r="D135" s="17">
        <f>0.5*Specification!$K$4*Track!B135^2*Specification!$K$3*Specification!$K$2</f>
        <v>93.159842569492653</v>
      </c>
      <c r="E135" s="16">
        <v>0</v>
      </c>
      <c r="F135" s="17">
        <f>Specification!$C$23*9.81*SIN((E135*PI()/180))</f>
        <v>0</v>
      </c>
      <c r="G135" s="18">
        <f>IF(J135=1,VLOOKUP(K135,RPM!$E$2:$H$62,3,FALSE)-F135-E135-D135,IF(J135=2,VLOOKUP(K135,RPM!$H$2:$K$62,3,FALSE)-F135-E135-D135,IF(J135=3,VLOOKUP(K135,RPM!$K$2:$N$62,3,FALSE)-F135-E135-D135)))</f>
        <v>549.56217903827155</v>
      </c>
      <c r="H135" s="19">
        <f>IF(J135=1,Specification!$I$14,IF(J135=2,Specification!$I$15,IF(J135=3,Specification!$I$16)))</f>
        <v>578.93404261974786</v>
      </c>
      <c r="I135" s="16">
        <v>0</v>
      </c>
      <c r="J135" s="17">
        <v>3</v>
      </c>
      <c r="K135" s="16">
        <f>IF(J135=1,VLOOKUP(B135,RPM!$F$2:$H$62,3,TRUE),IF(J135=2,VLOOKUP(B135,RPM!$I$2:$K$62,3,TRUE),IF(J135=3,VLOOKUP(B135,RPM!$L$2:$N$62,3,TRUE))))</f>
        <v>4300</v>
      </c>
      <c r="L135" s="17">
        <f t="shared" si="26"/>
        <v>12.656554658258479</v>
      </c>
      <c r="M135" s="16">
        <f t="shared" si="23"/>
        <v>0</v>
      </c>
      <c r="N135" s="17">
        <f>VLOOKUP(K135,RPM!$A$2:$D$62,3,FALSE)</f>
        <v>11.4</v>
      </c>
      <c r="O135" s="16">
        <f>VLOOKUP(K135,RPM!$A$2:$D$62,4,FALSE)</f>
        <v>18.894837209302327</v>
      </c>
      <c r="P135" s="17">
        <f t="shared" si="24"/>
        <v>14.089880106976747</v>
      </c>
      <c r="Q135" s="16" cm="1">
        <f t="array" ref="Q135">_xlfn.XLOOKUP(O135,BSFC!$A$2:$A$24,_xlfn.XLOOKUP(K135,BSFC!$B$1:$O$1,BSFC!$B$2:$O$24,,-1),,-1)</f>
        <v>480</v>
      </c>
      <c r="R135" s="17">
        <f t="shared" si="25"/>
        <v>1.8786506809302328</v>
      </c>
      <c r="S135" s="16">
        <f t="shared" si="27"/>
        <v>2.9183485335177264E-4</v>
      </c>
      <c r="T135" s="17">
        <f t="shared" si="31"/>
        <v>0.14008072960885087</v>
      </c>
      <c r="U135" s="16">
        <f t="shared" si="32"/>
        <v>21.796566556557448</v>
      </c>
      <c r="V135" s="17">
        <f t="shared" si="33"/>
        <v>4.3362679992135951E-2</v>
      </c>
      <c r="W135" s="16">
        <f t="shared" si="28"/>
        <v>156105.64797168944</v>
      </c>
      <c r="X135">
        <f>('Hybrid Info'!$A$2-Track!P135)*(L135-L134)*1000+X134</f>
        <v>-7769.8364566065857</v>
      </c>
    </row>
    <row r="136" spans="1:24">
      <c r="A136" s="16">
        <f t="shared" si="29"/>
        <v>135</v>
      </c>
      <c r="B136" s="17">
        <f t="shared" si="30"/>
        <v>13.411199999999999</v>
      </c>
      <c r="C136" s="18">
        <f>Specification!$G$30</f>
        <v>109.96225200000001</v>
      </c>
      <c r="D136" s="17">
        <f>0.5*Specification!$K$4*Track!B136^2*Specification!$K$3*Specification!$K$2</f>
        <v>93.159842569492653</v>
      </c>
      <c r="E136" s="16">
        <v>0</v>
      </c>
      <c r="F136" s="17">
        <f>Specification!$C$23*9.81*SIN((E136*PI()/180))</f>
        <v>0</v>
      </c>
      <c r="G136" s="18">
        <f>IF(J136=1,VLOOKUP(K136,RPM!$E$2:$H$62,3,FALSE)-F136-E136-D136,IF(J136=2,VLOOKUP(K136,RPM!$H$2:$K$62,3,FALSE)-F136-E136-D136,IF(J136=3,VLOOKUP(K136,RPM!$K$2:$N$62,3,FALSE)-F136-E136-D136)))</f>
        <v>549.56217903827155</v>
      </c>
      <c r="H136" s="19">
        <f>IF(J136=1,Specification!$I$14,IF(J136=2,Specification!$I$15,IF(J136=3,Specification!$I$16)))</f>
        <v>578.93404261974786</v>
      </c>
      <c r="I136" s="16">
        <v>0</v>
      </c>
      <c r="J136" s="17">
        <v>3</v>
      </c>
      <c r="K136" s="16">
        <f>IF(J136=1,VLOOKUP(B136,RPM!$F$2:$H$62,3,TRUE),IF(J136=2,VLOOKUP(B136,RPM!$I$2:$K$62,3,TRUE),IF(J136=3,VLOOKUP(B136,RPM!$L$2:$N$62,3,TRUE))))</f>
        <v>4300</v>
      </c>
      <c r="L136" s="17">
        <f t="shared" si="26"/>
        <v>12.731119201326958</v>
      </c>
      <c r="M136" s="16">
        <f t="shared" si="23"/>
        <v>0</v>
      </c>
      <c r="N136" s="17">
        <f>VLOOKUP(K136,RPM!$A$2:$D$62,3,FALSE)</f>
        <v>11.4</v>
      </c>
      <c r="O136" s="16">
        <f>VLOOKUP(K136,RPM!$A$2:$D$62,4,FALSE)</f>
        <v>18.894837209302327</v>
      </c>
      <c r="P136" s="17">
        <f t="shared" si="24"/>
        <v>14.089880106976747</v>
      </c>
      <c r="Q136" s="16" cm="1">
        <f t="array" ref="Q136">_xlfn.XLOOKUP(O136,BSFC!$A$2:$A$24,_xlfn.XLOOKUP(K136,BSFC!$B$1:$O$1,BSFC!$B$2:$O$24,,-1),,-1)</f>
        <v>480</v>
      </c>
      <c r="R136" s="17">
        <f t="shared" si="25"/>
        <v>1.8786506809302328</v>
      </c>
      <c r="S136" s="16">
        <f t="shared" si="27"/>
        <v>2.9183485335177264E-4</v>
      </c>
      <c r="T136" s="17">
        <f t="shared" si="31"/>
        <v>0.14008072960885087</v>
      </c>
      <c r="U136" s="16">
        <f t="shared" si="32"/>
        <v>21.936647286166298</v>
      </c>
      <c r="V136" s="17">
        <f t="shared" si="33"/>
        <v>4.3654514845487727E-2</v>
      </c>
      <c r="W136" s="16">
        <f t="shared" si="28"/>
        <v>157156.25344375582</v>
      </c>
      <c r="X136">
        <f>('Hybrid Info'!$A$2-Track!P136)*(L136-L135)*1000+X135</f>
        <v>-7916.685769955996</v>
      </c>
    </row>
    <row r="137" spans="1:24">
      <c r="A137" s="16">
        <f t="shared" si="29"/>
        <v>136</v>
      </c>
      <c r="B137" s="17">
        <f t="shared" si="30"/>
        <v>13.411199999999999</v>
      </c>
      <c r="C137" s="18">
        <f>Specification!$G$30</f>
        <v>109.96225200000001</v>
      </c>
      <c r="D137" s="17">
        <f>0.5*Specification!$K$4*Track!B137^2*Specification!$K$3*Specification!$K$2</f>
        <v>93.159842569492653</v>
      </c>
      <c r="E137" s="16">
        <v>0</v>
      </c>
      <c r="F137" s="17">
        <f>Specification!$C$23*9.81*SIN((E137*PI()/180))</f>
        <v>0</v>
      </c>
      <c r="G137" s="18">
        <f>IF(J137=1,VLOOKUP(K137,RPM!$E$2:$H$62,3,FALSE)-F137-E137-D137,IF(J137=2,VLOOKUP(K137,RPM!$H$2:$K$62,3,FALSE)-F137-E137-D137,IF(J137=3,VLOOKUP(K137,RPM!$K$2:$N$62,3,FALSE)-F137-E137-D137)))</f>
        <v>549.56217903827155</v>
      </c>
      <c r="H137" s="19">
        <f>IF(J137=1,Specification!$I$14,IF(J137=2,Specification!$I$15,IF(J137=3,Specification!$I$16)))</f>
        <v>578.93404261974786</v>
      </c>
      <c r="I137" s="16">
        <v>0</v>
      </c>
      <c r="J137" s="17">
        <v>3</v>
      </c>
      <c r="K137" s="16">
        <f>IF(J137=1,VLOOKUP(B137,RPM!$F$2:$H$62,3,TRUE),IF(J137=2,VLOOKUP(B137,RPM!$I$2:$K$62,3,TRUE),IF(J137=3,VLOOKUP(B137,RPM!$L$2:$N$62,3,TRUE))))</f>
        <v>4300</v>
      </c>
      <c r="L137" s="17">
        <f t="shared" si="26"/>
        <v>12.805683744395438</v>
      </c>
      <c r="M137" s="16">
        <f t="shared" si="23"/>
        <v>0</v>
      </c>
      <c r="N137" s="17">
        <f>VLOOKUP(K137,RPM!$A$2:$D$62,3,FALSE)</f>
        <v>11.4</v>
      </c>
      <c r="O137" s="16">
        <f>VLOOKUP(K137,RPM!$A$2:$D$62,4,FALSE)</f>
        <v>18.894837209302327</v>
      </c>
      <c r="P137" s="17">
        <f t="shared" si="24"/>
        <v>14.089880106976747</v>
      </c>
      <c r="Q137" s="16" cm="1">
        <f t="array" ref="Q137">_xlfn.XLOOKUP(O137,BSFC!$A$2:$A$24,_xlfn.XLOOKUP(K137,BSFC!$B$1:$O$1,BSFC!$B$2:$O$24,,-1),,-1)</f>
        <v>480</v>
      </c>
      <c r="R137" s="17">
        <f t="shared" si="25"/>
        <v>1.8786506809302328</v>
      </c>
      <c r="S137" s="16">
        <f t="shared" si="27"/>
        <v>2.9183485335177264E-4</v>
      </c>
      <c r="T137" s="17">
        <f t="shared" si="31"/>
        <v>0.14008072960885087</v>
      </c>
      <c r="U137" s="16">
        <f t="shared" si="32"/>
        <v>22.076728015775149</v>
      </c>
      <c r="V137" s="17">
        <f t="shared" si="33"/>
        <v>4.3946349698839503E-2</v>
      </c>
      <c r="W137" s="16">
        <f t="shared" si="28"/>
        <v>158206.85891582223</v>
      </c>
      <c r="X137">
        <f>('Hybrid Info'!$A$2-Track!P137)*(L137-L136)*1000+X136</f>
        <v>-8063.5350833054063</v>
      </c>
    </row>
    <row r="138" spans="1:24">
      <c r="A138" s="16">
        <f t="shared" si="29"/>
        <v>137</v>
      </c>
      <c r="B138" s="17">
        <f t="shared" si="30"/>
        <v>13.411199999999999</v>
      </c>
      <c r="C138" s="18">
        <f>Specification!$G$30</f>
        <v>109.96225200000001</v>
      </c>
      <c r="D138" s="17">
        <f>0.5*Specification!$K$4*Track!B138^2*Specification!$K$3*Specification!$K$2</f>
        <v>93.159842569492653</v>
      </c>
      <c r="E138" s="16">
        <v>0</v>
      </c>
      <c r="F138" s="17">
        <f>Specification!$C$23*9.81*SIN((E138*PI()/180))</f>
        <v>0</v>
      </c>
      <c r="G138" s="18">
        <f>IF(J138=1,VLOOKUP(K138,RPM!$E$2:$H$62,3,FALSE)-F138-E138-D138,IF(J138=2,VLOOKUP(K138,RPM!$H$2:$K$62,3,FALSE)-F138-E138-D138,IF(J138=3,VLOOKUP(K138,RPM!$K$2:$N$62,3,FALSE)-F138-E138-D138)))</f>
        <v>549.56217903827155</v>
      </c>
      <c r="H138" s="19">
        <f>IF(J138=1,Specification!$I$14,IF(J138=2,Specification!$I$15,IF(J138=3,Specification!$I$16)))</f>
        <v>578.93404261974786</v>
      </c>
      <c r="I138" s="16">
        <v>0</v>
      </c>
      <c r="J138" s="17">
        <v>3</v>
      </c>
      <c r="K138" s="16">
        <f>IF(J138=1,VLOOKUP(B138,RPM!$F$2:$H$62,3,TRUE),IF(J138=2,VLOOKUP(B138,RPM!$I$2:$K$62,3,TRUE),IF(J138=3,VLOOKUP(B138,RPM!$L$2:$N$62,3,TRUE))))</f>
        <v>4300</v>
      </c>
      <c r="L138" s="17">
        <f t="shared" si="26"/>
        <v>12.880248287463917</v>
      </c>
      <c r="M138" s="16">
        <f t="shared" si="23"/>
        <v>0</v>
      </c>
      <c r="N138" s="17">
        <f>VLOOKUP(K138,RPM!$A$2:$D$62,3,FALSE)</f>
        <v>11.4</v>
      </c>
      <c r="O138" s="16">
        <f>VLOOKUP(K138,RPM!$A$2:$D$62,4,FALSE)</f>
        <v>18.894837209302327</v>
      </c>
      <c r="P138" s="17">
        <f t="shared" si="24"/>
        <v>14.089880106976747</v>
      </c>
      <c r="Q138" s="16" cm="1">
        <f t="array" ref="Q138">_xlfn.XLOOKUP(O138,BSFC!$A$2:$A$24,_xlfn.XLOOKUP(K138,BSFC!$B$1:$O$1,BSFC!$B$2:$O$24,,-1),,-1)</f>
        <v>480</v>
      </c>
      <c r="R138" s="17">
        <f t="shared" si="25"/>
        <v>1.8786506809302328</v>
      </c>
      <c r="S138" s="16">
        <f t="shared" si="27"/>
        <v>2.9183485335177264E-4</v>
      </c>
      <c r="T138" s="17">
        <f t="shared" si="31"/>
        <v>0.14008072960885087</v>
      </c>
      <c r="U138" s="16">
        <f t="shared" si="32"/>
        <v>22.216808745384</v>
      </c>
      <c r="V138" s="17">
        <f t="shared" si="33"/>
        <v>4.4238184552191279E-2</v>
      </c>
      <c r="W138" s="16">
        <f t="shared" si="28"/>
        <v>159257.46438788861</v>
      </c>
      <c r="X138">
        <f>('Hybrid Info'!$A$2-Track!P138)*(L138-L137)*1000+X137</f>
        <v>-8210.3843966548175</v>
      </c>
    </row>
    <row r="139" spans="1:24">
      <c r="A139" s="16">
        <f t="shared" si="29"/>
        <v>138</v>
      </c>
      <c r="B139" s="17">
        <f t="shared" si="30"/>
        <v>13.411199999999999</v>
      </c>
      <c r="C139" s="18">
        <f>Specification!$G$30</f>
        <v>109.96225200000001</v>
      </c>
      <c r="D139" s="17">
        <f>0.5*Specification!$K$4*Track!B139^2*Specification!$K$3*Specification!$K$2</f>
        <v>93.159842569492653</v>
      </c>
      <c r="E139" s="16">
        <v>0</v>
      </c>
      <c r="F139" s="17">
        <f>Specification!$C$23*9.81*SIN((E139*PI()/180))</f>
        <v>0</v>
      </c>
      <c r="G139" s="18">
        <f>IF(J139=1,VLOOKUP(K139,RPM!$E$2:$H$62,3,FALSE)-F139-E139-D139,IF(J139=2,VLOOKUP(K139,RPM!$H$2:$K$62,3,FALSE)-F139-E139-D139,IF(J139=3,VLOOKUP(K139,RPM!$K$2:$N$62,3,FALSE)-F139-E139-D139)))</f>
        <v>549.56217903827155</v>
      </c>
      <c r="H139" s="19">
        <f>IF(J139=1,Specification!$I$14,IF(J139=2,Specification!$I$15,IF(J139=3,Specification!$I$16)))</f>
        <v>578.93404261974786</v>
      </c>
      <c r="I139" s="16">
        <v>0</v>
      </c>
      <c r="J139" s="17">
        <v>3</v>
      </c>
      <c r="K139" s="16">
        <f>IF(J139=1,VLOOKUP(B139,RPM!$F$2:$H$62,3,TRUE),IF(J139=2,VLOOKUP(B139,RPM!$I$2:$K$62,3,TRUE),IF(J139=3,VLOOKUP(B139,RPM!$L$2:$N$62,3,TRUE))))</f>
        <v>4300</v>
      </c>
      <c r="L139" s="17">
        <f t="shared" si="26"/>
        <v>12.954812830532397</v>
      </c>
      <c r="M139" s="16">
        <f t="shared" si="23"/>
        <v>0</v>
      </c>
      <c r="N139" s="17">
        <f>VLOOKUP(K139,RPM!$A$2:$D$62,3,FALSE)</f>
        <v>11.4</v>
      </c>
      <c r="O139" s="16">
        <f>VLOOKUP(K139,RPM!$A$2:$D$62,4,FALSE)</f>
        <v>18.894837209302327</v>
      </c>
      <c r="P139" s="17">
        <f t="shared" si="24"/>
        <v>14.089880106976747</v>
      </c>
      <c r="Q139" s="16" cm="1">
        <f t="array" ref="Q139">_xlfn.XLOOKUP(O139,BSFC!$A$2:$A$24,_xlfn.XLOOKUP(K139,BSFC!$B$1:$O$1,BSFC!$B$2:$O$24,,-1),,-1)</f>
        <v>480</v>
      </c>
      <c r="R139" s="17">
        <f t="shared" si="25"/>
        <v>1.8786506809302328</v>
      </c>
      <c r="S139" s="16">
        <f t="shared" si="27"/>
        <v>2.9183485335177264E-4</v>
      </c>
      <c r="T139" s="17">
        <f t="shared" si="31"/>
        <v>0.14008072960885087</v>
      </c>
      <c r="U139" s="16">
        <f t="shared" si="32"/>
        <v>22.356889474992851</v>
      </c>
      <c r="V139" s="17">
        <f t="shared" si="33"/>
        <v>4.4530019405543055E-2</v>
      </c>
      <c r="W139" s="16">
        <f t="shared" si="28"/>
        <v>160308.06985995502</v>
      </c>
      <c r="X139">
        <f>('Hybrid Info'!$A$2-Track!P139)*(L139-L138)*1000+X138</f>
        <v>-8357.2337100042278</v>
      </c>
    </row>
    <row r="140" spans="1:24">
      <c r="A140" s="16">
        <f t="shared" si="29"/>
        <v>139</v>
      </c>
      <c r="B140" s="17">
        <f t="shared" si="30"/>
        <v>13.411199999999999</v>
      </c>
      <c r="C140" s="18">
        <f>Specification!$G$30</f>
        <v>109.96225200000001</v>
      </c>
      <c r="D140" s="17">
        <f>0.5*Specification!$K$4*Track!B140^2*Specification!$K$3*Specification!$K$2</f>
        <v>93.159842569492653</v>
      </c>
      <c r="E140" s="16">
        <v>0</v>
      </c>
      <c r="F140" s="17">
        <f>Specification!$C$23*9.81*SIN((E140*PI()/180))</f>
        <v>0</v>
      </c>
      <c r="G140" s="18">
        <f>IF(J140=1,VLOOKUP(K140,RPM!$E$2:$H$62,3,FALSE)-F140-E140-D140,IF(J140=2,VLOOKUP(K140,RPM!$H$2:$K$62,3,FALSE)-F140-E140-D140,IF(J140=3,VLOOKUP(K140,RPM!$K$2:$N$62,3,FALSE)-F140-E140-D140)))</f>
        <v>549.56217903827155</v>
      </c>
      <c r="H140" s="19">
        <f>IF(J140=1,Specification!$I$14,IF(J140=2,Specification!$I$15,IF(J140=3,Specification!$I$16)))</f>
        <v>578.93404261974786</v>
      </c>
      <c r="I140" s="16">
        <v>0</v>
      </c>
      <c r="J140" s="17">
        <v>3</v>
      </c>
      <c r="K140" s="16">
        <f>IF(J140=1,VLOOKUP(B140,RPM!$F$2:$H$62,3,TRUE),IF(J140=2,VLOOKUP(B140,RPM!$I$2:$K$62,3,TRUE),IF(J140=3,VLOOKUP(B140,RPM!$L$2:$N$62,3,TRUE))))</f>
        <v>4300</v>
      </c>
      <c r="L140" s="17">
        <f t="shared" si="26"/>
        <v>13.029377373600877</v>
      </c>
      <c r="M140" s="16">
        <f t="shared" si="23"/>
        <v>0</v>
      </c>
      <c r="N140" s="17">
        <f>VLOOKUP(K140,RPM!$A$2:$D$62,3,FALSE)</f>
        <v>11.4</v>
      </c>
      <c r="O140" s="16">
        <f>VLOOKUP(K140,RPM!$A$2:$D$62,4,FALSE)</f>
        <v>18.894837209302327</v>
      </c>
      <c r="P140" s="17">
        <f t="shared" si="24"/>
        <v>14.089880106976747</v>
      </c>
      <c r="Q140" s="16" cm="1">
        <f t="array" ref="Q140">_xlfn.XLOOKUP(O140,BSFC!$A$2:$A$24,_xlfn.XLOOKUP(K140,BSFC!$B$1:$O$1,BSFC!$B$2:$O$24,,-1),,-1)</f>
        <v>480</v>
      </c>
      <c r="R140" s="17">
        <f t="shared" si="25"/>
        <v>1.8786506809302328</v>
      </c>
      <c r="S140" s="16">
        <f t="shared" si="27"/>
        <v>2.9183485335177264E-4</v>
      </c>
      <c r="T140" s="17">
        <f t="shared" si="31"/>
        <v>0.14008072960885087</v>
      </c>
      <c r="U140" s="16">
        <f t="shared" si="32"/>
        <v>22.496970204601702</v>
      </c>
      <c r="V140" s="17">
        <f t="shared" si="33"/>
        <v>4.482185425889483E-2</v>
      </c>
      <c r="W140" s="16">
        <f t="shared" si="28"/>
        <v>161358.6753320214</v>
      </c>
      <c r="X140">
        <f>('Hybrid Info'!$A$2-Track!P140)*(L140-L139)*1000+X139</f>
        <v>-8504.0830233536381</v>
      </c>
    </row>
    <row r="141" spans="1:24">
      <c r="A141" s="16">
        <f t="shared" si="29"/>
        <v>140</v>
      </c>
      <c r="B141" s="17">
        <f t="shared" si="30"/>
        <v>13.411199999999999</v>
      </c>
      <c r="C141" s="18">
        <f>Specification!$G$30</f>
        <v>109.96225200000001</v>
      </c>
      <c r="D141" s="17">
        <f>0.5*Specification!$K$4*Track!B141^2*Specification!$K$3*Specification!$K$2</f>
        <v>93.159842569492653</v>
      </c>
      <c r="E141" s="16">
        <v>0</v>
      </c>
      <c r="F141" s="17">
        <f>Specification!$C$23*9.81*SIN((E141*PI()/180))</f>
        <v>0</v>
      </c>
      <c r="G141" s="18">
        <f>IF(J141=1,VLOOKUP(K141,RPM!$E$2:$H$62,3,FALSE)-F141-E141-D141,IF(J141=2,VLOOKUP(K141,RPM!$H$2:$K$62,3,FALSE)-F141-E141-D141,IF(J141=3,VLOOKUP(K141,RPM!$K$2:$N$62,3,FALSE)-F141-E141-D141)))</f>
        <v>549.56217903827155</v>
      </c>
      <c r="H141" s="19">
        <f>IF(J141=1,Specification!$I$14,IF(J141=2,Specification!$I$15,IF(J141=3,Specification!$I$16)))</f>
        <v>578.93404261974786</v>
      </c>
      <c r="I141" s="16">
        <v>0</v>
      </c>
      <c r="J141" s="17">
        <v>3</v>
      </c>
      <c r="K141" s="16">
        <f>IF(J141=1,VLOOKUP(B141,RPM!$F$2:$H$62,3,TRUE),IF(J141=2,VLOOKUP(B141,RPM!$I$2:$K$62,3,TRUE),IF(J141=3,VLOOKUP(B141,RPM!$L$2:$N$62,3,TRUE))))</f>
        <v>4300</v>
      </c>
      <c r="L141" s="17">
        <f t="shared" si="26"/>
        <v>13.103941916669356</v>
      </c>
      <c r="M141" s="16">
        <f t="shared" si="23"/>
        <v>0</v>
      </c>
      <c r="N141" s="17">
        <f>VLOOKUP(K141,RPM!$A$2:$D$62,3,FALSE)</f>
        <v>11.4</v>
      </c>
      <c r="O141" s="16">
        <f>VLOOKUP(K141,RPM!$A$2:$D$62,4,FALSE)</f>
        <v>18.894837209302327</v>
      </c>
      <c r="P141" s="17">
        <f t="shared" si="24"/>
        <v>14.089880106976747</v>
      </c>
      <c r="Q141" s="16" cm="1">
        <f t="array" ref="Q141">_xlfn.XLOOKUP(O141,BSFC!$A$2:$A$24,_xlfn.XLOOKUP(K141,BSFC!$B$1:$O$1,BSFC!$B$2:$O$24,,-1),,-1)</f>
        <v>480</v>
      </c>
      <c r="R141" s="17">
        <f t="shared" si="25"/>
        <v>1.8786506809302328</v>
      </c>
      <c r="S141" s="16">
        <f t="shared" si="27"/>
        <v>2.9183485335177264E-4</v>
      </c>
      <c r="T141" s="17">
        <f t="shared" si="31"/>
        <v>0.14008072960885087</v>
      </c>
      <c r="U141" s="16">
        <f t="shared" si="32"/>
        <v>22.637050934210553</v>
      </c>
      <c r="V141" s="17">
        <f t="shared" si="33"/>
        <v>4.5113689112246606E-2</v>
      </c>
      <c r="W141" s="16">
        <f t="shared" si="28"/>
        <v>162409.28080408779</v>
      </c>
      <c r="X141">
        <f>('Hybrid Info'!$A$2-Track!P141)*(L141-L140)*1000+X140</f>
        <v>-8650.9323367030483</v>
      </c>
    </row>
    <row r="142" spans="1:24">
      <c r="A142" s="16">
        <f t="shared" si="29"/>
        <v>141</v>
      </c>
      <c r="B142" s="17">
        <f t="shared" si="30"/>
        <v>13.411199999999999</v>
      </c>
      <c r="C142" s="18">
        <f>Specification!$G$30</f>
        <v>109.96225200000001</v>
      </c>
      <c r="D142" s="17">
        <f>0.5*Specification!$K$4*Track!B142^2*Specification!$K$3*Specification!$K$2</f>
        <v>93.159842569492653</v>
      </c>
      <c r="E142" s="16">
        <v>0</v>
      </c>
      <c r="F142" s="17">
        <f>Specification!$C$23*9.81*SIN((E142*PI()/180))</f>
        <v>0</v>
      </c>
      <c r="G142" s="18">
        <f>IF(J142=1,VLOOKUP(K142,RPM!$E$2:$H$62,3,FALSE)-F142-E142-D142,IF(J142=2,VLOOKUP(K142,RPM!$H$2:$K$62,3,FALSE)-F142-E142-D142,IF(J142=3,VLOOKUP(K142,RPM!$K$2:$N$62,3,FALSE)-F142-E142-D142)))</f>
        <v>549.56217903827155</v>
      </c>
      <c r="H142" s="19">
        <f>IF(J142=1,Specification!$I$14,IF(J142=2,Specification!$I$15,IF(J142=3,Specification!$I$16)))</f>
        <v>578.93404261974786</v>
      </c>
      <c r="I142" s="16">
        <v>0</v>
      </c>
      <c r="J142" s="17">
        <v>3</v>
      </c>
      <c r="K142" s="16">
        <f>IF(J142=1,VLOOKUP(B142,RPM!$F$2:$H$62,3,TRUE),IF(J142=2,VLOOKUP(B142,RPM!$I$2:$K$62,3,TRUE),IF(J142=3,VLOOKUP(B142,RPM!$L$2:$N$62,3,TRUE))))</f>
        <v>4300</v>
      </c>
      <c r="L142" s="17">
        <f t="shared" si="26"/>
        <v>13.178506459737836</v>
      </c>
      <c r="M142" s="16">
        <f t="shared" si="23"/>
        <v>0</v>
      </c>
      <c r="N142" s="17">
        <f>VLOOKUP(K142,RPM!$A$2:$D$62,3,FALSE)</f>
        <v>11.4</v>
      </c>
      <c r="O142" s="16">
        <f>VLOOKUP(K142,RPM!$A$2:$D$62,4,FALSE)</f>
        <v>18.894837209302327</v>
      </c>
      <c r="P142" s="17">
        <f t="shared" si="24"/>
        <v>14.089880106976747</v>
      </c>
      <c r="Q142" s="16" cm="1">
        <f t="array" ref="Q142">_xlfn.XLOOKUP(O142,BSFC!$A$2:$A$24,_xlfn.XLOOKUP(K142,BSFC!$B$1:$O$1,BSFC!$B$2:$O$24,,-1),,-1)</f>
        <v>480</v>
      </c>
      <c r="R142" s="17">
        <f t="shared" si="25"/>
        <v>1.8786506809302328</v>
      </c>
      <c r="S142" s="16">
        <f t="shared" si="27"/>
        <v>2.9183485335177264E-4</v>
      </c>
      <c r="T142" s="17">
        <f t="shared" si="31"/>
        <v>0.14008072960885087</v>
      </c>
      <c r="U142" s="16">
        <f t="shared" si="32"/>
        <v>22.777131663819404</v>
      </c>
      <c r="V142" s="17">
        <f t="shared" si="33"/>
        <v>4.5405523965598382E-2</v>
      </c>
      <c r="W142" s="16">
        <f t="shared" si="28"/>
        <v>163459.8862761542</v>
      </c>
      <c r="X142">
        <f>('Hybrid Info'!$A$2-Track!P142)*(L142-L141)*1000+X141</f>
        <v>-8797.7816500524586</v>
      </c>
    </row>
    <row r="143" spans="1:24">
      <c r="A143" s="16">
        <f t="shared" si="29"/>
        <v>142</v>
      </c>
      <c r="B143" s="17">
        <f t="shared" si="30"/>
        <v>13.411199999999999</v>
      </c>
      <c r="C143" s="18">
        <f>Specification!$G$30</f>
        <v>109.96225200000001</v>
      </c>
      <c r="D143" s="17">
        <f>0.5*Specification!$K$4*Track!B143^2*Specification!$K$3*Specification!$K$2</f>
        <v>93.159842569492653</v>
      </c>
      <c r="E143" s="16">
        <v>0</v>
      </c>
      <c r="F143" s="17">
        <f>Specification!$C$23*9.81*SIN((E143*PI()/180))</f>
        <v>0</v>
      </c>
      <c r="G143" s="18">
        <f>IF(J143=1,VLOOKUP(K143,RPM!$E$2:$H$62,3,FALSE)-F143-E143-D143,IF(J143=2,VLOOKUP(K143,RPM!$H$2:$K$62,3,FALSE)-F143-E143-D143,IF(J143=3,VLOOKUP(K143,RPM!$K$2:$N$62,3,FALSE)-F143-E143-D143)))</f>
        <v>549.56217903827155</v>
      </c>
      <c r="H143" s="19">
        <f>IF(J143=1,Specification!$I$14,IF(J143=2,Specification!$I$15,IF(J143=3,Specification!$I$16)))</f>
        <v>578.93404261974786</v>
      </c>
      <c r="I143" s="16">
        <v>0</v>
      </c>
      <c r="J143" s="17">
        <v>3</v>
      </c>
      <c r="K143" s="16">
        <f>IF(J143=1,VLOOKUP(B143,RPM!$F$2:$H$62,3,TRUE),IF(J143=2,VLOOKUP(B143,RPM!$I$2:$K$62,3,TRUE),IF(J143=3,VLOOKUP(B143,RPM!$L$2:$N$62,3,TRUE))))</f>
        <v>4300</v>
      </c>
      <c r="L143" s="17">
        <f t="shared" si="26"/>
        <v>13.253071002806315</v>
      </c>
      <c r="M143" s="16">
        <f t="shared" si="23"/>
        <v>0</v>
      </c>
      <c r="N143" s="17">
        <f>VLOOKUP(K143,RPM!$A$2:$D$62,3,FALSE)</f>
        <v>11.4</v>
      </c>
      <c r="O143" s="16">
        <f>VLOOKUP(K143,RPM!$A$2:$D$62,4,FALSE)</f>
        <v>18.894837209302327</v>
      </c>
      <c r="P143" s="17">
        <f t="shared" si="24"/>
        <v>14.089880106976747</v>
      </c>
      <c r="Q143" s="16" cm="1">
        <f t="array" ref="Q143">_xlfn.XLOOKUP(O143,BSFC!$A$2:$A$24,_xlfn.XLOOKUP(K143,BSFC!$B$1:$O$1,BSFC!$B$2:$O$24,,-1),,-1)</f>
        <v>480</v>
      </c>
      <c r="R143" s="17">
        <f t="shared" si="25"/>
        <v>1.8786506809302328</v>
      </c>
      <c r="S143" s="16">
        <f t="shared" si="27"/>
        <v>2.9183485335177264E-4</v>
      </c>
      <c r="T143" s="17">
        <f t="shared" si="31"/>
        <v>0.14008072960885087</v>
      </c>
      <c r="U143" s="16">
        <f t="shared" si="32"/>
        <v>22.917212393428255</v>
      </c>
      <c r="V143" s="17">
        <f t="shared" si="33"/>
        <v>4.5697358818950158E-2</v>
      </c>
      <c r="W143" s="16">
        <f t="shared" si="28"/>
        <v>164510.49174822058</v>
      </c>
      <c r="X143">
        <f>('Hybrid Info'!$A$2-Track!P143)*(L143-L142)*1000+X142</f>
        <v>-8944.6309634018689</v>
      </c>
    </row>
    <row r="144" spans="1:24">
      <c r="A144" s="16">
        <f t="shared" si="29"/>
        <v>143</v>
      </c>
      <c r="B144" s="17">
        <f t="shared" si="30"/>
        <v>13.411199999999999</v>
      </c>
      <c r="C144" s="18">
        <f>Specification!$G$30</f>
        <v>109.96225200000001</v>
      </c>
      <c r="D144" s="17">
        <f>0.5*Specification!$K$4*Track!B144^2*Specification!$K$3*Specification!$K$2</f>
        <v>93.159842569492653</v>
      </c>
      <c r="E144" s="16">
        <v>0</v>
      </c>
      <c r="F144" s="17">
        <f>Specification!$C$23*9.81*SIN((E144*PI()/180))</f>
        <v>0</v>
      </c>
      <c r="G144" s="18">
        <f>IF(J144=1,VLOOKUP(K144,RPM!$E$2:$H$62,3,FALSE)-F144-E144-D144,IF(J144=2,VLOOKUP(K144,RPM!$H$2:$K$62,3,FALSE)-F144-E144-D144,IF(J144=3,VLOOKUP(K144,RPM!$K$2:$N$62,3,FALSE)-F144-E144-D144)))</f>
        <v>549.56217903827155</v>
      </c>
      <c r="H144" s="19">
        <f>IF(J144=1,Specification!$I$14,IF(J144=2,Specification!$I$15,IF(J144=3,Specification!$I$16)))</f>
        <v>578.93404261974786</v>
      </c>
      <c r="I144" s="16">
        <v>0</v>
      </c>
      <c r="J144" s="17">
        <v>3</v>
      </c>
      <c r="K144" s="16">
        <f>IF(J144=1,VLOOKUP(B144,RPM!$F$2:$H$62,3,TRUE),IF(J144=2,VLOOKUP(B144,RPM!$I$2:$K$62,3,TRUE),IF(J144=3,VLOOKUP(B144,RPM!$L$2:$N$62,3,TRUE))))</f>
        <v>4300</v>
      </c>
      <c r="L144" s="17">
        <f t="shared" si="26"/>
        <v>13.327635545874795</v>
      </c>
      <c r="M144" s="16">
        <f t="shared" si="23"/>
        <v>0</v>
      </c>
      <c r="N144" s="17">
        <f>VLOOKUP(K144,RPM!$A$2:$D$62,3,FALSE)</f>
        <v>11.4</v>
      </c>
      <c r="O144" s="16">
        <f>VLOOKUP(K144,RPM!$A$2:$D$62,4,FALSE)</f>
        <v>18.894837209302327</v>
      </c>
      <c r="P144" s="17">
        <f t="shared" si="24"/>
        <v>14.089880106976747</v>
      </c>
      <c r="Q144" s="16" cm="1">
        <f t="array" ref="Q144">_xlfn.XLOOKUP(O144,BSFC!$A$2:$A$24,_xlfn.XLOOKUP(K144,BSFC!$B$1:$O$1,BSFC!$B$2:$O$24,,-1),,-1)</f>
        <v>480</v>
      </c>
      <c r="R144" s="17">
        <f t="shared" si="25"/>
        <v>1.8786506809302328</v>
      </c>
      <c r="S144" s="16">
        <f t="shared" si="27"/>
        <v>2.9183485335177264E-4</v>
      </c>
      <c r="T144" s="17">
        <f t="shared" si="31"/>
        <v>0.14008072960885087</v>
      </c>
      <c r="U144" s="16">
        <f t="shared" si="32"/>
        <v>23.057293123037105</v>
      </c>
      <c r="V144" s="17">
        <f t="shared" si="33"/>
        <v>4.5989193672301934E-2</v>
      </c>
      <c r="W144" s="16">
        <f t="shared" si="28"/>
        <v>165561.09722028696</v>
      </c>
      <c r="X144">
        <f>('Hybrid Info'!$A$2-Track!P144)*(L144-L143)*1000+X143</f>
        <v>-9091.4802767512792</v>
      </c>
    </row>
    <row r="145" spans="1:24">
      <c r="A145" s="16">
        <f t="shared" si="29"/>
        <v>144</v>
      </c>
      <c r="B145" s="17">
        <f t="shared" si="30"/>
        <v>13.411199999999999</v>
      </c>
      <c r="C145" s="18">
        <f>Specification!$G$30</f>
        <v>109.96225200000001</v>
      </c>
      <c r="D145" s="17">
        <f>0.5*Specification!$K$4*Track!B145^2*Specification!$K$3*Specification!$K$2</f>
        <v>93.159842569492653</v>
      </c>
      <c r="E145" s="16">
        <v>0</v>
      </c>
      <c r="F145" s="17">
        <f>Specification!$C$23*9.81*SIN((E145*PI()/180))</f>
        <v>0</v>
      </c>
      <c r="G145" s="18">
        <f>IF(J145=1,VLOOKUP(K145,RPM!$E$2:$H$62,3,FALSE)-F145-E145-D145,IF(J145=2,VLOOKUP(K145,RPM!$H$2:$K$62,3,FALSE)-F145-E145-D145,IF(J145=3,VLOOKUP(K145,RPM!$K$2:$N$62,3,FALSE)-F145-E145-D145)))</f>
        <v>549.56217903827155</v>
      </c>
      <c r="H145" s="19">
        <f>IF(J145=1,Specification!$I$14,IF(J145=2,Specification!$I$15,IF(J145=3,Specification!$I$16)))</f>
        <v>578.93404261974786</v>
      </c>
      <c r="I145" s="16">
        <v>0</v>
      </c>
      <c r="J145" s="17">
        <v>3</v>
      </c>
      <c r="K145" s="16">
        <f>IF(J145=1,VLOOKUP(B145,RPM!$F$2:$H$62,3,TRUE),IF(J145=2,VLOOKUP(B145,RPM!$I$2:$K$62,3,TRUE),IF(J145=3,VLOOKUP(B145,RPM!$L$2:$N$62,3,TRUE))))</f>
        <v>4300</v>
      </c>
      <c r="L145" s="17">
        <f t="shared" si="26"/>
        <v>13.402200088943275</v>
      </c>
      <c r="M145" s="16">
        <f t="shared" si="23"/>
        <v>0</v>
      </c>
      <c r="N145" s="17">
        <f>VLOOKUP(K145,RPM!$A$2:$D$62,3,FALSE)</f>
        <v>11.4</v>
      </c>
      <c r="O145" s="16">
        <f>VLOOKUP(K145,RPM!$A$2:$D$62,4,FALSE)</f>
        <v>18.894837209302327</v>
      </c>
      <c r="P145" s="17">
        <f t="shared" si="24"/>
        <v>14.089880106976747</v>
      </c>
      <c r="Q145" s="16" cm="1">
        <f t="array" ref="Q145">_xlfn.XLOOKUP(O145,BSFC!$A$2:$A$24,_xlfn.XLOOKUP(K145,BSFC!$B$1:$O$1,BSFC!$B$2:$O$24,,-1),,-1)</f>
        <v>480</v>
      </c>
      <c r="R145" s="17">
        <f t="shared" si="25"/>
        <v>1.8786506809302328</v>
      </c>
      <c r="S145" s="16">
        <f t="shared" si="27"/>
        <v>2.9183485335177264E-4</v>
      </c>
      <c r="T145" s="17">
        <f t="shared" si="31"/>
        <v>0.14008072960885087</v>
      </c>
      <c r="U145" s="16">
        <f t="shared" si="32"/>
        <v>23.197373852645956</v>
      </c>
      <c r="V145" s="17">
        <f t="shared" si="33"/>
        <v>4.628102852565371E-2</v>
      </c>
      <c r="W145" s="16">
        <f t="shared" si="28"/>
        <v>166611.70269235334</v>
      </c>
      <c r="X145">
        <f>('Hybrid Info'!$A$2-Track!P145)*(L145-L144)*1000+X144</f>
        <v>-9238.3295901006895</v>
      </c>
    </row>
    <row r="146" spans="1:24">
      <c r="A146" s="16">
        <f t="shared" si="29"/>
        <v>145</v>
      </c>
      <c r="B146" s="17">
        <f t="shared" si="30"/>
        <v>13.411199999999999</v>
      </c>
      <c r="C146" s="18">
        <f>Specification!$G$30</f>
        <v>109.96225200000001</v>
      </c>
      <c r="D146" s="17">
        <f>0.5*Specification!$K$4*Track!B146^2*Specification!$K$3*Specification!$K$2</f>
        <v>93.159842569492653</v>
      </c>
      <c r="E146" s="16">
        <v>0</v>
      </c>
      <c r="F146" s="17">
        <f>Specification!$C$23*9.81*SIN((E146*PI()/180))</f>
        <v>0</v>
      </c>
      <c r="G146" s="18">
        <f>IF(J146=1,VLOOKUP(K146,RPM!$E$2:$H$62,3,FALSE)-F146-E146-D146,IF(J146=2,VLOOKUP(K146,RPM!$H$2:$K$62,3,FALSE)-F146-E146-D146,IF(J146=3,VLOOKUP(K146,RPM!$K$2:$N$62,3,FALSE)-F146-E146-D146)))</f>
        <v>549.56217903827155</v>
      </c>
      <c r="H146" s="19">
        <f>IF(J146=1,Specification!$I$14,IF(J146=2,Specification!$I$15,IF(J146=3,Specification!$I$16)))</f>
        <v>578.93404261974786</v>
      </c>
      <c r="I146" s="16">
        <v>0</v>
      </c>
      <c r="J146" s="17">
        <v>3</v>
      </c>
      <c r="K146" s="16">
        <f>IF(J146=1,VLOOKUP(B146,RPM!$F$2:$H$62,3,TRUE),IF(J146=2,VLOOKUP(B146,RPM!$I$2:$K$62,3,TRUE),IF(J146=3,VLOOKUP(B146,RPM!$L$2:$N$62,3,TRUE))))</f>
        <v>4300</v>
      </c>
      <c r="L146" s="17">
        <f t="shared" si="26"/>
        <v>13.476764632011754</v>
      </c>
      <c r="M146" s="16">
        <f t="shared" si="23"/>
        <v>0</v>
      </c>
      <c r="N146" s="17">
        <f>VLOOKUP(K146,RPM!$A$2:$D$62,3,FALSE)</f>
        <v>11.4</v>
      </c>
      <c r="O146" s="16">
        <f>VLOOKUP(K146,RPM!$A$2:$D$62,4,FALSE)</f>
        <v>18.894837209302327</v>
      </c>
      <c r="P146" s="17">
        <f t="shared" si="24"/>
        <v>14.089880106976747</v>
      </c>
      <c r="Q146" s="16" cm="1">
        <f t="array" ref="Q146">_xlfn.XLOOKUP(O146,BSFC!$A$2:$A$24,_xlfn.XLOOKUP(K146,BSFC!$B$1:$O$1,BSFC!$B$2:$O$24,,-1),,-1)</f>
        <v>480</v>
      </c>
      <c r="R146" s="17">
        <f t="shared" si="25"/>
        <v>1.8786506809302328</v>
      </c>
      <c r="S146" s="16">
        <f t="shared" si="27"/>
        <v>2.9183485335177264E-4</v>
      </c>
      <c r="T146" s="17">
        <f t="shared" si="31"/>
        <v>0.14008072960885087</v>
      </c>
      <c r="U146" s="16">
        <f t="shared" si="32"/>
        <v>23.337454582254807</v>
      </c>
      <c r="V146" s="17">
        <f t="shared" si="33"/>
        <v>4.6572863379005486E-2</v>
      </c>
      <c r="W146" s="16">
        <f t="shared" si="28"/>
        <v>167662.30816441975</v>
      </c>
      <c r="X146">
        <f>('Hybrid Info'!$A$2-Track!P146)*(L146-L145)*1000+X145</f>
        <v>-9385.1789034500998</v>
      </c>
    </row>
    <row r="147" spans="1:24">
      <c r="A147" s="16">
        <f t="shared" si="29"/>
        <v>146</v>
      </c>
      <c r="B147" s="17">
        <f t="shared" si="30"/>
        <v>13.411199999999999</v>
      </c>
      <c r="C147" s="18">
        <f>Specification!$G$30</f>
        <v>109.96225200000001</v>
      </c>
      <c r="D147" s="17">
        <f>0.5*Specification!$K$4*Track!B147^2*Specification!$K$3*Specification!$K$2</f>
        <v>93.159842569492653</v>
      </c>
      <c r="E147" s="16">
        <v>0</v>
      </c>
      <c r="F147" s="17">
        <f>Specification!$C$23*9.81*SIN((E147*PI()/180))</f>
        <v>0</v>
      </c>
      <c r="G147" s="18">
        <f>IF(J147=1,VLOOKUP(K147,RPM!$E$2:$H$62,3,FALSE)-F147-E147-D147,IF(J147=2,VLOOKUP(K147,RPM!$H$2:$K$62,3,FALSE)-F147-E147-D147,IF(J147=3,VLOOKUP(K147,RPM!$K$2:$N$62,3,FALSE)-F147-E147-D147)))</f>
        <v>549.56217903827155</v>
      </c>
      <c r="H147" s="19">
        <f>IF(J147=1,Specification!$I$14,IF(J147=2,Specification!$I$15,IF(J147=3,Specification!$I$16)))</f>
        <v>578.93404261974786</v>
      </c>
      <c r="I147" s="16">
        <v>0</v>
      </c>
      <c r="J147" s="17">
        <v>3</v>
      </c>
      <c r="K147" s="16">
        <f>IF(J147=1,VLOOKUP(B147,RPM!$F$2:$H$62,3,TRUE),IF(J147=2,VLOOKUP(B147,RPM!$I$2:$K$62,3,TRUE),IF(J147=3,VLOOKUP(B147,RPM!$L$2:$N$62,3,TRUE))))</f>
        <v>4300</v>
      </c>
      <c r="L147" s="17">
        <f t="shared" si="26"/>
        <v>13.551329175080234</v>
      </c>
      <c r="M147" s="16">
        <f t="shared" si="23"/>
        <v>0</v>
      </c>
      <c r="N147" s="17">
        <f>VLOOKUP(K147,RPM!$A$2:$D$62,3,FALSE)</f>
        <v>11.4</v>
      </c>
      <c r="O147" s="16">
        <f>VLOOKUP(K147,RPM!$A$2:$D$62,4,FALSE)</f>
        <v>18.894837209302327</v>
      </c>
      <c r="P147" s="17">
        <f t="shared" si="24"/>
        <v>14.089880106976747</v>
      </c>
      <c r="Q147" s="16" cm="1">
        <f t="array" ref="Q147">_xlfn.XLOOKUP(O147,BSFC!$A$2:$A$24,_xlfn.XLOOKUP(K147,BSFC!$B$1:$O$1,BSFC!$B$2:$O$24,,-1),,-1)</f>
        <v>480</v>
      </c>
      <c r="R147" s="17">
        <f t="shared" si="25"/>
        <v>1.8786506809302328</v>
      </c>
      <c r="S147" s="16">
        <f t="shared" si="27"/>
        <v>2.9183485335177264E-4</v>
      </c>
      <c r="T147" s="17">
        <f t="shared" si="31"/>
        <v>0.14008072960885087</v>
      </c>
      <c r="U147" s="16">
        <f t="shared" si="32"/>
        <v>23.477535311863658</v>
      </c>
      <c r="V147" s="17">
        <f t="shared" si="33"/>
        <v>4.6864698232357262E-2</v>
      </c>
      <c r="W147" s="16">
        <f t="shared" si="28"/>
        <v>168712.91363648613</v>
      </c>
      <c r="X147">
        <f>('Hybrid Info'!$A$2-Track!P147)*(L147-L146)*1000+X146</f>
        <v>-9532.0282167995101</v>
      </c>
    </row>
    <row r="148" spans="1:24">
      <c r="A148" s="16">
        <f t="shared" si="29"/>
        <v>147</v>
      </c>
      <c r="B148" s="17">
        <f t="shared" si="30"/>
        <v>13.411199999999999</v>
      </c>
      <c r="C148" s="18">
        <f>Specification!$G$30</f>
        <v>109.96225200000001</v>
      </c>
      <c r="D148" s="17">
        <f>0.5*Specification!$K$4*Track!B148^2*Specification!$K$3*Specification!$K$2</f>
        <v>93.159842569492653</v>
      </c>
      <c r="E148" s="16">
        <v>0</v>
      </c>
      <c r="F148" s="17">
        <f>Specification!$C$23*9.81*SIN((E148*PI()/180))</f>
        <v>0</v>
      </c>
      <c r="G148" s="18">
        <f>IF(J148=1,VLOOKUP(K148,RPM!$E$2:$H$62,3,FALSE)-F148-E148-D148,IF(J148=2,VLOOKUP(K148,RPM!$H$2:$K$62,3,FALSE)-F148-E148-D148,IF(J148=3,VLOOKUP(K148,RPM!$K$2:$N$62,3,FALSE)-F148-E148-D148)))</f>
        <v>549.56217903827155</v>
      </c>
      <c r="H148" s="19">
        <f>IF(J148=1,Specification!$I$14,IF(J148=2,Specification!$I$15,IF(J148=3,Specification!$I$16)))</f>
        <v>578.93404261974786</v>
      </c>
      <c r="I148" s="16">
        <v>0</v>
      </c>
      <c r="J148" s="17">
        <v>3</v>
      </c>
      <c r="K148" s="16">
        <f>IF(J148=1,VLOOKUP(B148,RPM!$F$2:$H$62,3,TRUE),IF(J148=2,VLOOKUP(B148,RPM!$I$2:$K$62,3,TRUE),IF(J148=3,VLOOKUP(B148,RPM!$L$2:$N$62,3,TRUE))))</f>
        <v>4300</v>
      </c>
      <c r="L148" s="17">
        <f t="shared" si="26"/>
        <v>13.625893718148713</v>
      </c>
      <c r="M148" s="16">
        <f t="shared" si="23"/>
        <v>0</v>
      </c>
      <c r="N148" s="17">
        <f>VLOOKUP(K148,RPM!$A$2:$D$62,3,FALSE)</f>
        <v>11.4</v>
      </c>
      <c r="O148" s="16">
        <f>VLOOKUP(K148,RPM!$A$2:$D$62,4,FALSE)</f>
        <v>18.894837209302327</v>
      </c>
      <c r="P148" s="17">
        <f t="shared" si="24"/>
        <v>14.089880106976747</v>
      </c>
      <c r="Q148" s="16" cm="1">
        <f t="array" ref="Q148">_xlfn.XLOOKUP(O148,BSFC!$A$2:$A$24,_xlfn.XLOOKUP(K148,BSFC!$B$1:$O$1,BSFC!$B$2:$O$24,,-1),,-1)</f>
        <v>480</v>
      </c>
      <c r="R148" s="17">
        <f t="shared" si="25"/>
        <v>1.8786506809302328</v>
      </c>
      <c r="S148" s="16">
        <f t="shared" si="27"/>
        <v>2.9183485335177264E-4</v>
      </c>
      <c r="T148" s="17">
        <f t="shared" si="31"/>
        <v>0.14008072960885087</v>
      </c>
      <c r="U148" s="16">
        <f t="shared" si="32"/>
        <v>23.617616041472509</v>
      </c>
      <c r="V148" s="17">
        <f t="shared" si="33"/>
        <v>4.7156533085709038E-2</v>
      </c>
      <c r="W148" s="16">
        <f t="shared" si="28"/>
        <v>169763.51910855251</v>
      </c>
      <c r="X148">
        <f>('Hybrid Info'!$A$2-Track!P148)*(L148-L147)*1000+X147</f>
        <v>-9678.8775301489204</v>
      </c>
    </row>
    <row r="149" spans="1:24">
      <c r="A149" s="16">
        <f t="shared" si="29"/>
        <v>148</v>
      </c>
      <c r="B149" s="17">
        <f t="shared" si="30"/>
        <v>13.411199999999999</v>
      </c>
      <c r="C149" s="18">
        <f>Specification!$G$30</f>
        <v>109.96225200000001</v>
      </c>
      <c r="D149" s="17">
        <f>0.5*Specification!$K$4*Track!B149^2*Specification!$K$3*Specification!$K$2</f>
        <v>93.159842569492653</v>
      </c>
      <c r="E149" s="16">
        <v>0</v>
      </c>
      <c r="F149" s="17">
        <f>Specification!$C$23*9.81*SIN((E149*PI()/180))</f>
        <v>0</v>
      </c>
      <c r="G149" s="18">
        <f>IF(J149=1,VLOOKUP(K149,RPM!$E$2:$H$62,3,FALSE)-F149-E149-D149,IF(J149=2,VLOOKUP(K149,RPM!$H$2:$K$62,3,FALSE)-F149-E149-D149,IF(J149=3,VLOOKUP(K149,RPM!$K$2:$N$62,3,FALSE)-F149-E149-D149)))</f>
        <v>549.56217903827155</v>
      </c>
      <c r="H149" s="19">
        <f>IF(J149=1,Specification!$I$14,IF(J149=2,Specification!$I$15,IF(J149=3,Specification!$I$16)))</f>
        <v>578.93404261974786</v>
      </c>
      <c r="I149" s="16">
        <v>0</v>
      </c>
      <c r="J149" s="17">
        <v>3</v>
      </c>
      <c r="K149" s="16">
        <f>IF(J149=1,VLOOKUP(B149,RPM!$F$2:$H$62,3,TRUE),IF(J149=2,VLOOKUP(B149,RPM!$I$2:$K$62,3,TRUE),IF(J149=3,VLOOKUP(B149,RPM!$L$2:$N$62,3,TRUE))))</f>
        <v>4300</v>
      </c>
      <c r="L149" s="17">
        <f t="shared" si="26"/>
        <v>13.700458261217193</v>
      </c>
      <c r="M149" s="16">
        <f t="shared" si="23"/>
        <v>0</v>
      </c>
      <c r="N149" s="17">
        <f>VLOOKUP(K149,RPM!$A$2:$D$62,3,FALSE)</f>
        <v>11.4</v>
      </c>
      <c r="O149" s="16">
        <f>VLOOKUP(K149,RPM!$A$2:$D$62,4,FALSE)</f>
        <v>18.894837209302327</v>
      </c>
      <c r="P149" s="17">
        <f t="shared" si="24"/>
        <v>14.089880106976747</v>
      </c>
      <c r="Q149" s="16" cm="1">
        <f t="array" ref="Q149">_xlfn.XLOOKUP(O149,BSFC!$A$2:$A$24,_xlfn.XLOOKUP(K149,BSFC!$B$1:$O$1,BSFC!$B$2:$O$24,,-1),,-1)</f>
        <v>480</v>
      </c>
      <c r="R149" s="17">
        <f t="shared" si="25"/>
        <v>1.8786506809302328</v>
      </c>
      <c r="S149" s="16">
        <f t="shared" si="27"/>
        <v>2.9183485335177264E-4</v>
      </c>
      <c r="T149" s="17">
        <f t="shared" si="31"/>
        <v>0.14008072960885087</v>
      </c>
      <c r="U149" s="16">
        <f t="shared" si="32"/>
        <v>23.75769677108136</v>
      </c>
      <c r="V149" s="17">
        <f t="shared" si="33"/>
        <v>4.7448367939060813E-2</v>
      </c>
      <c r="W149" s="16">
        <f t="shared" si="28"/>
        <v>170814.12458061893</v>
      </c>
      <c r="X149">
        <f>('Hybrid Info'!$A$2-Track!P149)*(L149-L148)*1000+X148</f>
        <v>-9825.7268434983307</v>
      </c>
    </row>
    <row r="150" spans="1:24">
      <c r="A150" s="16">
        <f t="shared" si="29"/>
        <v>149</v>
      </c>
      <c r="B150" s="17">
        <f t="shared" si="30"/>
        <v>13.411199999999999</v>
      </c>
      <c r="C150" s="18">
        <f>Specification!$G$30</f>
        <v>109.96225200000001</v>
      </c>
      <c r="D150" s="17">
        <f>0.5*Specification!$K$4*Track!B150^2*Specification!$K$3*Specification!$K$2</f>
        <v>93.159842569492653</v>
      </c>
      <c r="E150" s="16">
        <v>0</v>
      </c>
      <c r="F150" s="17">
        <f>Specification!$C$23*9.81*SIN((E150*PI()/180))</f>
        <v>0</v>
      </c>
      <c r="G150" s="18">
        <f>IF(J150=1,VLOOKUP(K150,RPM!$E$2:$H$62,3,FALSE)-F150-E150-D150,IF(J150=2,VLOOKUP(K150,RPM!$H$2:$K$62,3,FALSE)-F150-E150-D150,IF(J150=3,VLOOKUP(K150,RPM!$K$2:$N$62,3,FALSE)-F150-E150-D150)))</f>
        <v>549.56217903827155</v>
      </c>
      <c r="H150" s="19">
        <f>IF(J150=1,Specification!$I$14,IF(J150=2,Specification!$I$15,IF(J150=3,Specification!$I$16)))</f>
        <v>578.93404261974786</v>
      </c>
      <c r="I150" s="16">
        <v>0</v>
      </c>
      <c r="J150" s="17">
        <v>3</v>
      </c>
      <c r="K150" s="16">
        <f>IF(J150=1,VLOOKUP(B150,RPM!$F$2:$H$62,3,TRUE),IF(J150=2,VLOOKUP(B150,RPM!$I$2:$K$62,3,TRUE),IF(J150=3,VLOOKUP(B150,RPM!$L$2:$N$62,3,TRUE))))</f>
        <v>4300</v>
      </c>
      <c r="L150" s="17">
        <f t="shared" si="26"/>
        <v>13.775022804285673</v>
      </c>
      <c r="M150" s="16">
        <f t="shared" si="23"/>
        <v>0</v>
      </c>
      <c r="N150" s="17">
        <f>VLOOKUP(K150,RPM!$A$2:$D$62,3,FALSE)</f>
        <v>11.4</v>
      </c>
      <c r="O150" s="16">
        <f>VLOOKUP(K150,RPM!$A$2:$D$62,4,FALSE)</f>
        <v>18.894837209302327</v>
      </c>
      <c r="P150" s="17">
        <f t="shared" si="24"/>
        <v>14.089880106976747</v>
      </c>
      <c r="Q150" s="16" cm="1">
        <f t="array" ref="Q150">_xlfn.XLOOKUP(O150,BSFC!$A$2:$A$24,_xlfn.XLOOKUP(K150,BSFC!$B$1:$O$1,BSFC!$B$2:$O$24,,-1),,-1)</f>
        <v>480</v>
      </c>
      <c r="R150" s="17">
        <f t="shared" si="25"/>
        <v>1.8786506809302328</v>
      </c>
      <c r="S150" s="16">
        <f t="shared" si="27"/>
        <v>2.9183485335177264E-4</v>
      </c>
      <c r="T150" s="17">
        <f t="shared" si="31"/>
        <v>0.14008072960885087</v>
      </c>
      <c r="U150" s="16">
        <f t="shared" si="32"/>
        <v>23.897777500690211</v>
      </c>
      <c r="V150" s="17">
        <f t="shared" si="33"/>
        <v>4.7740202792412589E-2</v>
      </c>
      <c r="W150" s="16">
        <f t="shared" si="28"/>
        <v>171864.73005268531</v>
      </c>
      <c r="X150">
        <f>('Hybrid Info'!$A$2-Track!P150)*(L150-L149)*1000+X149</f>
        <v>-9972.576156847741</v>
      </c>
    </row>
    <row r="151" spans="1:24">
      <c r="A151" s="16">
        <f t="shared" si="29"/>
        <v>150</v>
      </c>
      <c r="B151" s="17">
        <f t="shared" si="30"/>
        <v>13.411199999999999</v>
      </c>
      <c r="C151" s="18">
        <f>Specification!$G$30</f>
        <v>109.96225200000001</v>
      </c>
      <c r="D151" s="17">
        <f>0.5*Specification!$K$4*Track!B151^2*Specification!$K$3*Specification!$K$2</f>
        <v>93.159842569492653</v>
      </c>
      <c r="E151" s="16">
        <v>0</v>
      </c>
      <c r="F151" s="17">
        <f>Specification!$C$23*9.81*SIN((E151*PI()/180))</f>
        <v>0</v>
      </c>
      <c r="G151" s="18">
        <f>IF(J151=1,VLOOKUP(K151,RPM!$E$2:$H$62,3,FALSE)-F151-E151-D151,IF(J151=2,VLOOKUP(K151,RPM!$H$2:$K$62,3,FALSE)-F151-E151-D151,IF(J151=3,VLOOKUP(K151,RPM!$K$2:$N$62,3,FALSE)-F151-E151-D151)))</f>
        <v>549.56217903827155</v>
      </c>
      <c r="H151" s="19">
        <f>IF(J151=1,Specification!$I$14,IF(J151=2,Specification!$I$15,IF(J151=3,Specification!$I$16)))</f>
        <v>578.93404261974786</v>
      </c>
      <c r="I151" s="16">
        <v>0</v>
      </c>
      <c r="J151" s="17">
        <v>3</v>
      </c>
      <c r="K151" s="16">
        <f>IF(J151=1,VLOOKUP(B151,RPM!$F$2:$H$62,3,TRUE),IF(J151=2,VLOOKUP(B151,RPM!$I$2:$K$62,3,TRUE),IF(J151=3,VLOOKUP(B151,RPM!$L$2:$N$62,3,TRUE))))</f>
        <v>4300</v>
      </c>
      <c r="L151" s="17">
        <f t="shared" si="26"/>
        <v>13.849587347354152</v>
      </c>
      <c r="M151" s="16">
        <f t="shared" si="23"/>
        <v>0</v>
      </c>
      <c r="N151" s="17">
        <f>VLOOKUP(K151,RPM!$A$2:$D$62,3,FALSE)</f>
        <v>11.4</v>
      </c>
      <c r="O151" s="16">
        <f>VLOOKUP(K151,RPM!$A$2:$D$62,4,FALSE)</f>
        <v>18.894837209302327</v>
      </c>
      <c r="P151" s="17">
        <f t="shared" si="24"/>
        <v>14.089880106976747</v>
      </c>
      <c r="Q151" s="16" cm="1">
        <f t="array" ref="Q151">_xlfn.XLOOKUP(O151,BSFC!$A$2:$A$24,_xlfn.XLOOKUP(K151,BSFC!$B$1:$O$1,BSFC!$B$2:$O$24,,-1),,-1)</f>
        <v>480</v>
      </c>
      <c r="R151" s="17">
        <f t="shared" si="25"/>
        <v>1.8786506809302328</v>
      </c>
      <c r="S151" s="16">
        <f t="shared" si="27"/>
        <v>2.9183485335177264E-4</v>
      </c>
      <c r="T151" s="17">
        <f t="shared" si="31"/>
        <v>0.14008072960885087</v>
      </c>
      <c r="U151" s="16">
        <f t="shared" si="32"/>
        <v>24.037858230299062</v>
      </c>
      <c r="V151" s="17">
        <f t="shared" si="33"/>
        <v>4.8032037645764365E-2</v>
      </c>
      <c r="W151" s="16">
        <f t="shared" si="28"/>
        <v>172915.33552475169</v>
      </c>
      <c r="X151">
        <f>('Hybrid Info'!$A$2-Track!P151)*(L151-L150)*1000+X150</f>
        <v>-10119.425470197151</v>
      </c>
    </row>
    <row r="152" spans="1:24">
      <c r="A152" s="16">
        <f t="shared" si="29"/>
        <v>151</v>
      </c>
      <c r="B152" s="17">
        <f t="shared" si="30"/>
        <v>13.411199999999999</v>
      </c>
      <c r="C152" s="18">
        <f>Specification!$G$30</f>
        <v>109.96225200000001</v>
      </c>
      <c r="D152" s="17">
        <f>0.5*Specification!$K$4*Track!B152^2*Specification!$K$3*Specification!$K$2</f>
        <v>93.159842569492653</v>
      </c>
      <c r="E152" s="16">
        <v>0</v>
      </c>
      <c r="F152" s="17">
        <f>Specification!$C$23*9.81*SIN((E152*PI()/180))</f>
        <v>0</v>
      </c>
      <c r="G152" s="18">
        <f>IF(J152=1,VLOOKUP(K152,RPM!$E$2:$H$62,3,FALSE)-F152-E152-D152,IF(J152=2,VLOOKUP(K152,RPM!$H$2:$K$62,3,FALSE)-F152-E152-D152,IF(J152=3,VLOOKUP(K152,RPM!$K$2:$N$62,3,FALSE)-F152-E152-D152)))</f>
        <v>549.56217903827155</v>
      </c>
      <c r="H152" s="19">
        <f>IF(J152=1,Specification!$I$14,IF(J152=2,Specification!$I$15,IF(J152=3,Specification!$I$16)))</f>
        <v>578.93404261974786</v>
      </c>
      <c r="I152" s="16">
        <v>0</v>
      </c>
      <c r="J152" s="17">
        <v>3</v>
      </c>
      <c r="K152" s="16">
        <f>IF(J152=1,VLOOKUP(B152,RPM!$F$2:$H$62,3,TRUE),IF(J152=2,VLOOKUP(B152,RPM!$I$2:$K$62,3,TRUE),IF(J152=3,VLOOKUP(B152,RPM!$L$2:$N$62,3,TRUE))))</f>
        <v>4300</v>
      </c>
      <c r="L152" s="17">
        <f t="shared" si="26"/>
        <v>13.924151890422632</v>
      </c>
      <c r="M152" s="16">
        <f t="shared" si="23"/>
        <v>0</v>
      </c>
      <c r="N152" s="17">
        <f>VLOOKUP(K152,RPM!$A$2:$D$62,3,FALSE)</f>
        <v>11.4</v>
      </c>
      <c r="O152" s="16">
        <f>VLOOKUP(K152,RPM!$A$2:$D$62,4,FALSE)</f>
        <v>18.894837209302327</v>
      </c>
      <c r="P152" s="17">
        <f t="shared" si="24"/>
        <v>14.089880106976747</v>
      </c>
      <c r="Q152" s="16" cm="1">
        <f t="array" ref="Q152">_xlfn.XLOOKUP(O152,BSFC!$A$2:$A$24,_xlfn.XLOOKUP(K152,BSFC!$B$1:$O$1,BSFC!$B$2:$O$24,,-1),,-1)</f>
        <v>480</v>
      </c>
      <c r="R152" s="17">
        <f t="shared" si="25"/>
        <v>1.8786506809302328</v>
      </c>
      <c r="S152" s="16">
        <f t="shared" si="27"/>
        <v>2.9183485335177264E-4</v>
      </c>
      <c r="T152" s="17">
        <f t="shared" si="31"/>
        <v>0.14008072960885087</v>
      </c>
      <c r="U152" s="16">
        <f t="shared" si="32"/>
        <v>24.177938959907912</v>
      </c>
      <c r="V152" s="17">
        <f t="shared" si="33"/>
        <v>4.8323872499116141E-2</v>
      </c>
      <c r="W152" s="16">
        <f t="shared" si="28"/>
        <v>173965.9409968181</v>
      </c>
      <c r="X152">
        <f>('Hybrid Info'!$A$2-Track!P152)*(L152-L151)*1000+X151</f>
        <v>-10266.274783546562</v>
      </c>
    </row>
    <row r="153" spans="1:24">
      <c r="A153" s="16">
        <f t="shared" si="29"/>
        <v>152</v>
      </c>
      <c r="B153" s="17">
        <f t="shared" si="30"/>
        <v>13.411199999999999</v>
      </c>
      <c r="C153" s="18">
        <f>Specification!$G$30</f>
        <v>109.96225200000001</v>
      </c>
      <c r="D153" s="17">
        <f>0.5*Specification!$K$4*Track!B153^2*Specification!$K$3*Specification!$K$2</f>
        <v>93.159842569492653</v>
      </c>
      <c r="E153" s="16">
        <v>0</v>
      </c>
      <c r="F153" s="17">
        <f>Specification!$C$23*9.81*SIN((E153*PI()/180))</f>
        <v>0</v>
      </c>
      <c r="G153" s="18">
        <f>IF(J153=1,VLOOKUP(K153,RPM!$E$2:$H$62,3,FALSE)-F153-E153-D153,IF(J153=2,VLOOKUP(K153,RPM!$H$2:$K$62,3,FALSE)-F153-E153-D153,IF(J153=3,VLOOKUP(K153,RPM!$K$2:$N$62,3,FALSE)-F153-E153-D153)))</f>
        <v>549.56217903827155</v>
      </c>
      <c r="H153" s="19">
        <f>IF(J153=1,Specification!$I$14,IF(J153=2,Specification!$I$15,IF(J153=3,Specification!$I$16)))</f>
        <v>578.93404261974786</v>
      </c>
      <c r="I153" s="16">
        <v>0</v>
      </c>
      <c r="J153" s="17">
        <v>3</v>
      </c>
      <c r="K153" s="16">
        <f>IF(J153=1,VLOOKUP(B153,RPM!$F$2:$H$62,3,TRUE),IF(J153=2,VLOOKUP(B153,RPM!$I$2:$K$62,3,TRUE),IF(J153=3,VLOOKUP(B153,RPM!$L$2:$N$62,3,TRUE))))</f>
        <v>4300</v>
      </c>
      <c r="L153" s="17">
        <f t="shared" si="26"/>
        <v>13.998716433491111</v>
      </c>
      <c r="M153" s="16">
        <f t="shared" si="23"/>
        <v>0</v>
      </c>
      <c r="N153" s="17">
        <f>VLOOKUP(K153,RPM!$A$2:$D$62,3,FALSE)</f>
        <v>11.4</v>
      </c>
      <c r="O153" s="16">
        <f>VLOOKUP(K153,RPM!$A$2:$D$62,4,FALSE)</f>
        <v>18.894837209302327</v>
      </c>
      <c r="P153" s="17">
        <f t="shared" si="24"/>
        <v>14.089880106976747</v>
      </c>
      <c r="Q153" s="16" cm="1">
        <f t="array" ref="Q153">_xlfn.XLOOKUP(O153,BSFC!$A$2:$A$24,_xlfn.XLOOKUP(K153,BSFC!$B$1:$O$1,BSFC!$B$2:$O$24,,-1),,-1)</f>
        <v>480</v>
      </c>
      <c r="R153" s="17">
        <f t="shared" si="25"/>
        <v>1.8786506809302328</v>
      </c>
      <c r="S153" s="16">
        <f t="shared" si="27"/>
        <v>2.9183485335177264E-4</v>
      </c>
      <c r="T153" s="17">
        <f t="shared" si="31"/>
        <v>0.14008072960885087</v>
      </c>
      <c r="U153" s="16">
        <f t="shared" si="32"/>
        <v>24.318019689516763</v>
      </c>
      <c r="V153" s="17">
        <f t="shared" si="33"/>
        <v>4.8615707352467917E-2</v>
      </c>
      <c r="W153" s="16">
        <f t="shared" si="28"/>
        <v>175016.54646888448</v>
      </c>
      <c r="X153">
        <f>('Hybrid Info'!$A$2-Track!P153)*(L153-L152)*1000+X152</f>
        <v>-10413.124096895972</v>
      </c>
    </row>
    <row r="154" spans="1:24">
      <c r="A154" s="16">
        <f t="shared" si="29"/>
        <v>153</v>
      </c>
      <c r="B154" s="17">
        <f t="shared" si="30"/>
        <v>13.411199999999999</v>
      </c>
      <c r="C154" s="18">
        <f>Specification!$G$30</f>
        <v>109.96225200000001</v>
      </c>
      <c r="D154" s="17">
        <f>0.5*Specification!$K$4*Track!B154^2*Specification!$K$3*Specification!$K$2</f>
        <v>93.159842569492653</v>
      </c>
      <c r="E154" s="16">
        <v>0</v>
      </c>
      <c r="F154" s="17">
        <f>Specification!$C$23*9.81*SIN((E154*PI()/180))</f>
        <v>0</v>
      </c>
      <c r="G154" s="18">
        <f>IF(J154=1,VLOOKUP(K154,RPM!$E$2:$H$62,3,FALSE)-F154-E154-D154,IF(J154=2,VLOOKUP(K154,RPM!$H$2:$K$62,3,FALSE)-F154-E154-D154,IF(J154=3,VLOOKUP(K154,RPM!$K$2:$N$62,3,FALSE)-F154-E154-D154)))</f>
        <v>549.56217903827155</v>
      </c>
      <c r="H154" s="19">
        <f>IF(J154=1,Specification!$I$14,IF(J154=2,Specification!$I$15,IF(J154=3,Specification!$I$16)))</f>
        <v>578.93404261974786</v>
      </c>
      <c r="I154" s="16">
        <v>0</v>
      </c>
      <c r="J154" s="17">
        <v>3</v>
      </c>
      <c r="K154" s="16">
        <f>IF(J154=1,VLOOKUP(B154,RPM!$F$2:$H$62,3,TRUE),IF(J154=2,VLOOKUP(B154,RPM!$I$2:$K$62,3,TRUE),IF(J154=3,VLOOKUP(B154,RPM!$L$2:$N$62,3,TRUE))))</f>
        <v>4300</v>
      </c>
      <c r="L154" s="17">
        <f t="shared" si="26"/>
        <v>14.073280976559591</v>
      </c>
      <c r="M154" s="16">
        <f t="shared" si="23"/>
        <v>0</v>
      </c>
      <c r="N154" s="17">
        <f>VLOOKUP(K154,RPM!$A$2:$D$62,3,FALSE)</f>
        <v>11.4</v>
      </c>
      <c r="O154" s="16">
        <f>VLOOKUP(K154,RPM!$A$2:$D$62,4,FALSE)</f>
        <v>18.894837209302327</v>
      </c>
      <c r="P154" s="17">
        <f t="shared" si="24"/>
        <v>14.089880106976747</v>
      </c>
      <c r="Q154" s="16" cm="1">
        <f t="array" ref="Q154">_xlfn.XLOOKUP(O154,BSFC!$A$2:$A$24,_xlfn.XLOOKUP(K154,BSFC!$B$1:$O$1,BSFC!$B$2:$O$24,,-1),,-1)</f>
        <v>480</v>
      </c>
      <c r="R154" s="17">
        <f t="shared" si="25"/>
        <v>1.8786506809302328</v>
      </c>
      <c r="S154" s="16">
        <f t="shared" si="27"/>
        <v>2.9183485335177264E-4</v>
      </c>
      <c r="T154" s="17">
        <f t="shared" si="31"/>
        <v>0.14008072960885087</v>
      </c>
      <c r="U154" s="16">
        <f t="shared" si="32"/>
        <v>24.458100419125614</v>
      </c>
      <c r="V154" s="17">
        <f t="shared" si="33"/>
        <v>4.8907542205819693E-2</v>
      </c>
      <c r="W154" s="16">
        <f t="shared" si="28"/>
        <v>176067.15194095089</v>
      </c>
      <c r="X154">
        <f>('Hybrid Info'!$A$2-Track!P154)*(L154-L153)*1000+X153</f>
        <v>-10559.973410245382</v>
      </c>
    </row>
    <row r="155" spans="1:24">
      <c r="A155" s="16">
        <f t="shared" si="29"/>
        <v>154</v>
      </c>
      <c r="B155" s="17">
        <f t="shared" si="30"/>
        <v>13.411199999999999</v>
      </c>
      <c r="C155" s="18">
        <f>Specification!$G$30</f>
        <v>109.96225200000001</v>
      </c>
      <c r="D155" s="17">
        <f>0.5*Specification!$K$4*Track!B155^2*Specification!$K$3*Specification!$K$2</f>
        <v>93.159842569492653</v>
      </c>
      <c r="E155" s="16">
        <v>0</v>
      </c>
      <c r="F155" s="17">
        <f>Specification!$C$23*9.81*SIN((E155*PI()/180))</f>
        <v>0</v>
      </c>
      <c r="G155" s="18">
        <f>IF(J155=1,VLOOKUP(K155,RPM!$E$2:$H$62,3,FALSE)-F155-E155-D155,IF(J155=2,VLOOKUP(K155,RPM!$H$2:$K$62,3,FALSE)-F155-E155-D155,IF(J155=3,VLOOKUP(K155,RPM!$K$2:$N$62,3,FALSE)-F155-E155-D155)))</f>
        <v>549.56217903827155</v>
      </c>
      <c r="H155" s="19">
        <f>IF(J155=1,Specification!$I$14,IF(J155=2,Specification!$I$15,IF(J155=3,Specification!$I$16)))</f>
        <v>578.93404261974786</v>
      </c>
      <c r="I155" s="16">
        <v>0</v>
      </c>
      <c r="J155" s="17">
        <v>3</v>
      </c>
      <c r="K155" s="16">
        <f>IF(J155=1,VLOOKUP(B155,RPM!$F$2:$H$62,3,TRUE),IF(J155=2,VLOOKUP(B155,RPM!$I$2:$K$62,3,TRUE),IF(J155=3,VLOOKUP(B155,RPM!$L$2:$N$62,3,TRUE))))</f>
        <v>4300</v>
      </c>
      <c r="L155" s="17">
        <f t="shared" si="26"/>
        <v>14.147845519628071</v>
      </c>
      <c r="M155" s="16">
        <f t="shared" si="23"/>
        <v>0</v>
      </c>
      <c r="N155" s="17">
        <f>VLOOKUP(K155,RPM!$A$2:$D$62,3,FALSE)</f>
        <v>11.4</v>
      </c>
      <c r="O155" s="16">
        <f>VLOOKUP(K155,RPM!$A$2:$D$62,4,FALSE)</f>
        <v>18.894837209302327</v>
      </c>
      <c r="P155" s="17">
        <f t="shared" si="24"/>
        <v>14.089880106976747</v>
      </c>
      <c r="Q155" s="16" cm="1">
        <f t="array" ref="Q155">_xlfn.XLOOKUP(O155,BSFC!$A$2:$A$24,_xlfn.XLOOKUP(K155,BSFC!$B$1:$O$1,BSFC!$B$2:$O$24,,-1),,-1)</f>
        <v>480</v>
      </c>
      <c r="R155" s="17">
        <f t="shared" si="25"/>
        <v>1.8786506809302328</v>
      </c>
      <c r="S155" s="16">
        <f t="shared" si="27"/>
        <v>2.9183485335177264E-4</v>
      </c>
      <c r="T155" s="17">
        <f t="shared" si="31"/>
        <v>0.14008072960885087</v>
      </c>
      <c r="U155" s="16">
        <f t="shared" si="32"/>
        <v>24.598181148734465</v>
      </c>
      <c r="V155" s="17">
        <f t="shared" si="33"/>
        <v>4.9199377059171469E-2</v>
      </c>
      <c r="W155" s="16">
        <f t="shared" si="28"/>
        <v>177117.75741301727</v>
      </c>
      <c r="X155">
        <f>('Hybrid Info'!$A$2-Track!P155)*(L155-L154)*1000+X154</f>
        <v>-10706.822723594792</v>
      </c>
    </row>
    <row r="156" spans="1:24">
      <c r="A156" s="16">
        <f t="shared" si="29"/>
        <v>155</v>
      </c>
      <c r="B156" s="17">
        <f t="shared" si="30"/>
        <v>13.411199999999999</v>
      </c>
      <c r="C156" s="18">
        <f>Specification!$G$30</f>
        <v>109.96225200000001</v>
      </c>
      <c r="D156" s="17">
        <f>0.5*Specification!$K$4*Track!B156^2*Specification!$K$3*Specification!$K$2</f>
        <v>93.159842569492653</v>
      </c>
      <c r="E156" s="16">
        <v>0</v>
      </c>
      <c r="F156" s="17">
        <f>Specification!$C$23*9.81*SIN((E156*PI()/180))</f>
        <v>0</v>
      </c>
      <c r="G156" s="18">
        <f>IF(J156=1,VLOOKUP(K156,RPM!$E$2:$H$62,3,FALSE)-F156-E156-D156,IF(J156=2,VLOOKUP(K156,RPM!$H$2:$K$62,3,FALSE)-F156-E156-D156,IF(J156=3,VLOOKUP(K156,RPM!$K$2:$N$62,3,FALSE)-F156-E156-D156)))</f>
        <v>549.56217903827155</v>
      </c>
      <c r="H156" s="19">
        <f>IF(J156=1,Specification!$I$14,IF(J156=2,Specification!$I$15,IF(J156=3,Specification!$I$16)))</f>
        <v>578.93404261974786</v>
      </c>
      <c r="I156" s="16">
        <v>0</v>
      </c>
      <c r="J156" s="17">
        <v>3</v>
      </c>
      <c r="K156" s="16">
        <f>IF(J156=1,VLOOKUP(B156,RPM!$F$2:$H$62,3,TRUE),IF(J156=2,VLOOKUP(B156,RPM!$I$2:$K$62,3,TRUE),IF(J156=3,VLOOKUP(B156,RPM!$L$2:$N$62,3,TRUE))))</f>
        <v>4300</v>
      </c>
      <c r="L156" s="17">
        <f t="shared" si="26"/>
        <v>14.22241006269655</v>
      </c>
      <c r="M156" s="16">
        <f t="shared" si="23"/>
        <v>0</v>
      </c>
      <c r="N156" s="17">
        <f>VLOOKUP(K156,RPM!$A$2:$D$62,3,FALSE)</f>
        <v>11.4</v>
      </c>
      <c r="O156" s="16">
        <f>VLOOKUP(K156,RPM!$A$2:$D$62,4,FALSE)</f>
        <v>18.894837209302327</v>
      </c>
      <c r="P156" s="17">
        <f t="shared" si="24"/>
        <v>14.089880106976747</v>
      </c>
      <c r="Q156" s="16" cm="1">
        <f t="array" ref="Q156">_xlfn.XLOOKUP(O156,BSFC!$A$2:$A$24,_xlfn.XLOOKUP(K156,BSFC!$B$1:$O$1,BSFC!$B$2:$O$24,,-1),,-1)</f>
        <v>480</v>
      </c>
      <c r="R156" s="17">
        <f t="shared" si="25"/>
        <v>1.8786506809302328</v>
      </c>
      <c r="S156" s="16">
        <f t="shared" si="27"/>
        <v>2.9183485335177264E-4</v>
      </c>
      <c r="T156" s="17">
        <f t="shared" si="31"/>
        <v>0.14008072960885087</v>
      </c>
      <c r="U156" s="16">
        <f t="shared" si="32"/>
        <v>24.738261878343316</v>
      </c>
      <c r="V156" s="17">
        <f t="shared" si="33"/>
        <v>4.9491211912523245E-2</v>
      </c>
      <c r="W156" s="16">
        <f t="shared" si="28"/>
        <v>178168.36288508368</v>
      </c>
      <c r="X156">
        <f>('Hybrid Info'!$A$2-Track!P156)*(L156-L155)*1000+X155</f>
        <v>-10853.672036944203</v>
      </c>
    </row>
    <row r="157" spans="1:24">
      <c r="A157" s="16">
        <f t="shared" si="29"/>
        <v>156</v>
      </c>
      <c r="B157" s="17">
        <f t="shared" si="30"/>
        <v>13.411199999999999</v>
      </c>
      <c r="C157" s="18">
        <f>Specification!$G$30</f>
        <v>109.96225200000001</v>
      </c>
      <c r="D157" s="17">
        <f>0.5*Specification!$K$4*Track!B157^2*Specification!$K$3*Specification!$K$2</f>
        <v>93.159842569492653</v>
      </c>
      <c r="E157" s="16">
        <v>0</v>
      </c>
      <c r="F157" s="17">
        <f>Specification!$C$23*9.81*SIN((E157*PI()/180))</f>
        <v>0</v>
      </c>
      <c r="G157" s="18">
        <f>IF(J157=1,VLOOKUP(K157,RPM!$E$2:$H$62,3,FALSE)-F157-E157-D157,IF(J157=2,VLOOKUP(K157,RPM!$H$2:$K$62,3,FALSE)-F157-E157-D157,IF(J157=3,VLOOKUP(K157,RPM!$K$2:$N$62,3,FALSE)-F157-E157-D157)))</f>
        <v>549.56217903827155</v>
      </c>
      <c r="H157" s="19">
        <f>IF(J157=1,Specification!$I$14,IF(J157=2,Specification!$I$15,IF(J157=3,Specification!$I$16)))</f>
        <v>578.93404261974786</v>
      </c>
      <c r="I157" s="16">
        <v>0</v>
      </c>
      <c r="J157" s="17">
        <v>3</v>
      </c>
      <c r="K157" s="16">
        <f>IF(J157=1,VLOOKUP(B157,RPM!$F$2:$H$62,3,TRUE),IF(J157=2,VLOOKUP(B157,RPM!$I$2:$K$62,3,TRUE),IF(J157=3,VLOOKUP(B157,RPM!$L$2:$N$62,3,TRUE))))</f>
        <v>4300</v>
      </c>
      <c r="L157" s="17">
        <f t="shared" si="26"/>
        <v>14.29697460576503</v>
      </c>
      <c r="M157" s="16">
        <f t="shared" si="23"/>
        <v>0</v>
      </c>
      <c r="N157" s="17">
        <f>VLOOKUP(K157,RPM!$A$2:$D$62,3,FALSE)</f>
        <v>11.4</v>
      </c>
      <c r="O157" s="16">
        <f>VLOOKUP(K157,RPM!$A$2:$D$62,4,FALSE)</f>
        <v>18.894837209302327</v>
      </c>
      <c r="P157" s="17">
        <f t="shared" si="24"/>
        <v>14.089880106976747</v>
      </c>
      <c r="Q157" s="16" cm="1">
        <f t="array" ref="Q157">_xlfn.XLOOKUP(O157,BSFC!$A$2:$A$24,_xlfn.XLOOKUP(K157,BSFC!$B$1:$O$1,BSFC!$B$2:$O$24,,-1),,-1)</f>
        <v>480</v>
      </c>
      <c r="R157" s="17">
        <f t="shared" si="25"/>
        <v>1.8786506809302328</v>
      </c>
      <c r="S157" s="16">
        <f t="shared" si="27"/>
        <v>2.9183485335177264E-4</v>
      </c>
      <c r="T157" s="17">
        <f t="shared" si="31"/>
        <v>0.14008072960885087</v>
      </c>
      <c r="U157" s="16">
        <f t="shared" si="32"/>
        <v>24.878342607952167</v>
      </c>
      <c r="V157" s="17">
        <f t="shared" si="33"/>
        <v>4.9783046765875021E-2</v>
      </c>
      <c r="W157" s="16">
        <f t="shared" si="28"/>
        <v>179218.96835715006</v>
      </c>
      <c r="X157">
        <f>('Hybrid Info'!$A$2-Track!P157)*(L157-L156)*1000+X156</f>
        <v>-11000.521350293613</v>
      </c>
    </row>
    <row r="158" spans="1:24">
      <c r="A158" s="16">
        <f t="shared" si="29"/>
        <v>157</v>
      </c>
      <c r="B158" s="17">
        <f t="shared" si="30"/>
        <v>13.411199999999999</v>
      </c>
      <c r="C158" s="18">
        <f>Specification!$G$30</f>
        <v>109.96225200000001</v>
      </c>
      <c r="D158" s="17">
        <f>0.5*Specification!$K$4*Track!B158^2*Specification!$K$3*Specification!$K$2</f>
        <v>93.159842569492653</v>
      </c>
      <c r="E158" s="16">
        <v>0</v>
      </c>
      <c r="F158" s="17">
        <f>Specification!$C$23*9.81*SIN((E158*PI()/180))</f>
        <v>0</v>
      </c>
      <c r="G158" s="18">
        <f>IF(J158=1,VLOOKUP(K158,RPM!$E$2:$H$62,3,FALSE)-F158-E158-D158,IF(J158=2,VLOOKUP(K158,RPM!$H$2:$K$62,3,FALSE)-F158-E158-D158,IF(J158=3,VLOOKUP(K158,RPM!$K$2:$N$62,3,FALSE)-F158-E158-D158)))</f>
        <v>549.56217903827155</v>
      </c>
      <c r="H158" s="19">
        <f>IF(J158=1,Specification!$I$14,IF(J158=2,Specification!$I$15,IF(J158=3,Specification!$I$16)))</f>
        <v>578.93404261974786</v>
      </c>
      <c r="I158" s="16">
        <v>0</v>
      </c>
      <c r="J158" s="17">
        <v>3</v>
      </c>
      <c r="K158" s="16">
        <f>IF(J158=1,VLOOKUP(B158,RPM!$F$2:$H$62,3,TRUE),IF(J158=2,VLOOKUP(B158,RPM!$I$2:$K$62,3,TRUE),IF(J158=3,VLOOKUP(B158,RPM!$L$2:$N$62,3,TRUE))))</f>
        <v>4300</v>
      </c>
      <c r="L158" s="17">
        <f t="shared" si="26"/>
        <v>14.371539148833509</v>
      </c>
      <c r="M158" s="16">
        <f t="shared" si="23"/>
        <v>0</v>
      </c>
      <c r="N158" s="17">
        <f>VLOOKUP(K158,RPM!$A$2:$D$62,3,FALSE)</f>
        <v>11.4</v>
      </c>
      <c r="O158" s="16">
        <f>VLOOKUP(K158,RPM!$A$2:$D$62,4,FALSE)</f>
        <v>18.894837209302327</v>
      </c>
      <c r="P158" s="17">
        <f t="shared" si="24"/>
        <v>14.089880106976747</v>
      </c>
      <c r="Q158" s="16" cm="1">
        <f t="array" ref="Q158">_xlfn.XLOOKUP(O158,BSFC!$A$2:$A$24,_xlfn.XLOOKUP(K158,BSFC!$B$1:$O$1,BSFC!$B$2:$O$24,,-1),,-1)</f>
        <v>480</v>
      </c>
      <c r="R158" s="17">
        <f t="shared" si="25"/>
        <v>1.8786506809302328</v>
      </c>
      <c r="S158" s="16">
        <f t="shared" si="27"/>
        <v>2.9183485335177264E-4</v>
      </c>
      <c r="T158" s="17">
        <f t="shared" si="31"/>
        <v>0.14008072960885087</v>
      </c>
      <c r="U158" s="16">
        <f t="shared" si="32"/>
        <v>25.018423337561018</v>
      </c>
      <c r="V158" s="17">
        <f t="shared" si="33"/>
        <v>5.0074881619226796E-2</v>
      </c>
      <c r="W158" s="16">
        <f t="shared" si="28"/>
        <v>180269.57382921645</v>
      </c>
      <c r="X158">
        <f>('Hybrid Info'!$A$2-Track!P158)*(L158-L157)*1000+X157</f>
        <v>-11147.370663643023</v>
      </c>
    </row>
    <row r="159" spans="1:24">
      <c r="A159" s="16">
        <f t="shared" si="29"/>
        <v>158</v>
      </c>
      <c r="B159" s="17">
        <f t="shared" si="30"/>
        <v>13.411199999999999</v>
      </c>
      <c r="C159" s="18">
        <f>Specification!$G$30</f>
        <v>109.96225200000001</v>
      </c>
      <c r="D159" s="17">
        <f>0.5*Specification!$K$4*Track!B159^2*Specification!$K$3*Specification!$K$2</f>
        <v>93.159842569492653</v>
      </c>
      <c r="E159" s="16">
        <v>0</v>
      </c>
      <c r="F159" s="17">
        <f>Specification!$C$23*9.81*SIN((E159*PI()/180))</f>
        <v>0</v>
      </c>
      <c r="G159" s="18">
        <f>IF(J159=1,VLOOKUP(K159,RPM!$E$2:$H$62,3,FALSE)-F159-E159-D159,IF(J159=2,VLOOKUP(K159,RPM!$H$2:$K$62,3,FALSE)-F159-E159-D159,IF(J159=3,VLOOKUP(K159,RPM!$K$2:$N$62,3,FALSE)-F159-E159-D159)))</f>
        <v>549.56217903827155</v>
      </c>
      <c r="H159" s="19">
        <f>IF(J159=1,Specification!$I$14,IF(J159=2,Specification!$I$15,IF(J159=3,Specification!$I$16)))</f>
        <v>578.93404261974786</v>
      </c>
      <c r="I159" s="16">
        <v>0</v>
      </c>
      <c r="J159" s="17">
        <v>3</v>
      </c>
      <c r="K159" s="16">
        <f>IF(J159=1,VLOOKUP(B159,RPM!$F$2:$H$62,3,TRUE),IF(J159=2,VLOOKUP(B159,RPM!$I$2:$K$62,3,TRUE),IF(J159=3,VLOOKUP(B159,RPM!$L$2:$N$62,3,TRUE))))</f>
        <v>4300</v>
      </c>
      <c r="L159" s="17">
        <f t="shared" si="26"/>
        <v>14.446103691901989</v>
      </c>
      <c r="M159" s="16">
        <f t="shared" si="23"/>
        <v>0</v>
      </c>
      <c r="N159" s="17">
        <f>VLOOKUP(K159,RPM!$A$2:$D$62,3,FALSE)</f>
        <v>11.4</v>
      </c>
      <c r="O159" s="16">
        <f>VLOOKUP(K159,RPM!$A$2:$D$62,4,FALSE)</f>
        <v>18.894837209302327</v>
      </c>
      <c r="P159" s="17">
        <f t="shared" si="24"/>
        <v>14.089880106976747</v>
      </c>
      <c r="Q159" s="16" cm="1">
        <f t="array" ref="Q159">_xlfn.XLOOKUP(O159,BSFC!$A$2:$A$24,_xlfn.XLOOKUP(K159,BSFC!$B$1:$O$1,BSFC!$B$2:$O$24,,-1),,-1)</f>
        <v>480</v>
      </c>
      <c r="R159" s="17">
        <f t="shared" si="25"/>
        <v>1.8786506809302328</v>
      </c>
      <c r="S159" s="16">
        <f t="shared" si="27"/>
        <v>2.9183485335177264E-4</v>
      </c>
      <c r="T159" s="17">
        <f t="shared" si="31"/>
        <v>0.14008072960885087</v>
      </c>
      <c r="U159" s="16">
        <f t="shared" si="32"/>
        <v>25.158504067169869</v>
      </c>
      <c r="V159" s="17">
        <f t="shared" si="33"/>
        <v>5.0366716472578572E-2</v>
      </c>
      <c r="W159" s="16">
        <f t="shared" si="28"/>
        <v>181320.17930128286</v>
      </c>
      <c r="X159">
        <f>('Hybrid Info'!$A$2-Track!P159)*(L159-L158)*1000+X158</f>
        <v>-11294.219976992434</v>
      </c>
    </row>
    <row r="160" spans="1:24">
      <c r="A160" s="16">
        <f t="shared" si="29"/>
        <v>159</v>
      </c>
      <c r="B160" s="17">
        <f t="shared" si="30"/>
        <v>13.411199999999999</v>
      </c>
      <c r="C160" s="18">
        <f>Specification!$G$30</f>
        <v>109.96225200000001</v>
      </c>
      <c r="D160" s="17">
        <f>0.5*Specification!$K$4*Track!B160^2*Specification!$K$3*Specification!$K$2</f>
        <v>93.159842569492653</v>
      </c>
      <c r="E160" s="16">
        <v>0</v>
      </c>
      <c r="F160" s="17">
        <f>Specification!$C$23*9.81*SIN((E160*PI()/180))</f>
        <v>0</v>
      </c>
      <c r="G160" s="18">
        <f>IF(J160=1,VLOOKUP(K160,RPM!$E$2:$H$62,3,FALSE)-F160-E160-D160,IF(J160=2,VLOOKUP(K160,RPM!$H$2:$K$62,3,FALSE)-F160-E160-D160,IF(J160=3,VLOOKUP(K160,RPM!$K$2:$N$62,3,FALSE)-F160-E160-D160)))</f>
        <v>549.56217903827155</v>
      </c>
      <c r="H160" s="19">
        <f>IF(J160=1,Specification!$I$14,IF(J160=2,Specification!$I$15,IF(J160=3,Specification!$I$16)))</f>
        <v>578.93404261974786</v>
      </c>
      <c r="I160" s="16">
        <v>0</v>
      </c>
      <c r="J160" s="17">
        <v>3</v>
      </c>
      <c r="K160" s="16">
        <f>IF(J160=1,VLOOKUP(B160,RPM!$F$2:$H$62,3,TRUE),IF(J160=2,VLOOKUP(B160,RPM!$I$2:$K$62,3,TRUE),IF(J160=3,VLOOKUP(B160,RPM!$L$2:$N$62,3,TRUE))))</f>
        <v>4300</v>
      </c>
      <c r="L160" s="17">
        <f t="shared" si="26"/>
        <v>14.520668234970469</v>
      </c>
      <c r="M160" s="16">
        <f t="shared" si="23"/>
        <v>0</v>
      </c>
      <c r="N160" s="17">
        <f>VLOOKUP(K160,RPM!$A$2:$D$62,3,FALSE)</f>
        <v>11.4</v>
      </c>
      <c r="O160" s="16">
        <f>VLOOKUP(K160,RPM!$A$2:$D$62,4,FALSE)</f>
        <v>18.894837209302327</v>
      </c>
      <c r="P160" s="17">
        <f t="shared" si="24"/>
        <v>14.089880106976747</v>
      </c>
      <c r="Q160" s="16" cm="1">
        <f t="array" ref="Q160">_xlfn.XLOOKUP(O160,BSFC!$A$2:$A$24,_xlfn.XLOOKUP(K160,BSFC!$B$1:$O$1,BSFC!$B$2:$O$24,,-1),,-1)</f>
        <v>480</v>
      </c>
      <c r="R160" s="17">
        <f t="shared" si="25"/>
        <v>1.8786506809302328</v>
      </c>
      <c r="S160" s="16">
        <f t="shared" si="27"/>
        <v>2.9183485335177264E-4</v>
      </c>
      <c r="T160" s="17">
        <f t="shared" si="31"/>
        <v>0.14008072960885087</v>
      </c>
      <c r="U160" s="16">
        <f t="shared" si="32"/>
        <v>25.298584796778719</v>
      </c>
      <c r="V160" s="17">
        <f t="shared" si="33"/>
        <v>5.0658551325930348E-2</v>
      </c>
      <c r="W160" s="16">
        <f t="shared" si="28"/>
        <v>182370.78477334924</v>
      </c>
      <c r="X160">
        <f>('Hybrid Info'!$A$2-Track!P160)*(L160-L159)*1000+X159</f>
        <v>-11441.069290341844</v>
      </c>
    </row>
    <row r="161" spans="1:24">
      <c r="A161" s="16">
        <f t="shared" si="29"/>
        <v>160</v>
      </c>
      <c r="B161" s="17">
        <f t="shared" si="30"/>
        <v>13.411199999999999</v>
      </c>
      <c r="C161" s="18">
        <f>Specification!$G$30</f>
        <v>109.96225200000001</v>
      </c>
      <c r="D161" s="17">
        <f>0.5*Specification!$K$4*Track!B161^2*Specification!$K$3*Specification!$K$2</f>
        <v>93.159842569492653</v>
      </c>
      <c r="E161" s="16">
        <v>0</v>
      </c>
      <c r="F161" s="17">
        <f>Specification!$C$23*9.81*SIN((E161*PI()/180))</f>
        <v>0</v>
      </c>
      <c r="G161" s="18">
        <f>IF(J161=1,VLOOKUP(K161,RPM!$E$2:$H$62,3,FALSE)-F161-E161-D161,IF(J161=2,VLOOKUP(K161,RPM!$H$2:$K$62,3,FALSE)-F161-E161-D161,IF(J161=3,VLOOKUP(K161,RPM!$K$2:$N$62,3,FALSE)-F161-E161-D161)))</f>
        <v>549.56217903827155</v>
      </c>
      <c r="H161" s="19">
        <f>IF(J161=1,Specification!$I$14,IF(J161=2,Specification!$I$15,IF(J161=3,Specification!$I$16)))</f>
        <v>578.93404261974786</v>
      </c>
      <c r="I161" s="16">
        <v>0</v>
      </c>
      <c r="J161" s="17">
        <v>3</v>
      </c>
      <c r="K161" s="16">
        <f>IF(J161=1,VLOOKUP(B161,RPM!$F$2:$H$62,3,TRUE),IF(J161=2,VLOOKUP(B161,RPM!$I$2:$K$62,3,TRUE),IF(J161=3,VLOOKUP(B161,RPM!$L$2:$N$62,3,TRUE))))</f>
        <v>4300</v>
      </c>
      <c r="L161" s="17">
        <f t="shared" si="26"/>
        <v>14.595232778038948</v>
      </c>
      <c r="M161" s="16">
        <f t="shared" si="23"/>
        <v>0</v>
      </c>
      <c r="N161" s="17">
        <f>VLOOKUP(K161,RPM!$A$2:$D$62,3,FALSE)</f>
        <v>11.4</v>
      </c>
      <c r="O161" s="16">
        <f>VLOOKUP(K161,RPM!$A$2:$D$62,4,FALSE)</f>
        <v>18.894837209302327</v>
      </c>
      <c r="P161" s="17">
        <f t="shared" si="24"/>
        <v>14.089880106976747</v>
      </c>
      <c r="Q161" s="16" cm="1">
        <f t="array" ref="Q161">_xlfn.XLOOKUP(O161,BSFC!$A$2:$A$24,_xlfn.XLOOKUP(K161,BSFC!$B$1:$O$1,BSFC!$B$2:$O$24,,-1),,-1)</f>
        <v>480</v>
      </c>
      <c r="R161" s="17">
        <f t="shared" si="25"/>
        <v>1.8786506809302328</v>
      </c>
      <c r="S161" s="16">
        <f t="shared" si="27"/>
        <v>2.9183485335177264E-4</v>
      </c>
      <c r="T161" s="17">
        <f t="shared" si="31"/>
        <v>0.14008072960885087</v>
      </c>
      <c r="U161" s="16">
        <f t="shared" si="32"/>
        <v>25.43866552638757</v>
      </c>
      <c r="V161" s="17">
        <f t="shared" si="33"/>
        <v>5.0950386179282124E-2</v>
      </c>
      <c r="W161" s="16">
        <f t="shared" si="28"/>
        <v>183421.39024541565</v>
      </c>
      <c r="X161">
        <f>('Hybrid Info'!$A$2-Track!P161)*(L161-L160)*1000+X160</f>
        <v>-11587.918603691254</v>
      </c>
    </row>
    <row r="162" spans="1:24">
      <c r="A162" s="16">
        <f t="shared" si="29"/>
        <v>161</v>
      </c>
      <c r="B162" s="17">
        <f t="shared" si="30"/>
        <v>13.411199999999999</v>
      </c>
      <c r="C162" s="18">
        <f>Specification!$G$30</f>
        <v>109.96225200000001</v>
      </c>
      <c r="D162" s="17">
        <f>0.5*Specification!$K$4*Track!B162^2*Specification!$K$3*Specification!$K$2</f>
        <v>93.159842569492653</v>
      </c>
      <c r="E162" s="16">
        <v>0</v>
      </c>
      <c r="F162" s="17">
        <f>Specification!$C$23*9.81*SIN((E162*PI()/180))</f>
        <v>0</v>
      </c>
      <c r="G162" s="18">
        <f>IF(J162=1,VLOOKUP(K162,RPM!$E$2:$H$62,3,FALSE)-F162-E162-D162,IF(J162=2,VLOOKUP(K162,RPM!$H$2:$K$62,3,FALSE)-F162-E162-D162,IF(J162=3,VLOOKUP(K162,RPM!$K$2:$N$62,3,FALSE)-F162-E162-D162)))</f>
        <v>549.56217903827155</v>
      </c>
      <c r="H162" s="19">
        <f>IF(J162=1,Specification!$I$14,IF(J162=2,Specification!$I$15,IF(J162=3,Specification!$I$16)))</f>
        <v>578.93404261974786</v>
      </c>
      <c r="I162" s="16">
        <v>0</v>
      </c>
      <c r="J162" s="17">
        <v>3</v>
      </c>
      <c r="K162" s="16">
        <f>IF(J162=1,VLOOKUP(B162,RPM!$F$2:$H$62,3,TRUE),IF(J162=2,VLOOKUP(B162,RPM!$I$2:$K$62,3,TRUE),IF(J162=3,VLOOKUP(B162,RPM!$L$2:$N$62,3,TRUE))))</f>
        <v>4300</v>
      </c>
      <c r="L162" s="17">
        <f t="shared" si="26"/>
        <v>14.669797321107428</v>
      </c>
      <c r="M162" s="16">
        <f t="shared" si="23"/>
        <v>0</v>
      </c>
      <c r="N162" s="17">
        <f>VLOOKUP(K162,RPM!$A$2:$D$62,3,FALSE)</f>
        <v>11.4</v>
      </c>
      <c r="O162" s="16">
        <f>VLOOKUP(K162,RPM!$A$2:$D$62,4,FALSE)</f>
        <v>18.894837209302327</v>
      </c>
      <c r="P162" s="17">
        <f t="shared" si="24"/>
        <v>14.089880106976747</v>
      </c>
      <c r="Q162" s="16" cm="1">
        <f t="array" ref="Q162">_xlfn.XLOOKUP(O162,BSFC!$A$2:$A$24,_xlfn.XLOOKUP(K162,BSFC!$B$1:$O$1,BSFC!$B$2:$O$24,,-1),,-1)</f>
        <v>480</v>
      </c>
      <c r="R162" s="17">
        <f t="shared" si="25"/>
        <v>1.8786506809302328</v>
      </c>
      <c r="S162" s="16">
        <f t="shared" si="27"/>
        <v>2.9183485335177264E-4</v>
      </c>
      <c r="T162" s="17">
        <f t="shared" si="31"/>
        <v>0.14008072960885087</v>
      </c>
      <c r="U162" s="16">
        <f t="shared" si="32"/>
        <v>25.578746255996421</v>
      </c>
      <c r="V162" s="17">
        <f t="shared" si="33"/>
        <v>5.12422210326339E-2</v>
      </c>
      <c r="W162" s="16">
        <f t="shared" si="28"/>
        <v>184471.99571748203</v>
      </c>
      <c r="X162">
        <f>('Hybrid Info'!$A$2-Track!P162)*(L162-L161)*1000+X161</f>
        <v>-11734.767917040665</v>
      </c>
    </row>
    <row r="163" spans="1:24">
      <c r="A163" s="16">
        <f t="shared" si="29"/>
        <v>162</v>
      </c>
      <c r="B163" s="17">
        <f t="shared" si="30"/>
        <v>13.411199999999999</v>
      </c>
      <c r="C163" s="18">
        <f>Specification!$G$30</f>
        <v>109.96225200000001</v>
      </c>
      <c r="D163" s="17">
        <f>0.5*Specification!$K$4*Track!B163^2*Specification!$K$3*Specification!$K$2</f>
        <v>93.159842569492653</v>
      </c>
      <c r="E163" s="16">
        <v>0</v>
      </c>
      <c r="F163" s="17">
        <f>Specification!$C$23*9.81*SIN((E163*PI()/180))</f>
        <v>0</v>
      </c>
      <c r="G163" s="18">
        <f>IF(J163=1,VLOOKUP(K163,RPM!$E$2:$H$62,3,FALSE)-F163-E163-D163,IF(J163=2,VLOOKUP(K163,RPM!$H$2:$K$62,3,FALSE)-F163-E163-D163,IF(J163=3,VLOOKUP(K163,RPM!$K$2:$N$62,3,FALSE)-F163-E163-D163)))</f>
        <v>549.56217903827155</v>
      </c>
      <c r="H163" s="19">
        <f>IF(J163=1,Specification!$I$14,IF(J163=2,Specification!$I$15,IF(J163=3,Specification!$I$16)))</f>
        <v>578.93404261974786</v>
      </c>
      <c r="I163" s="16">
        <v>0</v>
      </c>
      <c r="J163" s="17">
        <v>3</v>
      </c>
      <c r="K163" s="16">
        <f>IF(J163=1,VLOOKUP(B163,RPM!$F$2:$H$62,3,TRUE),IF(J163=2,VLOOKUP(B163,RPM!$I$2:$K$62,3,TRUE),IF(J163=3,VLOOKUP(B163,RPM!$L$2:$N$62,3,TRUE))))</f>
        <v>4300</v>
      </c>
      <c r="L163" s="17">
        <f t="shared" si="26"/>
        <v>14.744361864175907</v>
      </c>
      <c r="M163" s="16">
        <f t="shared" si="23"/>
        <v>0</v>
      </c>
      <c r="N163" s="17">
        <f>VLOOKUP(K163,RPM!$A$2:$D$62,3,FALSE)</f>
        <v>11.4</v>
      </c>
      <c r="O163" s="16">
        <f>VLOOKUP(K163,RPM!$A$2:$D$62,4,FALSE)</f>
        <v>18.894837209302327</v>
      </c>
      <c r="P163" s="17">
        <f t="shared" si="24"/>
        <v>14.089880106976747</v>
      </c>
      <c r="Q163" s="16" cm="1">
        <f t="array" ref="Q163">_xlfn.XLOOKUP(O163,BSFC!$A$2:$A$24,_xlfn.XLOOKUP(K163,BSFC!$B$1:$O$1,BSFC!$B$2:$O$24,,-1),,-1)</f>
        <v>480</v>
      </c>
      <c r="R163" s="17">
        <f t="shared" si="25"/>
        <v>1.8786506809302328</v>
      </c>
      <c r="S163" s="16">
        <f t="shared" si="27"/>
        <v>2.9183485335177264E-4</v>
      </c>
      <c r="T163" s="17">
        <f t="shared" si="31"/>
        <v>0.14008072960885087</v>
      </c>
      <c r="U163" s="16">
        <f t="shared" si="32"/>
        <v>25.718826985605272</v>
      </c>
      <c r="V163" s="17">
        <f t="shared" si="33"/>
        <v>5.1534055885985676E-2</v>
      </c>
      <c r="W163" s="16">
        <f t="shared" si="28"/>
        <v>185522.60118954841</v>
      </c>
      <c r="X163">
        <f>('Hybrid Info'!$A$2-Track!P163)*(L163-L162)*1000+X162</f>
        <v>-11881.617230390075</v>
      </c>
    </row>
    <row r="164" spans="1:24">
      <c r="A164" s="16">
        <f t="shared" si="29"/>
        <v>163</v>
      </c>
      <c r="B164" s="17">
        <f t="shared" si="30"/>
        <v>13.411199999999999</v>
      </c>
      <c r="C164" s="18">
        <f>Specification!$G$30</f>
        <v>109.96225200000001</v>
      </c>
      <c r="D164" s="17">
        <f>0.5*Specification!$K$4*Track!B164^2*Specification!$K$3*Specification!$K$2</f>
        <v>93.159842569492653</v>
      </c>
      <c r="E164" s="16">
        <v>0</v>
      </c>
      <c r="F164" s="17">
        <f>Specification!$C$23*9.81*SIN((E164*PI()/180))</f>
        <v>0</v>
      </c>
      <c r="G164" s="18">
        <f>IF(J164=1,VLOOKUP(K164,RPM!$E$2:$H$62,3,FALSE)-F164-E164-D164,IF(J164=2,VLOOKUP(K164,RPM!$H$2:$K$62,3,FALSE)-F164-E164-D164,IF(J164=3,VLOOKUP(K164,RPM!$K$2:$N$62,3,FALSE)-F164-E164-D164)))</f>
        <v>549.56217903827155</v>
      </c>
      <c r="H164" s="19">
        <f>IF(J164=1,Specification!$I$14,IF(J164=2,Specification!$I$15,IF(J164=3,Specification!$I$16)))</f>
        <v>578.93404261974786</v>
      </c>
      <c r="I164" s="16">
        <v>0</v>
      </c>
      <c r="J164" s="17">
        <v>3</v>
      </c>
      <c r="K164" s="16">
        <f>IF(J164=1,VLOOKUP(B164,RPM!$F$2:$H$62,3,TRUE),IF(J164=2,VLOOKUP(B164,RPM!$I$2:$K$62,3,TRUE),IF(J164=3,VLOOKUP(B164,RPM!$L$2:$N$62,3,TRUE))))</f>
        <v>4300</v>
      </c>
      <c r="L164" s="17">
        <f t="shared" si="26"/>
        <v>14.818926407244387</v>
      </c>
      <c r="M164" s="16">
        <f t="shared" si="23"/>
        <v>0</v>
      </c>
      <c r="N164" s="17">
        <f>VLOOKUP(K164,RPM!$A$2:$D$62,3,FALSE)</f>
        <v>11.4</v>
      </c>
      <c r="O164" s="16">
        <f>VLOOKUP(K164,RPM!$A$2:$D$62,4,FALSE)</f>
        <v>18.894837209302327</v>
      </c>
      <c r="P164" s="17">
        <f t="shared" si="24"/>
        <v>14.089880106976747</v>
      </c>
      <c r="Q164" s="16" cm="1">
        <f t="array" ref="Q164">_xlfn.XLOOKUP(O164,BSFC!$A$2:$A$24,_xlfn.XLOOKUP(K164,BSFC!$B$1:$O$1,BSFC!$B$2:$O$24,,-1),,-1)</f>
        <v>480</v>
      </c>
      <c r="R164" s="17">
        <f t="shared" si="25"/>
        <v>1.8786506809302328</v>
      </c>
      <c r="S164" s="16">
        <f t="shared" si="27"/>
        <v>2.9183485335177264E-4</v>
      </c>
      <c r="T164" s="17">
        <f t="shared" si="31"/>
        <v>0.14008072960885087</v>
      </c>
      <c r="U164" s="16">
        <f t="shared" si="32"/>
        <v>25.858907715214123</v>
      </c>
      <c r="V164" s="17">
        <f t="shared" si="33"/>
        <v>5.1825890739337452E-2</v>
      </c>
      <c r="W164" s="16">
        <f t="shared" si="28"/>
        <v>186573.20666161482</v>
      </c>
      <c r="X164">
        <f>('Hybrid Info'!$A$2-Track!P164)*(L164-L163)*1000+X163</f>
        <v>-12028.466543739485</v>
      </c>
    </row>
    <row r="165" spans="1:24">
      <c r="A165" s="16">
        <f t="shared" si="29"/>
        <v>164</v>
      </c>
      <c r="B165" s="17">
        <f t="shared" si="30"/>
        <v>13.411199999999999</v>
      </c>
      <c r="C165" s="18">
        <f>Specification!$G$30</f>
        <v>109.96225200000001</v>
      </c>
      <c r="D165" s="17">
        <f>0.5*Specification!$K$4*Track!B165^2*Specification!$K$3*Specification!$K$2</f>
        <v>93.159842569492653</v>
      </c>
      <c r="E165" s="16">
        <v>0</v>
      </c>
      <c r="F165" s="17">
        <f>Specification!$C$23*9.81*SIN((E165*PI()/180))</f>
        <v>0</v>
      </c>
      <c r="G165" s="18">
        <f>IF(J165=1,VLOOKUP(K165,RPM!$E$2:$H$62,3,FALSE)-F165-E165-D165,IF(J165=2,VLOOKUP(K165,RPM!$H$2:$K$62,3,FALSE)-F165-E165-D165,IF(J165=3,VLOOKUP(K165,RPM!$K$2:$N$62,3,FALSE)-F165-E165-D165)))</f>
        <v>549.56217903827155</v>
      </c>
      <c r="H165" s="19">
        <f>IF(J165=1,Specification!$I$14,IF(J165=2,Specification!$I$15,IF(J165=3,Specification!$I$16)))</f>
        <v>578.93404261974786</v>
      </c>
      <c r="I165" s="16">
        <v>0</v>
      </c>
      <c r="J165" s="17">
        <v>3</v>
      </c>
      <c r="K165" s="16">
        <f>IF(J165=1,VLOOKUP(B165,RPM!$F$2:$H$62,3,TRUE),IF(J165=2,VLOOKUP(B165,RPM!$I$2:$K$62,3,TRUE),IF(J165=3,VLOOKUP(B165,RPM!$L$2:$N$62,3,TRUE))))</f>
        <v>4300</v>
      </c>
      <c r="L165" s="17">
        <f t="shared" si="26"/>
        <v>14.893490950312867</v>
      </c>
      <c r="M165" s="16">
        <f t="shared" si="23"/>
        <v>0</v>
      </c>
      <c r="N165" s="17">
        <f>VLOOKUP(K165,RPM!$A$2:$D$62,3,FALSE)</f>
        <v>11.4</v>
      </c>
      <c r="O165" s="16">
        <f>VLOOKUP(K165,RPM!$A$2:$D$62,4,FALSE)</f>
        <v>18.894837209302327</v>
      </c>
      <c r="P165" s="17">
        <f t="shared" si="24"/>
        <v>14.089880106976747</v>
      </c>
      <c r="Q165" s="16" cm="1">
        <f t="array" ref="Q165">_xlfn.XLOOKUP(O165,BSFC!$A$2:$A$24,_xlfn.XLOOKUP(K165,BSFC!$B$1:$O$1,BSFC!$B$2:$O$24,,-1),,-1)</f>
        <v>480</v>
      </c>
      <c r="R165" s="17">
        <f t="shared" si="25"/>
        <v>1.8786506809302328</v>
      </c>
      <c r="S165" s="16">
        <f t="shared" si="27"/>
        <v>2.9183485335177264E-4</v>
      </c>
      <c r="T165" s="17">
        <f t="shared" si="31"/>
        <v>0.14008072960885087</v>
      </c>
      <c r="U165" s="16">
        <f t="shared" si="32"/>
        <v>25.998988444822974</v>
      </c>
      <c r="V165" s="17">
        <f t="shared" si="33"/>
        <v>5.2117725592689228E-2</v>
      </c>
      <c r="W165" s="16">
        <f t="shared" si="28"/>
        <v>187623.8121336812</v>
      </c>
      <c r="X165">
        <f>('Hybrid Info'!$A$2-Track!P165)*(L165-L164)*1000+X164</f>
        <v>-12175.315857088895</v>
      </c>
    </row>
    <row r="166" spans="1:24">
      <c r="A166" s="16">
        <f t="shared" si="29"/>
        <v>165</v>
      </c>
      <c r="B166" s="17">
        <f t="shared" si="30"/>
        <v>13.411199999999999</v>
      </c>
      <c r="C166" s="18">
        <f>Specification!$G$30</f>
        <v>109.96225200000001</v>
      </c>
      <c r="D166" s="17">
        <f>0.5*Specification!$K$4*Track!B166^2*Specification!$K$3*Specification!$K$2</f>
        <v>93.159842569492653</v>
      </c>
      <c r="E166" s="16">
        <v>0</v>
      </c>
      <c r="F166" s="17">
        <f>Specification!$C$23*9.81*SIN((E166*PI()/180))</f>
        <v>0</v>
      </c>
      <c r="G166" s="18">
        <f>IF(J166=1,VLOOKUP(K166,RPM!$E$2:$H$62,3,FALSE)-F166-E166-D166,IF(J166=2,VLOOKUP(K166,RPM!$H$2:$K$62,3,FALSE)-F166-E166-D166,IF(J166=3,VLOOKUP(K166,RPM!$K$2:$N$62,3,FALSE)-F166-E166-D166)))</f>
        <v>549.56217903827155</v>
      </c>
      <c r="H166" s="19">
        <f>IF(J166=1,Specification!$I$14,IF(J166=2,Specification!$I$15,IF(J166=3,Specification!$I$16)))</f>
        <v>578.93404261974786</v>
      </c>
      <c r="I166" s="16">
        <v>0</v>
      </c>
      <c r="J166" s="17">
        <v>3</v>
      </c>
      <c r="K166" s="16">
        <f>IF(J166=1,VLOOKUP(B166,RPM!$F$2:$H$62,3,TRUE),IF(J166=2,VLOOKUP(B166,RPM!$I$2:$K$62,3,TRUE),IF(J166=3,VLOOKUP(B166,RPM!$L$2:$N$62,3,TRUE))))</f>
        <v>4300</v>
      </c>
      <c r="L166" s="17">
        <f t="shared" si="26"/>
        <v>14.968055493381346</v>
      </c>
      <c r="M166" s="16">
        <f t="shared" si="23"/>
        <v>0</v>
      </c>
      <c r="N166" s="17">
        <f>VLOOKUP(K166,RPM!$A$2:$D$62,3,FALSE)</f>
        <v>11.4</v>
      </c>
      <c r="O166" s="16">
        <f>VLOOKUP(K166,RPM!$A$2:$D$62,4,FALSE)</f>
        <v>18.894837209302327</v>
      </c>
      <c r="P166" s="17">
        <f t="shared" si="24"/>
        <v>14.089880106976747</v>
      </c>
      <c r="Q166" s="16" cm="1">
        <f t="array" ref="Q166">_xlfn.XLOOKUP(O166,BSFC!$A$2:$A$24,_xlfn.XLOOKUP(K166,BSFC!$B$1:$O$1,BSFC!$B$2:$O$24,,-1),,-1)</f>
        <v>480</v>
      </c>
      <c r="R166" s="17">
        <f t="shared" si="25"/>
        <v>1.8786506809302328</v>
      </c>
      <c r="S166" s="16">
        <f t="shared" si="27"/>
        <v>2.9183485335177264E-4</v>
      </c>
      <c r="T166" s="17">
        <f t="shared" si="31"/>
        <v>0.14008072960885087</v>
      </c>
      <c r="U166" s="16">
        <f t="shared" si="32"/>
        <v>26.139069174431825</v>
      </c>
      <c r="V166" s="17">
        <f t="shared" si="33"/>
        <v>5.2409560446041004E-2</v>
      </c>
      <c r="W166" s="16">
        <f t="shared" si="28"/>
        <v>188674.41760574761</v>
      </c>
      <c r="X166">
        <f>('Hybrid Info'!$A$2-Track!P166)*(L166-L165)*1000+X165</f>
        <v>-12322.165170438306</v>
      </c>
    </row>
    <row r="167" spans="1:24">
      <c r="A167" s="16">
        <f t="shared" si="29"/>
        <v>166</v>
      </c>
      <c r="B167" s="17">
        <f t="shared" si="30"/>
        <v>13.411199999999999</v>
      </c>
      <c r="C167" s="18">
        <f>Specification!$G$30</f>
        <v>109.96225200000001</v>
      </c>
      <c r="D167" s="17">
        <f>0.5*Specification!$K$4*Track!B167^2*Specification!$K$3*Specification!$K$2</f>
        <v>93.159842569492653</v>
      </c>
      <c r="E167" s="16">
        <v>0</v>
      </c>
      <c r="F167" s="17">
        <f>Specification!$C$23*9.81*SIN((E167*PI()/180))</f>
        <v>0</v>
      </c>
      <c r="G167" s="18">
        <f>IF(J167=1,VLOOKUP(K167,RPM!$E$2:$H$62,3,FALSE)-F167-E167-D167,IF(J167=2,VLOOKUP(K167,RPM!$H$2:$K$62,3,FALSE)-F167-E167-D167,IF(J167=3,VLOOKUP(K167,RPM!$K$2:$N$62,3,FALSE)-F167-E167-D167)))</f>
        <v>549.56217903827155</v>
      </c>
      <c r="H167" s="19">
        <f>IF(J167=1,Specification!$I$14,IF(J167=2,Specification!$I$15,IF(J167=3,Specification!$I$16)))</f>
        <v>578.93404261974786</v>
      </c>
      <c r="I167" s="16">
        <v>0</v>
      </c>
      <c r="J167" s="17">
        <v>3</v>
      </c>
      <c r="K167" s="16">
        <f>IF(J167=1,VLOOKUP(B167,RPM!$F$2:$H$62,3,TRUE),IF(J167=2,VLOOKUP(B167,RPM!$I$2:$K$62,3,TRUE),IF(J167=3,VLOOKUP(B167,RPM!$L$2:$N$62,3,TRUE))))</f>
        <v>4300</v>
      </c>
      <c r="L167" s="17">
        <f t="shared" si="26"/>
        <v>15.042620036449826</v>
      </c>
      <c r="M167" s="16">
        <f t="shared" si="23"/>
        <v>0</v>
      </c>
      <c r="N167" s="17">
        <f>VLOOKUP(K167,RPM!$A$2:$D$62,3,FALSE)</f>
        <v>11.4</v>
      </c>
      <c r="O167" s="16">
        <f>VLOOKUP(K167,RPM!$A$2:$D$62,4,FALSE)</f>
        <v>18.894837209302327</v>
      </c>
      <c r="P167" s="17">
        <f t="shared" si="24"/>
        <v>14.089880106976747</v>
      </c>
      <c r="Q167" s="16" cm="1">
        <f t="array" ref="Q167">_xlfn.XLOOKUP(O167,BSFC!$A$2:$A$24,_xlfn.XLOOKUP(K167,BSFC!$B$1:$O$1,BSFC!$B$2:$O$24,,-1),,-1)</f>
        <v>480</v>
      </c>
      <c r="R167" s="17">
        <f t="shared" si="25"/>
        <v>1.8786506809302328</v>
      </c>
      <c r="S167" s="16">
        <f t="shared" si="27"/>
        <v>2.9183485335177264E-4</v>
      </c>
      <c r="T167" s="17">
        <f t="shared" si="31"/>
        <v>0.14008072960885087</v>
      </c>
      <c r="U167" s="16">
        <f t="shared" si="32"/>
        <v>26.279149904040676</v>
      </c>
      <c r="V167" s="17">
        <f t="shared" si="33"/>
        <v>5.270139529939278E-2</v>
      </c>
      <c r="W167" s="16">
        <f t="shared" si="28"/>
        <v>189725.023077814</v>
      </c>
      <c r="X167">
        <f>('Hybrid Info'!$A$2-Track!P167)*(L167-L166)*1000+X166</f>
        <v>-12469.014483787716</v>
      </c>
    </row>
    <row r="168" spans="1:24">
      <c r="A168" s="16">
        <f t="shared" si="29"/>
        <v>167</v>
      </c>
      <c r="B168" s="17">
        <f t="shared" si="30"/>
        <v>13.411199999999999</v>
      </c>
      <c r="C168" s="18">
        <f>Specification!$G$30</f>
        <v>109.96225200000001</v>
      </c>
      <c r="D168" s="17">
        <f>0.5*Specification!$K$4*Track!B168^2*Specification!$K$3*Specification!$K$2</f>
        <v>93.159842569492653</v>
      </c>
      <c r="E168" s="16">
        <v>0</v>
      </c>
      <c r="F168" s="17">
        <f>Specification!$C$23*9.81*SIN((E168*PI()/180))</f>
        <v>0</v>
      </c>
      <c r="G168" s="18">
        <f>IF(J168=1,VLOOKUP(K168,RPM!$E$2:$H$62,3,FALSE)-F168-E168-D168,IF(J168=2,VLOOKUP(K168,RPM!$H$2:$K$62,3,FALSE)-F168-E168-D168,IF(J168=3,VLOOKUP(K168,RPM!$K$2:$N$62,3,FALSE)-F168-E168-D168)))</f>
        <v>549.56217903827155</v>
      </c>
      <c r="H168" s="19">
        <f>IF(J168=1,Specification!$I$14,IF(J168=2,Specification!$I$15,IF(J168=3,Specification!$I$16)))</f>
        <v>578.93404261974786</v>
      </c>
      <c r="I168" s="16">
        <v>0</v>
      </c>
      <c r="J168" s="17">
        <v>3</v>
      </c>
      <c r="K168" s="16">
        <f>IF(J168=1,VLOOKUP(B168,RPM!$F$2:$H$62,3,TRUE),IF(J168=2,VLOOKUP(B168,RPM!$I$2:$K$62,3,TRUE),IF(J168=3,VLOOKUP(B168,RPM!$L$2:$N$62,3,TRUE))))</f>
        <v>4300</v>
      </c>
      <c r="L168" s="17">
        <f t="shared" si="26"/>
        <v>15.117184579518305</v>
      </c>
      <c r="M168" s="16">
        <f t="shared" si="23"/>
        <v>0</v>
      </c>
      <c r="N168" s="17">
        <f>VLOOKUP(K168,RPM!$A$2:$D$62,3,FALSE)</f>
        <v>11.4</v>
      </c>
      <c r="O168" s="16">
        <f>VLOOKUP(K168,RPM!$A$2:$D$62,4,FALSE)</f>
        <v>18.894837209302327</v>
      </c>
      <c r="P168" s="17">
        <f t="shared" si="24"/>
        <v>14.089880106976747</v>
      </c>
      <c r="Q168" s="16" cm="1">
        <f t="array" ref="Q168">_xlfn.XLOOKUP(O168,BSFC!$A$2:$A$24,_xlfn.XLOOKUP(K168,BSFC!$B$1:$O$1,BSFC!$B$2:$O$24,,-1),,-1)</f>
        <v>480</v>
      </c>
      <c r="R168" s="17">
        <f t="shared" si="25"/>
        <v>1.8786506809302328</v>
      </c>
      <c r="S168" s="16">
        <f t="shared" si="27"/>
        <v>2.9183485335177264E-4</v>
      </c>
      <c r="T168" s="17">
        <f t="shared" si="31"/>
        <v>0.14008072960885087</v>
      </c>
      <c r="U168" s="16">
        <f t="shared" si="32"/>
        <v>26.419230633649526</v>
      </c>
      <c r="V168" s="17">
        <f t="shared" si="33"/>
        <v>5.2993230152744555E-2</v>
      </c>
      <c r="W168" s="16">
        <f t="shared" si="28"/>
        <v>190775.62854988041</v>
      </c>
      <c r="X168">
        <f>('Hybrid Info'!$A$2-Track!P168)*(L168-L167)*1000+X167</f>
        <v>-12615.863797137126</v>
      </c>
    </row>
    <row r="169" spans="1:24">
      <c r="A169" s="16">
        <f t="shared" si="29"/>
        <v>168</v>
      </c>
      <c r="B169" s="17">
        <f t="shared" si="30"/>
        <v>13.411199999999999</v>
      </c>
      <c r="C169" s="18">
        <f>Specification!$G$30</f>
        <v>109.96225200000001</v>
      </c>
      <c r="D169" s="17">
        <f>0.5*Specification!$K$4*Track!B169^2*Specification!$K$3*Specification!$K$2</f>
        <v>93.159842569492653</v>
      </c>
      <c r="E169" s="16">
        <v>0</v>
      </c>
      <c r="F169" s="17">
        <f>Specification!$C$23*9.81*SIN((E169*PI()/180))</f>
        <v>0</v>
      </c>
      <c r="G169" s="18">
        <f>IF(J169=1,VLOOKUP(K169,RPM!$E$2:$H$62,3,FALSE)-F169-E169-D169,IF(J169=2,VLOOKUP(K169,RPM!$H$2:$K$62,3,FALSE)-F169-E169-D169,IF(J169=3,VLOOKUP(K169,RPM!$K$2:$N$62,3,FALSE)-F169-E169-D169)))</f>
        <v>549.56217903827155</v>
      </c>
      <c r="H169" s="19">
        <f>IF(J169=1,Specification!$I$14,IF(J169=2,Specification!$I$15,IF(J169=3,Specification!$I$16)))</f>
        <v>578.93404261974786</v>
      </c>
      <c r="I169" s="16">
        <v>0</v>
      </c>
      <c r="J169" s="17">
        <v>3</v>
      </c>
      <c r="K169" s="16">
        <f>IF(J169=1,VLOOKUP(B169,RPM!$F$2:$H$62,3,TRUE),IF(J169=2,VLOOKUP(B169,RPM!$I$2:$K$62,3,TRUE),IF(J169=3,VLOOKUP(B169,RPM!$L$2:$N$62,3,TRUE))))</f>
        <v>4300</v>
      </c>
      <c r="L169" s="17">
        <f t="shared" si="26"/>
        <v>15.191749122586785</v>
      </c>
      <c r="M169" s="16">
        <f t="shared" si="23"/>
        <v>0</v>
      </c>
      <c r="N169" s="17">
        <f>VLOOKUP(K169,RPM!$A$2:$D$62,3,FALSE)</f>
        <v>11.4</v>
      </c>
      <c r="O169" s="16">
        <f>VLOOKUP(K169,RPM!$A$2:$D$62,4,FALSE)</f>
        <v>18.894837209302327</v>
      </c>
      <c r="P169" s="17">
        <f t="shared" si="24"/>
        <v>14.089880106976747</v>
      </c>
      <c r="Q169" s="16" cm="1">
        <f t="array" ref="Q169">_xlfn.XLOOKUP(O169,BSFC!$A$2:$A$24,_xlfn.XLOOKUP(K169,BSFC!$B$1:$O$1,BSFC!$B$2:$O$24,,-1),,-1)</f>
        <v>480</v>
      </c>
      <c r="R169" s="17">
        <f t="shared" si="25"/>
        <v>1.8786506809302328</v>
      </c>
      <c r="S169" s="16">
        <f t="shared" si="27"/>
        <v>2.9183485335177264E-4</v>
      </c>
      <c r="T169" s="17">
        <f t="shared" si="31"/>
        <v>0.14008072960885087</v>
      </c>
      <c r="U169" s="16">
        <f t="shared" si="32"/>
        <v>26.559311363258377</v>
      </c>
      <c r="V169" s="17">
        <f t="shared" si="33"/>
        <v>5.3285065006096331E-2</v>
      </c>
      <c r="W169" s="16">
        <f t="shared" si="28"/>
        <v>191826.23402194679</v>
      </c>
      <c r="X169">
        <f>('Hybrid Info'!$A$2-Track!P169)*(L169-L168)*1000+X168</f>
        <v>-12762.713110486537</v>
      </c>
    </row>
    <row r="170" spans="1:24">
      <c r="A170" s="16">
        <f t="shared" si="29"/>
        <v>169</v>
      </c>
      <c r="B170" s="17">
        <f t="shared" si="30"/>
        <v>13.411199999999999</v>
      </c>
      <c r="C170" s="18">
        <f>Specification!$G$30</f>
        <v>109.96225200000001</v>
      </c>
      <c r="D170" s="17">
        <f>0.5*Specification!$K$4*Track!B170^2*Specification!$K$3*Specification!$K$2</f>
        <v>93.159842569492653</v>
      </c>
      <c r="E170" s="16">
        <v>0</v>
      </c>
      <c r="F170" s="17">
        <f>Specification!$C$23*9.81*SIN((E170*PI()/180))</f>
        <v>0</v>
      </c>
      <c r="G170" s="18">
        <f>IF(J170=1,VLOOKUP(K170,RPM!$E$2:$H$62,3,FALSE)-F170-E170-D170,IF(J170=2,VLOOKUP(K170,RPM!$H$2:$K$62,3,FALSE)-F170-E170-D170,IF(J170=3,VLOOKUP(K170,RPM!$K$2:$N$62,3,FALSE)-F170-E170-D170)))</f>
        <v>549.56217903827155</v>
      </c>
      <c r="H170" s="19">
        <f>IF(J170=1,Specification!$I$14,IF(J170=2,Specification!$I$15,IF(J170=3,Specification!$I$16)))</f>
        <v>578.93404261974786</v>
      </c>
      <c r="I170" s="16">
        <v>0</v>
      </c>
      <c r="J170" s="17">
        <v>3</v>
      </c>
      <c r="K170" s="16">
        <f>IF(J170=1,VLOOKUP(B170,RPM!$F$2:$H$62,3,TRUE),IF(J170=2,VLOOKUP(B170,RPM!$I$2:$K$62,3,TRUE),IF(J170=3,VLOOKUP(B170,RPM!$L$2:$N$62,3,TRUE))))</f>
        <v>4300</v>
      </c>
      <c r="L170" s="17">
        <f t="shared" si="26"/>
        <v>15.266313665655264</v>
      </c>
      <c r="M170" s="16">
        <f t="shared" si="23"/>
        <v>0</v>
      </c>
      <c r="N170" s="17">
        <f>VLOOKUP(K170,RPM!$A$2:$D$62,3,FALSE)</f>
        <v>11.4</v>
      </c>
      <c r="O170" s="16">
        <f>VLOOKUP(K170,RPM!$A$2:$D$62,4,FALSE)</f>
        <v>18.894837209302327</v>
      </c>
      <c r="P170" s="17">
        <f t="shared" si="24"/>
        <v>14.089880106976747</v>
      </c>
      <c r="Q170" s="16" cm="1">
        <f t="array" ref="Q170">_xlfn.XLOOKUP(O170,BSFC!$A$2:$A$24,_xlfn.XLOOKUP(K170,BSFC!$B$1:$O$1,BSFC!$B$2:$O$24,,-1),,-1)</f>
        <v>480</v>
      </c>
      <c r="R170" s="17">
        <f t="shared" si="25"/>
        <v>1.8786506809302328</v>
      </c>
      <c r="S170" s="16">
        <f t="shared" si="27"/>
        <v>2.9183485335177264E-4</v>
      </c>
      <c r="T170" s="17">
        <f t="shared" si="31"/>
        <v>0.14008072960885087</v>
      </c>
      <c r="U170" s="16">
        <f t="shared" si="32"/>
        <v>26.699392092867228</v>
      </c>
      <c r="V170" s="17">
        <f t="shared" si="33"/>
        <v>5.3576899859448107E-2</v>
      </c>
      <c r="W170" s="16">
        <f t="shared" si="28"/>
        <v>192876.83949401317</v>
      </c>
      <c r="X170">
        <f>('Hybrid Info'!$A$2-Track!P170)*(L170-L169)*1000+X169</f>
        <v>-12909.562423835947</v>
      </c>
    </row>
    <row r="171" spans="1:24">
      <c r="A171" s="16">
        <f t="shared" si="29"/>
        <v>170</v>
      </c>
      <c r="B171" s="17">
        <f t="shared" si="30"/>
        <v>13.411199999999999</v>
      </c>
      <c r="C171" s="18">
        <f>Specification!$G$30</f>
        <v>109.96225200000001</v>
      </c>
      <c r="D171" s="17">
        <f>0.5*Specification!$K$4*Track!B171^2*Specification!$K$3*Specification!$K$2</f>
        <v>93.159842569492653</v>
      </c>
      <c r="E171" s="16">
        <v>0</v>
      </c>
      <c r="F171" s="17">
        <f>Specification!$C$23*9.81*SIN((E171*PI()/180))</f>
        <v>0</v>
      </c>
      <c r="G171" s="18">
        <f>IF(J171=1,VLOOKUP(K171,RPM!$E$2:$H$62,3,FALSE)-F171-E171-D171,IF(J171=2,VLOOKUP(K171,RPM!$H$2:$K$62,3,FALSE)-F171-E171-D171,IF(J171=3,VLOOKUP(K171,RPM!$K$2:$N$62,3,FALSE)-F171-E171-D171)))</f>
        <v>549.56217903827155</v>
      </c>
      <c r="H171" s="19">
        <f>IF(J171=1,Specification!$I$14,IF(J171=2,Specification!$I$15,IF(J171=3,Specification!$I$16)))</f>
        <v>578.93404261974786</v>
      </c>
      <c r="I171" s="16">
        <v>0</v>
      </c>
      <c r="J171" s="17">
        <v>3</v>
      </c>
      <c r="K171" s="16">
        <f>IF(J171=1,VLOOKUP(B171,RPM!$F$2:$H$62,3,TRUE),IF(J171=2,VLOOKUP(B171,RPM!$I$2:$K$62,3,TRUE),IF(J171=3,VLOOKUP(B171,RPM!$L$2:$N$62,3,TRUE))))</f>
        <v>4300</v>
      </c>
      <c r="L171" s="17">
        <f t="shared" si="26"/>
        <v>15.340878208723744</v>
      </c>
      <c r="M171" s="16">
        <f t="shared" si="23"/>
        <v>0</v>
      </c>
      <c r="N171" s="17">
        <f>VLOOKUP(K171,RPM!$A$2:$D$62,3,FALSE)</f>
        <v>11.4</v>
      </c>
      <c r="O171" s="16">
        <f>VLOOKUP(K171,RPM!$A$2:$D$62,4,FALSE)</f>
        <v>18.894837209302327</v>
      </c>
      <c r="P171" s="17">
        <f t="shared" si="24"/>
        <v>14.089880106976747</v>
      </c>
      <c r="Q171" s="16" cm="1">
        <f t="array" ref="Q171">_xlfn.XLOOKUP(O171,BSFC!$A$2:$A$24,_xlfn.XLOOKUP(K171,BSFC!$B$1:$O$1,BSFC!$B$2:$O$24,,-1),,-1)</f>
        <v>480</v>
      </c>
      <c r="R171" s="17">
        <f t="shared" si="25"/>
        <v>1.8786506809302328</v>
      </c>
      <c r="S171" s="16">
        <f t="shared" si="27"/>
        <v>2.9183485335177264E-4</v>
      </c>
      <c r="T171" s="17">
        <f t="shared" si="31"/>
        <v>0.14008072960885087</v>
      </c>
      <c r="U171" s="16">
        <f t="shared" si="32"/>
        <v>26.839472822476079</v>
      </c>
      <c r="V171" s="17">
        <f t="shared" si="33"/>
        <v>5.3868734712799883E-2</v>
      </c>
      <c r="W171" s="16">
        <f t="shared" si="28"/>
        <v>193927.44496607958</v>
      </c>
      <c r="X171">
        <f>('Hybrid Info'!$A$2-Track!P171)*(L171-L170)*1000+X170</f>
        <v>-13056.411737185357</v>
      </c>
    </row>
    <row r="172" spans="1:24">
      <c r="A172" s="16">
        <f t="shared" si="29"/>
        <v>171</v>
      </c>
      <c r="B172" s="17">
        <f t="shared" si="30"/>
        <v>13.411199999999999</v>
      </c>
      <c r="C172" s="18">
        <f>Specification!$G$30</f>
        <v>109.96225200000001</v>
      </c>
      <c r="D172" s="17">
        <f>0.5*Specification!$K$4*Track!B172^2*Specification!$K$3*Specification!$K$2</f>
        <v>93.159842569492653</v>
      </c>
      <c r="E172" s="16">
        <v>0</v>
      </c>
      <c r="F172" s="17">
        <f>Specification!$C$23*9.81*SIN((E172*PI()/180))</f>
        <v>0</v>
      </c>
      <c r="G172" s="18">
        <f>IF(J172=1,VLOOKUP(K172,RPM!$E$2:$H$62,3,FALSE)-F172-E172-D172,IF(J172=2,VLOOKUP(K172,RPM!$H$2:$K$62,3,FALSE)-F172-E172-D172,IF(J172=3,VLOOKUP(K172,RPM!$K$2:$N$62,3,FALSE)-F172-E172-D172)))</f>
        <v>549.56217903827155</v>
      </c>
      <c r="H172" s="19">
        <f>IF(J172=1,Specification!$I$14,IF(J172=2,Specification!$I$15,IF(J172=3,Specification!$I$16)))</f>
        <v>578.93404261974786</v>
      </c>
      <c r="I172" s="16">
        <v>0</v>
      </c>
      <c r="J172" s="17">
        <v>3</v>
      </c>
      <c r="K172" s="16">
        <f>IF(J172=1,VLOOKUP(B172,RPM!$F$2:$H$62,3,TRUE),IF(J172=2,VLOOKUP(B172,RPM!$I$2:$K$62,3,TRUE),IF(J172=3,VLOOKUP(B172,RPM!$L$2:$N$62,3,TRUE))))</f>
        <v>4300</v>
      </c>
      <c r="L172" s="17">
        <f t="shared" si="26"/>
        <v>15.415442751792224</v>
      </c>
      <c r="M172" s="16">
        <f t="shared" si="23"/>
        <v>0</v>
      </c>
      <c r="N172" s="17">
        <f>VLOOKUP(K172,RPM!$A$2:$D$62,3,FALSE)</f>
        <v>11.4</v>
      </c>
      <c r="O172" s="16">
        <f>VLOOKUP(K172,RPM!$A$2:$D$62,4,FALSE)</f>
        <v>18.894837209302327</v>
      </c>
      <c r="P172" s="17">
        <f t="shared" si="24"/>
        <v>14.089880106976747</v>
      </c>
      <c r="Q172" s="16" cm="1">
        <f t="array" ref="Q172">_xlfn.XLOOKUP(O172,BSFC!$A$2:$A$24,_xlfn.XLOOKUP(K172,BSFC!$B$1:$O$1,BSFC!$B$2:$O$24,,-1),,-1)</f>
        <v>480</v>
      </c>
      <c r="R172" s="17">
        <f t="shared" si="25"/>
        <v>1.8786506809302328</v>
      </c>
      <c r="S172" s="16">
        <f t="shared" si="27"/>
        <v>2.9183485335177264E-4</v>
      </c>
      <c r="T172" s="17">
        <f t="shared" si="31"/>
        <v>0.14008072960885087</v>
      </c>
      <c r="U172" s="16">
        <f t="shared" si="32"/>
        <v>26.97955355208493</v>
      </c>
      <c r="V172" s="17">
        <f t="shared" si="33"/>
        <v>5.4160569566151659E-2</v>
      </c>
      <c r="W172" s="16">
        <f t="shared" si="28"/>
        <v>194978.05043814596</v>
      </c>
      <c r="X172">
        <f>('Hybrid Info'!$A$2-Track!P172)*(L172-L171)*1000+X171</f>
        <v>-13203.261050534767</v>
      </c>
    </row>
    <row r="173" spans="1:24">
      <c r="A173" s="16">
        <f t="shared" si="29"/>
        <v>172</v>
      </c>
      <c r="B173" s="17">
        <f t="shared" si="30"/>
        <v>13.411199999999999</v>
      </c>
      <c r="C173" s="18">
        <f>Specification!$G$30</f>
        <v>109.96225200000001</v>
      </c>
      <c r="D173" s="17">
        <f>0.5*Specification!$K$4*Track!B173^2*Specification!$K$3*Specification!$K$2</f>
        <v>93.159842569492653</v>
      </c>
      <c r="E173" s="16">
        <v>0</v>
      </c>
      <c r="F173" s="17">
        <f>Specification!$C$23*9.81*SIN((E173*PI()/180))</f>
        <v>0</v>
      </c>
      <c r="G173" s="18">
        <f>IF(J173=1,VLOOKUP(K173,RPM!$E$2:$H$62,3,FALSE)-F173-E173-D173,IF(J173=2,VLOOKUP(K173,RPM!$H$2:$K$62,3,FALSE)-F173-E173-D173,IF(J173=3,VLOOKUP(K173,RPM!$K$2:$N$62,3,FALSE)-F173-E173-D173)))</f>
        <v>549.56217903827155</v>
      </c>
      <c r="H173" s="19">
        <f>IF(J173=1,Specification!$I$14,IF(J173=2,Specification!$I$15,IF(J173=3,Specification!$I$16)))</f>
        <v>578.93404261974786</v>
      </c>
      <c r="I173" s="16">
        <v>0</v>
      </c>
      <c r="J173" s="17">
        <v>3</v>
      </c>
      <c r="K173" s="16">
        <f>IF(J173=1,VLOOKUP(B173,RPM!$F$2:$H$62,3,TRUE),IF(J173=2,VLOOKUP(B173,RPM!$I$2:$K$62,3,TRUE),IF(J173=3,VLOOKUP(B173,RPM!$L$2:$N$62,3,TRUE))))</f>
        <v>4300</v>
      </c>
      <c r="L173" s="17">
        <f t="shared" si="26"/>
        <v>15.490007294860703</v>
      </c>
      <c r="M173" s="16">
        <f t="shared" si="23"/>
        <v>0</v>
      </c>
      <c r="N173" s="17">
        <f>VLOOKUP(K173,RPM!$A$2:$D$62,3,FALSE)</f>
        <v>11.4</v>
      </c>
      <c r="O173" s="16">
        <f>VLOOKUP(K173,RPM!$A$2:$D$62,4,FALSE)</f>
        <v>18.894837209302327</v>
      </c>
      <c r="P173" s="17">
        <f t="shared" si="24"/>
        <v>14.089880106976747</v>
      </c>
      <c r="Q173" s="16" cm="1">
        <f t="array" ref="Q173">_xlfn.XLOOKUP(O173,BSFC!$A$2:$A$24,_xlfn.XLOOKUP(K173,BSFC!$B$1:$O$1,BSFC!$B$2:$O$24,,-1),,-1)</f>
        <v>480</v>
      </c>
      <c r="R173" s="17">
        <f t="shared" si="25"/>
        <v>1.8786506809302328</v>
      </c>
      <c r="S173" s="16">
        <f t="shared" si="27"/>
        <v>2.9183485335177264E-4</v>
      </c>
      <c r="T173" s="17">
        <f t="shared" si="31"/>
        <v>0.14008072960885087</v>
      </c>
      <c r="U173" s="16">
        <f t="shared" si="32"/>
        <v>27.119634281693781</v>
      </c>
      <c r="V173" s="17">
        <f t="shared" si="33"/>
        <v>5.4452404419503435E-2</v>
      </c>
      <c r="W173" s="16">
        <f t="shared" si="28"/>
        <v>196028.65591021237</v>
      </c>
      <c r="X173">
        <f>('Hybrid Info'!$A$2-Track!P173)*(L173-L172)*1000+X172</f>
        <v>-13350.110363884178</v>
      </c>
    </row>
    <row r="174" spans="1:24">
      <c r="A174" s="16">
        <f t="shared" si="29"/>
        <v>173</v>
      </c>
      <c r="B174" s="17">
        <f t="shared" si="30"/>
        <v>13.411199999999999</v>
      </c>
      <c r="C174" s="18">
        <f>Specification!$G$30</f>
        <v>109.96225200000001</v>
      </c>
      <c r="D174" s="17">
        <f>0.5*Specification!$K$4*Track!B174^2*Specification!$K$3*Specification!$K$2</f>
        <v>93.159842569492653</v>
      </c>
      <c r="E174" s="16">
        <v>0</v>
      </c>
      <c r="F174" s="17">
        <f>Specification!$C$23*9.81*SIN((E174*PI()/180))</f>
        <v>0</v>
      </c>
      <c r="G174" s="18">
        <f>IF(J174=1,VLOOKUP(K174,RPM!$E$2:$H$62,3,FALSE)-F174-E174-D174,IF(J174=2,VLOOKUP(K174,RPM!$H$2:$K$62,3,FALSE)-F174-E174-D174,IF(J174=3,VLOOKUP(K174,RPM!$K$2:$N$62,3,FALSE)-F174-E174-D174)))</f>
        <v>549.56217903827155</v>
      </c>
      <c r="H174" s="19">
        <f>IF(J174=1,Specification!$I$14,IF(J174=2,Specification!$I$15,IF(J174=3,Specification!$I$16)))</f>
        <v>578.93404261974786</v>
      </c>
      <c r="I174" s="16">
        <v>0</v>
      </c>
      <c r="J174" s="17">
        <v>3</v>
      </c>
      <c r="K174" s="16">
        <f>IF(J174=1,VLOOKUP(B174,RPM!$F$2:$H$62,3,TRUE),IF(J174=2,VLOOKUP(B174,RPM!$I$2:$K$62,3,TRUE),IF(J174=3,VLOOKUP(B174,RPM!$L$2:$N$62,3,TRUE))))</f>
        <v>4300</v>
      </c>
      <c r="L174" s="17">
        <f t="shared" si="26"/>
        <v>15.564571837929183</v>
      </c>
      <c r="M174" s="16">
        <f t="shared" si="23"/>
        <v>0</v>
      </c>
      <c r="N174" s="17">
        <f>VLOOKUP(K174,RPM!$A$2:$D$62,3,FALSE)</f>
        <v>11.4</v>
      </c>
      <c r="O174" s="16">
        <f>VLOOKUP(K174,RPM!$A$2:$D$62,4,FALSE)</f>
        <v>18.894837209302327</v>
      </c>
      <c r="P174" s="17">
        <f t="shared" si="24"/>
        <v>14.089880106976747</v>
      </c>
      <c r="Q174" s="16" cm="1">
        <f t="array" ref="Q174">_xlfn.XLOOKUP(O174,BSFC!$A$2:$A$24,_xlfn.XLOOKUP(K174,BSFC!$B$1:$O$1,BSFC!$B$2:$O$24,,-1),,-1)</f>
        <v>480</v>
      </c>
      <c r="R174" s="17">
        <f t="shared" si="25"/>
        <v>1.8786506809302328</v>
      </c>
      <c r="S174" s="16">
        <f t="shared" si="27"/>
        <v>2.9183485335177264E-4</v>
      </c>
      <c r="T174" s="17">
        <f t="shared" si="31"/>
        <v>0.14008072960885087</v>
      </c>
      <c r="U174" s="16">
        <f t="shared" si="32"/>
        <v>27.259715011302632</v>
      </c>
      <c r="V174" s="17">
        <f t="shared" si="33"/>
        <v>5.4744239272855211E-2</v>
      </c>
      <c r="W174" s="16">
        <f t="shared" si="28"/>
        <v>197079.26138227875</v>
      </c>
      <c r="X174">
        <f>('Hybrid Info'!$A$2-Track!P174)*(L174-L173)*1000+X173</f>
        <v>-13496.959677233588</v>
      </c>
    </row>
    <row r="175" spans="1:24">
      <c r="A175" s="16">
        <f t="shared" si="29"/>
        <v>174</v>
      </c>
      <c r="B175" s="17">
        <f t="shared" si="30"/>
        <v>13.411199999999999</v>
      </c>
      <c r="C175" s="18">
        <f>Specification!$G$30</f>
        <v>109.96225200000001</v>
      </c>
      <c r="D175" s="17">
        <f>0.5*Specification!$K$4*Track!B175^2*Specification!$K$3*Specification!$K$2</f>
        <v>93.159842569492653</v>
      </c>
      <c r="E175" s="16">
        <v>0</v>
      </c>
      <c r="F175" s="17">
        <f>Specification!$C$23*9.81*SIN((E175*PI()/180))</f>
        <v>0</v>
      </c>
      <c r="G175" s="18">
        <f>IF(J175=1,VLOOKUP(K175,RPM!$E$2:$H$62,3,FALSE)-F175-E175-D175,IF(J175=2,VLOOKUP(K175,RPM!$H$2:$K$62,3,FALSE)-F175-E175-D175,IF(J175=3,VLOOKUP(K175,RPM!$K$2:$N$62,3,FALSE)-F175-E175-D175)))</f>
        <v>549.56217903827155</v>
      </c>
      <c r="H175" s="19">
        <f>IF(J175=1,Specification!$I$14,IF(J175=2,Specification!$I$15,IF(J175=3,Specification!$I$16)))</f>
        <v>578.93404261974786</v>
      </c>
      <c r="I175" s="16">
        <v>0</v>
      </c>
      <c r="J175" s="17">
        <v>3</v>
      </c>
      <c r="K175" s="16">
        <f>IF(J175=1,VLOOKUP(B175,RPM!$F$2:$H$62,3,TRUE),IF(J175=2,VLOOKUP(B175,RPM!$I$2:$K$62,3,TRUE),IF(J175=3,VLOOKUP(B175,RPM!$L$2:$N$62,3,TRUE))))</f>
        <v>4300</v>
      </c>
      <c r="L175" s="17">
        <f t="shared" si="26"/>
        <v>15.639136380997662</v>
      </c>
      <c r="M175" s="16">
        <f t="shared" si="23"/>
        <v>0</v>
      </c>
      <c r="N175" s="17">
        <f>VLOOKUP(K175,RPM!$A$2:$D$62,3,FALSE)</f>
        <v>11.4</v>
      </c>
      <c r="O175" s="16">
        <f>VLOOKUP(K175,RPM!$A$2:$D$62,4,FALSE)</f>
        <v>18.894837209302327</v>
      </c>
      <c r="P175" s="17">
        <f t="shared" si="24"/>
        <v>14.089880106976747</v>
      </c>
      <c r="Q175" s="16" cm="1">
        <f t="array" ref="Q175">_xlfn.XLOOKUP(O175,BSFC!$A$2:$A$24,_xlfn.XLOOKUP(K175,BSFC!$B$1:$O$1,BSFC!$B$2:$O$24,,-1),,-1)</f>
        <v>480</v>
      </c>
      <c r="R175" s="17">
        <f t="shared" si="25"/>
        <v>1.8786506809302328</v>
      </c>
      <c r="S175" s="16">
        <f t="shared" si="27"/>
        <v>2.9183485335177264E-4</v>
      </c>
      <c r="T175" s="17">
        <f t="shared" si="31"/>
        <v>0.14008072960885087</v>
      </c>
      <c r="U175" s="16">
        <f t="shared" si="32"/>
        <v>27.399795740911483</v>
      </c>
      <c r="V175" s="17">
        <f t="shared" si="33"/>
        <v>5.5036074126206987E-2</v>
      </c>
      <c r="W175" s="16">
        <f t="shared" si="28"/>
        <v>198129.86685434513</v>
      </c>
      <c r="X175">
        <f>('Hybrid Info'!$A$2-Track!P175)*(L175-L174)*1000+X174</f>
        <v>-13643.808990582998</v>
      </c>
    </row>
    <row r="176" spans="1:24">
      <c r="A176" s="16">
        <f t="shared" si="29"/>
        <v>175</v>
      </c>
      <c r="B176" s="17">
        <f t="shared" si="30"/>
        <v>13.411199999999999</v>
      </c>
      <c r="C176" s="18">
        <f>Specification!$G$30</f>
        <v>109.96225200000001</v>
      </c>
      <c r="D176" s="17">
        <f>0.5*Specification!$K$4*Track!B176^2*Specification!$K$3*Specification!$K$2</f>
        <v>93.159842569492653</v>
      </c>
      <c r="E176" s="16">
        <v>0</v>
      </c>
      <c r="F176" s="17">
        <f>Specification!$C$23*9.81*SIN((E176*PI()/180))</f>
        <v>0</v>
      </c>
      <c r="G176" s="18">
        <f>IF(J176=1,VLOOKUP(K176,RPM!$E$2:$H$62,3,FALSE)-F176-E176-D176,IF(J176=2,VLOOKUP(K176,RPM!$H$2:$K$62,3,FALSE)-F176-E176-D176,IF(J176=3,VLOOKUP(K176,RPM!$K$2:$N$62,3,FALSE)-F176-E176-D176)))</f>
        <v>549.56217903827155</v>
      </c>
      <c r="H176" s="19">
        <f>IF(J176=1,Specification!$I$14,IF(J176=2,Specification!$I$15,IF(J176=3,Specification!$I$16)))</f>
        <v>578.93404261974786</v>
      </c>
      <c r="I176" s="16">
        <v>0</v>
      </c>
      <c r="J176" s="17">
        <v>3</v>
      </c>
      <c r="K176" s="16">
        <f>IF(J176=1,VLOOKUP(B176,RPM!$F$2:$H$62,3,TRUE),IF(J176=2,VLOOKUP(B176,RPM!$I$2:$K$62,3,TRUE),IF(J176=3,VLOOKUP(B176,RPM!$L$2:$N$62,3,TRUE))))</f>
        <v>4300</v>
      </c>
      <c r="L176" s="17">
        <f t="shared" si="26"/>
        <v>15.713700924066142</v>
      </c>
      <c r="M176" s="16">
        <f t="shared" si="23"/>
        <v>0</v>
      </c>
      <c r="N176" s="17">
        <f>VLOOKUP(K176,RPM!$A$2:$D$62,3,FALSE)</f>
        <v>11.4</v>
      </c>
      <c r="O176" s="16">
        <f>VLOOKUP(K176,RPM!$A$2:$D$62,4,FALSE)</f>
        <v>18.894837209302327</v>
      </c>
      <c r="P176" s="17">
        <f t="shared" si="24"/>
        <v>14.089880106976747</v>
      </c>
      <c r="Q176" s="16" cm="1">
        <f t="array" ref="Q176">_xlfn.XLOOKUP(O176,BSFC!$A$2:$A$24,_xlfn.XLOOKUP(K176,BSFC!$B$1:$O$1,BSFC!$B$2:$O$24,,-1),,-1)</f>
        <v>480</v>
      </c>
      <c r="R176" s="17">
        <f t="shared" si="25"/>
        <v>1.8786506809302328</v>
      </c>
      <c r="S176" s="16">
        <f t="shared" si="27"/>
        <v>2.9183485335177264E-4</v>
      </c>
      <c r="T176" s="17">
        <f t="shared" si="31"/>
        <v>0.14008072960885087</v>
      </c>
      <c r="U176" s="16">
        <f t="shared" si="32"/>
        <v>27.539876470520333</v>
      </c>
      <c r="V176" s="17">
        <f t="shared" si="33"/>
        <v>5.5327908979558763E-2</v>
      </c>
      <c r="W176" s="16">
        <f t="shared" si="28"/>
        <v>199180.47232641155</v>
      </c>
      <c r="X176">
        <f>('Hybrid Info'!$A$2-Track!P176)*(L176-L175)*1000+X175</f>
        <v>-13790.658303932409</v>
      </c>
    </row>
    <row r="177" spans="1:24">
      <c r="A177" s="16">
        <f t="shared" si="29"/>
        <v>176</v>
      </c>
      <c r="B177" s="17">
        <f t="shared" si="30"/>
        <v>13.411199999999999</v>
      </c>
      <c r="C177" s="18">
        <f>Specification!$G$30</f>
        <v>109.96225200000001</v>
      </c>
      <c r="D177" s="17">
        <f>0.5*Specification!$K$4*Track!B177^2*Specification!$K$3*Specification!$K$2</f>
        <v>93.159842569492653</v>
      </c>
      <c r="E177" s="16">
        <v>0</v>
      </c>
      <c r="F177" s="17">
        <f>Specification!$C$23*9.81*SIN((E177*PI()/180))</f>
        <v>0</v>
      </c>
      <c r="G177" s="18">
        <f>IF(J177=1,VLOOKUP(K177,RPM!$E$2:$H$62,3,FALSE)-F177-E177-D177,IF(J177=2,VLOOKUP(K177,RPM!$H$2:$K$62,3,FALSE)-F177-E177-D177,IF(J177=3,VLOOKUP(K177,RPM!$K$2:$N$62,3,FALSE)-F177-E177-D177)))</f>
        <v>549.56217903827155</v>
      </c>
      <c r="H177" s="19">
        <f>IF(J177=1,Specification!$I$14,IF(J177=2,Specification!$I$15,IF(J177=3,Specification!$I$16)))</f>
        <v>578.93404261974786</v>
      </c>
      <c r="I177" s="16">
        <v>0</v>
      </c>
      <c r="J177" s="17">
        <v>3</v>
      </c>
      <c r="K177" s="16">
        <f>IF(J177=1,VLOOKUP(B177,RPM!$F$2:$H$62,3,TRUE),IF(J177=2,VLOOKUP(B177,RPM!$I$2:$K$62,3,TRUE),IF(J177=3,VLOOKUP(B177,RPM!$L$2:$N$62,3,TRUE))))</f>
        <v>4300</v>
      </c>
      <c r="L177" s="17">
        <f t="shared" si="26"/>
        <v>15.788265467134622</v>
      </c>
      <c r="M177" s="16">
        <f t="shared" si="23"/>
        <v>0</v>
      </c>
      <c r="N177" s="17">
        <f>VLOOKUP(K177,RPM!$A$2:$D$62,3,FALSE)</f>
        <v>11.4</v>
      </c>
      <c r="O177" s="16">
        <f>VLOOKUP(K177,RPM!$A$2:$D$62,4,FALSE)</f>
        <v>18.894837209302327</v>
      </c>
      <c r="P177" s="17">
        <f t="shared" si="24"/>
        <v>14.089880106976747</v>
      </c>
      <c r="Q177" s="16" cm="1">
        <f t="array" ref="Q177">_xlfn.XLOOKUP(O177,BSFC!$A$2:$A$24,_xlfn.XLOOKUP(K177,BSFC!$B$1:$O$1,BSFC!$B$2:$O$24,,-1),,-1)</f>
        <v>480</v>
      </c>
      <c r="R177" s="17">
        <f t="shared" si="25"/>
        <v>1.8786506809302328</v>
      </c>
      <c r="S177" s="16">
        <f t="shared" si="27"/>
        <v>2.9183485335177264E-4</v>
      </c>
      <c r="T177" s="17">
        <f t="shared" si="31"/>
        <v>0.14008072960885087</v>
      </c>
      <c r="U177" s="16">
        <f t="shared" si="32"/>
        <v>27.679957200129184</v>
      </c>
      <c r="V177" s="17">
        <f t="shared" si="33"/>
        <v>5.5619743832910538E-2</v>
      </c>
      <c r="W177" s="16">
        <f t="shared" si="28"/>
        <v>200231.07779847793</v>
      </c>
      <c r="X177">
        <f>('Hybrid Info'!$A$2-Track!P177)*(L177-L176)*1000+X176</f>
        <v>-13937.507617281819</v>
      </c>
    </row>
    <row r="178" spans="1:24">
      <c r="A178" s="16">
        <f t="shared" si="29"/>
        <v>177</v>
      </c>
      <c r="B178" s="17">
        <f t="shared" si="30"/>
        <v>13.411199999999999</v>
      </c>
      <c r="C178" s="18">
        <f>Specification!$G$30</f>
        <v>109.96225200000001</v>
      </c>
      <c r="D178" s="17">
        <f>0.5*Specification!$K$4*Track!B178^2*Specification!$K$3*Specification!$K$2</f>
        <v>93.159842569492653</v>
      </c>
      <c r="E178" s="16">
        <v>0</v>
      </c>
      <c r="F178" s="17">
        <f>Specification!$C$23*9.81*SIN((E178*PI()/180))</f>
        <v>0</v>
      </c>
      <c r="G178" s="18">
        <f>IF(J178=1,VLOOKUP(K178,RPM!$E$2:$H$62,3,FALSE)-F178-E178-D178,IF(J178=2,VLOOKUP(K178,RPM!$H$2:$K$62,3,FALSE)-F178-E178-D178,IF(J178=3,VLOOKUP(K178,RPM!$K$2:$N$62,3,FALSE)-F178-E178-D178)))</f>
        <v>549.56217903827155</v>
      </c>
      <c r="H178" s="19">
        <f>IF(J178=1,Specification!$I$14,IF(J178=2,Specification!$I$15,IF(J178=3,Specification!$I$16)))</f>
        <v>578.93404261974786</v>
      </c>
      <c r="I178" s="16">
        <v>0</v>
      </c>
      <c r="J178" s="17">
        <v>3</v>
      </c>
      <c r="K178" s="16">
        <f>IF(J178=1,VLOOKUP(B178,RPM!$F$2:$H$62,3,TRUE),IF(J178=2,VLOOKUP(B178,RPM!$I$2:$K$62,3,TRUE),IF(J178=3,VLOOKUP(B178,RPM!$L$2:$N$62,3,TRUE))))</f>
        <v>4300</v>
      </c>
      <c r="L178" s="17">
        <f t="shared" si="26"/>
        <v>15.862830010203101</v>
      </c>
      <c r="M178" s="16">
        <f t="shared" si="23"/>
        <v>0</v>
      </c>
      <c r="N178" s="17">
        <f>VLOOKUP(K178,RPM!$A$2:$D$62,3,FALSE)</f>
        <v>11.4</v>
      </c>
      <c r="O178" s="16">
        <f>VLOOKUP(K178,RPM!$A$2:$D$62,4,FALSE)</f>
        <v>18.894837209302327</v>
      </c>
      <c r="P178" s="17">
        <f t="shared" si="24"/>
        <v>14.089880106976747</v>
      </c>
      <c r="Q178" s="16" cm="1">
        <f t="array" ref="Q178">_xlfn.XLOOKUP(O178,BSFC!$A$2:$A$24,_xlfn.XLOOKUP(K178,BSFC!$B$1:$O$1,BSFC!$B$2:$O$24,,-1),,-1)</f>
        <v>480</v>
      </c>
      <c r="R178" s="17">
        <f t="shared" si="25"/>
        <v>1.8786506809302328</v>
      </c>
      <c r="S178" s="16">
        <f t="shared" si="27"/>
        <v>2.9183485335177264E-4</v>
      </c>
      <c r="T178" s="17">
        <f t="shared" si="31"/>
        <v>0.14008072960885087</v>
      </c>
      <c r="U178" s="16">
        <f t="shared" si="32"/>
        <v>27.820037929738035</v>
      </c>
      <c r="V178" s="17">
        <f t="shared" si="33"/>
        <v>5.5911578686262314E-2</v>
      </c>
      <c r="W178" s="16">
        <f t="shared" si="28"/>
        <v>201281.68327054434</v>
      </c>
      <c r="X178">
        <f>('Hybrid Info'!$A$2-Track!P178)*(L178-L177)*1000+X177</f>
        <v>-14084.356930631229</v>
      </c>
    </row>
    <row r="179" spans="1:24">
      <c r="A179" s="16">
        <f t="shared" si="29"/>
        <v>178</v>
      </c>
      <c r="B179" s="17">
        <f t="shared" si="30"/>
        <v>13.411199999999999</v>
      </c>
      <c r="C179" s="18">
        <f>Specification!$G$30</f>
        <v>109.96225200000001</v>
      </c>
      <c r="D179" s="17">
        <f>0.5*Specification!$K$4*Track!B179^2*Specification!$K$3*Specification!$K$2</f>
        <v>93.159842569492653</v>
      </c>
      <c r="E179" s="16">
        <v>0</v>
      </c>
      <c r="F179" s="17">
        <f>Specification!$C$23*9.81*SIN((E179*PI()/180))</f>
        <v>0</v>
      </c>
      <c r="G179" s="18">
        <f>IF(J179=1,VLOOKUP(K179,RPM!$E$2:$H$62,3,FALSE)-F179-E179-D179,IF(J179=2,VLOOKUP(K179,RPM!$H$2:$K$62,3,FALSE)-F179-E179-D179,IF(J179=3,VLOOKUP(K179,RPM!$K$2:$N$62,3,FALSE)-F179-E179-D179)))</f>
        <v>549.56217903827155</v>
      </c>
      <c r="H179" s="19">
        <f>IF(J179=1,Specification!$I$14,IF(J179=2,Specification!$I$15,IF(J179=3,Specification!$I$16)))</f>
        <v>578.93404261974786</v>
      </c>
      <c r="I179" s="16">
        <v>0</v>
      </c>
      <c r="J179" s="17">
        <v>3</v>
      </c>
      <c r="K179" s="16">
        <f>IF(J179=1,VLOOKUP(B179,RPM!$F$2:$H$62,3,TRUE),IF(J179=2,VLOOKUP(B179,RPM!$I$2:$K$62,3,TRUE),IF(J179=3,VLOOKUP(B179,RPM!$L$2:$N$62,3,TRUE))))</f>
        <v>4300</v>
      </c>
      <c r="L179" s="17">
        <f t="shared" si="26"/>
        <v>15.937394553271581</v>
      </c>
      <c r="M179" s="16">
        <f t="shared" si="23"/>
        <v>0</v>
      </c>
      <c r="N179" s="17">
        <f>VLOOKUP(K179,RPM!$A$2:$D$62,3,FALSE)</f>
        <v>11.4</v>
      </c>
      <c r="O179" s="16">
        <f>VLOOKUP(K179,RPM!$A$2:$D$62,4,FALSE)</f>
        <v>18.894837209302327</v>
      </c>
      <c r="P179" s="17">
        <f t="shared" si="24"/>
        <v>14.089880106976747</v>
      </c>
      <c r="Q179" s="16" cm="1">
        <f t="array" ref="Q179">_xlfn.XLOOKUP(O179,BSFC!$A$2:$A$24,_xlfn.XLOOKUP(K179,BSFC!$B$1:$O$1,BSFC!$B$2:$O$24,,-1),,-1)</f>
        <v>480</v>
      </c>
      <c r="R179" s="17">
        <f t="shared" si="25"/>
        <v>1.8786506809302328</v>
      </c>
      <c r="S179" s="16">
        <f t="shared" si="27"/>
        <v>2.9183485335177264E-4</v>
      </c>
      <c r="T179" s="17">
        <f t="shared" si="31"/>
        <v>0.14008072960885087</v>
      </c>
      <c r="U179" s="16">
        <f t="shared" si="32"/>
        <v>27.960118659346886</v>
      </c>
      <c r="V179" s="17">
        <f t="shared" si="33"/>
        <v>5.620341353961409E-2</v>
      </c>
      <c r="W179" s="16">
        <f t="shared" si="28"/>
        <v>202332.28874261072</v>
      </c>
      <c r="X179">
        <f>('Hybrid Info'!$A$2-Track!P179)*(L179-L178)*1000+X178</f>
        <v>-14231.20624398064</v>
      </c>
    </row>
    <row r="180" spans="1:24">
      <c r="A180" s="16">
        <f t="shared" si="29"/>
        <v>179</v>
      </c>
      <c r="B180" s="17">
        <f t="shared" si="30"/>
        <v>13.411199999999999</v>
      </c>
      <c r="C180" s="18">
        <f>Specification!$G$30</f>
        <v>109.96225200000001</v>
      </c>
      <c r="D180" s="17">
        <f>0.5*Specification!$K$4*Track!B180^2*Specification!$K$3*Specification!$K$2</f>
        <v>93.159842569492653</v>
      </c>
      <c r="E180" s="16">
        <v>0</v>
      </c>
      <c r="F180" s="17">
        <f>Specification!$C$23*9.81*SIN((E180*PI()/180))</f>
        <v>0</v>
      </c>
      <c r="G180" s="18">
        <f>IF(J180=1,VLOOKUP(K180,RPM!$E$2:$H$62,3,FALSE)-F180-E180-D180,IF(J180=2,VLOOKUP(K180,RPM!$H$2:$K$62,3,FALSE)-F180-E180-D180,IF(J180=3,VLOOKUP(K180,RPM!$K$2:$N$62,3,FALSE)-F180-E180-D180)))</f>
        <v>549.56217903827155</v>
      </c>
      <c r="H180" s="19">
        <f>IF(J180=1,Specification!$I$14,IF(J180=2,Specification!$I$15,IF(J180=3,Specification!$I$16)))</f>
        <v>578.93404261974786</v>
      </c>
      <c r="I180" s="16">
        <v>0</v>
      </c>
      <c r="J180" s="17">
        <v>3</v>
      </c>
      <c r="K180" s="16">
        <f>IF(J180=1,VLOOKUP(B180,RPM!$F$2:$H$62,3,TRUE),IF(J180=2,VLOOKUP(B180,RPM!$I$2:$K$62,3,TRUE),IF(J180=3,VLOOKUP(B180,RPM!$L$2:$N$62,3,TRUE))))</f>
        <v>4300</v>
      </c>
      <c r="L180" s="17">
        <f t="shared" si="26"/>
        <v>16.01195909634006</v>
      </c>
      <c r="M180" s="16">
        <f t="shared" si="23"/>
        <v>0</v>
      </c>
      <c r="N180" s="17">
        <f>VLOOKUP(K180,RPM!$A$2:$D$62,3,FALSE)</f>
        <v>11.4</v>
      </c>
      <c r="O180" s="16">
        <f>VLOOKUP(K180,RPM!$A$2:$D$62,4,FALSE)</f>
        <v>18.894837209302327</v>
      </c>
      <c r="P180" s="17">
        <f t="shared" si="24"/>
        <v>14.089880106976747</v>
      </c>
      <c r="Q180" s="16" cm="1">
        <f t="array" ref="Q180">_xlfn.XLOOKUP(O180,BSFC!$A$2:$A$24,_xlfn.XLOOKUP(K180,BSFC!$B$1:$O$1,BSFC!$B$2:$O$24,,-1),,-1)</f>
        <v>480</v>
      </c>
      <c r="R180" s="17">
        <f t="shared" si="25"/>
        <v>1.8786506809302328</v>
      </c>
      <c r="S180" s="16">
        <f t="shared" si="27"/>
        <v>2.9183485335177264E-4</v>
      </c>
      <c r="T180" s="17">
        <f t="shared" si="31"/>
        <v>0.14008072960885087</v>
      </c>
      <c r="U180" s="16">
        <f t="shared" si="32"/>
        <v>28.100199388955737</v>
      </c>
      <c r="V180" s="17">
        <f t="shared" si="33"/>
        <v>5.6495248392965866E-2</v>
      </c>
      <c r="W180" s="16">
        <f t="shared" si="28"/>
        <v>203382.8942146771</v>
      </c>
      <c r="X180">
        <f>('Hybrid Info'!$A$2-Track!P180)*(L180-L179)*1000+X179</f>
        <v>-14378.05555733005</v>
      </c>
    </row>
    <row r="181" spans="1:24">
      <c r="A181" s="16">
        <f t="shared" si="29"/>
        <v>180</v>
      </c>
      <c r="B181" s="17">
        <f t="shared" si="30"/>
        <v>13.411199999999999</v>
      </c>
      <c r="C181" s="18">
        <f>Specification!$G$30</f>
        <v>109.96225200000001</v>
      </c>
      <c r="D181" s="17">
        <f>0.5*Specification!$K$4*Track!B181^2*Specification!$K$3*Specification!$K$2</f>
        <v>93.159842569492653</v>
      </c>
      <c r="E181" s="16">
        <v>0</v>
      </c>
      <c r="F181" s="17">
        <f>Specification!$C$23*9.81*SIN((E181*PI()/180))</f>
        <v>0</v>
      </c>
      <c r="G181" s="18">
        <f>IF(J181=1,VLOOKUP(K181,RPM!$E$2:$H$62,3,FALSE)-F181-E181-D181,IF(J181=2,VLOOKUP(K181,RPM!$H$2:$K$62,3,FALSE)-F181-E181-D181,IF(J181=3,VLOOKUP(K181,RPM!$K$2:$N$62,3,FALSE)-F181-E181-D181)))</f>
        <v>549.56217903827155</v>
      </c>
      <c r="H181" s="19">
        <f>IF(J181=1,Specification!$I$14,IF(J181=2,Specification!$I$15,IF(J181=3,Specification!$I$16)))</f>
        <v>578.93404261974786</v>
      </c>
      <c r="I181" s="16">
        <v>0</v>
      </c>
      <c r="J181" s="17">
        <v>3</v>
      </c>
      <c r="K181" s="16">
        <f>IF(J181=1,VLOOKUP(B181,RPM!$F$2:$H$62,3,TRUE),IF(J181=2,VLOOKUP(B181,RPM!$I$2:$K$62,3,TRUE),IF(J181=3,VLOOKUP(B181,RPM!$L$2:$N$62,3,TRUE))))</f>
        <v>4300</v>
      </c>
      <c r="L181" s="17">
        <f t="shared" si="26"/>
        <v>16.08652363940854</v>
      </c>
      <c r="M181" s="16">
        <f t="shared" si="23"/>
        <v>0</v>
      </c>
      <c r="N181" s="17">
        <f>VLOOKUP(K181,RPM!$A$2:$D$62,3,FALSE)</f>
        <v>11.4</v>
      </c>
      <c r="O181" s="16">
        <f>VLOOKUP(K181,RPM!$A$2:$D$62,4,FALSE)</f>
        <v>18.894837209302327</v>
      </c>
      <c r="P181" s="17">
        <f t="shared" si="24"/>
        <v>14.089880106976747</v>
      </c>
      <c r="Q181" s="16" cm="1">
        <f t="array" ref="Q181">_xlfn.XLOOKUP(O181,BSFC!$A$2:$A$24,_xlfn.XLOOKUP(K181,BSFC!$B$1:$O$1,BSFC!$B$2:$O$24,,-1),,-1)</f>
        <v>480</v>
      </c>
      <c r="R181" s="17">
        <f t="shared" si="25"/>
        <v>1.8786506809302328</v>
      </c>
      <c r="S181" s="16">
        <f t="shared" si="27"/>
        <v>2.9183485335177264E-4</v>
      </c>
      <c r="T181" s="17">
        <f t="shared" si="31"/>
        <v>0.14008072960885087</v>
      </c>
      <c r="U181" s="16">
        <f t="shared" si="32"/>
        <v>28.240280118564588</v>
      </c>
      <c r="V181" s="17">
        <f t="shared" si="33"/>
        <v>5.6787083246317642E-2</v>
      </c>
      <c r="W181" s="16">
        <f t="shared" si="28"/>
        <v>204433.49968674351</v>
      </c>
      <c r="X181">
        <f>('Hybrid Info'!$A$2-Track!P181)*(L181-L180)*1000+X180</f>
        <v>-14524.90487067946</v>
      </c>
    </row>
    <row r="182" spans="1:24">
      <c r="A182" s="16">
        <f t="shared" si="29"/>
        <v>181</v>
      </c>
      <c r="B182" s="17">
        <f t="shared" si="30"/>
        <v>13.411199999999999</v>
      </c>
      <c r="C182" s="18">
        <f>Specification!$G$30</f>
        <v>109.96225200000001</v>
      </c>
      <c r="D182" s="17">
        <f>0.5*Specification!$K$4*Track!B182^2*Specification!$K$3*Specification!$K$2</f>
        <v>93.159842569492653</v>
      </c>
      <c r="E182" s="16">
        <v>0</v>
      </c>
      <c r="F182" s="17">
        <f>Specification!$C$23*9.81*SIN((E182*PI()/180))</f>
        <v>0</v>
      </c>
      <c r="G182" s="18">
        <f>IF(J182=1,VLOOKUP(K182,RPM!$E$2:$H$62,3,FALSE)-F182-E182-D182,IF(J182=2,VLOOKUP(K182,RPM!$H$2:$K$62,3,FALSE)-F182-E182-D182,IF(J182=3,VLOOKUP(K182,RPM!$K$2:$N$62,3,FALSE)-F182-E182-D182)))</f>
        <v>549.56217903827155</v>
      </c>
      <c r="H182" s="19">
        <f>IF(J182=1,Specification!$I$14,IF(J182=2,Specification!$I$15,IF(J182=3,Specification!$I$16)))</f>
        <v>578.93404261974786</v>
      </c>
      <c r="I182" s="16">
        <v>0</v>
      </c>
      <c r="J182" s="17">
        <v>3</v>
      </c>
      <c r="K182" s="16">
        <f>IF(J182=1,VLOOKUP(B182,RPM!$F$2:$H$62,3,TRUE),IF(J182=2,VLOOKUP(B182,RPM!$I$2:$K$62,3,TRUE),IF(J182=3,VLOOKUP(B182,RPM!$L$2:$N$62,3,TRUE))))</f>
        <v>4300</v>
      </c>
      <c r="L182" s="17">
        <f t="shared" si="26"/>
        <v>16.16108818247702</v>
      </c>
      <c r="M182" s="16">
        <f t="shared" si="23"/>
        <v>0</v>
      </c>
      <c r="N182" s="17">
        <f>VLOOKUP(K182,RPM!$A$2:$D$62,3,FALSE)</f>
        <v>11.4</v>
      </c>
      <c r="O182" s="16">
        <f>VLOOKUP(K182,RPM!$A$2:$D$62,4,FALSE)</f>
        <v>18.894837209302327</v>
      </c>
      <c r="P182" s="17">
        <f t="shared" si="24"/>
        <v>14.089880106976747</v>
      </c>
      <c r="Q182" s="16" cm="1">
        <f t="array" ref="Q182">_xlfn.XLOOKUP(O182,BSFC!$A$2:$A$24,_xlfn.XLOOKUP(K182,BSFC!$B$1:$O$1,BSFC!$B$2:$O$24,,-1),,-1)</f>
        <v>480</v>
      </c>
      <c r="R182" s="17">
        <f t="shared" si="25"/>
        <v>1.8786506809302328</v>
      </c>
      <c r="S182" s="16">
        <f t="shared" si="27"/>
        <v>2.9183485335177264E-4</v>
      </c>
      <c r="T182" s="17">
        <f t="shared" si="31"/>
        <v>0.14008072960885087</v>
      </c>
      <c r="U182" s="16">
        <f t="shared" si="32"/>
        <v>28.380360848173439</v>
      </c>
      <c r="V182" s="17">
        <f t="shared" si="33"/>
        <v>5.7078918099669418E-2</v>
      </c>
      <c r="W182" s="16">
        <f t="shared" si="28"/>
        <v>205484.10515880989</v>
      </c>
      <c r="X182">
        <f>('Hybrid Info'!$A$2-Track!P182)*(L182-L181)*1000+X181</f>
        <v>-14671.75418402887</v>
      </c>
    </row>
    <row r="183" spans="1:24">
      <c r="A183" s="16">
        <f t="shared" si="29"/>
        <v>182</v>
      </c>
      <c r="B183" s="17">
        <f t="shared" si="30"/>
        <v>13.411199999999999</v>
      </c>
      <c r="C183" s="18">
        <f>Specification!$G$30</f>
        <v>109.96225200000001</v>
      </c>
      <c r="D183" s="17">
        <f>0.5*Specification!$K$4*Track!B183^2*Specification!$K$3*Specification!$K$2</f>
        <v>93.159842569492653</v>
      </c>
      <c r="E183" s="16">
        <v>0</v>
      </c>
      <c r="F183" s="17">
        <f>Specification!$C$23*9.81*SIN((E183*PI()/180))</f>
        <v>0</v>
      </c>
      <c r="G183" s="18">
        <f>IF(J183=1,VLOOKUP(K183,RPM!$E$2:$H$62,3,FALSE)-F183-E183-D183,IF(J183=2,VLOOKUP(K183,RPM!$H$2:$K$62,3,FALSE)-F183-E183-D183,IF(J183=3,VLOOKUP(K183,RPM!$K$2:$N$62,3,FALSE)-F183-E183-D183)))</f>
        <v>549.56217903827155</v>
      </c>
      <c r="H183" s="19">
        <f>IF(J183=1,Specification!$I$14,IF(J183=2,Specification!$I$15,IF(J183=3,Specification!$I$16)))</f>
        <v>578.93404261974786</v>
      </c>
      <c r="I183" s="16">
        <v>0</v>
      </c>
      <c r="J183" s="17">
        <v>3</v>
      </c>
      <c r="K183" s="16">
        <f>IF(J183=1,VLOOKUP(B183,RPM!$F$2:$H$62,3,TRUE),IF(J183=2,VLOOKUP(B183,RPM!$I$2:$K$62,3,TRUE),IF(J183=3,VLOOKUP(B183,RPM!$L$2:$N$62,3,TRUE))))</f>
        <v>4300</v>
      </c>
      <c r="L183" s="17">
        <f t="shared" si="26"/>
        <v>16.235652725545499</v>
      </c>
      <c r="M183" s="16">
        <f t="shared" si="23"/>
        <v>0</v>
      </c>
      <c r="N183" s="17">
        <f>VLOOKUP(K183,RPM!$A$2:$D$62,3,FALSE)</f>
        <v>11.4</v>
      </c>
      <c r="O183" s="16">
        <f>VLOOKUP(K183,RPM!$A$2:$D$62,4,FALSE)</f>
        <v>18.894837209302327</v>
      </c>
      <c r="P183" s="17">
        <f t="shared" si="24"/>
        <v>14.089880106976747</v>
      </c>
      <c r="Q183" s="16" cm="1">
        <f t="array" ref="Q183">_xlfn.XLOOKUP(O183,BSFC!$A$2:$A$24,_xlfn.XLOOKUP(K183,BSFC!$B$1:$O$1,BSFC!$B$2:$O$24,,-1),,-1)</f>
        <v>480</v>
      </c>
      <c r="R183" s="17">
        <f t="shared" si="25"/>
        <v>1.8786506809302328</v>
      </c>
      <c r="S183" s="16">
        <f t="shared" si="27"/>
        <v>2.9183485335177264E-4</v>
      </c>
      <c r="T183" s="17">
        <f t="shared" si="31"/>
        <v>0.14008072960885087</v>
      </c>
      <c r="U183" s="16">
        <f t="shared" si="32"/>
        <v>28.520441577782289</v>
      </c>
      <c r="V183" s="17">
        <f t="shared" si="33"/>
        <v>5.7370752953021194E-2</v>
      </c>
      <c r="W183" s="16">
        <f t="shared" si="28"/>
        <v>206534.7106308763</v>
      </c>
      <c r="X183">
        <f>('Hybrid Info'!$A$2-Track!P183)*(L183-L182)*1000+X182</f>
        <v>-14818.603497378281</v>
      </c>
    </row>
    <row r="184" spans="1:24">
      <c r="A184" s="16">
        <f t="shared" si="29"/>
        <v>183</v>
      </c>
      <c r="B184" s="17">
        <f t="shared" si="30"/>
        <v>13.411199999999999</v>
      </c>
      <c r="C184" s="18">
        <f>Specification!$G$30</f>
        <v>109.96225200000001</v>
      </c>
      <c r="D184" s="17">
        <f>0.5*Specification!$K$4*Track!B184^2*Specification!$K$3*Specification!$K$2</f>
        <v>93.159842569492653</v>
      </c>
      <c r="E184" s="16">
        <v>0</v>
      </c>
      <c r="F184" s="17">
        <f>Specification!$C$23*9.81*SIN((E184*PI()/180))</f>
        <v>0</v>
      </c>
      <c r="G184" s="18">
        <f>IF(J184=1,VLOOKUP(K184,RPM!$E$2:$H$62,3,FALSE)-F184-E184-D184,IF(J184=2,VLOOKUP(K184,RPM!$H$2:$K$62,3,FALSE)-F184-E184-D184,IF(J184=3,VLOOKUP(K184,RPM!$K$2:$N$62,3,FALSE)-F184-E184-D184)))</f>
        <v>549.56217903827155</v>
      </c>
      <c r="H184" s="19">
        <f>IF(J184=1,Specification!$I$14,IF(J184=2,Specification!$I$15,IF(J184=3,Specification!$I$16)))</f>
        <v>578.93404261974786</v>
      </c>
      <c r="I184" s="16">
        <v>0</v>
      </c>
      <c r="J184" s="17">
        <v>3</v>
      </c>
      <c r="K184" s="16">
        <f>IF(J184=1,VLOOKUP(B184,RPM!$F$2:$H$62,3,TRUE),IF(J184=2,VLOOKUP(B184,RPM!$I$2:$K$62,3,TRUE),IF(J184=3,VLOOKUP(B184,RPM!$L$2:$N$62,3,TRUE))))</f>
        <v>4300</v>
      </c>
      <c r="L184" s="17">
        <f t="shared" si="26"/>
        <v>16.310217268613979</v>
      </c>
      <c r="M184" s="16">
        <f t="shared" si="23"/>
        <v>0</v>
      </c>
      <c r="N184" s="17">
        <f>VLOOKUP(K184,RPM!$A$2:$D$62,3,FALSE)</f>
        <v>11.4</v>
      </c>
      <c r="O184" s="16">
        <f>VLOOKUP(K184,RPM!$A$2:$D$62,4,FALSE)</f>
        <v>18.894837209302327</v>
      </c>
      <c r="P184" s="17">
        <f t="shared" si="24"/>
        <v>14.089880106976747</v>
      </c>
      <c r="Q184" s="16" cm="1">
        <f t="array" ref="Q184">_xlfn.XLOOKUP(O184,BSFC!$A$2:$A$24,_xlfn.XLOOKUP(K184,BSFC!$B$1:$O$1,BSFC!$B$2:$O$24,,-1),,-1)</f>
        <v>480</v>
      </c>
      <c r="R184" s="17">
        <f t="shared" si="25"/>
        <v>1.8786506809302328</v>
      </c>
      <c r="S184" s="16">
        <f t="shared" si="27"/>
        <v>2.9183485335177264E-4</v>
      </c>
      <c r="T184" s="17">
        <f t="shared" si="31"/>
        <v>0.14008072960885087</v>
      </c>
      <c r="U184" s="16">
        <f t="shared" si="32"/>
        <v>28.66052230739114</v>
      </c>
      <c r="V184" s="17">
        <f t="shared" si="33"/>
        <v>5.766258780637297E-2</v>
      </c>
      <c r="W184" s="16">
        <f t="shared" si="28"/>
        <v>207585.31610294268</v>
      </c>
      <c r="X184">
        <f>('Hybrid Info'!$A$2-Track!P184)*(L184-L183)*1000+X183</f>
        <v>-14965.452810727691</v>
      </c>
    </row>
    <row r="185" spans="1:24">
      <c r="A185" s="16">
        <f t="shared" si="29"/>
        <v>184</v>
      </c>
      <c r="B185" s="17">
        <f t="shared" si="30"/>
        <v>13.411199999999999</v>
      </c>
      <c r="C185" s="18">
        <f>Specification!$G$30</f>
        <v>109.96225200000001</v>
      </c>
      <c r="D185" s="17">
        <f>0.5*Specification!$K$4*Track!B185^2*Specification!$K$3*Specification!$K$2</f>
        <v>93.159842569492653</v>
      </c>
      <c r="E185" s="16">
        <v>0</v>
      </c>
      <c r="F185" s="17">
        <f>Specification!$C$23*9.81*SIN((E185*PI()/180))</f>
        <v>0</v>
      </c>
      <c r="G185" s="18">
        <f>IF(J185=1,VLOOKUP(K185,RPM!$E$2:$H$62,3,FALSE)-F185-E185-D185,IF(J185=2,VLOOKUP(K185,RPM!$H$2:$K$62,3,FALSE)-F185-E185-D185,IF(J185=3,VLOOKUP(K185,RPM!$K$2:$N$62,3,FALSE)-F185-E185-D185)))</f>
        <v>549.56217903827155</v>
      </c>
      <c r="H185" s="19">
        <f>IF(J185=1,Specification!$I$14,IF(J185=2,Specification!$I$15,IF(J185=3,Specification!$I$16)))</f>
        <v>578.93404261974786</v>
      </c>
      <c r="I185" s="16">
        <v>0</v>
      </c>
      <c r="J185" s="17">
        <v>3</v>
      </c>
      <c r="K185" s="16">
        <f>IF(J185=1,VLOOKUP(B185,RPM!$F$2:$H$62,3,TRUE),IF(J185=2,VLOOKUP(B185,RPM!$I$2:$K$62,3,TRUE),IF(J185=3,VLOOKUP(B185,RPM!$L$2:$N$62,3,TRUE))))</f>
        <v>4300</v>
      </c>
      <c r="L185" s="17">
        <f t="shared" si="26"/>
        <v>16.384781811682458</v>
      </c>
      <c r="M185" s="16">
        <f t="shared" si="23"/>
        <v>0</v>
      </c>
      <c r="N185" s="17">
        <f>VLOOKUP(K185,RPM!$A$2:$D$62,3,FALSE)</f>
        <v>11.4</v>
      </c>
      <c r="O185" s="16">
        <f>VLOOKUP(K185,RPM!$A$2:$D$62,4,FALSE)</f>
        <v>18.894837209302327</v>
      </c>
      <c r="P185" s="17">
        <f t="shared" si="24"/>
        <v>14.089880106976747</v>
      </c>
      <c r="Q185" s="16" cm="1">
        <f t="array" ref="Q185">_xlfn.XLOOKUP(O185,BSFC!$A$2:$A$24,_xlfn.XLOOKUP(K185,BSFC!$B$1:$O$1,BSFC!$B$2:$O$24,,-1),,-1)</f>
        <v>480</v>
      </c>
      <c r="R185" s="17">
        <f t="shared" si="25"/>
        <v>1.8786506809302328</v>
      </c>
      <c r="S185" s="16">
        <f t="shared" si="27"/>
        <v>2.9183485335177264E-4</v>
      </c>
      <c r="T185" s="17">
        <f t="shared" si="31"/>
        <v>0.14008072960885087</v>
      </c>
      <c r="U185" s="16">
        <f t="shared" si="32"/>
        <v>28.800603036999991</v>
      </c>
      <c r="V185" s="17">
        <f t="shared" si="33"/>
        <v>5.7954422659724746E-2</v>
      </c>
      <c r="W185" s="16">
        <f t="shared" si="28"/>
        <v>208635.9215750091</v>
      </c>
      <c r="X185">
        <f>('Hybrid Info'!$A$2-Track!P185)*(L185-L184)*1000+X184</f>
        <v>-15112.302124077101</v>
      </c>
    </row>
    <row r="186" spans="1:24">
      <c r="A186" s="16">
        <f t="shared" si="29"/>
        <v>185</v>
      </c>
      <c r="B186" s="17">
        <f t="shared" si="30"/>
        <v>13.411199999999999</v>
      </c>
      <c r="C186" s="18">
        <f>Specification!$G$30</f>
        <v>109.96225200000001</v>
      </c>
      <c r="D186" s="17">
        <f>0.5*Specification!$K$4*Track!B186^2*Specification!$K$3*Specification!$K$2</f>
        <v>93.159842569492653</v>
      </c>
      <c r="E186" s="16">
        <v>0</v>
      </c>
      <c r="F186" s="17">
        <f>Specification!$C$23*9.81*SIN((E186*PI()/180))</f>
        <v>0</v>
      </c>
      <c r="G186" s="18">
        <f>IF(J186=1,VLOOKUP(K186,RPM!$E$2:$H$62,3,FALSE)-F186-E186-D186,IF(J186=2,VLOOKUP(K186,RPM!$H$2:$K$62,3,FALSE)-F186-E186-D186,IF(J186=3,VLOOKUP(K186,RPM!$K$2:$N$62,3,FALSE)-F186-E186-D186)))</f>
        <v>549.56217903827155</v>
      </c>
      <c r="H186" s="19">
        <f>IF(J186=1,Specification!$I$14,IF(J186=2,Specification!$I$15,IF(J186=3,Specification!$I$16)))</f>
        <v>578.93404261974786</v>
      </c>
      <c r="I186" s="16">
        <v>0</v>
      </c>
      <c r="J186" s="17">
        <v>3</v>
      </c>
      <c r="K186" s="16">
        <f>IF(J186=1,VLOOKUP(B186,RPM!$F$2:$H$62,3,TRUE),IF(J186=2,VLOOKUP(B186,RPM!$I$2:$K$62,3,TRUE),IF(J186=3,VLOOKUP(B186,RPM!$L$2:$N$62,3,TRUE))))</f>
        <v>4300</v>
      </c>
      <c r="L186" s="17">
        <f t="shared" si="26"/>
        <v>16.459346354750938</v>
      </c>
      <c r="M186" s="16">
        <f t="shared" si="23"/>
        <v>0</v>
      </c>
      <c r="N186" s="17">
        <f>VLOOKUP(K186,RPM!$A$2:$D$62,3,FALSE)</f>
        <v>11.4</v>
      </c>
      <c r="O186" s="16">
        <f>VLOOKUP(K186,RPM!$A$2:$D$62,4,FALSE)</f>
        <v>18.894837209302327</v>
      </c>
      <c r="P186" s="17">
        <f t="shared" si="24"/>
        <v>14.089880106976747</v>
      </c>
      <c r="Q186" s="16" cm="1">
        <f t="array" ref="Q186">_xlfn.XLOOKUP(O186,BSFC!$A$2:$A$24,_xlfn.XLOOKUP(K186,BSFC!$B$1:$O$1,BSFC!$B$2:$O$24,,-1),,-1)</f>
        <v>480</v>
      </c>
      <c r="R186" s="17">
        <f t="shared" si="25"/>
        <v>1.8786506809302328</v>
      </c>
      <c r="S186" s="16">
        <f t="shared" si="27"/>
        <v>2.9183485335177264E-4</v>
      </c>
      <c r="T186" s="17">
        <f t="shared" si="31"/>
        <v>0.14008072960885087</v>
      </c>
      <c r="U186" s="16">
        <f t="shared" si="32"/>
        <v>28.940683766608842</v>
      </c>
      <c r="V186" s="17">
        <f t="shared" si="33"/>
        <v>5.8246257513076521E-2</v>
      </c>
      <c r="W186" s="16">
        <f t="shared" si="28"/>
        <v>209686.52704707548</v>
      </c>
      <c r="X186">
        <f>('Hybrid Info'!$A$2-Track!P186)*(L186-L185)*1000+X185</f>
        <v>-15259.151437426512</v>
      </c>
    </row>
    <row r="187" spans="1:24">
      <c r="A187" s="16">
        <f t="shared" si="29"/>
        <v>186</v>
      </c>
      <c r="B187" s="17">
        <f t="shared" si="30"/>
        <v>13.411199999999999</v>
      </c>
      <c r="C187" s="18">
        <f>Specification!$G$30</f>
        <v>109.96225200000001</v>
      </c>
      <c r="D187" s="17">
        <f>0.5*Specification!$K$4*Track!B187^2*Specification!$K$3*Specification!$K$2</f>
        <v>93.159842569492653</v>
      </c>
      <c r="E187" s="16">
        <v>0</v>
      </c>
      <c r="F187" s="17">
        <f>Specification!$C$23*9.81*SIN((E187*PI()/180))</f>
        <v>0</v>
      </c>
      <c r="G187" s="18">
        <f>IF(J187=1,VLOOKUP(K187,RPM!$E$2:$H$62,3,FALSE)-F187-E187-D187,IF(J187=2,VLOOKUP(K187,RPM!$H$2:$K$62,3,FALSE)-F187-E187-D187,IF(J187=3,VLOOKUP(K187,RPM!$K$2:$N$62,3,FALSE)-F187-E187-D187)))</f>
        <v>549.56217903827155</v>
      </c>
      <c r="H187" s="19">
        <f>IF(J187=1,Specification!$I$14,IF(J187=2,Specification!$I$15,IF(J187=3,Specification!$I$16)))</f>
        <v>578.93404261974786</v>
      </c>
      <c r="I187" s="16">
        <v>0</v>
      </c>
      <c r="J187" s="17">
        <v>3</v>
      </c>
      <c r="K187" s="16">
        <f>IF(J187=1,VLOOKUP(B187,RPM!$F$2:$H$62,3,TRUE),IF(J187=2,VLOOKUP(B187,RPM!$I$2:$K$62,3,TRUE),IF(J187=3,VLOOKUP(B187,RPM!$L$2:$N$62,3,TRUE))))</f>
        <v>4300</v>
      </c>
      <c r="L187" s="17">
        <f t="shared" si="26"/>
        <v>16.533910897819418</v>
      </c>
      <c r="M187" s="16">
        <f t="shared" si="23"/>
        <v>0</v>
      </c>
      <c r="N187" s="17">
        <f>VLOOKUP(K187,RPM!$A$2:$D$62,3,FALSE)</f>
        <v>11.4</v>
      </c>
      <c r="O187" s="16">
        <f>VLOOKUP(K187,RPM!$A$2:$D$62,4,FALSE)</f>
        <v>18.894837209302327</v>
      </c>
      <c r="P187" s="17">
        <f t="shared" si="24"/>
        <v>14.089880106976747</v>
      </c>
      <c r="Q187" s="16" cm="1">
        <f t="array" ref="Q187">_xlfn.XLOOKUP(O187,BSFC!$A$2:$A$24,_xlfn.XLOOKUP(K187,BSFC!$B$1:$O$1,BSFC!$B$2:$O$24,,-1),,-1)</f>
        <v>480</v>
      </c>
      <c r="R187" s="17">
        <f t="shared" si="25"/>
        <v>1.8786506809302328</v>
      </c>
      <c r="S187" s="16">
        <f t="shared" si="27"/>
        <v>2.9183485335177264E-4</v>
      </c>
      <c r="T187" s="17">
        <f t="shared" si="31"/>
        <v>0.14008072960885087</v>
      </c>
      <c r="U187" s="16">
        <f t="shared" si="32"/>
        <v>29.080764496217693</v>
      </c>
      <c r="V187" s="17">
        <f t="shared" si="33"/>
        <v>5.8538092366428297E-2</v>
      </c>
      <c r="W187" s="16">
        <f t="shared" si="28"/>
        <v>210737.13251914186</v>
      </c>
      <c r="X187">
        <f>('Hybrid Info'!$A$2-Track!P187)*(L187-L186)*1000+X186</f>
        <v>-15406.000750775922</v>
      </c>
    </row>
    <row r="188" spans="1:24">
      <c r="A188" s="16">
        <f t="shared" si="29"/>
        <v>187</v>
      </c>
      <c r="B188" s="17">
        <f t="shared" si="30"/>
        <v>13.411199999999999</v>
      </c>
      <c r="C188" s="18">
        <f>Specification!$G$30</f>
        <v>109.96225200000001</v>
      </c>
      <c r="D188" s="17">
        <f>0.5*Specification!$K$4*Track!B188^2*Specification!$K$3*Specification!$K$2</f>
        <v>93.159842569492653</v>
      </c>
      <c r="E188" s="16">
        <v>0</v>
      </c>
      <c r="F188" s="17">
        <f>Specification!$C$23*9.81*SIN((E188*PI()/180))</f>
        <v>0</v>
      </c>
      <c r="G188" s="18">
        <f>IF(J188=1,VLOOKUP(K188,RPM!$E$2:$H$62,3,FALSE)-F188-E188-D188,IF(J188=2,VLOOKUP(K188,RPM!$H$2:$K$62,3,FALSE)-F188-E188-D188,IF(J188=3,VLOOKUP(K188,RPM!$K$2:$N$62,3,FALSE)-F188-E188-D188)))</f>
        <v>549.56217903827155</v>
      </c>
      <c r="H188" s="19">
        <f>IF(J188=1,Specification!$I$14,IF(J188=2,Specification!$I$15,IF(J188=3,Specification!$I$16)))</f>
        <v>578.93404261974786</v>
      </c>
      <c r="I188" s="16">
        <v>0</v>
      </c>
      <c r="J188" s="17">
        <v>3</v>
      </c>
      <c r="K188" s="16">
        <f>IF(J188=1,VLOOKUP(B188,RPM!$F$2:$H$62,3,TRUE),IF(J188=2,VLOOKUP(B188,RPM!$I$2:$K$62,3,TRUE),IF(J188=3,VLOOKUP(B188,RPM!$L$2:$N$62,3,TRUE))))</f>
        <v>4300</v>
      </c>
      <c r="L188" s="17">
        <f t="shared" si="26"/>
        <v>16.608475440887897</v>
      </c>
      <c r="M188" s="16">
        <f t="shared" si="23"/>
        <v>0</v>
      </c>
      <c r="N188" s="17">
        <f>VLOOKUP(K188,RPM!$A$2:$D$62,3,FALSE)</f>
        <v>11.4</v>
      </c>
      <c r="O188" s="16">
        <f>VLOOKUP(K188,RPM!$A$2:$D$62,4,FALSE)</f>
        <v>18.894837209302327</v>
      </c>
      <c r="P188" s="17">
        <f t="shared" si="24"/>
        <v>14.089880106976747</v>
      </c>
      <c r="Q188" s="16" cm="1">
        <f t="array" ref="Q188">_xlfn.XLOOKUP(O188,BSFC!$A$2:$A$24,_xlfn.XLOOKUP(K188,BSFC!$B$1:$O$1,BSFC!$B$2:$O$24,,-1),,-1)</f>
        <v>480</v>
      </c>
      <c r="R188" s="17">
        <f t="shared" si="25"/>
        <v>1.8786506809302328</v>
      </c>
      <c r="S188" s="16">
        <f t="shared" si="27"/>
        <v>2.9183485335177264E-4</v>
      </c>
      <c r="T188" s="17">
        <f t="shared" si="31"/>
        <v>0.14008072960885087</v>
      </c>
      <c r="U188" s="16">
        <f t="shared" si="32"/>
        <v>29.220845225826544</v>
      </c>
      <c r="V188" s="17">
        <f t="shared" si="33"/>
        <v>5.8829927219780073E-2</v>
      </c>
      <c r="W188" s="16">
        <f t="shared" si="28"/>
        <v>211787.73799120827</v>
      </c>
      <c r="X188">
        <f>('Hybrid Info'!$A$2-Track!P188)*(L188-L187)*1000+X187</f>
        <v>-15552.850064125332</v>
      </c>
    </row>
    <row r="189" spans="1:24">
      <c r="A189" s="16">
        <f t="shared" si="29"/>
        <v>188</v>
      </c>
      <c r="B189" s="17">
        <f t="shared" si="30"/>
        <v>13.411199999999999</v>
      </c>
      <c r="C189" s="18">
        <f>Specification!$G$30</f>
        <v>109.96225200000001</v>
      </c>
      <c r="D189" s="17">
        <f>0.5*Specification!$K$4*Track!B189^2*Specification!$K$3*Specification!$K$2</f>
        <v>93.159842569492653</v>
      </c>
      <c r="E189" s="16">
        <v>0</v>
      </c>
      <c r="F189" s="17">
        <f>Specification!$C$23*9.81*SIN((E189*PI()/180))</f>
        <v>0</v>
      </c>
      <c r="G189" s="18">
        <f>IF(J189=1,VLOOKUP(K189,RPM!$E$2:$H$62,3,FALSE)-F189-E189-D189,IF(J189=2,VLOOKUP(K189,RPM!$H$2:$K$62,3,FALSE)-F189-E189-D189,IF(J189=3,VLOOKUP(K189,RPM!$K$2:$N$62,3,FALSE)-F189-E189-D189)))</f>
        <v>549.56217903827155</v>
      </c>
      <c r="H189" s="19">
        <f>IF(J189=1,Specification!$I$14,IF(J189=2,Specification!$I$15,IF(J189=3,Specification!$I$16)))</f>
        <v>578.93404261974786</v>
      </c>
      <c r="I189" s="16">
        <v>0</v>
      </c>
      <c r="J189" s="17">
        <v>3</v>
      </c>
      <c r="K189" s="16">
        <f>IF(J189=1,VLOOKUP(B189,RPM!$F$2:$H$62,3,TRUE),IF(J189=2,VLOOKUP(B189,RPM!$I$2:$K$62,3,TRUE),IF(J189=3,VLOOKUP(B189,RPM!$L$2:$N$62,3,TRUE))))</f>
        <v>4300</v>
      </c>
      <c r="L189" s="17">
        <f t="shared" si="26"/>
        <v>16.683039983956377</v>
      </c>
      <c r="M189" s="16">
        <f t="shared" si="23"/>
        <v>0</v>
      </c>
      <c r="N189" s="17">
        <f>VLOOKUP(K189,RPM!$A$2:$D$62,3,FALSE)</f>
        <v>11.4</v>
      </c>
      <c r="O189" s="16">
        <f>VLOOKUP(K189,RPM!$A$2:$D$62,4,FALSE)</f>
        <v>18.894837209302327</v>
      </c>
      <c r="P189" s="17">
        <f t="shared" si="24"/>
        <v>14.089880106976747</v>
      </c>
      <c r="Q189" s="16" cm="1">
        <f t="array" ref="Q189">_xlfn.XLOOKUP(O189,BSFC!$A$2:$A$24,_xlfn.XLOOKUP(K189,BSFC!$B$1:$O$1,BSFC!$B$2:$O$24,,-1),,-1)</f>
        <v>480</v>
      </c>
      <c r="R189" s="17">
        <f t="shared" si="25"/>
        <v>1.8786506809302328</v>
      </c>
      <c r="S189" s="16">
        <f t="shared" si="27"/>
        <v>2.9183485335177264E-4</v>
      </c>
      <c r="T189" s="17">
        <f t="shared" si="31"/>
        <v>0.14008072960885087</v>
      </c>
      <c r="U189" s="16">
        <f t="shared" si="32"/>
        <v>29.360925955435395</v>
      </c>
      <c r="V189" s="17">
        <f t="shared" si="33"/>
        <v>5.9121762073131849E-2</v>
      </c>
      <c r="W189" s="16">
        <f t="shared" si="28"/>
        <v>212838.34346327465</v>
      </c>
      <c r="X189">
        <f>('Hybrid Info'!$A$2-Track!P189)*(L189-L188)*1000+X188</f>
        <v>-15699.699377474743</v>
      </c>
    </row>
    <row r="190" spans="1:24">
      <c r="A190" s="16">
        <f t="shared" si="29"/>
        <v>189</v>
      </c>
      <c r="B190" s="17">
        <f t="shared" si="30"/>
        <v>13.411199999999999</v>
      </c>
      <c r="C190" s="18">
        <f>Specification!$G$30</f>
        <v>109.96225200000001</v>
      </c>
      <c r="D190" s="17">
        <f>0.5*Specification!$K$4*Track!B190^2*Specification!$K$3*Specification!$K$2</f>
        <v>93.159842569492653</v>
      </c>
      <c r="E190" s="16">
        <v>0</v>
      </c>
      <c r="F190" s="17">
        <f>Specification!$C$23*9.81*SIN((E190*PI()/180))</f>
        <v>0</v>
      </c>
      <c r="G190" s="18">
        <f>IF(J190=1,VLOOKUP(K190,RPM!$E$2:$H$62,3,FALSE)-F190-E190-D190,IF(J190=2,VLOOKUP(K190,RPM!$H$2:$K$62,3,FALSE)-F190-E190-D190,IF(J190=3,VLOOKUP(K190,RPM!$K$2:$N$62,3,FALSE)-F190-E190-D190)))</f>
        <v>549.56217903827155</v>
      </c>
      <c r="H190" s="19">
        <f>IF(J190=1,Specification!$I$14,IF(J190=2,Specification!$I$15,IF(J190=3,Specification!$I$16)))</f>
        <v>578.93404261974786</v>
      </c>
      <c r="I190" s="16">
        <v>0</v>
      </c>
      <c r="J190" s="17">
        <v>3</v>
      </c>
      <c r="K190" s="16">
        <f>IF(J190=1,VLOOKUP(B190,RPM!$F$2:$H$62,3,TRUE),IF(J190=2,VLOOKUP(B190,RPM!$I$2:$K$62,3,TRUE),IF(J190=3,VLOOKUP(B190,RPM!$L$2:$N$62,3,TRUE))))</f>
        <v>4300</v>
      </c>
      <c r="L190" s="17">
        <f t="shared" si="26"/>
        <v>16.757604527024856</v>
      </c>
      <c r="M190" s="16">
        <f t="shared" si="23"/>
        <v>0</v>
      </c>
      <c r="N190" s="17">
        <f>VLOOKUP(K190,RPM!$A$2:$D$62,3,FALSE)</f>
        <v>11.4</v>
      </c>
      <c r="O190" s="16">
        <f>VLOOKUP(K190,RPM!$A$2:$D$62,4,FALSE)</f>
        <v>18.894837209302327</v>
      </c>
      <c r="P190" s="17">
        <f t="shared" si="24"/>
        <v>14.089880106976747</v>
      </c>
      <c r="Q190" s="16" cm="1">
        <f t="array" ref="Q190">_xlfn.XLOOKUP(O190,BSFC!$A$2:$A$24,_xlfn.XLOOKUP(K190,BSFC!$B$1:$O$1,BSFC!$B$2:$O$24,,-1),,-1)</f>
        <v>480</v>
      </c>
      <c r="R190" s="17">
        <f t="shared" si="25"/>
        <v>1.8786506809302328</v>
      </c>
      <c r="S190" s="16">
        <f t="shared" si="27"/>
        <v>2.9183485335177264E-4</v>
      </c>
      <c r="T190" s="17">
        <f t="shared" si="31"/>
        <v>0.14008072960885087</v>
      </c>
      <c r="U190" s="16">
        <f t="shared" si="32"/>
        <v>29.501006685044246</v>
      </c>
      <c r="V190" s="17">
        <f t="shared" si="33"/>
        <v>5.9413596926483625E-2</v>
      </c>
      <c r="W190" s="16">
        <f t="shared" si="28"/>
        <v>213888.94893534106</v>
      </c>
      <c r="X190">
        <f>('Hybrid Info'!$A$2-Track!P190)*(L190-L189)*1000+X189</f>
        <v>-15846.548690824153</v>
      </c>
    </row>
    <row r="191" spans="1:24">
      <c r="A191" s="16">
        <f t="shared" si="29"/>
        <v>190</v>
      </c>
      <c r="B191" s="17">
        <f t="shared" si="30"/>
        <v>13.411199999999999</v>
      </c>
      <c r="C191" s="18">
        <f>Specification!$G$30</f>
        <v>109.96225200000001</v>
      </c>
      <c r="D191" s="17">
        <f>0.5*Specification!$K$4*Track!B191^2*Specification!$K$3*Specification!$K$2</f>
        <v>93.159842569492653</v>
      </c>
      <c r="E191" s="16">
        <v>0</v>
      </c>
      <c r="F191" s="17">
        <f>Specification!$C$23*9.81*SIN((E191*PI()/180))</f>
        <v>0</v>
      </c>
      <c r="G191" s="18">
        <f>IF(J191=1,VLOOKUP(K191,RPM!$E$2:$H$62,3,FALSE)-F191-E191-D191,IF(J191=2,VLOOKUP(K191,RPM!$H$2:$K$62,3,FALSE)-F191-E191-D191,IF(J191=3,VLOOKUP(K191,RPM!$K$2:$N$62,3,FALSE)-F191-E191-D191)))</f>
        <v>549.56217903827155</v>
      </c>
      <c r="H191" s="19">
        <f>IF(J191=1,Specification!$I$14,IF(J191=2,Specification!$I$15,IF(J191=3,Specification!$I$16)))</f>
        <v>578.93404261974786</v>
      </c>
      <c r="I191" s="16">
        <v>0</v>
      </c>
      <c r="J191" s="17">
        <v>3</v>
      </c>
      <c r="K191" s="16">
        <f>IF(J191=1,VLOOKUP(B191,RPM!$F$2:$H$62,3,TRUE),IF(J191=2,VLOOKUP(B191,RPM!$I$2:$K$62,3,TRUE),IF(J191=3,VLOOKUP(B191,RPM!$L$2:$N$62,3,TRUE))))</f>
        <v>4300</v>
      </c>
      <c r="L191" s="17">
        <f t="shared" si="26"/>
        <v>16.832169070093336</v>
      </c>
      <c r="M191" s="16">
        <f t="shared" si="23"/>
        <v>0</v>
      </c>
      <c r="N191" s="17">
        <f>VLOOKUP(K191,RPM!$A$2:$D$62,3,FALSE)</f>
        <v>11.4</v>
      </c>
      <c r="O191" s="16">
        <f>VLOOKUP(K191,RPM!$A$2:$D$62,4,FALSE)</f>
        <v>18.894837209302327</v>
      </c>
      <c r="P191" s="17">
        <f t="shared" si="24"/>
        <v>14.089880106976747</v>
      </c>
      <c r="Q191" s="16" cm="1">
        <f t="array" ref="Q191">_xlfn.XLOOKUP(O191,BSFC!$A$2:$A$24,_xlfn.XLOOKUP(K191,BSFC!$B$1:$O$1,BSFC!$B$2:$O$24,,-1),,-1)</f>
        <v>480</v>
      </c>
      <c r="R191" s="17">
        <f t="shared" si="25"/>
        <v>1.8786506809302328</v>
      </c>
      <c r="S191" s="16">
        <f t="shared" si="27"/>
        <v>2.9183485335177264E-4</v>
      </c>
      <c r="T191" s="17">
        <f t="shared" si="31"/>
        <v>0.14008072960885087</v>
      </c>
      <c r="U191" s="16">
        <f t="shared" si="32"/>
        <v>29.641087414653096</v>
      </c>
      <c r="V191" s="17">
        <f t="shared" si="33"/>
        <v>5.9705431779835401E-2</v>
      </c>
      <c r="W191" s="16">
        <f t="shared" si="28"/>
        <v>214939.55440740744</v>
      </c>
      <c r="X191">
        <f>('Hybrid Info'!$A$2-Track!P191)*(L191-L190)*1000+X190</f>
        <v>-15993.398004173563</v>
      </c>
    </row>
    <row r="192" spans="1:24">
      <c r="A192" s="16">
        <f t="shared" si="29"/>
        <v>191</v>
      </c>
      <c r="B192" s="17">
        <f t="shared" si="30"/>
        <v>13.411199999999999</v>
      </c>
      <c r="C192" s="18">
        <f>Specification!$G$30</f>
        <v>109.96225200000001</v>
      </c>
      <c r="D192" s="17">
        <f>0.5*Specification!$K$4*Track!B192^2*Specification!$K$3*Specification!$K$2</f>
        <v>93.159842569492653</v>
      </c>
      <c r="E192" s="16">
        <v>0</v>
      </c>
      <c r="F192" s="17">
        <f>Specification!$C$23*9.81*SIN((E192*PI()/180))</f>
        <v>0</v>
      </c>
      <c r="G192" s="18">
        <f>IF(J192=1,VLOOKUP(K192,RPM!$E$2:$H$62,3,FALSE)-F192-E192-D192,IF(J192=2,VLOOKUP(K192,RPM!$H$2:$K$62,3,FALSE)-F192-E192-D192,IF(J192=3,VLOOKUP(K192,RPM!$K$2:$N$62,3,FALSE)-F192-E192-D192)))</f>
        <v>549.56217903827155</v>
      </c>
      <c r="H192" s="19">
        <f>IF(J192=1,Specification!$I$14,IF(J192=2,Specification!$I$15,IF(J192=3,Specification!$I$16)))</f>
        <v>578.93404261974786</v>
      </c>
      <c r="I192" s="16">
        <v>0</v>
      </c>
      <c r="J192" s="17">
        <v>3</v>
      </c>
      <c r="K192" s="16">
        <f>IF(J192=1,VLOOKUP(B192,RPM!$F$2:$H$62,3,TRUE),IF(J192=2,VLOOKUP(B192,RPM!$I$2:$K$62,3,TRUE),IF(J192=3,VLOOKUP(B192,RPM!$L$2:$N$62,3,TRUE))))</f>
        <v>4300</v>
      </c>
      <c r="L192" s="17">
        <f t="shared" si="26"/>
        <v>16.906733613161816</v>
      </c>
      <c r="M192" s="16">
        <f t="shared" si="23"/>
        <v>0</v>
      </c>
      <c r="N192" s="17">
        <f>VLOOKUP(K192,RPM!$A$2:$D$62,3,FALSE)</f>
        <v>11.4</v>
      </c>
      <c r="O192" s="16">
        <f>VLOOKUP(K192,RPM!$A$2:$D$62,4,FALSE)</f>
        <v>18.894837209302327</v>
      </c>
      <c r="P192" s="17">
        <f t="shared" si="24"/>
        <v>14.089880106976747</v>
      </c>
      <c r="Q192" s="16" cm="1">
        <f t="array" ref="Q192">_xlfn.XLOOKUP(O192,BSFC!$A$2:$A$24,_xlfn.XLOOKUP(K192,BSFC!$B$1:$O$1,BSFC!$B$2:$O$24,,-1),,-1)</f>
        <v>480</v>
      </c>
      <c r="R192" s="17">
        <f t="shared" si="25"/>
        <v>1.8786506809302328</v>
      </c>
      <c r="S192" s="16">
        <f t="shared" si="27"/>
        <v>2.9183485335177264E-4</v>
      </c>
      <c r="T192" s="17">
        <f t="shared" si="31"/>
        <v>0.14008072960885087</v>
      </c>
      <c r="U192" s="16">
        <f t="shared" si="32"/>
        <v>29.781168144261947</v>
      </c>
      <c r="V192" s="17">
        <f t="shared" si="33"/>
        <v>5.9997266633187177E-2</v>
      </c>
      <c r="W192" s="16">
        <f t="shared" si="28"/>
        <v>215990.15987947382</v>
      </c>
      <c r="X192">
        <f>('Hybrid Info'!$A$2-Track!P192)*(L192-L191)*1000+X191</f>
        <v>-16140.247317522973</v>
      </c>
    </row>
    <row r="193" spans="1:24">
      <c r="A193" s="16">
        <f t="shared" si="29"/>
        <v>192</v>
      </c>
      <c r="B193" s="17">
        <f t="shared" si="30"/>
        <v>13.411199999999999</v>
      </c>
      <c r="C193" s="18">
        <f>Specification!$G$30</f>
        <v>109.96225200000001</v>
      </c>
      <c r="D193" s="17">
        <f>0.5*Specification!$K$4*Track!B193^2*Specification!$K$3*Specification!$K$2</f>
        <v>93.159842569492653</v>
      </c>
      <c r="E193" s="16">
        <v>0</v>
      </c>
      <c r="F193" s="17">
        <f>Specification!$C$23*9.81*SIN((E193*PI()/180))</f>
        <v>0</v>
      </c>
      <c r="G193" s="18">
        <f>IF(J193=1,VLOOKUP(K193,RPM!$E$2:$H$62,3,FALSE)-F193-E193-D193,IF(J193=2,VLOOKUP(K193,RPM!$H$2:$K$62,3,FALSE)-F193-E193-D193,IF(J193=3,VLOOKUP(K193,RPM!$K$2:$N$62,3,FALSE)-F193-E193-D193)))</f>
        <v>549.56217903827155</v>
      </c>
      <c r="H193" s="19">
        <f>IF(J193=1,Specification!$I$14,IF(J193=2,Specification!$I$15,IF(J193=3,Specification!$I$16)))</f>
        <v>578.93404261974786</v>
      </c>
      <c r="I193" s="16">
        <v>0</v>
      </c>
      <c r="J193" s="17">
        <v>3</v>
      </c>
      <c r="K193" s="16">
        <f>IF(J193=1,VLOOKUP(B193,RPM!$F$2:$H$62,3,TRUE),IF(J193=2,VLOOKUP(B193,RPM!$I$2:$K$62,3,TRUE),IF(J193=3,VLOOKUP(B193,RPM!$L$2:$N$62,3,TRUE))))</f>
        <v>4300</v>
      </c>
      <c r="L193" s="17">
        <f t="shared" si="26"/>
        <v>16.981298156230295</v>
      </c>
      <c r="M193" s="16">
        <f t="shared" si="23"/>
        <v>0</v>
      </c>
      <c r="N193" s="17">
        <f>VLOOKUP(K193,RPM!$A$2:$D$62,3,FALSE)</f>
        <v>11.4</v>
      </c>
      <c r="O193" s="16">
        <f>VLOOKUP(K193,RPM!$A$2:$D$62,4,FALSE)</f>
        <v>18.894837209302327</v>
      </c>
      <c r="P193" s="17">
        <f t="shared" si="24"/>
        <v>14.089880106976747</v>
      </c>
      <c r="Q193" s="16" cm="1">
        <f t="array" ref="Q193">_xlfn.XLOOKUP(O193,BSFC!$A$2:$A$24,_xlfn.XLOOKUP(K193,BSFC!$B$1:$O$1,BSFC!$B$2:$O$24,,-1),,-1)</f>
        <v>480</v>
      </c>
      <c r="R193" s="17">
        <f t="shared" si="25"/>
        <v>1.8786506809302328</v>
      </c>
      <c r="S193" s="16">
        <f t="shared" si="27"/>
        <v>2.9183485335177264E-4</v>
      </c>
      <c r="T193" s="17">
        <f t="shared" si="31"/>
        <v>0.14008072960885087</v>
      </c>
      <c r="U193" s="16">
        <f t="shared" si="32"/>
        <v>29.921248873870798</v>
      </c>
      <c r="V193" s="17">
        <f t="shared" si="33"/>
        <v>6.0289101486538953E-2</v>
      </c>
      <c r="W193" s="16">
        <f t="shared" si="28"/>
        <v>217040.76535154023</v>
      </c>
      <c r="X193">
        <f>('Hybrid Info'!$A$2-Track!P193)*(L193-L192)*1000+X192</f>
        <v>-16287.096630872384</v>
      </c>
    </row>
    <row r="194" spans="1:24">
      <c r="A194" s="16">
        <f t="shared" si="29"/>
        <v>193</v>
      </c>
      <c r="B194" s="17">
        <f t="shared" si="30"/>
        <v>13.411199999999999</v>
      </c>
      <c r="C194" s="18">
        <f>Specification!$G$30</f>
        <v>109.96225200000001</v>
      </c>
      <c r="D194" s="17">
        <f>0.5*Specification!$K$4*Track!B194^2*Specification!$K$3*Specification!$K$2</f>
        <v>93.159842569492653</v>
      </c>
      <c r="E194" s="16">
        <v>0</v>
      </c>
      <c r="F194" s="17">
        <f>Specification!$C$23*9.81*SIN((E194*PI()/180))</f>
        <v>0</v>
      </c>
      <c r="G194" s="18">
        <f>IF(J194=1,VLOOKUP(K194,RPM!$E$2:$H$62,3,FALSE)-F194-E194-D194,IF(J194=2,VLOOKUP(K194,RPM!$H$2:$K$62,3,FALSE)-F194-E194-D194,IF(J194=3,VLOOKUP(K194,RPM!$K$2:$N$62,3,FALSE)-F194-E194-D194)))</f>
        <v>549.56217903827155</v>
      </c>
      <c r="H194" s="19">
        <f>IF(J194=1,Specification!$I$14,IF(J194=2,Specification!$I$15,IF(J194=3,Specification!$I$16)))</f>
        <v>578.93404261974786</v>
      </c>
      <c r="I194" s="16">
        <v>0</v>
      </c>
      <c r="J194" s="17">
        <v>3</v>
      </c>
      <c r="K194" s="16">
        <f>IF(J194=1,VLOOKUP(B194,RPM!$F$2:$H$62,3,TRUE),IF(J194=2,VLOOKUP(B194,RPM!$I$2:$K$62,3,TRUE),IF(J194=3,VLOOKUP(B194,RPM!$L$2:$N$62,3,TRUE))))</f>
        <v>4300</v>
      </c>
      <c r="L194" s="17">
        <f t="shared" si="26"/>
        <v>17.055862699298775</v>
      </c>
      <c r="M194" s="16">
        <f t="shared" ref="M194:M257" si="34">TAN(E194*PI()/180)+M193</f>
        <v>0</v>
      </c>
      <c r="N194" s="17">
        <f>VLOOKUP(K194,RPM!$A$2:$D$62,3,FALSE)</f>
        <v>11.4</v>
      </c>
      <c r="O194" s="16">
        <f>VLOOKUP(K194,RPM!$A$2:$D$62,4,FALSE)</f>
        <v>18.894837209302327</v>
      </c>
      <c r="P194" s="17">
        <f t="shared" ref="P194:P257" si="35">O194*0.7457</f>
        <v>14.089880106976747</v>
      </c>
      <c r="Q194" s="16" cm="1">
        <f t="array" ref="Q194">_xlfn.XLOOKUP(O194,BSFC!$A$2:$A$24,_xlfn.XLOOKUP(K194,BSFC!$B$1:$O$1,BSFC!$B$2:$O$24,,-1),,-1)</f>
        <v>480</v>
      </c>
      <c r="R194" s="17">
        <f t="shared" ref="R194:R257" si="36">Q194*P194/3600</f>
        <v>1.8786506809302328</v>
      </c>
      <c r="S194" s="16">
        <f t="shared" si="27"/>
        <v>2.9183485335177264E-4</v>
      </c>
      <c r="T194" s="17">
        <f t="shared" si="31"/>
        <v>0.14008072960885087</v>
      </c>
      <c r="U194" s="16">
        <f t="shared" si="32"/>
        <v>30.061329603479649</v>
      </c>
      <c r="V194" s="17">
        <f t="shared" si="33"/>
        <v>6.0580936339890729E-2</v>
      </c>
      <c r="W194" s="16">
        <f t="shared" si="28"/>
        <v>218091.37082360662</v>
      </c>
      <c r="X194">
        <f>('Hybrid Info'!$A$2-Track!P194)*(L194-L193)*1000+X193</f>
        <v>-16433.945944221796</v>
      </c>
    </row>
    <row r="195" spans="1:24">
      <c r="A195" s="16">
        <f t="shared" si="29"/>
        <v>194</v>
      </c>
      <c r="B195" s="17">
        <f t="shared" si="30"/>
        <v>13.411199999999999</v>
      </c>
      <c r="C195" s="18">
        <f>Specification!$G$30</f>
        <v>109.96225200000001</v>
      </c>
      <c r="D195" s="17">
        <f>0.5*Specification!$K$4*Track!B195^2*Specification!$K$3*Specification!$K$2</f>
        <v>93.159842569492653</v>
      </c>
      <c r="E195" s="16">
        <v>0</v>
      </c>
      <c r="F195" s="17">
        <f>Specification!$C$23*9.81*SIN((E195*PI()/180))</f>
        <v>0</v>
      </c>
      <c r="G195" s="18">
        <f>IF(J195=1,VLOOKUP(K195,RPM!$E$2:$H$62,3,FALSE)-F195-E195-D195,IF(J195=2,VLOOKUP(K195,RPM!$H$2:$K$62,3,FALSE)-F195-E195-D195,IF(J195=3,VLOOKUP(K195,RPM!$K$2:$N$62,3,FALSE)-F195-E195-D195)))</f>
        <v>549.56217903827155</v>
      </c>
      <c r="H195" s="19">
        <f>IF(J195=1,Specification!$I$14,IF(J195=2,Specification!$I$15,IF(J195=3,Specification!$I$16)))</f>
        <v>578.93404261974786</v>
      </c>
      <c r="I195" s="16">
        <v>0</v>
      </c>
      <c r="J195" s="17">
        <v>3</v>
      </c>
      <c r="K195" s="16">
        <f>IF(J195=1,VLOOKUP(B195,RPM!$F$2:$H$62,3,TRUE),IF(J195=2,VLOOKUP(B195,RPM!$I$2:$K$62,3,TRUE),IF(J195=3,VLOOKUP(B195,RPM!$L$2:$N$62,3,TRUE))))</f>
        <v>4300</v>
      </c>
      <c r="L195" s="17">
        <f t="shared" ref="L195:L258" si="37">IF(I195=0,ABS(1/B195)+L194,IF(ABS(B196-B195)=0,1/B195+L194,ABS((B196-B195)/I195)+L194))</f>
        <v>17.130427242367254</v>
      </c>
      <c r="M195" s="16">
        <f t="shared" si="34"/>
        <v>0</v>
      </c>
      <c r="N195" s="17">
        <f>VLOOKUP(K195,RPM!$A$2:$D$62,3,FALSE)</f>
        <v>11.4</v>
      </c>
      <c r="O195" s="16">
        <f>VLOOKUP(K195,RPM!$A$2:$D$62,4,FALSE)</f>
        <v>18.894837209302327</v>
      </c>
      <c r="P195" s="17">
        <f t="shared" si="35"/>
        <v>14.089880106976747</v>
      </c>
      <c r="Q195" s="16" cm="1">
        <f t="array" ref="Q195">_xlfn.XLOOKUP(O195,BSFC!$A$2:$A$24,_xlfn.XLOOKUP(K195,BSFC!$B$1:$O$1,BSFC!$B$2:$O$24,,-1),,-1)</f>
        <v>480</v>
      </c>
      <c r="R195" s="17">
        <f t="shared" si="36"/>
        <v>1.8786506809302328</v>
      </c>
      <c r="S195" s="16">
        <f t="shared" ref="S195:S258" si="38">(L195-L194)/3600*P195</f>
        <v>2.9183485335177264E-4</v>
      </c>
      <c r="T195" s="17">
        <f t="shared" si="31"/>
        <v>0.14008072960885087</v>
      </c>
      <c r="U195" s="16">
        <f t="shared" si="32"/>
        <v>30.2014103330885</v>
      </c>
      <c r="V195" s="17">
        <f t="shared" si="33"/>
        <v>6.0872771193242504E-2</v>
      </c>
      <c r="W195" s="16">
        <f t="shared" ref="W195:W258" si="39">V195*1000*3600</f>
        <v>219141.97629567303</v>
      </c>
      <c r="X195">
        <f>('Hybrid Info'!$A$2-Track!P195)*(L195-L194)*1000+X194</f>
        <v>-16580.795257571208</v>
      </c>
    </row>
    <row r="196" spans="1:24">
      <c r="A196" s="16">
        <f t="shared" ref="A196:A259" si="40">A195+1</f>
        <v>195</v>
      </c>
      <c r="B196" s="17">
        <f t="shared" ref="B196:B259" si="41">IF(SQRT(B195^2+2*I195)&gt;13.4112,13.4112,SQRT(B195^2+2*I195))</f>
        <v>13.411199999999999</v>
      </c>
      <c r="C196" s="18">
        <f>Specification!$G$30</f>
        <v>109.96225200000001</v>
      </c>
      <c r="D196" s="17">
        <f>0.5*Specification!$K$4*Track!B196^2*Specification!$K$3*Specification!$K$2</f>
        <v>93.159842569492653</v>
      </c>
      <c r="E196" s="16">
        <v>0</v>
      </c>
      <c r="F196" s="17">
        <f>Specification!$C$23*9.81*SIN((E196*PI()/180))</f>
        <v>0</v>
      </c>
      <c r="G196" s="18">
        <f>IF(J196=1,VLOOKUP(K196,RPM!$E$2:$H$62,3,FALSE)-F196-E196-D196,IF(J196=2,VLOOKUP(K196,RPM!$H$2:$K$62,3,FALSE)-F196-E196-D196,IF(J196=3,VLOOKUP(K196,RPM!$K$2:$N$62,3,FALSE)-F196-E196-D196)))</f>
        <v>549.56217903827155</v>
      </c>
      <c r="H196" s="19">
        <f>IF(J196=1,Specification!$I$14,IF(J196=2,Specification!$I$15,IF(J196=3,Specification!$I$16)))</f>
        <v>578.93404261974786</v>
      </c>
      <c r="I196" s="16">
        <v>0</v>
      </c>
      <c r="J196" s="17">
        <v>3</v>
      </c>
      <c r="K196" s="16">
        <f>IF(J196=1,VLOOKUP(B196,RPM!$F$2:$H$62,3,TRUE),IF(J196=2,VLOOKUP(B196,RPM!$I$2:$K$62,3,TRUE),IF(J196=3,VLOOKUP(B196,RPM!$L$2:$N$62,3,TRUE))))</f>
        <v>4300</v>
      </c>
      <c r="L196" s="17">
        <f t="shared" si="37"/>
        <v>17.204991785435734</v>
      </c>
      <c r="M196" s="16">
        <f t="shared" si="34"/>
        <v>0</v>
      </c>
      <c r="N196" s="17">
        <f>VLOOKUP(K196,RPM!$A$2:$D$62,3,FALSE)</f>
        <v>11.4</v>
      </c>
      <c r="O196" s="16">
        <f>VLOOKUP(K196,RPM!$A$2:$D$62,4,FALSE)</f>
        <v>18.894837209302327</v>
      </c>
      <c r="P196" s="17">
        <f t="shared" si="35"/>
        <v>14.089880106976747</v>
      </c>
      <c r="Q196" s="16" cm="1">
        <f t="array" ref="Q196">_xlfn.XLOOKUP(O196,BSFC!$A$2:$A$24,_xlfn.XLOOKUP(K196,BSFC!$B$1:$O$1,BSFC!$B$2:$O$24,,-1),,-1)</f>
        <v>480</v>
      </c>
      <c r="R196" s="17">
        <f t="shared" si="36"/>
        <v>1.8786506809302328</v>
      </c>
      <c r="S196" s="16">
        <f t="shared" si="38"/>
        <v>2.9183485335177264E-4</v>
      </c>
      <c r="T196" s="17">
        <f t="shared" ref="T196:T259" si="42">S196*Q196</f>
        <v>0.14008072960885087</v>
      </c>
      <c r="U196" s="16">
        <f t="shared" ref="U196:U259" si="43">U195+T196</f>
        <v>30.341491062697351</v>
      </c>
      <c r="V196" s="17">
        <f t="shared" si="33"/>
        <v>6.116460604659428E-2</v>
      </c>
      <c r="W196" s="16">
        <f t="shared" si="39"/>
        <v>220192.58176773941</v>
      </c>
      <c r="X196">
        <f>('Hybrid Info'!$A$2-Track!P196)*(L196-L195)*1000+X195</f>
        <v>-16727.64457092062</v>
      </c>
    </row>
    <row r="197" spans="1:24">
      <c r="A197" s="16">
        <f t="shared" si="40"/>
        <v>196</v>
      </c>
      <c r="B197" s="17">
        <f t="shared" si="41"/>
        <v>13.411199999999999</v>
      </c>
      <c r="C197" s="18">
        <f>Specification!$G$30</f>
        <v>109.96225200000001</v>
      </c>
      <c r="D197" s="17">
        <f>0.5*Specification!$K$4*Track!B197^2*Specification!$K$3*Specification!$K$2</f>
        <v>93.159842569492653</v>
      </c>
      <c r="E197" s="16">
        <v>0</v>
      </c>
      <c r="F197" s="17">
        <f>Specification!$C$23*9.81*SIN((E197*PI()/180))</f>
        <v>0</v>
      </c>
      <c r="G197" s="18">
        <f>IF(J197=1,VLOOKUP(K197,RPM!$E$2:$H$62,3,FALSE)-F197-E197-D197,IF(J197=2,VLOOKUP(K197,RPM!$H$2:$K$62,3,FALSE)-F197-E197-D197,IF(J197=3,VLOOKUP(K197,RPM!$K$2:$N$62,3,FALSE)-F197-E197-D197)))</f>
        <v>549.56217903827155</v>
      </c>
      <c r="H197" s="19">
        <f>IF(J197=1,Specification!$I$14,IF(J197=2,Specification!$I$15,IF(J197=3,Specification!$I$16)))</f>
        <v>578.93404261974786</v>
      </c>
      <c r="I197" s="16">
        <v>0</v>
      </c>
      <c r="J197" s="17">
        <v>3</v>
      </c>
      <c r="K197" s="16">
        <f>IF(J197=1,VLOOKUP(B197,RPM!$F$2:$H$62,3,TRUE),IF(J197=2,VLOOKUP(B197,RPM!$I$2:$K$62,3,TRUE),IF(J197=3,VLOOKUP(B197,RPM!$L$2:$N$62,3,TRUE))))</f>
        <v>4300</v>
      </c>
      <c r="L197" s="17">
        <f t="shared" si="37"/>
        <v>17.279556328504214</v>
      </c>
      <c r="M197" s="16">
        <f t="shared" si="34"/>
        <v>0</v>
      </c>
      <c r="N197" s="17">
        <f>VLOOKUP(K197,RPM!$A$2:$D$62,3,FALSE)</f>
        <v>11.4</v>
      </c>
      <c r="O197" s="16">
        <f>VLOOKUP(K197,RPM!$A$2:$D$62,4,FALSE)</f>
        <v>18.894837209302327</v>
      </c>
      <c r="P197" s="17">
        <f t="shared" si="35"/>
        <v>14.089880106976747</v>
      </c>
      <c r="Q197" s="16" cm="1">
        <f t="array" ref="Q197">_xlfn.XLOOKUP(O197,BSFC!$A$2:$A$24,_xlfn.XLOOKUP(K197,BSFC!$B$1:$O$1,BSFC!$B$2:$O$24,,-1),,-1)</f>
        <v>480</v>
      </c>
      <c r="R197" s="17">
        <f t="shared" si="36"/>
        <v>1.8786506809302328</v>
      </c>
      <c r="S197" s="16">
        <f t="shared" si="38"/>
        <v>2.9183485335177264E-4</v>
      </c>
      <c r="T197" s="17">
        <f t="shared" si="42"/>
        <v>0.14008072960885087</v>
      </c>
      <c r="U197" s="16">
        <f t="shared" si="43"/>
        <v>30.481571792306202</v>
      </c>
      <c r="V197" s="17">
        <f t="shared" ref="V197:V260" si="44">V196+S197</f>
        <v>6.1456440899946056E-2</v>
      </c>
      <c r="W197" s="16">
        <f t="shared" si="39"/>
        <v>221243.18723980582</v>
      </c>
      <c r="X197">
        <f>('Hybrid Info'!$A$2-Track!P197)*(L197-L196)*1000+X196</f>
        <v>-16874.493884270032</v>
      </c>
    </row>
    <row r="198" spans="1:24">
      <c r="A198" s="16">
        <f t="shared" si="40"/>
        <v>197</v>
      </c>
      <c r="B198" s="17">
        <f t="shared" si="41"/>
        <v>13.411199999999999</v>
      </c>
      <c r="C198" s="18">
        <f>Specification!$G$30</f>
        <v>109.96225200000001</v>
      </c>
      <c r="D198" s="17">
        <f>0.5*Specification!$K$4*Track!B198^2*Specification!$K$3*Specification!$K$2</f>
        <v>93.159842569492653</v>
      </c>
      <c r="E198" s="16">
        <v>0</v>
      </c>
      <c r="F198" s="17">
        <f>Specification!$C$23*9.81*SIN((E198*PI()/180))</f>
        <v>0</v>
      </c>
      <c r="G198" s="18">
        <f>IF(J198=1,VLOOKUP(K198,RPM!$E$2:$H$62,3,FALSE)-F198-E198-D198,IF(J198=2,VLOOKUP(K198,RPM!$H$2:$K$62,3,FALSE)-F198-E198-D198,IF(J198=3,VLOOKUP(K198,RPM!$K$2:$N$62,3,FALSE)-F198-E198-D198)))</f>
        <v>549.56217903827155</v>
      </c>
      <c r="H198" s="19">
        <f>IF(J198=1,Specification!$I$14,IF(J198=2,Specification!$I$15,IF(J198=3,Specification!$I$16)))</f>
        <v>578.93404261974786</v>
      </c>
      <c r="I198" s="16">
        <v>0</v>
      </c>
      <c r="J198" s="17">
        <v>3</v>
      </c>
      <c r="K198" s="16">
        <f>IF(J198=1,VLOOKUP(B198,RPM!$F$2:$H$62,3,TRUE),IF(J198=2,VLOOKUP(B198,RPM!$I$2:$K$62,3,TRUE),IF(J198=3,VLOOKUP(B198,RPM!$L$2:$N$62,3,TRUE))))</f>
        <v>4300</v>
      </c>
      <c r="L198" s="17">
        <f t="shared" si="37"/>
        <v>17.354120871572693</v>
      </c>
      <c r="M198" s="16">
        <f t="shared" si="34"/>
        <v>0</v>
      </c>
      <c r="N198" s="17">
        <f>VLOOKUP(K198,RPM!$A$2:$D$62,3,FALSE)</f>
        <v>11.4</v>
      </c>
      <c r="O198" s="16">
        <f>VLOOKUP(K198,RPM!$A$2:$D$62,4,FALSE)</f>
        <v>18.894837209302327</v>
      </c>
      <c r="P198" s="17">
        <f t="shared" si="35"/>
        <v>14.089880106976747</v>
      </c>
      <c r="Q198" s="16" cm="1">
        <f t="array" ref="Q198">_xlfn.XLOOKUP(O198,BSFC!$A$2:$A$24,_xlfn.XLOOKUP(K198,BSFC!$B$1:$O$1,BSFC!$B$2:$O$24,,-1),,-1)</f>
        <v>480</v>
      </c>
      <c r="R198" s="17">
        <f t="shared" si="36"/>
        <v>1.8786506809302328</v>
      </c>
      <c r="S198" s="16">
        <f t="shared" si="38"/>
        <v>2.9183485335177264E-4</v>
      </c>
      <c r="T198" s="17">
        <f t="shared" si="42"/>
        <v>0.14008072960885087</v>
      </c>
      <c r="U198" s="16">
        <f t="shared" si="43"/>
        <v>30.621652521915053</v>
      </c>
      <c r="V198" s="17">
        <f t="shared" si="44"/>
        <v>6.1748275753297832E-2</v>
      </c>
      <c r="W198" s="16">
        <f t="shared" si="39"/>
        <v>222293.7927118722</v>
      </c>
      <c r="X198">
        <f>('Hybrid Info'!$A$2-Track!P198)*(L198-L197)*1000+X197</f>
        <v>-17021.343197619444</v>
      </c>
    </row>
    <row r="199" spans="1:24">
      <c r="A199" s="16">
        <f t="shared" si="40"/>
        <v>198</v>
      </c>
      <c r="B199" s="17">
        <f t="shared" si="41"/>
        <v>13.411199999999999</v>
      </c>
      <c r="C199" s="18">
        <f>Specification!$G$30</f>
        <v>109.96225200000001</v>
      </c>
      <c r="D199" s="17">
        <f>0.5*Specification!$K$4*Track!B199^2*Specification!$K$3*Specification!$K$2</f>
        <v>93.159842569492653</v>
      </c>
      <c r="E199" s="16">
        <v>0</v>
      </c>
      <c r="F199" s="17">
        <f>Specification!$C$23*9.81*SIN((E199*PI()/180))</f>
        <v>0</v>
      </c>
      <c r="G199" s="18">
        <f>IF(J199=1,VLOOKUP(K199,RPM!$E$2:$H$62,3,FALSE)-F199-E199-D199,IF(J199=2,VLOOKUP(K199,RPM!$H$2:$K$62,3,FALSE)-F199-E199-D199,IF(J199=3,VLOOKUP(K199,RPM!$K$2:$N$62,3,FALSE)-F199-E199-D199)))</f>
        <v>549.56217903827155</v>
      </c>
      <c r="H199" s="19">
        <f>IF(J199=1,Specification!$I$14,IF(J199=2,Specification!$I$15,IF(J199=3,Specification!$I$16)))</f>
        <v>578.93404261974786</v>
      </c>
      <c r="I199" s="16">
        <v>0</v>
      </c>
      <c r="J199" s="17">
        <v>3</v>
      </c>
      <c r="K199" s="16">
        <f>IF(J199=1,VLOOKUP(B199,RPM!$F$2:$H$62,3,TRUE),IF(J199=2,VLOOKUP(B199,RPM!$I$2:$K$62,3,TRUE),IF(J199=3,VLOOKUP(B199,RPM!$L$2:$N$62,3,TRUE))))</f>
        <v>4300</v>
      </c>
      <c r="L199" s="17">
        <f t="shared" si="37"/>
        <v>17.428685414641173</v>
      </c>
      <c r="M199" s="16">
        <f t="shared" si="34"/>
        <v>0</v>
      </c>
      <c r="N199" s="17">
        <f>VLOOKUP(K199,RPM!$A$2:$D$62,3,FALSE)</f>
        <v>11.4</v>
      </c>
      <c r="O199" s="16">
        <f>VLOOKUP(K199,RPM!$A$2:$D$62,4,FALSE)</f>
        <v>18.894837209302327</v>
      </c>
      <c r="P199" s="17">
        <f t="shared" si="35"/>
        <v>14.089880106976747</v>
      </c>
      <c r="Q199" s="16" cm="1">
        <f t="array" ref="Q199">_xlfn.XLOOKUP(O199,BSFC!$A$2:$A$24,_xlfn.XLOOKUP(K199,BSFC!$B$1:$O$1,BSFC!$B$2:$O$24,,-1),,-1)</f>
        <v>480</v>
      </c>
      <c r="R199" s="17">
        <f t="shared" si="36"/>
        <v>1.8786506809302328</v>
      </c>
      <c r="S199" s="16">
        <f t="shared" si="38"/>
        <v>2.9183485335177264E-4</v>
      </c>
      <c r="T199" s="17">
        <f t="shared" si="42"/>
        <v>0.14008072960885087</v>
      </c>
      <c r="U199" s="16">
        <f t="shared" si="43"/>
        <v>30.761733251523903</v>
      </c>
      <c r="V199" s="17">
        <f t="shared" si="44"/>
        <v>6.2040110606649608E-2</v>
      </c>
      <c r="W199" s="16">
        <f t="shared" si="39"/>
        <v>223344.39818393858</v>
      </c>
      <c r="X199">
        <f>('Hybrid Info'!$A$2-Track!P199)*(L199-L198)*1000+X198</f>
        <v>-17168.192510968856</v>
      </c>
    </row>
    <row r="200" spans="1:24">
      <c r="A200" s="16">
        <f t="shared" si="40"/>
        <v>199</v>
      </c>
      <c r="B200" s="17">
        <f t="shared" si="41"/>
        <v>13.411199999999999</v>
      </c>
      <c r="C200" s="18">
        <f>Specification!$G$30</f>
        <v>109.96225200000001</v>
      </c>
      <c r="D200" s="17">
        <f>0.5*Specification!$K$4*Track!B200^2*Specification!$K$3*Specification!$K$2</f>
        <v>93.159842569492653</v>
      </c>
      <c r="E200" s="16">
        <v>0</v>
      </c>
      <c r="F200" s="17">
        <f>Specification!$C$23*9.81*SIN((E200*PI()/180))</f>
        <v>0</v>
      </c>
      <c r="G200" s="18">
        <f>IF(J200=1,VLOOKUP(K200,RPM!$E$2:$H$62,3,FALSE)-F200-E200-D200,IF(J200=2,VLOOKUP(K200,RPM!$H$2:$K$62,3,FALSE)-F200-E200-D200,IF(J200=3,VLOOKUP(K200,RPM!$K$2:$N$62,3,FALSE)-F200-E200-D200)))</f>
        <v>549.56217903827155</v>
      </c>
      <c r="H200" s="19">
        <f>IF(J200=1,Specification!$I$14,IF(J200=2,Specification!$I$15,IF(J200=3,Specification!$I$16)))</f>
        <v>578.93404261974786</v>
      </c>
      <c r="I200" s="16">
        <v>0</v>
      </c>
      <c r="J200" s="17">
        <v>3</v>
      </c>
      <c r="K200" s="16">
        <f>IF(J200=1,VLOOKUP(B200,RPM!$F$2:$H$62,3,TRUE),IF(J200=2,VLOOKUP(B200,RPM!$I$2:$K$62,3,TRUE),IF(J200=3,VLOOKUP(B200,RPM!$L$2:$N$62,3,TRUE))))</f>
        <v>4300</v>
      </c>
      <c r="L200" s="17">
        <f t="shared" si="37"/>
        <v>17.503249957709652</v>
      </c>
      <c r="M200" s="16">
        <f t="shared" si="34"/>
        <v>0</v>
      </c>
      <c r="N200" s="17">
        <f>VLOOKUP(K200,RPM!$A$2:$D$62,3,FALSE)</f>
        <v>11.4</v>
      </c>
      <c r="O200" s="16">
        <f>VLOOKUP(K200,RPM!$A$2:$D$62,4,FALSE)</f>
        <v>18.894837209302327</v>
      </c>
      <c r="P200" s="17">
        <f t="shared" si="35"/>
        <v>14.089880106976747</v>
      </c>
      <c r="Q200" s="16" cm="1">
        <f t="array" ref="Q200">_xlfn.XLOOKUP(O200,BSFC!$A$2:$A$24,_xlfn.XLOOKUP(K200,BSFC!$B$1:$O$1,BSFC!$B$2:$O$24,,-1),,-1)</f>
        <v>480</v>
      </c>
      <c r="R200" s="17">
        <f t="shared" si="36"/>
        <v>1.8786506809302328</v>
      </c>
      <c r="S200" s="16">
        <f t="shared" si="38"/>
        <v>2.9183485335177264E-4</v>
      </c>
      <c r="T200" s="17">
        <f t="shared" si="42"/>
        <v>0.14008072960885087</v>
      </c>
      <c r="U200" s="16">
        <f t="shared" si="43"/>
        <v>30.901813981132754</v>
      </c>
      <c r="V200" s="17">
        <f t="shared" si="44"/>
        <v>6.2331945460001384E-2</v>
      </c>
      <c r="W200" s="16">
        <f t="shared" si="39"/>
        <v>224395.00365600499</v>
      </c>
      <c r="X200">
        <f>('Hybrid Info'!$A$2-Track!P200)*(L200-L199)*1000+X199</f>
        <v>-17315.041824318268</v>
      </c>
    </row>
    <row r="201" spans="1:24">
      <c r="A201" s="16">
        <f t="shared" si="40"/>
        <v>200</v>
      </c>
      <c r="B201" s="17">
        <f t="shared" si="41"/>
        <v>13.411199999999999</v>
      </c>
      <c r="C201" s="18">
        <f>Specification!$G$30</f>
        <v>109.96225200000001</v>
      </c>
      <c r="D201" s="17">
        <f>0.5*Specification!$K$4*Track!B201^2*Specification!$K$3*Specification!$K$2</f>
        <v>93.159842569492653</v>
      </c>
      <c r="E201" s="16">
        <v>0</v>
      </c>
      <c r="F201" s="17">
        <f>Specification!$C$23*9.81*SIN((E201*PI()/180))</f>
        <v>0</v>
      </c>
      <c r="G201" s="18">
        <f>IF(J201=1,VLOOKUP(K201,RPM!$E$2:$H$62,3,FALSE)-F201-E201-D201,IF(J201=2,VLOOKUP(K201,RPM!$H$2:$K$62,3,FALSE)-F201-E201-D201,IF(J201=3,VLOOKUP(K201,RPM!$K$2:$N$62,3,FALSE)-F201-E201-D201)))</f>
        <v>549.56217903827155</v>
      </c>
      <c r="H201" s="19">
        <f>IF(J201=1,Specification!$I$14,IF(J201=2,Specification!$I$15,IF(J201=3,Specification!$I$16)))</f>
        <v>578.93404261974786</v>
      </c>
      <c r="I201" s="16">
        <v>0</v>
      </c>
      <c r="J201" s="17">
        <v>3</v>
      </c>
      <c r="K201" s="16">
        <f>IF(J201=1,VLOOKUP(B201,RPM!$F$2:$H$62,3,TRUE),IF(J201=2,VLOOKUP(B201,RPM!$I$2:$K$62,3,TRUE),IF(J201=3,VLOOKUP(B201,RPM!$L$2:$N$62,3,TRUE))))</f>
        <v>4300</v>
      </c>
      <c r="L201" s="17">
        <f t="shared" si="37"/>
        <v>17.577814500778132</v>
      </c>
      <c r="M201" s="16">
        <f t="shared" si="34"/>
        <v>0</v>
      </c>
      <c r="N201" s="17">
        <f>VLOOKUP(K201,RPM!$A$2:$D$62,3,FALSE)</f>
        <v>11.4</v>
      </c>
      <c r="O201" s="16">
        <f>VLOOKUP(K201,RPM!$A$2:$D$62,4,FALSE)</f>
        <v>18.894837209302327</v>
      </c>
      <c r="P201" s="17">
        <f t="shared" si="35"/>
        <v>14.089880106976747</v>
      </c>
      <c r="Q201" s="16" cm="1">
        <f t="array" ref="Q201">_xlfn.XLOOKUP(O201,BSFC!$A$2:$A$24,_xlfn.XLOOKUP(K201,BSFC!$B$1:$O$1,BSFC!$B$2:$O$24,,-1),,-1)</f>
        <v>480</v>
      </c>
      <c r="R201" s="17">
        <f t="shared" si="36"/>
        <v>1.8786506809302328</v>
      </c>
      <c r="S201" s="16">
        <f t="shared" si="38"/>
        <v>2.9183485335177264E-4</v>
      </c>
      <c r="T201" s="17">
        <f t="shared" si="42"/>
        <v>0.14008072960885087</v>
      </c>
      <c r="U201" s="16">
        <f t="shared" si="43"/>
        <v>31.041894710741605</v>
      </c>
      <c r="V201" s="17">
        <f t="shared" si="44"/>
        <v>6.2623780313353153E-2</v>
      </c>
      <c r="W201" s="16">
        <f t="shared" si="39"/>
        <v>225445.60912807134</v>
      </c>
      <c r="X201">
        <f>('Hybrid Info'!$A$2-Track!P201)*(L201-L200)*1000+X200</f>
        <v>-17461.891137667681</v>
      </c>
    </row>
    <row r="202" spans="1:24">
      <c r="A202" s="16">
        <f t="shared" si="40"/>
        <v>201</v>
      </c>
      <c r="B202" s="17">
        <f t="shared" si="41"/>
        <v>13.411199999999999</v>
      </c>
      <c r="C202" s="18">
        <f>Specification!$G$30</f>
        <v>109.96225200000001</v>
      </c>
      <c r="D202" s="17">
        <f>0.5*Specification!$K$4*Track!B202^2*Specification!$K$3*Specification!$K$2</f>
        <v>93.159842569492653</v>
      </c>
      <c r="E202" s="16">
        <v>0</v>
      </c>
      <c r="F202" s="17">
        <f>Specification!$C$23*9.81*SIN((E202*PI()/180))</f>
        <v>0</v>
      </c>
      <c r="G202" s="18">
        <f>IF(J202=1,VLOOKUP(K202,RPM!$E$2:$H$62,3,FALSE)-F202-E202-D202,IF(J202=2,VLOOKUP(K202,RPM!$H$2:$K$62,3,FALSE)-F202-E202-D202,IF(J202=3,VLOOKUP(K202,RPM!$K$2:$N$62,3,FALSE)-F202-E202-D202)))</f>
        <v>549.56217903827155</v>
      </c>
      <c r="H202" s="19">
        <f>IF(J202=1,Specification!$I$14,IF(J202=2,Specification!$I$15,IF(J202=3,Specification!$I$16)))</f>
        <v>578.93404261974786</v>
      </c>
      <c r="I202" s="16">
        <v>0</v>
      </c>
      <c r="J202" s="17">
        <v>3</v>
      </c>
      <c r="K202" s="16">
        <f>IF(J202=1,VLOOKUP(B202,RPM!$F$2:$H$62,3,TRUE),IF(J202=2,VLOOKUP(B202,RPM!$I$2:$K$62,3,TRUE),IF(J202=3,VLOOKUP(B202,RPM!$L$2:$N$62,3,TRUE))))</f>
        <v>4300</v>
      </c>
      <c r="L202" s="17">
        <f t="shared" si="37"/>
        <v>17.652379043846611</v>
      </c>
      <c r="M202" s="16">
        <f t="shared" si="34"/>
        <v>0</v>
      </c>
      <c r="N202" s="17">
        <f>VLOOKUP(K202,RPM!$A$2:$D$62,3,FALSE)</f>
        <v>11.4</v>
      </c>
      <c r="O202" s="16">
        <f>VLOOKUP(K202,RPM!$A$2:$D$62,4,FALSE)</f>
        <v>18.894837209302327</v>
      </c>
      <c r="P202" s="17">
        <f t="shared" si="35"/>
        <v>14.089880106976747</v>
      </c>
      <c r="Q202" s="16" cm="1">
        <f t="array" ref="Q202">_xlfn.XLOOKUP(O202,BSFC!$A$2:$A$24,_xlfn.XLOOKUP(K202,BSFC!$B$1:$O$1,BSFC!$B$2:$O$24,,-1),,-1)</f>
        <v>480</v>
      </c>
      <c r="R202" s="17">
        <f t="shared" si="36"/>
        <v>1.8786506809302328</v>
      </c>
      <c r="S202" s="16">
        <f t="shared" si="38"/>
        <v>2.9183485335177264E-4</v>
      </c>
      <c r="T202" s="17">
        <f t="shared" si="42"/>
        <v>0.14008072960885087</v>
      </c>
      <c r="U202" s="16">
        <f t="shared" si="43"/>
        <v>31.181975440350456</v>
      </c>
      <c r="V202" s="17">
        <f t="shared" si="44"/>
        <v>6.2915615166704922E-2</v>
      </c>
      <c r="W202" s="16">
        <f t="shared" si="39"/>
        <v>226496.21460013773</v>
      </c>
      <c r="X202">
        <f>('Hybrid Info'!$A$2-Track!P202)*(L202-L201)*1000+X201</f>
        <v>-17608.740451017093</v>
      </c>
    </row>
    <row r="203" spans="1:24">
      <c r="A203" s="16">
        <f t="shared" si="40"/>
        <v>202</v>
      </c>
      <c r="B203" s="17">
        <f t="shared" si="41"/>
        <v>13.411199999999999</v>
      </c>
      <c r="C203" s="18">
        <f>Specification!$G$30</f>
        <v>109.96225200000001</v>
      </c>
      <c r="D203" s="17">
        <f>0.5*Specification!$K$4*Track!B203^2*Specification!$K$3*Specification!$K$2</f>
        <v>93.159842569492653</v>
      </c>
      <c r="E203" s="16">
        <v>0</v>
      </c>
      <c r="F203" s="17">
        <f>Specification!$C$23*9.81*SIN((E203*PI()/180))</f>
        <v>0</v>
      </c>
      <c r="G203" s="18">
        <f>IF(J203=1,VLOOKUP(K203,RPM!$E$2:$H$62,3,FALSE)-F203-E203-D203,IF(J203=2,VLOOKUP(K203,RPM!$H$2:$K$62,3,FALSE)-F203-E203-D203,IF(J203=3,VLOOKUP(K203,RPM!$K$2:$N$62,3,FALSE)-F203-E203-D203)))</f>
        <v>549.56217903827155</v>
      </c>
      <c r="H203" s="19">
        <f>IF(J203=1,Specification!$I$14,IF(J203=2,Specification!$I$15,IF(J203=3,Specification!$I$16)))</f>
        <v>578.93404261974786</v>
      </c>
      <c r="I203" s="16">
        <v>0</v>
      </c>
      <c r="J203" s="17">
        <v>3</v>
      </c>
      <c r="K203" s="16">
        <f>IF(J203=1,VLOOKUP(B203,RPM!$F$2:$H$62,3,TRUE),IF(J203=2,VLOOKUP(B203,RPM!$I$2:$K$62,3,TRUE),IF(J203=3,VLOOKUP(B203,RPM!$L$2:$N$62,3,TRUE))))</f>
        <v>4300</v>
      </c>
      <c r="L203" s="17">
        <f t="shared" si="37"/>
        <v>17.726943586915091</v>
      </c>
      <c r="M203" s="16">
        <f t="shared" si="34"/>
        <v>0</v>
      </c>
      <c r="N203" s="17">
        <f>VLOOKUP(K203,RPM!$A$2:$D$62,3,FALSE)</f>
        <v>11.4</v>
      </c>
      <c r="O203" s="16">
        <f>VLOOKUP(K203,RPM!$A$2:$D$62,4,FALSE)</f>
        <v>18.894837209302327</v>
      </c>
      <c r="P203" s="17">
        <f t="shared" si="35"/>
        <v>14.089880106976747</v>
      </c>
      <c r="Q203" s="16" cm="1">
        <f t="array" ref="Q203">_xlfn.XLOOKUP(O203,BSFC!$A$2:$A$24,_xlfn.XLOOKUP(K203,BSFC!$B$1:$O$1,BSFC!$B$2:$O$24,,-1),,-1)</f>
        <v>480</v>
      </c>
      <c r="R203" s="17">
        <f t="shared" si="36"/>
        <v>1.8786506809302328</v>
      </c>
      <c r="S203" s="16">
        <f t="shared" si="38"/>
        <v>2.9183485335177264E-4</v>
      </c>
      <c r="T203" s="17">
        <f t="shared" si="42"/>
        <v>0.14008072960885087</v>
      </c>
      <c r="U203" s="16">
        <f t="shared" si="43"/>
        <v>31.322056169959307</v>
      </c>
      <c r="V203" s="17">
        <f t="shared" si="44"/>
        <v>6.3207450020056691E-2</v>
      </c>
      <c r="W203" s="16">
        <f t="shared" si="39"/>
        <v>227546.82007220408</v>
      </c>
      <c r="X203">
        <f>('Hybrid Info'!$A$2-Track!P203)*(L203-L202)*1000+X202</f>
        <v>-17755.589764366505</v>
      </c>
    </row>
    <row r="204" spans="1:24">
      <c r="A204" s="16">
        <f t="shared" si="40"/>
        <v>203</v>
      </c>
      <c r="B204" s="17">
        <f t="shared" si="41"/>
        <v>13.411199999999999</v>
      </c>
      <c r="C204" s="18">
        <f>Specification!$G$30</f>
        <v>109.96225200000001</v>
      </c>
      <c r="D204" s="17">
        <f>0.5*Specification!$K$4*Track!B204^2*Specification!$K$3*Specification!$K$2</f>
        <v>93.159842569492653</v>
      </c>
      <c r="E204" s="16">
        <v>0</v>
      </c>
      <c r="F204" s="17">
        <f>Specification!$C$23*9.81*SIN((E204*PI()/180))</f>
        <v>0</v>
      </c>
      <c r="G204" s="18">
        <f>IF(J204=1,VLOOKUP(K204,RPM!$E$2:$H$62,3,FALSE)-F204-E204-D204,IF(J204=2,VLOOKUP(K204,RPM!$H$2:$K$62,3,FALSE)-F204-E204-D204,IF(J204=3,VLOOKUP(K204,RPM!$K$2:$N$62,3,FALSE)-F204-E204-D204)))</f>
        <v>549.56217903827155</v>
      </c>
      <c r="H204" s="19">
        <f>IF(J204=1,Specification!$I$14,IF(J204=2,Specification!$I$15,IF(J204=3,Specification!$I$16)))</f>
        <v>578.93404261974786</v>
      </c>
      <c r="I204" s="16">
        <v>0</v>
      </c>
      <c r="J204" s="17">
        <v>3</v>
      </c>
      <c r="K204" s="16">
        <f>IF(J204=1,VLOOKUP(B204,RPM!$F$2:$H$62,3,TRUE),IF(J204=2,VLOOKUP(B204,RPM!$I$2:$K$62,3,TRUE),IF(J204=3,VLOOKUP(B204,RPM!$L$2:$N$62,3,TRUE))))</f>
        <v>4300</v>
      </c>
      <c r="L204" s="17">
        <f t="shared" si="37"/>
        <v>17.801508129983571</v>
      </c>
      <c r="M204" s="16">
        <f t="shared" si="34"/>
        <v>0</v>
      </c>
      <c r="N204" s="17">
        <f>VLOOKUP(K204,RPM!$A$2:$D$62,3,FALSE)</f>
        <v>11.4</v>
      </c>
      <c r="O204" s="16">
        <f>VLOOKUP(K204,RPM!$A$2:$D$62,4,FALSE)</f>
        <v>18.894837209302327</v>
      </c>
      <c r="P204" s="17">
        <f t="shared" si="35"/>
        <v>14.089880106976747</v>
      </c>
      <c r="Q204" s="16" cm="1">
        <f t="array" ref="Q204">_xlfn.XLOOKUP(O204,BSFC!$A$2:$A$24,_xlfn.XLOOKUP(K204,BSFC!$B$1:$O$1,BSFC!$B$2:$O$24,,-1),,-1)</f>
        <v>480</v>
      </c>
      <c r="R204" s="17">
        <f t="shared" si="36"/>
        <v>1.8786506809302328</v>
      </c>
      <c r="S204" s="16">
        <f t="shared" si="38"/>
        <v>2.9183485335177264E-4</v>
      </c>
      <c r="T204" s="17">
        <f t="shared" si="42"/>
        <v>0.14008072960885087</v>
      </c>
      <c r="U204" s="16">
        <f t="shared" si="43"/>
        <v>31.462136899568158</v>
      </c>
      <c r="V204" s="17">
        <f t="shared" si="44"/>
        <v>6.349928487340846E-2</v>
      </c>
      <c r="W204" s="16">
        <f t="shared" si="39"/>
        <v>228597.42554427046</v>
      </c>
      <c r="X204">
        <f>('Hybrid Info'!$A$2-Track!P204)*(L204-L203)*1000+X203</f>
        <v>-17902.439077715917</v>
      </c>
    </row>
    <row r="205" spans="1:24">
      <c r="A205" s="16">
        <f t="shared" si="40"/>
        <v>204</v>
      </c>
      <c r="B205" s="17">
        <f t="shared" si="41"/>
        <v>13.411199999999999</v>
      </c>
      <c r="C205" s="18">
        <f>Specification!$G$30</f>
        <v>109.96225200000001</v>
      </c>
      <c r="D205" s="17">
        <f>0.5*Specification!$K$4*Track!B205^2*Specification!$K$3*Specification!$K$2</f>
        <v>93.159842569492653</v>
      </c>
      <c r="E205" s="16">
        <v>0</v>
      </c>
      <c r="F205" s="17">
        <f>Specification!$C$23*9.81*SIN((E205*PI()/180))</f>
        <v>0</v>
      </c>
      <c r="G205" s="18">
        <f>IF(J205=1,VLOOKUP(K205,RPM!$E$2:$H$62,3,FALSE)-F205-E205-D205,IF(J205=2,VLOOKUP(K205,RPM!$H$2:$K$62,3,FALSE)-F205-E205-D205,IF(J205=3,VLOOKUP(K205,RPM!$K$2:$N$62,3,FALSE)-F205-E205-D205)))</f>
        <v>549.56217903827155</v>
      </c>
      <c r="H205" s="19">
        <f>IF(J205=1,Specification!$I$14,IF(J205=2,Specification!$I$15,IF(J205=3,Specification!$I$16)))</f>
        <v>578.93404261974786</v>
      </c>
      <c r="I205" s="16">
        <v>0</v>
      </c>
      <c r="J205" s="17">
        <v>3</v>
      </c>
      <c r="K205" s="16">
        <f>IF(J205=1,VLOOKUP(B205,RPM!$F$2:$H$62,3,TRUE),IF(J205=2,VLOOKUP(B205,RPM!$I$2:$K$62,3,TRUE),IF(J205=3,VLOOKUP(B205,RPM!$L$2:$N$62,3,TRUE))))</f>
        <v>4300</v>
      </c>
      <c r="L205" s="17">
        <f t="shared" si="37"/>
        <v>17.87607267305205</v>
      </c>
      <c r="M205" s="16">
        <f t="shared" si="34"/>
        <v>0</v>
      </c>
      <c r="N205" s="17">
        <f>VLOOKUP(K205,RPM!$A$2:$D$62,3,FALSE)</f>
        <v>11.4</v>
      </c>
      <c r="O205" s="16">
        <f>VLOOKUP(K205,RPM!$A$2:$D$62,4,FALSE)</f>
        <v>18.894837209302327</v>
      </c>
      <c r="P205" s="17">
        <f t="shared" si="35"/>
        <v>14.089880106976747</v>
      </c>
      <c r="Q205" s="16" cm="1">
        <f t="array" ref="Q205">_xlfn.XLOOKUP(O205,BSFC!$A$2:$A$24,_xlfn.XLOOKUP(K205,BSFC!$B$1:$O$1,BSFC!$B$2:$O$24,,-1),,-1)</f>
        <v>480</v>
      </c>
      <c r="R205" s="17">
        <f t="shared" si="36"/>
        <v>1.8786506809302328</v>
      </c>
      <c r="S205" s="16">
        <f t="shared" si="38"/>
        <v>2.9183485335177264E-4</v>
      </c>
      <c r="T205" s="17">
        <f t="shared" si="42"/>
        <v>0.14008072960885087</v>
      </c>
      <c r="U205" s="16">
        <f t="shared" si="43"/>
        <v>31.602217629177009</v>
      </c>
      <c r="V205" s="17">
        <f t="shared" si="44"/>
        <v>6.3791119726760229E-2</v>
      </c>
      <c r="W205" s="16">
        <f t="shared" si="39"/>
        <v>229648.03101633681</v>
      </c>
      <c r="X205">
        <f>('Hybrid Info'!$A$2-Track!P205)*(L205-L204)*1000+X204</f>
        <v>-18049.288391065329</v>
      </c>
    </row>
    <row r="206" spans="1:24">
      <c r="A206" s="16">
        <f t="shared" si="40"/>
        <v>205</v>
      </c>
      <c r="B206" s="17">
        <f t="shared" si="41"/>
        <v>13.411199999999999</v>
      </c>
      <c r="C206" s="18">
        <f>Specification!$G$30</f>
        <v>109.96225200000001</v>
      </c>
      <c r="D206" s="17">
        <f>0.5*Specification!$K$4*Track!B206^2*Specification!$K$3*Specification!$K$2</f>
        <v>93.159842569492653</v>
      </c>
      <c r="E206" s="16">
        <v>0</v>
      </c>
      <c r="F206" s="17">
        <f>Specification!$C$23*9.81*SIN((E206*PI()/180))</f>
        <v>0</v>
      </c>
      <c r="G206" s="18">
        <f>IF(J206=1,VLOOKUP(K206,RPM!$E$2:$H$62,3,FALSE)-F206-E206-D206,IF(J206=2,VLOOKUP(K206,RPM!$H$2:$K$62,3,FALSE)-F206-E206-D206,IF(J206=3,VLOOKUP(K206,RPM!$K$2:$N$62,3,FALSE)-F206-E206-D206)))</f>
        <v>549.56217903827155</v>
      </c>
      <c r="H206" s="19">
        <f>IF(J206=1,Specification!$I$14,IF(J206=2,Specification!$I$15,IF(J206=3,Specification!$I$16)))</f>
        <v>578.93404261974786</v>
      </c>
      <c r="I206" s="16">
        <v>0</v>
      </c>
      <c r="J206" s="17">
        <v>3</v>
      </c>
      <c r="K206" s="16">
        <f>IF(J206=1,VLOOKUP(B206,RPM!$F$2:$H$62,3,TRUE),IF(J206=2,VLOOKUP(B206,RPM!$I$2:$K$62,3,TRUE),IF(J206=3,VLOOKUP(B206,RPM!$L$2:$N$62,3,TRUE))))</f>
        <v>4300</v>
      </c>
      <c r="L206" s="17">
        <f t="shared" si="37"/>
        <v>17.95063721612053</v>
      </c>
      <c r="M206" s="16">
        <f t="shared" si="34"/>
        <v>0</v>
      </c>
      <c r="N206" s="17">
        <f>VLOOKUP(K206,RPM!$A$2:$D$62,3,FALSE)</f>
        <v>11.4</v>
      </c>
      <c r="O206" s="16">
        <f>VLOOKUP(K206,RPM!$A$2:$D$62,4,FALSE)</f>
        <v>18.894837209302327</v>
      </c>
      <c r="P206" s="17">
        <f t="shared" si="35"/>
        <v>14.089880106976747</v>
      </c>
      <c r="Q206" s="16" cm="1">
        <f t="array" ref="Q206">_xlfn.XLOOKUP(O206,BSFC!$A$2:$A$24,_xlfn.XLOOKUP(K206,BSFC!$B$1:$O$1,BSFC!$B$2:$O$24,,-1),,-1)</f>
        <v>480</v>
      </c>
      <c r="R206" s="17">
        <f t="shared" si="36"/>
        <v>1.8786506809302328</v>
      </c>
      <c r="S206" s="16">
        <f t="shared" si="38"/>
        <v>2.9183485335177264E-4</v>
      </c>
      <c r="T206" s="17">
        <f t="shared" si="42"/>
        <v>0.14008072960885087</v>
      </c>
      <c r="U206" s="16">
        <f t="shared" si="43"/>
        <v>31.74229835878586</v>
      </c>
      <c r="V206" s="17">
        <f t="shared" si="44"/>
        <v>6.4082954580111998E-2</v>
      </c>
      <c r="W206" s="16">
        <f t="shared" si="39"/>
        <v>230698.63648840319</v>
      </c>
      <c r="X206">
        <f>('Hybrid Info'!$A$2-Track!P206)*(L206-L205)*1000+X205</f>
        <v>-18196.137704414741</v>
      </c>
    </row>
    <row r="207" spans="1:24">
      <c r="A207" s="16">
        <f t="shared" si="40"/>
        <v>206</v>
      </c>
      <c r="B207" s="17">
        <f t="shared" si="41"/>
        <v>13.411199999999999</v>
      </c>
      <c r="C207" s="18">
        <f>Specification!$G$30</f>
        <v>109.96225200000001</v>
      </c>
      <c r="D207" s="17">
        <f>0.5*Specification!$K$4*Track!B207^2*Specification!$K$3*Specification!$K$2</f>
        <v>93.159842569492653</v>
      </c>
      <c r="E207" s="16">
        <v>0</v>
      </c>
      <c r="F207" s="17">
        <f>Specification!$C$23*9.81*SIN((E207*PI()/180))</f>
        <v>0</v>
      </c>
      <c r="G207" s="18">
        <f>IF(J207=1,VLOOKUP(K207,RPM!$E$2:$H$62,3,FALSE)-F207-E207-D207,IF(J207=2,VLOOKUP(K207,RPM!$H$2:$K$62,3,FALSE)-F207-E207-D207,IF(J207=3,VLOOKUP(K207,RPM!$K$2:$N$62,3,FALSE)-F207-E207-D207)))</f>
        <v>549.56217903827155</v>
      </c>
      <c r="H207" s="19">
        <f>IF(J207=1,Specification!$I$14,IF(J207=2,Specification!$I$15,IF(J207=3,Specification!$I$16)))</f>
        <v>578.93404261974786</v>
      </c>
      <c r="I207" s="16">
        <v>0</v>
      </c>
      <c r="J207" s="17">
        <v>3</v>
      </c>
      <c r="K207" s="16">
        <f>IF(J207=1,VLOOKUP(B207,RPM!$F$2:$H$62,3,TRUE),IF(J207=2,VLOOKUP(B207,RPM!$I$2:$K$62,3,TRUE),IF(J207=3,VLOOKUP(B207,RPM!$L$2:$N$62,3,TRUE))))</f>
        <v>4300</v>
      </c>
      <c r="L207" s="17">
        <f t="shared" si="37"/>
        <v>18.025201759189009</v>
      </c>
      <c r="M207" s="16">
        <f t="shared" si="34"/>
        <v>0</v>
      </c>
      <c r="N207" s="17">
        <f>VLOOKUP(K207,RPM!$A$2:$D$62,3,FALSE)</f>
        <v>11.4</v>
      </c>
      <c r="O207" s="16">
        <f>VLOOKUP(K207,RPM!$A$2:$D$62,4,FALSE)</f>
        <v>18.894837209302327</v>
      </c>
      <c r="P207" s="17">
        <f t="shared" si="35"/>
        <v>14.089880106976747</v>
      </c>
      <c r="Q207" s="16" cm="1">
        <f t="array" ref="Q207">_xlfn.XLOOKUP(O207,BSFC!$A$2:$A$24,_xlfn.XLOOKUP(K207,BSFC!$B$1:$O$1,BSFC!$B$2:$O$24,,-1),,-1)</f>
        <v>480</v>
      </c>
      <c r="R207" s="17">
        <f t="shared" si="36"/>
        <v>1.8786506809302328</v>
      </c>
      <c r="S207" s="16">
        <f t="shared" si="38"/>
        <v>2.9183485335177264E-4</v>
      </c>
      <c r="T207" s="17">
        <f t="shared" si="42"/>
        <v>0.14008072960885087</v>
      </c>
      <c r="U207" s="16">
        <f t="shared" si="43"/>
        <v>31.88237908839471</v>
      </c>
      <c r="V207" s="17">
        <f t="shared" si="44"/>
        <v>6.4374789433463767E-2</v>
      </c>
      <c r="W207" s="16">
        <f t="shared" si="39"/>
        <v>231749.24196046955</v>
      </c>
      <c r="X207">
        <f>('Hybrid Info'!$A$2-Track!P207)*(L207-L206)*1000+X206</f>
        <v>-18342.987017764153</v>
      </c>
    </row>
    <row r="208" spans="1:24">
      <c r="A208" s="16">
        <f t="shared" si="40"/>
        <v>207</v>
      </c>
      <c r="B208" s="17">
        <f t="shared" si="41"/>
        <v>13.411199999999999</v>
      </c>
      <c r="C208" s="18">
        <f>Specification!$G$30</f>
        <v>109.96225200000001</v>
      </c>
      <c r="D208" s="17">
        <f>0.5*Specification!$K$4*Track!B208^2*Specification!$K$3*Specification!$K$2</f>
        <v>93.159842569492653</v>
      </c>
      <c r="E208" s="16">
        <v>0</v>
      </c>
      <c r="F208" s="17">
        <f>Specification!$C$23*9.81*SIN((E208*PI()/180))</f>
        <v>0</v>
      </c>
      <c r="G208" s="18">
        <f>IF(J208=1,VLOOKUP(K208,RPM!$E$2:$H$62,3,FALSE)-F208-E208-D208,IF(J208=2,VLOOKUP(K208,RPM!$H$2:$K$62,3,FALSE)-F208-E208-D208,IF(J208=3,VLOOKUP(K208,RPM!$K$2:$N$62,3,FALSE)-F208-E208-D208)))</f>
        <v>549.56217903827155</v>
      </c>
      <c r="H208" s="19">
        <f>IF(J208=1,Specification!$I$14,IF(J208=2,Specification!$I$15,IF(J208=3,Specification!$I$16)))</f>
        <v>578.93404261974786</v>
      </c>
      <c r="I208" s="16">
        <v>0</v>
      </c>
      <c r="J208" s="17">
        <v>3</v>
      </c>
      <c r="K208" s="16">
        <f>IF(J208=1,VLOOKUP(B208,RPM!$F$2:$H$62,3,TRUE),IF(J208=2,VLOOKUP(B208,RPM!$I$2:$K$62,3,TRUE),IF(J208=3,VLOOKUP(B208,RPM!$L$2:$N$62,3,TRUE))))</f>
        <v>4300</v>
      </c>
      <c r="L208" s="17">
        <f t="shared" si="37"/>
        <v>18.099766302257489</v>
      </c>
      <c r="M208" s="16">
        <f t="shared" si="34"/>
        <v>0</v>
      </c>
      <c r="N208" s="17">
        <f>VLOOKUP(K208,RPM!$A$2:$D$62,3,FALSE)</f>
        <v>11.4</v>
      </c>
      <c r="O208" s="16">
        <f>VLOOKUP(K208,RPM!$A$2:$D$62,4,FALSE)</f>
        <v>18.894837209302327</v>
      </c>
      <c r="P208" s="17">
        <f t="shared" si="35"/>
        <v>14.089880106976747</v>
      </c>
      <c r="Q208" s="16" cm="1">
        <f t="array" ref="Q208">_xlfn.XLOOKUP(O208,BSFC!$A$2:$A$24,_xlfn.XLOOKUP(K208,BSFC!$B$1:$O$1,BSFC!$B$2:$O$24,,-1),,-1)</f>
        <v>480</v>
      </c>
      <c r="R208" s="17">
        <f t="shared" si="36"/>
        <v>1.8786506809302328</v>
      </c>
      <c r="S208" s="16">
        <f t="shared" si="38"/>
        <v>2.9183485335177264E-4</v>
      </c>
      <c r="T208" s="17">
        <f t="shared" si="42"/>
        <v>0.14008072960885087</v>
      </c>
      <c r="U208" s="16">
        <f t="shared" si="43"/>
        <v>32.022459818003561</v>
      </c>
      <c r="V208" s="17">
        <f t="shared" si="44"/>
        <v>6.4666624286815536E-2</v>
      </c>
      <c r="W208" s="16">
        <f t="shared" si="39"/>
        <v>232799.84743253593</v>
      </c>
      <c r="X208">
        <f>('Hybrid Info'!$A$2-Track!P208)*(L208-L207)*1000+X207</f>
        <v>-18489.836331113565</v>
      </c>
    </row>
    <row r="209" spans="1:24">
      <c r="A209" s="16">
        <f t="shared" si="40"/>
        <v>208</v>
      </c>
      <c r="B209" s="17">
        <f t="shared" si="41"/>
        <v>13.411199999999999</v>
      </c>
      <c r="C209" s="18">
        <f>Specification!$G$30</f>
        <v>109.96225200000001</v>
      </c>
      <c r="D209" s="17">
        <f>0.5*Specification!$K$4*Track!B209^2*Specification!$K$3*Specification!$K$2</f>
        <v>93.159842569492653</v>
      </c>
      <c r="E209" s="16">
        <v>0</v>
      </c>
      <c r="F209" s="17">
        <f>Specification!$C$23*9.81*SIN((E209*PI()/180))</f>
        <v>0</v>
      </c>
      <c r="G209" s="18">
        <f>IF(J209=1,VLOOKUP(K209,RPM!$E$2:$H$62,3,FALSE)-F209-E209-D209,IF(J209=2,VLOOKUP(K209,RPM!$H$2:$K$62,3,FALSE)-F209-E209-D209,IF(J209=3,VLOOKUP(K209,RPM!$K$2:$N$62,3,FALSE)-F209-E209-D209)))</f>
        <v>549.56217903827155</v>
      </c>
      <c r="H209" s="19">
        <f>IF(J209=1,Specification!$I$14,IF(J209=2,Specification!$I$15,IF(J209=3,Specification!$I$16)))</f>
        <v>578.93404261974786</v>
      </c>
      <c r="I209" s="16">
        <v>0</v>
      </c>
      <c r="J209" s="17">
        <v>3</v>
      </c>
      <c r="K209" s="16">
        <f>IF(J209=1,VLOOKUP(B209,RPM!$F$2:$H$62,3,TRUE),IF(J209=2,VLOOKUP(B209,RPM!$I$2:$K$62,3,TRUE),IF(J209=3,VLOOKUP(B209,RPM!$L$2:$N$62,3,TRUE))))</f>
        <v>4300</v>
      </c>
      <c r="L209" s="17">
        <f t="shared" si="37"/>
        <v>18.174330845325969</v>
      </c>
      <c r="M209" s="16">
        <f t="shared" si="34"/>
        <v>0</v>
      </c>
      <c r="N209" s="17">
        <f>VLOOKUP(K209,RPM!$A$2:$D$62,3,FALSE)</f>
        <v>11.4</v>
      </c>
      <c r="O209" s="16">
        <f>VLOOKUP(K209,RPM!$A$2:$D$62,4,FALSE)</f>
        <v>18.894837209302327</v>
      </c>
      <c r="P209" s="17">
        <f t="shared" si="35"/>
        <v>14.089880106976747</v>
      </c>
      <c r="Q209" s="16" cm="1">
        <f t="array" ref="Q209">_xlfn.XLOOKUP(O209,BSFC!$A$2:$A$24,_xlfn.XLOOKUP(K209,BSFC!$B$1:$O$1,BSFC!$B$2:$O$24,,-1),,-1)</f>
        <v>480</v>
      </c>
      <c r="R209" s="17">
        <f t="shared" si="36"/>
        <v>1.8786506809302328</v>
      </c>
      <c r="S209" s="16">
        <f t="shared" si="38"/>
        <v>2.9183485335177264E-4</v>
      </c>
      <c r="T209" s="17">
        <f t="shared" si="42"/>
        <v>0.14008072960885087</v>
      </c>
      <c r="U209" s="16">
        <f t="shared" si="43"/>
        <v>32.162540547612409</v>
      </c>
      <c r="V209" s="17">
        <f t="shared" si="44"/>
        <v>6.4958459140167304E-2</v>
      </c>
      <c r="W209" s="16">
        <f t="shared" si="39"/>
        <v>233850.45290460231</v>
      </c>
      <c r="X209">
        <f>('Hybrid Info'!$A$2-Track!P209)*(L209-L208)*1000+X208</f>
        <v>-18636.685644462978</v>
      </c>
    </row>
    <row r="210" spans="1:24">
      <c r="A210" s="16">
        <f t="shared" si="40"/>
        <v>209</v>
      </c>
      <c r="B210" s="17">
        <f t="shared" si="41"/>
        <v>13.411199999999999</v>
      </c>
      <c r="C210" s="18">
        <f>Specification!$G$30</f>
        <v>109.96225200000001</v>
      </c>
      <c r="D210" s="17">
        <f>0.5*Specification!$K$4*Track!B210^2*Specification!$K$3*Specification!$K$2</f>
        <v>93.159842569492653</v>
      </c>
      <c r="E210" s="16">
        <v>0</v>
      </c>
      <c r="F210" s="17">
        <f>Specification!$C$23*9.81*SIN((E210*PI()/180))</f>
        <v>0</v>
      </c>
      <c r="G210" s="18">
        <f>IF(J210=1,VLOOKUP(K210,RPM!$E$2:$H$62,3,FALSE)-F210-E210-D210,IF(J210=2,VLOOKUP(K210,RPM!$H$2:$K$62,3,FALSE)-F210-E210-D210,IF(J210=3,VLOOKUP(K210,RPM!$K$2:$N$62,3,FALSE)-F210-E210-D210)))</f>
        <v>549.56217903827155</v>
      </c>
      <c r="H210" s="19">
        <f>IF(J210=1,Specification!$I$14,IF(J210=2,Specification!$I$15,IF(J210=3,Specification!$I$16)))</f>
        <v>578.93404261974786</v>
      </c>
      <c r="I210" s="16">
        <v>0</v>
      </c>
      <c r="J210" s="17">
        <v>3</v>
      </c>
      <c r="K210" s="16">
        <f>IF(J210=1,VLOOKUP(B210,RPM!$F$2:$H$62,3,TRUE),IF(J210=2,VLOOKUP(B210,RPM!$I$2:$K$62,3,TRUE),IF(J210=3,VLOOKUP(B210,RPM!$L$2:$N$62,3,TRUE))))</f>
        <v>4300</v>
      </c>
      <c r="L210" s="17">
        <f t="shared" si="37"/>
        <v>18.248895388394448</v>
      </c>
      <c r="M210" s="16">
        <f t="shared" si="34"/>
        <v>0</v>
      </c>
      <c r="N210" s="17">
        <f>VLOOKUP(K210,RPM!$A$2:$D$62,3,FALSE)</f>
        <v>11.4</v>
      </c>
      <c r="O210" s="16">
        <f>VLOOKUP(K210,RPM!$A$2:$D$62,4,FALSE)</f>
        <v>18.894837209302327</v>
      </c>
      <c r="P210" s="17">
        <f t="shared" si="35"/>
        <v>14.089880106976747</v>
      </c>
      <c r="Q210" s="16" cm="1">
        <f t="array" ref="Q210">_xlfn.XLOOKUP(O210,BSFC!$A$2:$A$24,_xlfn.XLOOKUP(K210,BSFC!$B$1:$O$1,BSFC!$B$2:$O$24,,-1),,-1)</f>
        <v>480</v>
      </c>
      <c r="R210" s="17">
        <f t="shared" si="36"/>
        <v>1.8786506809302328</v>
      </c>
      <c r="S210" s="16">
        <f t="shared" si="38"/>
        <v>2.9183485335177264E-4</v>
      </c>
      <c r="T210" s="17">
        <f t="shared" si="42"/>
        <v>0.14008072960885087</v>
      </c>
      <c r="U210" s="16">
        <f t="shared" si="43"/>
        <v>32.302621277221263</v>
      </c>
      <c r="V210" s="17">
        <f t="shared" si="44"/>
        <v>6.5250293993519073E-2</v>
      </c>
      <c r="W210" s="16">
        <f t="shared" si="39"/>
        <v>234901.05837666869</v>
      </c>
      <c r="X210">
        <f>('Hybrid Info'!$A$2-Track!P210)*(L210-L209)*1000+X209</f>
        <v>-18783.53495781239</v>
      </c>
    </row>
    <row r="211" spans="1:24">
      <c r="A211" s="16">
        <f t="shared" si="40"/>
        <v>210</v>
      </c>
      <c r="B211" s="17">
        <f t="shared" si="41"/>
        <v>13.411199999999999</v>
      </c>
      <c r="C211" s="18">
        <f>Specification!$G$30</f>
        <v>109.96225200000001</v>
      </c>
      <c r="D211" s="17">
        <f>0.5*Specification!$K$4*Track!B211^2*Specification!$K$3*Specification!$K$2</f>
        <v>93.159842569492653</v>
      </c>
      <c r="E211" s="16">
        <v>0</v>
      </c>
      <c r="F211" s="17">
        <f>Specification!$C$23*9.81*SIN((E211*PI()/180))</f>
        <v>0</v>
      </c>
      <c r="G211" s="18">
        <f>IF(J211=1,VLOOKUP(K211,RPM!$E$2:$H$62,3,FALSE)-F211-E211-D211,IF(J211=2,VLOOKUP(K211,RPM!$H$2:$K$62,3,FALSE)-F211-E211-D211,IF(J211=3,VLOOKUP(K211,RPM!$K$2:$N$62,3,FALSE)-F211-E211-D211)))</f>
        <v>549.56217903827155</v>
      </c>
      <c r="H211" s="19">
        <f>IF(J211=1,Specification!$I$14,IF(J211=2,Specification!$I$15,IF(J211=3,Specification!$I$16)))</f>
        <v>578.93404261974786</v>
      </c>
      <c r="I211" s="16">
        <v>0</v>
      </c>
      <c r="J211" s="17">
        <v>3</v>
      </c>
      <c r="K211" s="16">
        <f>IF(J211=1,VLOOKUP(B211,RPM!$F$2:$H$62,3,TRUE),IF(J211=2,VLOOKUP(B211,RPM!$I$2:$K$62,3,TRUE),IF(J211=3,VLOOKUP(B211,RPM!$L$2:$N$62,3,TRUE))))</f>
        <v>4300</v>
      </c>
      <c r="L211" s="17">
        <f t="shared" si="37"/>
        <v>18.323459931462928</v>
      </c>
      <c r="M211" s="16">
        <f t="shared" si="34"/>
        <v>0</v>
      </c>
      <c r="N211" s="17">
        <f>VLOOKUP(K211,RPM!$A$2:$D$62,3,FALSE)</f>
        <v>11.4</v>
      </c>
      <c r="O211" s="16">
        <f>VLOOKUP(K211,RPM!$A$2:$D$62,4,FALSE)</f>
        <v>18.894837209302327</v>
      </c>
      <c r="P211" s="17">
        <f t="shared" si="35"/>
        <v>14.089880106976747</v>
      </c>
      <c r="Q211" s="16" cm="1">
        <f t="array" ref="Q211">_xlfn.XLOOKUP(O211,BSFC!$A$2:$A$24,_xlfn.XLOOKUP(K211,BSFC!$B$1:$O$1,BSFC!$B$2:$O$24,,-1),,-1)</f>
        <v>480</v>
      </c>
      <c r="R211" s="17">
        <f t="shared" si="36"/>
        <v>1.8786506809302328</v>
      </c>
      <c r="S211" s="16">
        <f t="shared" si="38"/>
        <v>2.9183485335177264E-4</v>
      </c>
      <c r="T211" s="17">
        <f t="shared" si="42"/>
        <v>0.14008072960885087</v>
      </c>
      <c r="U211" s="16">
        <f t="shared" si="43"/>
        <v>32.442702006830118</v>
      </c>
      <c r="V211" s="17">
        <f t="shared" si="44"/>
        <v>6.5542128846870842E-2</v>
      </c>
      <c r="W211" s="16">
        <f t="shared" si="39"/>
        <v>235951.66384873501</v>
      </c>
      <c r="X211">
        <f>('Hybrid Info'!$A$2-Track!P211)*(L211-L210)*1000+X210</f>
        <v>-18930.384271161802</v>
      </c>
    </row>
    <row r="212" spans="1:24">
      <c r="A212" s="16">
        <f t="shared" si="40"/>
        <v>211</v>
      </c>
      <c r="B212" s="17">
        <f t="shared" si="41"/>
        <v>13.411199999999999</v>
      </c>
      <c r="C212" s="18">
        <f>Specification!$G$30</f>
        <v>109.96225200000001</v>
      </c>
      <c r="D212" s="17">
        <f>0.5*Specification!$K$4*Track!B212^2*Specification!$K$3*Specification!$K$2</f>
        <v>93.159842569492653</v>
      </c>
      <c r="E212" s="16">
        <v>0</v>
      </c>
      <c r="F212" s="17">
        <f>Specification!$C$23*9.81*SIN((E212*PI()/180))</f>
        <v>0</v>
      </c>
      <c r="G212" s="18">
        <f>IF(J212=1,VLOOKUP(K212,RPM!$E$2:$H$62,3,FALSE)-F212-E212-D212,IF(J212=2,VLOOKUP(K212,RPM!$H$2:$K$62,3,FALSE)-F212-E212-D212,IF(J212=3,VLOOKUP(K212,RPM!$K$2:$N$62,3,FALSE)-F212-E212-D212)))</f>
        <v>549.56217903827155</v>
      </c>
      <c r="H212" s="19">
        <f>IF(J212=1,Specification!$I$14,IF(J212=2,Specification!$I$15,IF(J212=3,Specification!$I$16)))</f>
        <v>578.93404261974786</v>
      </c>
      <c r="I212" s="16">
        <v>0</v>
      </c>
      <c r="J212" s="17">
        <v>3</v>
      </c>
      <c r="K212" s="16">
        <f>IF(J212=1,VLOOKUP(B212,RPM!$F$2:$H$62,3,TRUE),IF(J212=2,VLOOKUP(B212,RPM!$I$2:$K$62,3,TRUE),IF(J212=3,VLOOKUP(B212,RPM!$L$2:$N$62,3,TRUE))))</f>
        <v>4300</v>
      </c>
      <c r="L212" s="17">
        <f t="shared" si="37"/>
        <v>18.398024474531407</v>
      </c>
      <c r="M212" s="16">
        <f t="shared" si="34"/>
        <v>0</v>
      </c>
      <c r="N212" s="17">
        <f>VLOOKUP(K212,RPM!$A$2:$D$62,3,FALSE)</f>
        <v>11.4</v>
      </c>
      <c r="O212" s="16">
        <f>VLOOKUP(K212,RPM!$A$2:$D$62,4,FALSE)</f>
        <v>18.894837209302327</v>
      </c>
      <c r="P212" s="17">
        <f t="shared" si="35"/>
        <v>14.089880106976747</v>
      </c>
      <c r="Q212" s="16" cm="1">
        <f t="array" ref="Q212">_xlfn.XLOOKUP(O212,BSFC!$A$2:$A$24,_xlfn.XLOOKUP(K212,BSFC!$B$1:$O$1,BSFC!$B$2:$O$24,,-1),,-1)</f>
        <v>480</v>
      </c>
      <c r="R212" s="17">
        <f t="shared" si="36"/>
        <v>1.8786506809302328</v>
      </c>
      <c r="S212" s="16">
        <f t="shared" si="38"/>
        <v>2.9183485335177264E-4</v>
      </c>
      <c r="T212" s="17">
        <f t="shared" si="42"/>
        <v>0.14008072960885087</v>
      </c>
      <c r="U212" s="16">
        <f t="shared" si="43"/>
        <v>32.582782736438972</v>
      </c>
      <c r="V212" s="17">
        <f t="shared" si="44"/>
        <v>6.5833963700222611E-2</v>
      </c>
      <c r="W212" s="16">
        <f t="shared" si="39"/>
        <v>237002.2693208014</v>
      </c>
      <c r="X212">
        <f>('Hybrid Info'!$A$2-Track!P212)*(L212-L211)*1000+X211</f>
        <v>-19077.233584511214</v>
      </c>
    </row>
    <row r="213" spans="1:24">
      <c r="A213" s="16">
        <f t="shared" si="40"/>
        <v>212</v>
      </c>
      <c r="B213" s="17">
        <f t="shared" si="41"/>
        <v>13.411199999999999</v>
      </c>
      <c r="C213" s="18">
        <f>Specification!$G$30</f>
        <v>109.96225200000001</v>
      </c>
      <c r="D213" s="17">
        <f>0.5*Specification!$K$4*Track!B213^2*Specification!$K$3*Specification!$K$2</f>
        <v>93.159842569492653</v>
      </c>
      <c r="E213" s="16">
        <v>0</v>
      </c>
      <c r="F213" s="17">
        <f>Specification!$C$23*9.81*SIN((E213*PI()/180))</f>
        <v>0</v>
      </c>
      <c r="G213" s="18">
        <f>IF(J213=1,VLOOKUP(K213,RPM!$E$2:$H$62,3,FALSE)-F213-E213-D213,IF(J213=2,VLOOKUP(K213,RPM!$H$2:$K$62,3,FALSE)-F213-E213-D213,IF(J213=3,VLOOKUP(K213,RPM!$K$2:$N$62,3,FALSE)-F213-E213-D213)))</f>
        <v>549.56217903827155</v>
      </c>
      <c r="H213" s="19">
        <f>IF(J213=1,Specification!$I$14,IF(J213=2,Specification!$I$15,IF(J213=3,Specification!$I$16)))</f>
        <v>578.93404261974786</v>
      </c>
      <c r="I213" s="16">
        <v>0</v>
      </c>
      <c r="J213" s="17">
        <v>3</v>
      </c>
      <c r="K213" s="16">
        <f>IF(J213=1,VLOOKUP(B213,RPM!$F$2:$H$62,3,TRUE),IF(J213=2,VLOOKUP(B213,RPM!$I$2:$K$62,3,TRUE),IF(J213=3,VLOOKUP(B213,RPM!$L$2:$N$62,3,TRUE))))</f>
        <v>4300</v>
      </c>
      <c r="L213" s="17">
        <f t="shared" si="37"/>
        <v>18.472589017599887</v>
      </c>
      <c r="M213" s="16">
        <f t="shared" si="34"/>
        <v>0</v>
      </c>
      <c r="N213" s="17">
        <f>VLOOKUP(K213,RPM!$A$2:$D$62,3,FALSE)</f>
        <v>11.4</v>
      </c>
      <c r="O213" s="16">
        <f>VLOOKUP(K213,RPM!$A$2:$D$62,4,FALSE)</f>
        <v>18.894837209302327</v>
      </c>
      <c r="P213" s="17">
        <f t="shared" si="35"/>
        <v>14.089880106976747</v>
      </c>
      <c r="Q213" s="16" cm="1">
        <f t="array" ref="Q213">_xlfn.XLOOKUP(O213,BSFC!$A$2:$A$24,_xlfn.XLOOKUP(K213,BSFC!$B$1:$O$1,BSFC!$B$2:$O$24,,-1),,-1)</f>
        <v>480</v>
      </c>
      <c r="R213" s="17">
        <f t="shared" si="36"/>
        <v>1.8786506809302328</v>
      </c>
      <c r="S213" s="16">
        <f t="shared" si="38"/>
        <v>2.9183485335177264E-4</v>
      </c>
      <c r="T213" s="17">
        <f t="shared" si="42"/>
        <v>0.14008072960885087</v>
      </c>
      <c r="U213" s="16">
        <f t="shared" si="43"/>
        <v>32.722863466047826</v>
      </c>
      <c r="V213" s="17">
        <f t="shared" si="44"/>
        <v>6.612579855357438E-2</v>
      </c>
      <c r="W213" s="16">
        <f t="shared" si="39"/>
        <v>238052.87479286778</v>
      </c>
      <c r="X213">
        <f>('Hybrid Info'!$A$2-Track!P213)*(L213-L212)*1000+X212</f>
        <v>-19224.082897860626</v>
      </c>
    </row>
    <row r="214" spans="1:24">
      <c r="A214" s="16">
        <f t="shared" si="40"/>
        <v>213</v>
      </c>
      <c r="B214" s="17">
        <f t="shared" si="41"/>
        <v>13.411199999999999</v>
      </c>
      <c r="C214" s="18">
        <f>Specification!$G$30</f>
        <v>109.96225200000001</v>
      </c>
      <c r="D214" s="17">
        <f>0.5*Specification!$K$4*Track!B214^2*Specification!$K$3*Specification!$K$2</f>
        <v>93.159842569492653</v>
      </c>
      <c r="E214" s="16">
        <v>0</v>
      </c>
      <c r="F214" s="17">
        <f>Specification!$C$23*9.81*SIN((E214*PI()/180))</f>
        <v>0</v>
      </c>
      <c r="G214" s="18">
        <f>IF(J214=1,VLOOKUP(K214,RPM!$E$2:$H$62,3,FALSE)-F214-E214-D214,IF(J214=2,VLOOKUP(K214,RPM!$H$2:$K$62,3,FALSE)-F214-E214-D214,IF(J214=3,VLOOKUP(K214,RPM!$K$2:$N$62,3,FALSE)-F214-E214-D214)))</f>
        <v>549.56217903827155</v>
      </c>
      <c r="H214" s="19">
        <f>IF(J214=1,Specification!$I$14,IF(J214=2,Specification!$I$15,IF(J214=3,Specification!$I$16)))</f>
        <v>578.93404261974786</v>
      </c>
      <c r="I214" s="16">
        <v>0</v>
      </c>
      <c r="J214" s="17">
        <v>3</v>
      </c>
      <c r="K214" s="16">
        <f>IF(J214=1,VLOOKUP(B214,RPM!$F$2:$H$62,3,TRUE),IF(J214=2,VLOOKUP(B214,RPM!$I$2:$K$62,3,TRUE),IF(J214=3,VLOOKUP(B214,RPM!$L$2:$N$62,3,TRUE))))</f>
        <v>4300</v>
      </c>
      <c r="L214" s="17">
        <f t="shared" si="37"/>
        <v>18.547153560668367</v>
      </c>
      <c r="M214" s="16">
        <f t="shared" si="34"/>
        <v>0</v>
      </c>
      <c r="N214" s="17">
        <f>VLOOKUP(K214,RPM!$A$2:$D$62,3,FALSE)</f>
        <v>11.4</v>
      </c>
      <c r="O214" s="16">
        <f>VLOOKUP(K214,RPM!$A$2:$D$62,4,FALSE)</f>
        <v>18.894837209302327</v>
      </c>
      <c r="P214" s="17">
        <f t="shared" si="35"/>
        <v>14.089880106976747</v>
      </c>
      <c r="Q214" s="16" cm="1">
        <f t="array" ref="Q214">_xlfn.XLOOKUP(O214,BSFC!$A$2:$A$24,_xlfn.XLOOKUP(K214,BSFC!$B$1:$O$1,BSFC!$B$2:$O$24,,-1),,-1)</f>
        <v>480</v>
      </c>
      <c r="R214" s="17">
        <f t="shared" si="36"/>
        <v>1.8786506809302328</v>
      </c>
      <c r="S214" s="16">
        <f t="shared" si="38"/>
        <v>2.9183485335177264E-4</v>
      </c>
      <c r="T214" s="17">
        <f t="shared" si="42"/>
        <v>0.14008072960885087</v>
      </c>
      <c r="U214" s="16">
        <f t="shared" si="43"/>
        <v>32.862944195656681</v>
      </c>
      <c r="V214" s="17">
        <f t="shared" si="44"/>
        <v>6.6417633406926149E-2</v>
      </c>
      <c r="W214" s="16">
        <f t="shared" si="39"/>
        <v>239103.48026493413</v>
      </c>
      <c r="X214">
        <f>('Hybrid Info'!$A$2-Track!P214)*(L214-L213)*1000+X213</f>
        <v>-19370.932211210038</v>
      </c>
    </row>
    <row r="215" spans="1:24">
      <c r="A215" s="16">
        <f t="shared" si="40"/>
        <v>214</v>
      </c>
      <c r="B215" s="17">
        <f t="shared" si="41"/>
        <v>13.411199999999999</v>
      </c>
      <c r="C215" s="18">
        <f>Specification!$G$30</f>
        <v>109.96225200000001</v>
      </c>
      <c r="D215" s="17">
        <f>0.5*Specification!$K$4*Track!B215^2*Specification!$K$3*Specification!$K$2</f>
        <v>93.159842569492653</v>
      </c>
      <c r="E215" s="16">
        <v>0</v>
      </c>
      <c r="F215" s="17">
        <f>Specification!$C$23*9.81*SIN((E215*PI()/180))</f>
        <v>0</v>
      </c>
      <c r="G215" s="18">
        <f>IF(J215=1,VLOOKUP(K215,RPM!$E$2:$H$62,3,FALSE)-F215-E215-D215,IF(J215=2,VLOOKUP(K215,RPM!$H$2:$K$62,3,FALSE)-F215-E215-D215,IF(J215=3,VLOOKUP(K215,RPM!$K$2:$N$62,3,FALSE)-F215-E215-D215)))</f>
        <v>549.56217903827155</v>
      </c>
      <c r="H215" s="19">
        <f>IF(J215=1,Specification!$I$14,IF(J215=2,Specification!$I$15,IF(J215=3,Specification!$I$16)))</f>
        <v>578.93404261974786</v>
      </c>
      <c r="I215" s="16">
        <v>0</v>
      </c>
      <c r="J215" s="17">
        <v>3</v>
      </c>
      <c r="K215" s="16">
        <f>IF(J215=1,VLOOKUP(B215,RPM!$F$2:$H$62,3,TRUE),IF(J215=2,VLOOKUP(B215,RPM!$I$2:$K$62,3,TRUE),IF(J215=3,VLOOKUP(B215,RPM!$L$2:$N$62,3,TRUE))))</f>
        <v>4300</v>
      </c>
      <c r="L215" s="17">
        <f t="shared" si="37"/>
        <v>18.621718103736846</v>
      </c>
      <c r="M215" s="16">
        <f t="shared" si="34"/>
        <v>0</v>
      </c>
      <c r="N215" s="17">
        <f>VLOOKUP(K215,RPM!$A$2:$D$62,3,FALSE)</f>
        <v>11.4</v>
      </c>
      <c r="O215" s="16">
        <f>VLOOKUP(K215,RPM!$A$2:$D$62,4,FALSE)</f>
        <v>18.894837209302327</v>
      </c>
      <c r="P215" s="17">
        <f t="shared" si="35"/>
        <v>14.089880106976747</v>
      </c>
      <c r="Q215" s="16" cm="1">
        <f t="array" ref="Q215">_xlfn.XLOOKUP(O215,BSFC!$A$2:$A$24,_xlfn.XLOOKUP(K215,BSFC!$B$1:$O$1,BSFC!$B$2:$O$24,,-1),,-1)</f>
        <v>480</v>
      </c>
      <c r="R215" s="17">
        <f t="shared" si="36"/>
        <v>1.8786506809302328</v>
      </c>
      <c r="S215" s="16">
        <f t="shared" si="38"/>
        <v>2.9183485335177264E-4</v>
      </c>
      <c r="T215" s="17">
        <f t="shared" si="42"/>
        <v>0.14008072960885087</v>
      </c>
      <c r="U215" s="16">
        <f t="shared" si="43"/>
        <v>33.003024925265535</v>
      </c>
      <c r="V215" s="17">
        <f t="shared" si="44"/>
        <v>6.6709468260277918E-2</v>
      </c>
      <c r="W215" s="16">
        <f t="shared" si="39"/>
        <v>240154.08573700051</v>
      </c>
      <c r="X215">
        <f>('Hybrid Info'!$A$2-Track!P215)*(L215-L214)*1000+X214</f>
        <v>-19517.78152455945</v>
      </c>
    </row>
    <row r="216" spans="1:24">
      <c r="A216" s="16">
        <f t="shared" si="40"/>
        <v>215</v>
      </c>
      <c r="B216" s="17">
        <f t="shared" si="41"/>
        <v>13.411199999999999</v>
      </c>
      <c r="C216" s="18">
        <f>Specification!$G$30</f>
        <v>109.96225200000001</v>
      </c>
      <c r="D216" s="17">
        <f>0.5*Specification!$K$4*Track!B216^2*Specification!$K$3*Specification!$K$2</f>
        <v>93.159842569492653</v>
      </c>
      <c r="E216" s="16">
        <v>0</v>
      </c>
      <c r="F216" s="17">
        <f>Specification!$C$23*9.81*SIN((E216*PI()/180))</f>
        <v>0</v>
      </c>
      <c r="G216" s="18">
        <f>IF(J216=1,VLOOKUP(K216,RPM!$E$2:$H$62,3,FALSE)-F216-E216-D216,IF(J216=2,VLOOKUP(K216,RPM!$H$2:$K$62,3,FALSE)-F216-E216-D216,IF(J216=3,VLOOKUP(K216,RPM!$K$2:$N$62,3,FALSE)-F216-E216-D216)))</f>
        <v>549.56217903827155</v>
      </c>
      <c r="H216" s="19">
        <f>IF(J216=1,Specification!$I$14,IF(J216=2,Specification!$I$15,IF(J216=3,Specification!$I$16)))</f>
        <v>578.93404261974786</v>
      </c>
      <c r="I216" s="16">
        <v>0</v>
      </c>
      <c r="J216" s="17">
        <v>3</v>
      </c>
      <c r="K216" s="16">
        <f>IF(J216=1,VLOOKUP(B216,RPM!$F$2:$H$62,3,TRUE),IF(J216=2,VLOOKUP(B216,RPM!$I$2:$K$62,3,TRUE),IF(J216=3,VLOOKUP(B216,RPM!$L$2:$N$62,3,TRUE))))</f>
        <v>4300</v>
      </c>
      <c r="L216" s="17">
        <f t="shared" si="37"/>
        <v>18.696282646805326</v>
      </c>
      <c r="M216" s="16">
        <f t="shared" si="34"/>
        <v>0</v>
      </c>
      <c r="N216" s="17">
        <f>VLOOKUP(K216,RPM!$A$2:$D$62,3,FALSE)</f>
        <v>11.4</v>
      </c>
      <c r="O216" s="16">
        <f>VLOOKUP(K216,RPM!$A$2:$D$62,4,FALSE)</f>
        <v>18.894837209302327</v>
      </c>
      <c r="P216" s="17">
        <f t="shared" si="35"/>
        <v>14.089880106976747</v>
      </c>
      <c r="Q216" s="16" cm="1">
        <f t="array" ref="Q216">_xlfn.XLOOKUP(O216,BSFC!$A$2:$A$24,_xlfn.XLOOKUP(K216,BSFC!$B$1:$O$1,BSFC!$B$2:$O$24,,-1),,-1)</f>
        <v>480</v>
      </c>
      <c r="R216" s="17">
        <f t="shared" si="36"/>
        <v>1.8786506809302328</v>
      </c>
      <c r="S216" s="16">
        <f t="shared" si="38"/>
        <v>2.9183485335177264E-4</v>
      </c>
      <c r="T216" s="17">
        <f t="shared" si="42"/>
        <v>0.14008072960885087</v>
      </c>
      <c r="U216" s="16">
        <f t="shared" si="43"/>
        <v>33.14310565487439</v>
      </c>
      <c r="V216" s="17">
        <f t="shared" si="44"/>
        <v>6.7001303113629687E-2</v>
      </c>
      <c r="W216" s="16">
        <f t="shared" si="39"/>
        <v>241204.69120906689</v>
      </c>
      <c r="X216">
        <f>('Hybrid Info'!$A$2-Track!P216)*(L216-L215)*1000+X215</f>
        <v>-19664.630837908862</v>
      </c>
    </row>
    <row r="217" spans="1:24">
      <c r="A217" s="16">
        <f t="shared" si="40"/>
        <v>216</v>
      </c>
      <c r="B217" s="17">
        <f t="shared" si="41"/>
        <v>13.411199999999999</v>
      </c>
      <c r="C217" s="18">
        <f>Specification!$G$30</f>
        <v>109.96225200000001</v>
      </c>
      <c r="D217" s="17">
        <f>0.5*Specification!$K$4*Track!B217^2*Specification!$K$3*Specification!$K$2</f>
        <v>93.159842569492653</v>
      </c>
      <c r="E217" s="16">
        <v>0</v>
      </c>
      <c r="F217" s="17">
        <f>Specification!$C$23*9.81*SIN((E217*PI()/180))</f>
        <v>0</v>
      </c>
      <c r="G217" s="18">
        <f>IF(J217=1,VLOOKUP(K217,RPM!$E$2:$H$62,3,FALSE)-F217-E217-D217,IF(J217=2,VLOOKUP(K217,RPM!$H$2:$K$62,3,FALSE)-F217-E217-D217,IF(J217=3,VLOOKUP(K217,RPM!$K$2:$N$62,3,FALSE)-F217-E217-D217)))</f>
        <v>549.56217903827155</v>
      </c>
      <c r="H217" s="19">
        <f>IF(J217=1,Specification!$I$14,IF(J217=2,Specification!$I$15,IF(J217=3,Specification!$I$16)))</f>
        <v>578.93404261974786</v>
      </c>
      <c r="I217" s="16">
        <v>0</v>
      </c>
      <c r="J217" s="17">
        <v>3</v>
      </c>
      <c r="K217" s="16">
        <f>IF(J217=1,VLOOKUP(B217,RPM!$F$2:$H$62,3,TRUE),IF(J217=2,VLOOKUP(B217,RPM!$I$2:$K$62,3,TRUE),IF(J217=3,VLOOKUP(B217,RPM!$L$2:$N$62,3,TRUE))))</f>
        <v>4300</v>
      </c>
      <c r="L217" s="17">
        <f t="shared" si="37"/>
        <v>18.770847189873805</v>
      </c>
      <c r="M217" s="16">
        <f t="shared" si="34"/>
        <v>0</v>
      </c>
      <c r="N217" s="17">
        <f>VLOOKUP(K217,RPM!$A$2:$D$62,3,FALSE)</f>
        <v>11.4</v>
      </c>
      <c r="O217" s="16">
        <f>VLOOKUP(K217,RPM!$A$2:$D$62,4,FALSE)</f>
        <v>18.894837209302327</v>
      </c>
      <c r="P217" s="17">
        <f t="shared" si="35"/>
        <v>14.089880106976747</v>
      </c>
      <c r="Q217" s="16" cm="1">
        <f t="array" ref="Q217">_xlfn.XLOOKUP(O217,BSFC!$A$2:$A$24,_xlfn.XLOOKUP(K217,BSFC!$B$1:$O$1,BSFC!$B$2:$O$24,,-1),,-1)</f>
        <v>480</v>
      </c>
      <c r="R217" s="17">
        <f t="shared" si="36"/>
        <v>1.8786506809302328</v>
      </c>
      <c r="S217" s="16">
        <f t="shared" si="38"/>
        <v>2.9183485335177264E-4</v>
      </c>
      <c r="T217" s="17">
        <f t="shared" si="42"/>
        <v>0.14008072960885087</v>
      </c>
      <c r="U217" s="16">
        <f t="shared" si="43"/>
        <v>33.283186384483244</v>
      </c>
      <c r="V217" s="17">
        <f t="shared" si="44"/>
        <v>6.7293137966981456E-2</v>
      </c>
      <c r="W217" s="16">
        <f t="shared" si="39"/>
        <v>242255.29668113327</v>
      </c>
      <c r="X217">
        <f>('Hybrid Info'!$A$2-Track!P217)*(L217-L216)*1000+X216</f>
        <v>-19811.480151258274</v>
      </c>
    </row>
    <row r="218" spans="1:24">
      <c r="A218" s="16">
        <f t="shared" si="40"/>
        <v>217</v>
      </c>
      <c r="B218" s="17">
        <f t="shared" si="41"/>
        <v>13.411199999999999</v>
      </c>
      <c r="C218" s="18">
        <f>Specification!$G$30</f>
        <v>109.96225200000001</v>
      </c>
      <c r="D218" s="17">
        <f>0.5*Specification!$K$4*Track!B218^2*Specification!$K$3*Specification!$K$2</f>
        <v>93.159842569492653</v>
      </c>
      <c r="E218" s="16">
        <v>0</v>
      </c>
      <c r="F218" s="17">
        <f>Specification!$C$23*9.81*SIN((E218*PI()/180))</f>
        <v>0</v>
      </c>
      <c r="G218" s="18">
        <f>IF(J218=1,VLOOKUP(K218,RPM!$E$2:$H$62,3,FALSE)-F218-E218-D218,IF(J218=2,VLOOKUP(K218,RPM!$H$2:$K$62,3,FALSE)-F218-E218-D218,IF(J218=3,VLOOKUP(K218,RPM!$K$2:$N$62,3,FALSE)-F218-E218-D218)))</f>
        <v>549.56217903827155</v>
      </c>
      <c r="H218" s="19">
        <f>IF(J218=1,Specification!$I$14,IF(J218=2,Specification!$I$15,IF(J218=3,Specification!$I$16)))</f>
        <v>578.93404261974786</v>
      </c>
      <c r="I218" s="16">
        <v>0</v>
      </c>
      <c r="J218" s="17">
        <v>3</v>
      </c>
      <c r="K218" s="16">
        <f>IF(J218=1,VLOOKUP(B218,RPM!$F$2:$H$62,3,TRUE),IF(J218=2,VLOOKUP(B218,RPM!$I$2:$K$62,3,TRUE),IF(J218=3,VLOOKUP(B218,RPM!$L$2:$N$62,3,TRUE))))</f>
        <v>4300</v>
      </c>
      <c r="L218" s="17">
        <f t="shared" si="37"/>
        <v>18.845411732942285</v>
      </c>
      <c r="M218" s="16">
        <f t="shared" si="34"/>
        <v>0</v>
      </c>
      <c r="N218" s="17">
        <f>VLOOKUP(K218,RPM!$A$2:$D$62,3,FALSE)</f>
        <v>11.4</v>
      </c>
      <c r="O218" s="16">
        <f>VLOOKUP(K218,RPM!$A$2:$D$62,4,FALSE)</f>
        <v>18.894837209302327</v>
      </c>
      <c r="P218" s="17">
        <f t="shared" si="35"/>
        <v>14.089880106976747</v>
      </c>
      <c r="Q218" s="16" cm="1">
        <f t="array" ref="Q218">_xlfn.XLOOKUP(O218,BSFC!$A$2:$A$24,_xlfn.XLOOKUP(K218,BSFC!$B$1:$O$1,BSFC!$B$2:$O$24,,-1),,-1)</f>
        <v>480</v>
      </c>
      <c r="R218" s="17">
        <f t="shared" si="36"/>
        <v>1.8786506809302328</v>
      </c>
      <c r="S218" s="16">
        <f t="shared" si="38"/>
        <v>2.9183485335177264E-4</v>
      </c>
      <c r="T218" s="17">
        <f t="shared" si="42"/>
        <v>0.14008072960885087</v>
      </c>
      <c r="U218" s="16">
        <f t="shared" si="43"/>
        <v>33.423267114092098</v>
      </c>
      <c r="V218" s="17">
        <f t="shared" si="44"/>
        <v>6.7584972820333225E-2</v>
      </c>
      <c r="W218" s="16">
        <f t="shared" si="39"/>
        <v>243305.9021531996</v>
      </c>
      <c r="X218">
        <f>('Hybrid Info'!$A$2-Track!P218)*(L218-L217)*1000+X217</f>
        <v>-19958.329464607687</v>
      </c>
    </row>
    <row r="219" spans="1:24">
      <c r="A219" s="16">
        <f t="shared" si="40"/>
        <v>218</v>
      </c>
      <c r="B219" s="17">
        <f t="shared" si="41"/>
        <v>13.411199999999999</v>
      </c>
      <c r="C219" s="18">
        <f>Specification!$G$30</f>
        <v>109.96225200000001</v>
      </c>
      <c r="D219" s="17">
        <f>0.5*Specification!$K$4*Track!B219^2*Specification!$K$3*Specification!$K$2</f>
        <v>93.159842569492653</v>
      </c>
      <c r="E219" s="16">
        <v>0</v>
      </c>
      <c r="F219" s="17">
        <f>Specification!$C$23*9.81*SIN((E219*PI()/180))</f>
        <v>0</v>
      </c>
      <c r="G219" s="18">
        <f>IF(J219=1,VLOOKUP(K219,RPM!$E$2:$H$62,3,FALSE)-F219-E219-D219,IF(J219=2,VLOOKUP(K219,RPM!$H$2:$K$62,3,FALSE)-F219-E219-D219,IF(J219=3,VLOOKUP(K219,RPM!$K$2:$N$62,3,FALSE)-F219-E219-D219)))</f>
        <v>549.56217903827155</v>
      </c>
      <c r="H219" s="19">
        <f>IF(J219=1,Specification!$I$14,IF(J219=2,Specification!$I$15,IF(J219=3,Specification!$I$16)))</f>
        <v>578.93404261974786</v>
      </c>
      <c r="I219" s="16">
        <v>0</v>
      </c>
      <c r="J219" s="17">
        <v>3</v>
      </c>
      <c r="K219" s="16">
        <f>IF(J219=1,VLOOKUP(B219,RPM!$F$2:$H$62,3,TRUE),IF(J219=2,VLOOKUP(B219,RPM!$I$2:$K$62,3,TRUE),IF(J219=3,VLOOKUP(B219,RPM!$L$2:$N$62,3,TRUE))))</f>
        <v>4300</v>
      </c>
      <c r="L219" s="17">
        <f t="shared" si="37"/>
        <v>18.919976276010765</v>
      </c>
      <c r="M219" s="16">
        <f t="shared" si="34"/>
        <v>0</v>
      </c>
      <c r="N219" s="17">
        <f>VLOOKUP(K219,RPM!$A$2:$D$62,3,FALSE)</f>
        <v>11.4</v>
      </c>
      <c r="O219" s="16">
        <f>VLOOKUP(K219,RPM!$A$2:$D$62,4,FALSE)</f>
        <v>18.894837209302327</v>
      </c>
      <c r="P219" s="17">
        <f t="shared" si="35"/>
        <v>14.089880106976747</v>
      </c>
      <c r="Q219" s="16" cm="1">
        <f t="array" ref="Q219">_xlfn.XLOOKUP(O219,BSFC!$A$2:$A$24,_xlfn.XLOOKUP(K219,BSFC!$B$1:$O$1,BSFC!$B$2:$O$24,,-1),,-1)</f>
        <v>480</v>
      </c>
      <c r="R219" s="17">
        <f t="shared" si="36"/>
        <v>1.8786506809302328</v>
      </c>
      <c r="S219" s="16">
        <f t="shared" si="38"/>
        <v>2.9183485335177264E-4</v>
      </c>
      <c r="T219" s="17">
        <f t="shared" si="42"/>
        <v>0.14008072960885087</v>
      </c>
      <c r="U219" s="16">
        <f t="shared" si="43"/>
        <v>33.563347843700953</v>
      </c>
      <c r="V219" s="17">
        <f t="shared" si="44"/>
        <v>6.7876807673684994E-2</v>
      </c>
      <c r="W219" s="16">
        <f t="shared" si="39"/>
        <v>244356.50762526598</v>
      </c>
      <c r="X219">
        <f>('Hybrid Info'!$A$2-Track!P219)*(L219-L218)*1000+X218</f>
        <v>-20105.178777957099</v>
      </c>
    </row>
    <row r="220" spans="1:24">
      <c r="A220" s="16">
        <f t="shared" si="40"/>
        <v>219</v>
      </c>
      <c r="B220" s="17">
        <f t="shared" si="41"/>
        <v>13.411199999999999</v>
      </c>
      <c r="C220" s="18">
        <f>Specification!$G$30</f>
        <v>109.96225200000001</v>
      </c>
      <c r="D220" s="17">
        <f>0.5*Specification!$K$4*Track!B220^2*Specification!$K$3*Specification!$K$2</f>
        <v>93.159842569492653</v>
      </c>
      <c r="E220" s="16">
        <v>0</v>
      </c>
      <c r="F220" s="17">
        <f>Specification!$C$23*9.81*SIN((E220*PI()/180))</f>
        <v>0</v>
      </c>
      <c r="G220" s="18">
        <f>IF(J220=1,VLOOKUP(K220,RPM!$E$2:$H$62,3,FALSE)-F220-E220-D220,IF(J220=2,VLOOKUP(K220,RPM!$H$2:$K$62,3,FALSE)-F220-E220-D220,IF(J220=3,VLOOKUP(K220,RPM!$K$2:$N$62,3,FALSE)-F220-E220-D220)))</f>
        <v>549.56217903827155</v>
      </c>
      <c r="H220" s="19">
        <f>IF(J220=1,Specification!$I$14,IF(J220=2,Specification!$I$15,IF(J220=3,Specification!$I$16)))</f>
        <v>578.93404261974786</v>
      </c>
      <c r="I220" s="16">
        <v>0</v>
      </c>
      <c r="J220" s="17">
        <v>3</v>
      </c>
      <c r="K220" s="16">
        <f>IF(J220=1,VLOOKUP(B220,RPM!$F$2:$H$62,3,TRUE),IF(J220=2,VLOOKUP(B220,RPM!$I$2:$K$62,3,TRUE),IF(J220=3,VLOOKUP(B220,RPM!$L$2:$N$62,3,TRUE))))</f>
        <v>4300</v>
      </c>
      <c r="L220" s="17">
        <f t="shared" si="37"/>
        <v>18.994540819079244</v>
      </c>
      <c r="M220" s="16">
        <f t="shared" si="34"/>
        <v>0</v>
      </c>
      <c r="N220" s="17">
        <f>VLOOKUP(K220,RPM!$A$2:$D$62,3,FALSE)</f>
        <v>11.4</v>
      </c>
      <c r="O220" s="16">
        <f>VLOOKUP(K220,RPM!$A$2:$D$62,4,FALSE)</f>
        <v>18.894837209302327</v>
      </c>
      <c r="P220" s="17">
        <f t="shared" si="35"/>
        <v>14.089880106976747</v>
      </c>
      <c r="Q220" s="16" cm="1">
        <f t="array" ref="Q220">_xlfn.XLOOKUP(O220,BSFC!$A$2:$A$24,_xlfn.XLOOKUP(K220,BSFC!$B$1:$O$1,BSFC!$B$2:$O$24,,-1),,-1)</f>
        <v>480</v>
      </c>
      <c r="R220" s="17">
        <f t="shared" si="36"/>
        <v>1.8786506809302328</v>
      </c>
      <c r="S220" s="16">
        <f t="shared" si="38"/>
        <v>2.9183485335177264E-4</v>
      </c>
      <c r="T220" s="17">
        <f t="shared" si="42"/>
        <v>0.14008072960885087</v>
      </c>
      <c r="U220" s="16">
        <f t="shared" si="43"/>
        <v>33.703428573309807</v>
      </c>
      <c r="V220" s="17">
        <f t="shared" si="44"/>
        <v>6.8168642527036763E-2</v>
      </c>
      <c r="W220" s="16">
        <f t="shared" si="39"/>
        <v>245407.11309733236</v>
      </c>
      <c r="X220">
        <f>('Hybrid Info'!$A$2-Track!P220)*(L220-L219)*1000+X219</f>
        <v>-20252.028091306511</v>
      </c>
    </row>
    <row r="221" spans="1:24">
      <c r="A221" s="16">
        <f t="shared" si="40"/>
        <v>220</v>
      </c>
      <c r="B221" s="17">
        <f t="shared" si="41"/>
        <v>13.411199999999999</v>
      </c>
      <c r="C221" s="18">
        <f>Specification!$G$30</f>
        <v>109.96225200000001</v>
      </c>
      <c r="D221" s="17">
        <f>0.5*Specification!$K$4*Track!B221^2*Specification!$K$3*Specification!$K$2</f>
        <v>93.159842569492653</v>
      </c>
      <c r="E221" s="16">
        <v>0</v>
      </c>
      <c r="F221" s="17">
        <f>Specification!$C$23*9.81*SIN((E221*PI()/180))</f>
        <v>0</v>
      </c>
      <c r="G221" s="18">
        <f>IF(J221=1,VLOOKUP(K221,RPM!$E$2:$H$62,3,FALSE)-F221-E221-D221,IF(J221=2,VLOOKUP(K221,RPM!$H$2:$K$62,3,FALSE)-F221-E221-D221,IF(J221=3,VLOOKUP(K221,RPM!$K$2:$N$62,3,FALSE)-F221-E221-D221)))</f>
        <v>549.56217903827155</v>
      </c>
      <c r="H221" s="19">
        <f>IF(J221=1,Specification!$I$14,IF(J221=2,Specification!$I$15,IF(J221=3,Specification!$I$16)))</f>
        <v>578.93404261974786</v>
      </c>
      <c r="I221" s="16">
        <v>0</v>
      </c>
      <c r="J221" s="17">
        <v>3</v>
      </c>
      <c r="K221" s="16">
        <f>IF(J221=1,VLOOKUP(B221,RPM!$F$2:$H$62,3,TRUE),IF(J221=2,VLOOKUP(B221,RPM!$I$2:$K$62,3,TRUE),IF(J221=3,VLOOKUP(B221,RPM!$L$2:$N$62,3,TRUE))))</f>
        <v>4300</v>
      </c>
      <c r="L221" s="17">
        <f t="shared" si="37"/>
        <v>19.069105362147724</v>
      </c>
      <c r="M221" s="16">
        <f t="shared" si="34"/>
        <v>0</v>
      </c>
      <c r="N221" s="17">
        <f>VLOOKUP(K221,RPM!$A$2:$D$62,3,FALSE)</f>
        <v>11.4</v>
      </c>
      <c r="O221" s="16">
        <f>VLOOKUP(K221,RPM!$A$2:$D$62,4,FALSE)</f>
        <v>18.894837209302327</v>
      </c>
      <c r="P221" s="17">
        <f t="shared" si="35"/>
        <v>14.089880106976747</v>
      </c>
      <c r="Q221" s="16" cm="1">
        <f t="array" ref="Q221">_xlfn.XLOOKUP(O221,BSFC!$A$2:$A$24,_xlfn.XLOOKUP(K221,BSFC!$B$1:$O$1,BSFC!$B$2:$O$24,,-1),,-1)</f>
        <v>480</v>
      </c>
      <c r="R221" s="17">
        <f t="shared" si="36"/>
        <v>1.8786506809302328</v>
      </c>
      <c r="S221" s="16">
        <f t="shared" si="38"/>
        <v>2.9183485335177264E-4</v>
      </c>
      <c r="T221" s="17">
        <f t="shared" si="42"/>
        <v>0.14008072960885087</v>
      </c>
      <c r="U221" s="16">
        <f t="shared" si="43"/>
        <v>33.843509302918662</v>
      </c>
      <c r="V221" s="17">
        <f t="shared" si="44"/>
        <v>6.8460477380388532E-2</v>
      </c>
      <c r="W221" s="16">
        <f t="shared" si="39"/>
        <v>246457.71856939868</v>
      </c>
      <c r="X221">
        <f>('Hybrid Info'!$A$2-Track!P221)*(L221-L220)*1000+X220</f>
        <v>-20398.877404655923</v>
      </c>
    </row>
    <row r="222" spans="1:24">
      <c r="A222" s="16">
        <f t="shared" si="40"/>
        <v>221</v>
      </c>
      <c r="B222" s="17">
        <f t="shared" si="41"/>
        <v>13.411199999999999</v>
      </c>
      <c r="C222" s="18">
        <f>Specification!$G$30</f>
        <v>109.96225200000001</v>
      </c>
      <c r="D222" s="17">
        <f>0.5*Specification!$K$4*Track!B222^2*Specification!$K$3*Specification!$K$2</f>
        <v>93.159842569492653</v>
      </c>
      <c r="E222" s="16">
        <v>0</v>
      </c>
      <c r="F222" s="17">
        <f>Specification!$C$23*9.81*SIN((E222*PI()/180))</f>
        <v>0</v>
      </c>
      <c r="G222" s="18">
        <f>IF(J222=1,VLOOKUP(K222,RPM!$E$2:$H$62,3,FALSE)-F222-E222-D222,IF(J222=2,VLOOKUP(K222,RPM!$H$2:$K$62,3,FALSE)-F222-E222-D222,IF(J222=3,VLOOKUP(K222,RPM!$K$2:$N$62,3,FALSE)-F222-E222-D222)))</f>
        <v>549.56217903827155</v>
      </c>
      <c r="H222" s="19">
        <f>IF(J222=1,Specification!$I$14,IF(J222=2,Specification!$I$15,IF(J222=3,Specification!$I$16)))</f>
        <v>578.93404261974786</v>
      </c>
      <c r="I222" s="16">
        <v>0</v>
      </c>
      <c r="J222" s="17">
        <v>3</v>
      </c>
      <c r="K222" s="16">
        <f>IF(J222=1,VLOOKUP(B222,RPM!$F$2:$H$62,3,TRUE),IF(J222=2,VLOOKUP(B222,RPM!$I$2:$K$62,3,TRUE),IF(J222=3,VLOOKUP(B222,RPM!$L$2:$N$62,3,TRUE))))</f>
        <v>4300</v>
      </c>
      <c r="L222" s="17">
        <f t="shared" si="37"/>
        <v>19.143669905216203</v>
      </c>
      <c r="M222" s="16">
        <f t="shared" si="34"/>
        <v>0</v>
      </c>
      <c r="N222" s="17">
        <f>VLOOKUP(K222,RPM!$A$2:$D$62,3,FALSE)</f>
        <v>11.4</v>
      </c>
      <c r="O222" s="16">
        <f>VLOOKUP(K222,RPM!$A$2:$D$62,4,FALSE)</f>
        <v>18.894837209302327</v>
      </c>
      <c r="P222" s="17">
        <f t="shared" si="35"/>
        <v>14.089880106976747</v>
      </c>
      <c r="Q222" s="16" cm="1">
        <f t="array" ref="Q222">_xlfn.XLOOKUP(O222,BSFC!$A$2:$A$24,_xlfn.XLOOKUP(K222,BSFC!$B$1:$O$1,BSFC!$B$2:$O$24,,-1),,-1)</f>
        <v>480</v>
      </c>
      <c r="R222" s="17">
        <f t="shared" si="36"/>
        <v>1.8786506809302328</v>
      </c>
      <c r="S222" s="16">
        <f t="shared" si="38"/>
        <v>2.9183485335177264E-4</v>
      </c>
      <c r="T222" s="17">
        <f t="shared" si="42"/>
        <v>0.14008072960885087</v>
      </c>
      <c r="U222" s="16">
        <f t="shared" si="43"/>
        <v>33.983590032527516</v>
      </c>
      <c r="V222" s="17">
        <f t="shared" si="44"/>
        <v>6.8752312233740301E-2</v>
      </c>
      <c r="W222" s="16">
        <f t="shared" si="39"/>
        <v>247508.32404146506</v>
      </c>
      <c r="X222">
        <f>('Hybrid Info'!$A$2-Track!P222)*(L222-L221)*1000+X221</f>
        <v>-20545.726718005335</v>
      </c>
    </row>
    <row r="223" spans="1:24">
      <c r="A223" s="16">
        <f t="shared" si="40"/>
        <v>222</v>
      </c>
      <c r="B223" s="17">
        <f t="shared" si="41"/>
        <v>13.411199999999999</v>
      </c>
      <c r="C223" s="18">
        <f>Specification!$G$30</f>
        <v>109.96225200000001</v>
      </c>
      <c r="D223" s="17">
        <f>0.5*Specification!$K$4*Track!B223^2*Specification!$K$3*Specification!$K$2</f>
        <v>93.159842569492653</v>
      </c>
      <c r="E223" s="16">
        <v>0</v>
      </c>
      <c r="F223" s="17">
        <f>Specification!$C$23*9.81*SIN((E223*PI()/180))</f>
        <v>0</v>
      </c>
      <c r="G223" s="18">
        <f>IF(J223=1,VLOOKUP(K223,RPM!$E$2:$H$62,3,FALSE)-F223-E223-D223,IF(J223=2,VLOOKUP(K223,RPM!$H$2:$K$62,3,FALSE)-F223-E223-D223,IF(J223=3,VLOOKUP(K223,RPM!$K$2:$N$62,3,FALSE)-F223-E223-D223)))</f>
        <v>549.56217903827155</v>
      </c>
      <c r="H223" s="19">
        <f>IF(J223=1,Specification!$I$14,IF(J223=2,Specification!$I$15,IF(J223=3,Specification!$I$16)))</f>
        <v>578.93404261974786</v>
      </c>
      <c r="I223" s="16">
        <v>0</v>
      </c>
      <c r="J223" s="17">
        <v>3</v>
      </c>
      <c r="K223" s="16">
        <f>IF(J223=1,VLOOKUP(B223,RPM!$F$2:$H$62,3,TRUE),IF(J223=2,VLOOKUP(B223,RPM!$I$2:$K$62,3,TRUE),IF(J223=3,VLOOKUP(B223,RPM!$L$2:$N$62,3,TRUE))))</f>
        <v>4300</v>
      </c>
      <c r="L223" s="17">
        <f t="shared" si="37"/>
        <v>19.218234448284683</v>
      </c>
      <c r="M223" s="16">
        <f t="shared" si="34"/>
        <v>0</v>
      </c>
      <c r="N223" s="17">
        <f>VLOOKUP(K223,RPM!$A$2:$D$62,3,FALSE)</f>
        <v>11.4</v>
      </c>
      <c r="O223" s="16">
        <f>VLOOKUP(K223,RPM!$A$2:$D$62,4,FALSE)</f>
        <v>18.894837209302327</v>
      </c>
      <c r="P223" s="17">
        <f t="shared" si="35"/>
        <v>14.089880106976747</v>
      </c>
      <c r="Q223" s="16" cm="1">
        <f t="array" ref="Q223">_xlfn.XLOOKUP(O223,BSFC!$A$2:$A$24,_xlfn.XLOOKUP(K223,BSFC!$B$1:$O$1,BSFC!$B$2:$O$24,,-1),,-1)</f>
        <v>480</v>
      </c>
      <c r="R223" s="17">
        <f t="shared" si="36"/>
        <v>1.8786506809302328</v>
      </c>
      <c r="S223" s="16">
        <f t="shared" si="38"/>
        <v>2.9183485335177264E-4</v>
      </c>
      <c r="T223" s="17">
        <f t="shared" si="42"/>
        <v>0.14008072960885087</v>
      </c>
      <c r="U223" s="16">
        <f t="shared" si="43"/>
        <v>34.123670762136371</v>
      </c>
      <c r="V223" s="17">
        <f t="shared" si="44"/>
        <v>6.904414708709207E-2</v>
      </c>
      <c r="W223" s="16">
        <f t="shared" si="39"/>
        <v>248558.92951353145</v>
      </c>
      <c r="X223">
        <f>('Hybrid Info'!$A$2-Track!P223)*(L223-L222)*1000+X222</f>
        <v>-20692.576031354747</v>
      </c>
    </row>
    <row r="224" spans="1:24">
      <c r="A224" s="16">
        <f t="shared" si="40"/>
        <v>223</v>
      </c>
      <c r="B224" s="17">
        <f t="shared" si="41"/>
        <v>13.411199999999999</v>
      </c>
      <c r="C224" s="18">
        <f>Specification!$G$30</f>
        <v>109.96225200000001</v>
      </c>
      <c r="D224" s="17">
        <f>0.5*Specification!$K$4*Track!B224^2*Specification!$K$3*Specification!$K$2</f>
        <v>93.159842569492653</v>
      </c>
      <c r="E224" s="16">
        <v>0</v>
      </c>
      <c r="F224" s="17">
        <f>Specification!$C$23*9.81*SIN((E224*PI()/180))</f>
        <v>0</v>
      </c>
      <c r="G224" s="18">
        <f>IF(J224=1,VLOOKUP(K224,RPM!$E$2:$H$62,3,FALSE)-F224-E224-D224,IF(J224=2,VLOOKUP(K224,RPM!$H$2:$K$62,3,FALSE)-F224-E224-D224,IF(J224=3,VLOOKUP(K224,RPM!$K$2:$N$62,3,FALSE)-F224-E224-D224)))</f>
        <v>549.56217903827155</v>
      </c>
      <c r="H224" s="19">
        <f>IF(J224=1,Specification!$I$14,IF(J224=2,Specification!$I$15,IF(J224=3,Specification!$I$16)))</f>
        <v>578.93404261974786</v>
      </c>
      <c r="I224" s="16">
        <v>0</v>
      </c>
      <c r="J224" s="17">
        <v>3</v>
      </c>
      <c r="K224" s="16">
        <f>IF(J224=1,VLOOKUP(B224,RPM!$F$2:$H$62,3,TRUE),IF(J224=2,VLOOKUP(B224,RPM!$I$2:$K$62,3,TRUE),IF(J224=3,VLOOKUP(B224,RPM!$L$2:$N$62,3,TRUE))))</f>
        <v>4300</v>
      </c>
      <c r="L224" s="17">
        <f t="shared" si="37"/>
        <v>19.292798991353163</v>
      </c>
      <c r="M224" s="16">
        <f t="shared" si="34"/>
        <v>0</v>
      </c>
      <c r="N224" s="17">
        <f>VLOOKUP(K224,RPM!$A$2:$D$62,3,FALSE)</f>
        <v>11.4</v>
      </c>
      <c r="O224" s="16">
        <f>VLOOKUP(K224,RPM!$A$2:$D$62,4,FALSE)</f>
        <v>18.894837209302327</v>
      </c>
      <c r="P224" s="17">
        <f t="shared" si="35"/>
        <v>14.089880106976747</v>
      </c>
      <c r="Q224" s="16" cm="1">
        <f t="array" ref="Q224">_xlfn.XLOOKUP(O224,BSFC!$A$2:$A$24,_xlfn.XLOOKUP(K224,BSFC!$B$1:$O$1,BSFC!$B$2:$O$24,,-1),,-1)</f>
        <v>480</v>
      </c>
      <c r="R224" s="17">
        <f t="shared" si="36"/>
        <v>1.8786506809302328</v>
      </c>
      <c r="S224" s="16">
        <f t="shared" si="38"/>
        <v>2.9183485335177264E-4</v>
      </c>
      <c r="T224" s="17">
        <f t="shared" si="42"/>
        <v>0.14008072960885087</v>
      </c>
      <c r="U224" s="16">
        <f t="shared" si="43"/>
        <v>34.263751491745225</v>
      </c>
      <c r="V224" s="17">
        <f t="shared" si="44"/>
        <v>6.9335981940443839E-2</v>
      </c>
      <c r="W224" s="16">
        <f t="shared" si="39"/>
        <v>249609.53498559783</v>
      </c>
      <c r="X224">
        <f>('Hybrid Info'!$A$2-Track!P224)*(L224-L223)*1000+X223</f>
        <v>-20839.425344704159</v>
      </c>
    </row>
    <row r="225" spans="1:24">
      <c r="A225" s="16">
        <f t="shared" si="40"/>
        <v>224</v>
      </c>
      <c r="B225" s="17">
        <f t="shared" si="41"/>
        <v>13.411199999999999</v>
      </c>
      <c r="C225" s="18">
        <f>Specification!$G$30</f>
        <v>109.96225200000001</v>
      </c>
      <c r="D225" s="17">
        <f>0.5*Specification!$K$4*Track!B225^2*Specification!$K$3*Specification!$K$2</f>
        <v>93.159842569492653</v>
      </c>
      <c r="E225" s="16">
        <v>0</v>
      </c>
      <c r="F225" s="17">
        <f>Specification!$C$23*9.81*SIN((E225*PI()/180))</f>
        <v>0</v>
      </c>
      <c r="G225" s="18">
        <f>IF(J225=1,VLOOKUP(K225,RPM!$E$2:$H$62,3,FALSE)-F225-E225-D225,IF(J225=2,VLOOKUP(K225,RPM!$H$2:$K$62,3,FALSE)-F225-E225-D225,IF(J225=3,VLOOKUP(K225,RPM!$K$2:$N$62,3,FALSE)-F225-E225-D225)))</f>
        <v>549.56217903827155</v>
      </c>
      <c r="H225" s="19">
        <f>IF(J225=1,Specification!$I$14,IF(J225=2,Specification!$I$15,IF(J225=3,Specification!$I$16)))</f>
        <v>578.93404261974786</v>
      </c>
      <c r="I225" s="16">
        <v>0</v>
      </c>
      <c r="J225" s="17">
        <v>3</v>
      </c>
      <c r="K225" s="16">
        <f>IF(J225=1,VLOOKUP(B225,RPM!$F$2:$H$62,3,TRUE),IF(J225=2,VLOOKUP(B225,RPM!$I$2:$K$62,3,TRUE),IF(J225=3,VLOOKUP(B225,RPM!$L$2:$N$62,3,TRUE))))</f>
        <v>4300</v>
      </c>
      <c r="L225" s="17">
        <f t="shared" si="37"/>
        <v>19.367363534421642</v>
      </c>
      <c r="M225" s="16">
        <f t="shared" si="34"/>
        <v>0</v>
      </c>
      <c r="N225" s="17">
        <f>VLOOKUP(K225,RPM!$A$2:$D$62,3,FALSE)</f>
        <v>11.4</v>
      </c>
      <c r="O225" s="16">
        <f>VLOOKUP(K225,RPM!$A$2:$D$62,4,FALSE)</f>
        <v>18.894837209302327</v>
      </c>
      <c r="P225" s="17">
        <f t="shared" si="35"/>
        <v>14.089880106976747</v>
      </c>
      <c r="Q225" s="16" cm="1">
        <f t="array" ref="Q225">_xlfn.XLOOKUP(O225,BSFC!$A$2:$A$24,_xlfn.XLOOKUP(K225,BSFC!$B$1:$O$1,BSFC!$B$2:$O$24,,-1),,-1)</f>
        <v>480</v>
      </c>
      <c r="R225" s="17">
        <f t="shared" si="36"/>
        <v>1.8786506809302328</v>
      </c>
      <c r="S225" s="16">
        <f t="shared" si="38"/>
        <v>2.9183485335177264E-4</v>
      </c>
      <c r="T225" s="17">
        <f t="shared" si="42"/>
        <v>0.14008072960885087</v>
      </c>
      <c r="U225" s="16">
        <f t="shared" si="43"/>
        <v>34.403832221354079</v>
      </c>
      <c r="V225" s="17">
        <f t="shared" si="44"/>
        <v>6.9627816793795608E-2</v>
      </c>
      <c r="W225" s="16">
        <f t="shared" si="39"/>
        <v>250660.14045766418</v>
      </c>
      <c r="X225">
        <f>('Hybrid Info'!$A$2-Track!P225)*(L225-L224)*1000+X224</f>
        <v>-20986.274658053571</v>
      </c>
    </row>
    <row r="226" spans="1:24">
      <c r="A226" s="16">
        <f t="shared" si="40"/>
        <v>225</v>
      </c>
      <c r="B226" s="17">
        <f t="shared" si="41"/>
        <v>13.411199999999999</v>
      </c>
      <c r="C226" s="18">
        <f>Specification!$G$30</f>
        <v>109.96225200000001</v>
      </c>
      <c r="D226" s="17">
        <f>0.5*Specification!$K$4*Track!B226^2*Specification!$K$3*Specification!$K$2</f>
        <v>93.159842569492653</v>
      </c>
      <c r="E226" s="16">
        <v>0</v>
      </c>
      <c r="F226" s="17">
        <f>Specification!$C$23*9.81*SIN((E226*PI()/180))</f>
        <v>0</v>
      </c>
      <c r="G226" s="18">
        <f>IF(J226=1,VLOOKUP(K226,RPM!$E$2:$H$62,3,FALSE)-F226-E226-D226,IF(J226=2,VLOOKUP(K226,RPM!$H$2:$K$62,3,FALSE)-F226-E226-D226,IF(J226=3,VLOOKUP(K226,RPM!$K$2:$N$62,3,FALSE)-F226-E226-D226)))</f>
        <v>549.56217903827155</v>
      </c>
      <c r="H226" s="19">
        <f>IF(J226=1,Specification!$I$14,IF(J226=2,Specification!$I$15,IF(J226=3,Specification!$I$16)))</f>
        <v>578.93404261974786</v>
      </c>
      <c r="I226" s="16">
        <v>0</v>
      </c>
      <c r="J226" s="17">
        <v>3</v>
      </c>
      <c r="K226" s="16">
        <f>IF(J226=1,VLOOKUP(B226,RPM!$F$2:$H$62,3,TRUE),IF(J226=2,VLOOKUP(B226,RPM!$I$2:$K$62,3,TRUE),IF(J226=3,VLOOKUP(B226,RPM!$L$2:$N$62,3,TRUE))))</f>
        <v>4300</v>
      </c>
      <c r="L226" s="17">
        <f t="shared" si="37"/>
        <v>19.441928077490122</v>
      </c>
      <c r="M226" s="16">
        <f t="shared" si="34"/>
        <v>0</v>
      </c>
      <c r="N226" s="17">
        <f>VLOOKUP(K226,RPM!$A$2:$D$62,3,FALSE)</f>
        <v>11.4</v>
      </c>
      <c r="O226" s="16">
        <f>VLOOKUP(K226,RPM!$A$2:$D$62,4,FALSE)</f>
        <v>18.894837209302327</v>
      </c>
      <c r="P226" s="17">
        <f t="shared" si="35"/>
        <v>14.089880106976747</v>
      </c>
      <c r="Q226" s="16" cm="1">
        <f t="array" ref="Q226">_xlfn.XLOOKUP(O226,BSFC!$A$2:$A$24,_xlfn.XLOOKUP(K226,BSFC!$B$1:$O$1,BSFC!$B$2:$O$24,,-1),,-1)</f>
        <v>480</v>
      </c>
      <c r="R226" s="17">
        <f t="shared" si="36"/>
        <v>1.8786506809302328</v>
      </c>
      <c r="S226" s="16">
        <f t="shared" si="38"/>
        <v>2.9183485335177264E-4</v>
      </c>
      <c r="T226" s="17">
        <f t="shared" si="42"/>
        <v>0.14008072960885087</v>
      </c>
      <c r="U226" s="16">
        <f t="shared" si="43"/>
        <v>34.543912950962934</v>
      </c>
      <c r="V226" s="17">
        <f t="shared" si="44"/>
        <v>6.9919651647147377E-2</v>
      </c>
      <c r="W226" s="16">
        <f t="shared" si="39"/>
        <v>251710.74592973056</v>
      </c>
      <c r="X226">
        <f>('Hybrid Info'!$A$2-Track!P226)*(L226-L225)*1000+X225</f>
        <v>-21133.123971402983</v>
      </c>
    </row>
    <row r="227" spans="1:24">
      <c r="A227" s="16">
        <f t="shared" si="40"/>
        <v>226</v>
      </c>
      <c r="B227" s="17">
        <f t="shared" si="41"/>
        <v>13.411199999999999</v>
      </c>
      <c r="C227" s="18">
        <f>Specification!$G$30</f>
        <v>109.96225200000001</v>
      </c>
      <c r="D227" s="17">
        <f>0.5*Specification!$K$4*Track!B227^2*Specification!$K$3*Specification!$K$2</f>
        <v>93.159842569492653</v>
      </c>
      <c r="E227" s="16">
        <v>0</v>
      </c>
      <c r="F227" s="17">
        <f>Specification!$C$23*9.81*SIN((E227*PI()/180))</f>
        <v>0</v>
      </c>
      <c r="G227" s="18">
        <f>IF(J227=1,VLOOKUP(K227,RPM!$E$2:$H$62,3,FALSE)-F227-E227-D227,IF(J227=2,VLOOKUP(K227,RPM!$H$2:$K$62,3,FALSE)-F227-E227-D227,IF(J227=3,VLOOKUP(K227,RPM!$K$2:$N$62,3,FALSE)-F227-E227-D227)))</f>
        <v>549.56217903827155</v>
      </c>
      <c r="H227" s="19">
        <f>IF(J227=1,Specification!$I$14,IF(J227=2,Specification!$I$15,IF(J227=3,Specification!$I$16)))</f>
        <v>578.93404261974786</v>
      </c>
      <c r="I227" s="16">
        <v>0</v>
      </c>
      <c r="J227" s="17">
        <v>3</v>
      </c>
      <c r="K227" s="16">
        <f>IF(J227=1,VLOOKUP(B227,RPM!$F$2:$H$62,3,TRUE),IF(J227=2,VLOOKUP(B227,RPM!$I$2:$K$62,3,TRUE),IF(J227=3,VLOOKUP(B227,RPM!$L$2:$N$62,3,TRUE))))</f>
        <v>4300</v>
      </c>
      <c r="L227" s="17">
        <f t="shared" si="37"/>
        <v>19.516492620558601</v>
      </c>
      <c r="M227" s="16">
        <f t="shared" si="34"/>
        <v>0</v>
      </c>
      <c r="N227" s="17">
        <f>VLOOKUP(K227,RPM!$A$2:$D$62,3,FALSE)</f>
        <v>11.4</v>
      </c>
      <c r="O227" s="16">
        <f>VLOOKUP(K227,RPM!$A$2:$D$62,4,FALSE)</f>
        <v>18.894837209302327</v>
      </c>
      <c r="P227" s="17">
        <f t="shared" si="35"/>
        <v>14.089880106976747</v>
      </c>
      <c r="Q227" s="16" cm="1">
        <f t="array" ref="Q227">_xlfn.XLOOKUP(O227,BSFC!$A$2:$A$24,_xlfn.XLOOKUP(K227,BSFC!$B$1:$O$1,BSFC!$B$2:$O$24,,-1),,-1)</f>
        <v>480</v>
      </c>
      <c r="R227" s="17">
        <f t="shared" si="36"/>
        <v>1.8786506809302328</v>
      </c>
      <c r="S227" s="16">
        <f t="shared" si="38"/>
        <v>2.9183485335177264E-4</v>
      </c>
      <c r="T227" s="17">
        <f t="shared" si="42"/>
        <v>0.14008072960885087</v>
      </c>
      <c r="U227" s="16">
        <f t="shared" si="43"/>
        <v>34.683993680571788</v>
      </c>
      <c r="V227" s="17">
        <f t="shared" si="44"/>
        <v>7.0211486500499146E-2</v>
      </c>
      <c r="W227" s="16">
        <f t="shared" si="39"/>
        <v>252761.35140179694</v>
      </c>
      <c r="X227">
        <f>('Hybrid Info'!$A$2-Track!P227)*(L227-L226)*1000+X226</f>
        <v>-21279.973284752396</v>
      </c>
    </row>
    <row r="228" spans="1:24">
      <c r="A228" s="16">
        <f t="shared" si="40"/>
        <v>227</v>
      </c>
      <c r="B228" s="17">
        <f t="shared" si="41"/>
        <v>13.411199999999999</v>
      </c>
      <c r="C228" s="18">
        <f>Specification!$G$30</f>
        <v>109.96225200000001</v>
      </c>
      <c r="D228" s="17">
        <f>0.5*Specification!$K$4*Track!B228^2*Specification!$K$3*Specification!$K$2</f>
        <v>93.159842569492653</v>
      </c>
      <c r="E228" s="16">
        <v>0</v>
      </c>
      <c r="F228" s="17">
        <f>Specification!$C$23*9.81*SIN((E228*PI()/180))</f>
        <v>0</v>
      </c>
      <c r="G228" s="18">
        <f>IF(J228=1,VLOOKUP(K228,RPM!$E$2:$H$62,3,FALSE)-F228-E228-D228,IF(J228=2,VLOOKUP(K228,RPM!$H$2:$K$62,3,FALSE)-F228-E228-D228,IF(J228=3,VLOOKUP(K228,RPM!$K$2:$N$62,3,FALSE)-F228-E228-D228)))</f>
        <v>549.56217903827155</v>
      </c>
      <c r="H228" s="19">
        <f>IF(J228=1,Specification!$I$14,IF(J228=2,Specification!$I$15,IF(J228=3,Specification!$I$16)))</f>
        <v>578.93404261974786</v>
      </c>
      <c r="I228" s="16">
        <v>0</v>
      </c>
      <c r="J228" s="17">
        <v>3</v>
      </c>
      <c r="K228" s="16">
        <f>IF(J228=1,VLOOKUP(B228,RPM!$F$2:$H$62,3,TRUE),IF(J228=2,VLOOKUP(B228,RPM!$I$2:$K$62,3,TRUE),IF(J228=3,VLOOKUP(B228,RPM!$L$2:$N$62,3,TRUE))))</f>
        <v>4300</v>
      </c>
      <c r="L228" s="17">
        <f t="shared" si="37"/>
        <v>19.591057163627081</v>
      </c>
      <c r="M228" s="16">
        <f t="shared" si="34"/>
        <v>0</v>
      </c>
      <c r="N228" s="17">
        <f>VLOOKUP(K228,RPM!$A$2:$D$62,3,FALSE)</f>
        <v>11.4</v>
      </c>
      <c r="O228" s="16">
        <f>VLOOKUP(K228,RPM!$A$2:$D$62,4,FALSE)</f>
        <v>18.894837209302327</v>
      </c>
      <c r="P228" s="17">
        <f t="shared" si="35"/>
        <v>14.089880106976747</v>
      </c>
      <c r="Q228" s="16" cm="1">
        <f t="array" ref="Q228">_xlfn.XLOOKUP(O228,BSFC!$A$2:$A$24,_xlfn.XLOOKUP(K228,BSFC!$B$1:$O$1,BSFC!$B$2:$O$24,,-1),,-1)</f>
        <v>480</v>
      </c>
      <c r="R228" s="17">
        <f t="shared" si="36"/>
        <v>1.8786506809302328</v>
      </c>
      <c r="S228" s="16">
        <f t="shared" si="38"/>
        <v>2.9183485335177264E-4</v>
      </c>
      <c r="T228" s="17">
        <f t="shared" si="42"/>
        <v>0.14008072960885087</v>
      </c>
      <c r="U228" s="16">
        <f t="shared" si="43"/>
        <v>34.824074410180643</v>
      </c>
      <c r="V228" s="17">
        <f t="shared" si="44"/>
        <v>7.0503321353850915E-2</v>
      </c>
      <c r="W228" s="16">
        <f t="shared" si="39"/>
        <v>253811.95687386332</v>
      </c>
      <c r="X228">
        <f>('Hybrid Info'!$A$2-Track!P228)*(L228-L227)*1000+X227</f>
        <v>-21426.822598101808</v>
      </c>
    </row>
    <row r="229" spans="1:24">
      <c r="A229" s="16">
        <f t="shared" si="40"/>
        <v>228</v>
      </c>
      <c r="B229" s="17">
        <f t="shared" si="41"/>
        <v>13.411199999999999</v>
      </c>
      <c r="C229" s="18">
        <f>Specification!$G$30</f>
        <v>109.96225200000001</v>
      </c>
      <c r="D229" s="17">
        <f>0.5*Specification!$K$4*Track!B229^2*Specification!$K$3*Specification!$K$2</f>
        <v>93.159842569492653</v>
      </c>
      <c r="E229" s="16">
        <v>0</v>
      </c>
      <c r="F229" s="17">
        <f>Specification!$C$23*9.81*SIN((E229*PI()/180))</f>
        <v>0</v>
      </c>
      <c r="G229" s="18">
        <f>IF(J229=1,VLOOKUP(K229,RPM!$E$2:$H$62,3,FALSE)-F229-E229-D229,IF(J229=2,VLOOKUP(K229,RPM!$H$2:$K$62,3,FALSE)-F229-E229-D229,IF(J229=3,VLOOKUP(K229,RPM!$K$2:$N$62,3,FALSE)-F229-E229-D229)))</f>
        <v>549.56217903827155</v>
      </c>
      <c r="H229" s="19">
        <f>IF(J229=1,Specification!$I$14,IF(J229=2,Specification!$I$15,IF(J229=3,Specification!$I$16)))</f>
        <v>578.93404261974786</v>
      </c>
      <c r="I229" s="16">
        <v>0</v>
      </c>
      <c r="J229" s="17">
        <v>3</v>
      </c>
      <c r="K229" s="16">
        <f>IF(J229=1,VLOOKUP(B229,RPM!$F$2:$H$62,3,TRUE),IF(J229=2,VLOOKUP(B229,RPM!$I$2:$K$62,3,TRUE),IF(J229=3,VLOOKUP(B229,RPM!$L$2:$N$62,3,TRUE))))</f>
        <v>4300</v>
      </c>
      <c r="L229" s="17">
        <f t="shared" si="37"/>
        <v>19.665621706695561</v>
      </c>
      <c r="M229" s="16">
        <f t="shared" si="34"/>
        <v>0</v>
      </c>
      <c r="N229" s="17">
        <f>VLOOKUP(K229,RPM!$A$2:$D$62,3,FALSE)</f>
        <v>11.4</v>
      </c>
      <c r="O229" s="16">
        <f>VLOOKUP(K229,RPM!$A$2:$D$62,4,FALSE)</f>
        <v>18.894837209302327</v>
      </c>
      <c r="P229" s="17">
        <f t="shared" si="35"/>
        <v>14.089880106976747</v>
      </c>
      <c r="Q229" s="16" cm="1">
        <f t="array" ref="Q229">_xlfn.XLOOKUP(O229,BSFC!$A$2:$A$24,_xlfn.XLOOKUP(K229,BSFC!$B$1:$O$1,BSFC!$B$2:$O$24,,-1),,-1)</f>
        <v>480</v>
      </c>
      <c r="R229" s="17">
        <f t="shared" si="36"/>
        <v>1.8786506809302328</v>
      </c>
      <c r="S229" s="16">
        <f t="shared" si="38"/>
        <v>2.9183485335177264E-4</v>
      </c>
      <c r="T229" s="17">
        <f t="shared" si="42"/>
        <v>0.14008072960885087</v>
      </c>
      <c r="U229" s="16">
        <f t="shared" si="43"/>
        <v>34.964155139789497</v>
      </c>
      <c r="V229" s="17">
        <f t="shared" si="44"/>
        <v>7.0795156207202684E-2</v>
      </c>
      <c r="W229" s="16">
        <f t="shared" si="39"/>
        <v>254862.56234592965</v>
      </c>
      <c r="X229">
        <f>('Hybrid Info'!$A$2-Track!P229)*(L229-L228)*1000+X228</f>
        <v>-21573.67191145122</v>
      </c>
    </row>
    <row r="230" spans="1:24">
      <c r="A230" s="16">
        <f t="shared" si="40"/>
        <v>229</v>
      </c>
      <c r="B230" s="17">
        <f t="shared" si="41"/>
        <v>13.411199999999999</v>
      </c>
      <c r="C230" s="18">
        <f>Specification!$G$30</f>
        <v>109.96225200000001</v>
      </c>
      <c r="D230" s="17">
        <f>0.5*Specification!$K$4*Track!B230^2*Specification!$K$3*Specification!$K$2</f>
        <v>93.159842569492653</v>
      </c>
      <c r="E230" s="16">
        <v>0</v>
      </c>
      <c r="F230" s="17">
        <f>Specification!$C$23*9.81*SIN((E230*PI()/180))</f>
        <v>0</v>
      </c>
      <c r="G230" s="18">
        <f>IF(J230=1,VLOOKUP(K230,RPM!$E$2:$H$62,3,FALSE)-F230-E230-D230,IF(J230=2,VLOOKUP(K230,RPM!$H$2:$K$62,3,FALSE)-F230-E230-D230,IF(J230=3,VLOOKUP(K230,RPM!$K$2:$N$62,3,FALSE)-F230-E230-D230)))</f>
        <v>549.56217903827155</v>
      </c>
      <c r="H230" s="19">
        <f>IF(J230=1,Specification!$I$14,IF(J230=2,Specification!$I$15,IF(J230=3,Specification!$I$16)))</f>
        <v>578.93404261974786</v>
      </c>
      <c r="I230" s="16">
        <v>0</v>
      </c>
      <c r="J230" s="17">
        <v>3</v>
      </c>
      <c r="K230" s="16">
        <f>IF(J230=1,VLOOKUP(B230,RPM!$F$2:$H$62,3,TRUE),IF(J230=2,VLOOKUP(B230,RPM!$I$2:$K$62,3,TRUE),IF(J230=3,VLOOKUP(B230,RPM!$L$2:$N$62,3,TRUE))))</f>
        <v>4300</v>
      </c>
      <c r="L230" s="17">
        <f t="shared" si="37"/>
        <v>19.74018624976404</v>
      </c>
      <c r="M230" s="16">
        <f t="shared" si="34"/>
        <v>0</v>
      </c>
      <c r="N230" s="17">
        <f>VLOOKUP(K230,RPM!$A$2:$D$62,3,FALSE)</f>
        <v>11.4</v>
      </c>
      <c r="O230" s="16">
        <f>VLOOKUP(K230,RPM!$A$2:$D$62,4,FALSE)</f>
        <v>18.894837209302327</v>
      </c>
      <c r="P230" s="17">
        <f t="shared" si="35"/>
        <v>14.089880106976747</v>
      </c>
      <c r="Q230" s="16" cm="1">
        <f t="array" ref="Q230">_xlfn.XLOOKUP(O230,BSFC!$A$2:$A$24,_xlfn.XLOOKUP(K230,BSFC!$B$1:$O$1,BSFC!$B$2:$O$24,,-1),,-1)</f>
        <v>480</v>
      </c>
      <c r="R230" s="17">
        <f t="shared" si="36"/>
        <v>1.8786506809302328</v>
      </c>
      <c r="S230" s="16">
        <f t="shared" si="38"/>
        <v>2.9183485335177264E-4</v>
      </c>
      <c r="T230" s="17">
        <f t="shared" si="42"/>
        <v>0.14008072960885087</v>
      </c>
      <c r="U230" s="16">
        <f t="shared" si="43"/>
        <v>35.104235869398352</v>
      </c>
      <c r="V230" s="17">
        <f t="shared" si="44"/>
        <v>7.1086991060554452E-2</v>
      </c>
      <c r="W230" s="16">
        <f t="shared" si="39"/>
        <v>255913.16781799603</v>
      </c>
      <c r="X230">
        <f>('Hybrid Info'!$A$2-Track!P230)*(L230-L229)*1000+X229</f>
        <v>-21720.521224800632</v>
      </c>
    </row>
    <row r="231" spans="1:24">
      <c r="A231" s="16">
        <f t="shared" si="40"/>
        <v>230</v>
      </c>
      <c r="B231" s="17">
        <f t="shared" si="41"/>
        <v>13.411199999999999</v>
      </c>
      <c r="C231" s="18">
        <f>Specification!$G$30</f>
        <v>109.96225200000001</v>
      </c>
      <c r="D231" s="17">
        <f>0.5*Specification!$K$4*Track!B231^2*Specification!$K$3*Specification!$K$2</f>
        <v>93.159842569492653</v>
      </c>
      <c r="E231" s="16">
        <v>0</v>
      </c>
      <c r="F231" s="17">
        <f>Specification!$C$23*9.81*SIN((E231*PI()/180))</f>
        <v>0</v>
      </c>
      <c r="G231" s="18">
        <f>IF(J231=1,VLOOKUP(K231,RPM!$E$2:$H$62,3,FALSE)-F231-E231-D231,IF(J231=2,VLOOKUP(K231,RPM!$H$2:$K$62,3,FALSE)-F231-E231-D231,IF(J231=3,VLOOKUP(K231,RPM!$K$2:$N$62,3,FALSE)-F231-E231-D231)))</f>
        <v>549.56217903827155</v>
      </c>
      <c r="H231" s="19">
        <f>IF(J231=1,Specification!$I$14,IF(J231=2,Specification!$I$15,IF(J231=3,Specification!$I$16)))</f>
        <v>578.93404261974786</v>
      </c>
      <c r="I231" s="16">
        <v>0</v>
      </c>
      <c r="J231" s="17">
        <v>3</v>
      </c>
      <c r="K231" s="16">
        <f>IF(J231=1,VLOOKUP(B231,RPM!$F$2:$H$62,3,TRUE),IF(J231=2,VLOOKUP(B231,RPM!$I$2:$K$62,3,TRUE),IF(J231=3,VLOOKUP(B231,RPM!$L$2:$N$62,3,TRUE))))</f>
        <v>4300</v>
      </c>
      <c r="L231" s="17">
        <f t="shared" si="37"/>
        <v>19.81475079283252</v>
      </c>
      <c r="M231" s="16">
        <f t="shared" si="34"/>
        <v>0</v>
      </c>
      <c r="N231" s="17">
        <f>VLOOKUP(K231,RPM!$A$2:$D$62,3,FALSE)</f>
        <v>11.4</v>
      </c>
      <c r="O231" s="16">
        <f>VLOOKUP(K231,RPM!$A$2:$D$62,4,FALSE)</f>
        <v>18.894837209302327</v>
      </c>
      <c r="P231" s="17">
        <f t="shared" si="35"/>
        <v>14.089880106976747</v>
      </c>
      <c r="Q231" s="16" cm="1">
        <f t="array" ref="Q231">_xlfn.XLOOKUP(O231,BSFC!$A$2:$A$24,_xlfn.XLOOKUP(K231,BSFC!$B$1:$O$1,BSFC!$B$2:$O$24,,-1),,-1)</f>
        <v>480</v>
      </c>
      <c r="R231" s="17">
        <f t="shared" si="36"/>
        <v>1.8786506809302328</v>
      </c>
      <c r="S231" s="16">
        <f t="shared" si="38"/>
        <v>2.9183485335177264E-4</v>
      </c>
      <c r="T231" s="17">
        <f t="shared" si="42"/>
        <v>0.14008072960885087</v>
      </c>
      <c r="U231" s="16">
        <f t="shared" si="43"/>
        <v>35.244316599007206</v>
      </c>
      <c r="V231" s="17">
        <f t="shared" si="44"/>
        <v>7.1378825913906221E-2</v>
      </c>
      <c r="W231" s="16">
        <f t="shared" si="39"/>
        <v>256963.77329006241</v>
      </c>
      <c r="X231">
        <f>('Hybrid Info'!$A$2-Track!P231)*(L231-L230)*1000+X230</f>
        <v>-21867.370538150044</v>
      </c>
    </row>
    <row r="232" spans="1:24">
      <c r="A232" s="16">
        <f t="shared" si="40"/>
        <v>231</v>
      </c>
      <c r="B232" s="17">
        <f t="shared" si="41"/>
        <v>13.411199999999999</v>
      </c>
      <c r="C232" s="18">
        <f>Specification!$G$30</f>
        <v>109.96225200000001</v>
      </c>
      <c r="D232" s="17">
        <f>0.5*Specification!$K$4*Track!B232^2*Specification!$K$3*Specification!$K$2</f>
        <v>93.159842569492653</v>
      </c>
      <c r="E232" s="16">
        <v>0</v>
      </c>
      <c r="F232" s="17">
        <f>Specification!$C$23*9.81*SIN((E232*PI()/180))</f>
        <v>0</v>
      </c>
      <c r="G232" s="18">
        <f>IF(J232=1,VLOOKUP(K232,RPM!$E$2:$H$62,3,FALSE)-F232-E232-D232,IF(J232=2,VLOOKUP(K232,RPM!$H$2:$K$62,3,FALSE)-F232-E232-D232,IF(J232=3,VLOOKUP(K232,RPM!$K$2:$N$62,3,FALSE)-F232-E232-D232)))</f>
        <v>549.56217903827155</v>
      </c>
      <c r="H232" s="19">
        <f>IF(J232=1,Specification!$I$14,IF(J232=2,Specification!$I$15,IF(J232=3,Specification!$I$16)))</f>
        <v>578.93404261974786</v>
      </c>
      <c r="I232" s="16">
        <v>0</v>
      </c>
      <c r="J232" s="17">
        <v>3</v>
      </c>
      <c r="K232" s="16">
        <f>IF(J232=1,VLOOKUP(B232,RPM!$F$2:$H$62,3,TRUE),IF(J232=2,VLOOKUP(B232,RPM!$I$2:$K$62,3,TRUE),IF(J232=3,VLOOKUP(B232,RPM!$L$2:$N$62,3,TRUE))))</f>
        <v>4300</v>
      </c>
      <c r="L232" s="17">
        <f t="shared" si="37"/>
        <v>19.889315335900999</v>
      </c>
      <c r="M232" s="16">
        <f t="shared" si="34"/>
        <v>0</v>
      </c>
      <c r="N232" s="17">
        <f>VLOOKUP(K232,RPM!$A$2:$D$62,3,FALSE)</f>
        <v>11.4</v>
      </c>
      <c r="O232" s="16">
        <f>VLOOKUP(K232,RPM!$A$2:$D$62,4,FALSE)</f>
        <v>18.894837209302327</v>
      </c>
      <c r="P232" s="17">
        <f t="shared" si="35"/>
        <v>14.089880106976747</v>
      </c>
      <c r="Q232" s="16" cm="1">
        <f t="array" ref="Q232">_xlfn.XLOOKUP(O232,BSFC!$A$2:$A$24,_xlfn.XLOOKUP(K232,BSFC!$B$1:$O$1,BSFC!$B$2:$O$24,,-1),,-1)</f>
        <v>480</v>
      </c>
      <c r="R232" s="17">
        <f t="shared" si="36"/>
        <v>1.8786506809302328</v>
      </c>
      <c r="S232" s="16">
        <f t="shared" si="38"/>
        <v>2.9183485335177264E-4</v>
      </c>
      <c r="T232" s="17">
        <f t="shared" si="42"/>
        <v>0.14008072960885087</v>
      </c>
      <c r="U232" s="16">
        <f t="shared" si="43"/>
        <v>35.38439732861606</v>
      </c>
      <c r="V232" s="17">
        <f t="shared" si="44"/>
        <v>7.167066076725799E-2</v>
      </c>
      <c r="W232" s="16">
        <f t="shared" si="39"/>
        <v>258014.37876212873</v>
      </c>
      <c r="X232">
        <f>('Hybrid Info'!$A$2-Track!P232)*(L232-L231)*1000+X231</f>
        <v>-22014.219851499456</v>
      </c>
    </row>
    <row r="233" spans="1:24">
      <c r="A233" s="16">
        <f t="shared" si="40"/>
        <v>232</v>
      </c>
      <c r="B233" s="17">
        <f t="shared" si="41"/>
        <v>13.411199999999999</v>
      </c>
      <c r="C233" s="18">
        <f>Specification!$G$30</f>
        <v>109.96225200000001</v>
      </c>
      <c r="D233" s="17">
        <f>0.5*Specification!$K$4*Track!B233^2*Specification!$K$3*Specification!$K$2</f>
        <v>93.159842569492653</v>
      </c>
      <c r="E233" s="16">
        <v>0</v>
      </c>
      <c r="F233" s="17">
        <f>Specification!$C$23*9.81*SIN((E233*PI()/180))</f>
        <v>0</v>
      </c>
      <c r="G233" s="18">
        <f>IF(J233=1,VLOOKUP(K233,RPM!$E$2:$H$62,3,FALSE)-F233-E233-D233,IF(J233=2,VLOOKUP(K233,RPM!$H$2:$K$62,3,FALSE)-F233-E233-D233,IF(J233=3,VLOOKUP(K233,RPM!$K$2:$N$62,3,FALSE)-F233-E233-D233)))</f>
        <v>549.56217903827155</v>
      </c>
      <c r="H233" s="19">
        <f>IF(J233=1,Specification!$I$14,IF(J233=2,Specification!$I$15,IF(J233=3,Specification!$I$16)))</f>
        <v>578.93404261974786</v>
      </c>
      <c r="I233" s="16">
        <v>0</v>
      </c>
      <c r="J233" s="17">
        <v>3</v>
      </c>
      <c r="K233" s="16">
        <f>IF(J233=1,VLOOKUP(B233,RPM!$F$2:$H$62,3,TRUE),IF(J233=2,VLOOKUP(B233,RPM!$I$2:$K$62,3,TRUE),IF(J233=3,VLOOKUP(B233,RPM!$L$2:$N$62,3,TRUE))))</f>
        <v>4300</v>
      </c>
      <c r="L233" s="17">
        <f t="shared" si="37"/>
        <v>19.963879878969479</v>
      </c>
      <c r="M233" s="16">
        <f t="shared" si="34"/>
        <v>0</v>
      </c>
      <c r="N233" s="17">
        <f>VLOOKUP(K233,RPM!$A$2:$D$62,3,FALSE)</f>
        <v>11.4</v>
      </c>
      <c r="O233" s="16">
        <f>VLOOKUP(K233,RPM!$A$2:$D$62,4,FALSE)</f>
        <v>18.894837209302327</v>
      </c>
      <c r="P233" s="17">
        <f t="shared" si="35"/>
        <v>14.089880106976747</v>
      </c>
      <c r="Q233" s="16" cm="1">
        <f t="array" ref="Q233">_xlfn.XLOOKUP(O233,BSFC!$A$2:$A$24,_xlfn.XLOOKUP(K233,BSFC!$B$1:$O$1,BSFC!$B$2:$O$24,,-1),,-1)</f>
        <v>480</v>
      </c>
      <c r="R233" s="17">
        <f t="shared" si="36"/>
        <v>1.8786506809302328</v>
      </c>
      <c r="S233" s="16">
        <f t="shared" si="38"/>
        <v>2.9183485335177264E-4</v>
      </c>
      <c r="T233" s="17">
        <f t="shared" si="42"/>
        <v>0.14008072960885087</v>
      </c>
      <c r="U233" s="16">
        <f t="shared" si="43"/>
        <v>35.524478058224915</v>
      </c>
      <c r="V233" s="17">
        <f t="shared" si="44"/>
        <v>7.1962495620609759E-2</v>
      </c>
      <c r="W233" s="16">
        <f t="shared" si="39"/>
        <v>259064.98423419512</v>
      </c>
      <c r="X233">
        <f>('Hybrid Info'!$A$2-Track!P233)*(L233-L232)*1000+X232</f>
        <v>-22161.069164848868</v>
      </c>
    </row>
    <row r="234" spans="1:24">
      <c r="A234" s="16">
        <f t="shared" si="40"/>
        <v>233</v>
      </c>
      <c r="B234" s="17">
        <f t="shared" si="41"/>
        <v>13.411199999999999</v>
      </c>
      <c r="C234" s="18">
        <f>Specification!$G$30</f>
        <v>109.96225200000001</v>
      </c>
      <c r="D234" s="17">
        <f>0.5*Specification!$K$4*Track!B234^2*Specification!$K$3*Specification!$K$2</f>
        <v>93.159842569492653</v>
      </c>
      <c r="E234" s="16">
        <v>0</v>
      </c>
      <c r="F234" s="17">
        <f>Specification!$C$23*9.81*SIN((E234*PI()/180))</f>
        <v>0</v>
      </c>
      <c r="G234" s="18">
        <f>IF(J234=1,VLOOKUP(K234,RPM!$E$2:$H$62,3,FALSE)-F234-E234-D234,IF(J234=2,VLOOKUP(K234,RPM!$H$2:$K$62,3,FALSE)-F234-E234-D234,IF(J234=3,VLOOKUP(K234,RPM!$K$2:$N$62,3,FALSE)-F234-E234-D234)))</f>
        <v>549.56217903827155</v>
      </c>
      <c r="H234" s="19">
        <f>IF(J234=1,Specification!$I$14,IF(J234=2,Specification!$I$15,IF(J234=3,Specification!$I$16)))</f>
        <v>578.93404261974786</v>
      </c>
      <c r="I234" s="16">
        <v>0</v>
      </c>
      <c r="J234" s="17">
        <v>3</v>
      </c>
      <c r="K234" s="16">
        <f>IF(J234=1,VLOOKUP(B234,RPM!$F$2:$H$62,3,TRUE),IF(J234=2,VLOOKUP(B234,RPM!$I$2:$K$62,3,TRUE),IF(J234=3,VLOOKUP(B234,RPM!$L$2:$N$62,3,TRUE))))</f>
        <v>4300</v>
      </c>
      <c r="L234" s="17">
        <f t="shared" si="37"/>
        <v>20.038444422037959</v>
      </c>
      <c r="M234" s="16">
        <f t="shared" si="34"/>
        <v>0</v>
      </c>
      <c r="N234" s="17">
        <f>VLOOKUP(K234,RPM!$A$2:$D$62,3,FALSE)</f>
        <v>11.4</v>
      </c>
      <c r="O234" s="16">
        <f>VLOOKUP(K234,RPM!$A$2:$D$62,4,FALSE)</f>
        <v>18.894837209302327</v>
      </c>
      <c r="P234" s="17">
        <f t="shared" si="35"/>
        <v>14.089880106976747</v>
      </c>
      <c r="Q234" s="16" cm="1">
        <f t="array" ref="Q234">_xlfn.XLOOKUP(O234,BSFC!$A$2:$A$24,_xlfn.XLOOKUP(K234,BSFC!$B$1:$O$1,BSFC!$B$2:$O$24,,-1),,-1)</f>
        <v>480</v>
      </c>
      <c r="R234" s="17">
        <f t="shared" si="36"/>
        <v>1.8786506809302328</v>
      </c>
      <c r="S234" s="16">
        <f t="shared" si="38"/>
        <v>2.9183485335177264E-4</v>
      </c>
      <c r="T234" s="17">
        <f t="shared" si="42"/>
        <v>0.14008072960885087</v>
      </c>
      <c r="U234" s="16">
        <f t="shared" si="43"/>
        <v>35.664558787833769</v>
      </c>
      <c r="V234" s="17">
        <f t="shared" si="44"/>
        <v>7.2254330473961528E-2</v>
      </c>
      <c r="W234" s="16">
        <f t="shared" si="39"/>
        <v>260115.5897062615</v>
      </c>
      <c r="X234">
        <f>('Hybrid Info'!$A$2-Track!P234)*(L234-L233)*1000+X233</f>
        <v>-22307.91847819828</v>
      </c>
    </row>
    <row r="235" spans="1:24">
      <c r="A235" s="16">
        <f t="shared" si="40"/>
        <v>234</v>
      </c>
      <c r="B235" s="17">
        <f t="shared" si="41"/>
        <v>13.411199999999999</v>
      </c>
      <c r="C235" s="18">
        <f>Specification!$G$30</f>
        <v>109.96225200000001</v>
      </c>
      <c r="D235" s="17">
        <f>0.5*Specification!$K$4*Track!B235^2*Specification!$K$3*Specification!$K$2</f>
        <v>93.159842569492653</v>
      </c>
      <c r="E235" s="16">
        <v>0</v>
      </c>
      <c r="F235" s="17">
        <f>Specification!$C$23*9.81*SIN((E235*PI()/180))</f>
        <v>0</v>
      </c>
      <c r="G235" s="18">
        <f>IF(J235=1,VLOOKUP(K235,RPM!$E$2:$H$62,3,FALSE)-F235-E235-D235,IF(J235=2,VLOOKUP(K235,RPM!$H$2:$K$62,3,FALSE)-F235-E235-D235,IF(J235=3,VLOOKUP(K235,RPM!$K$2:$N$62,3,FALSE)-F235-E235-D235)))</f>
        <v>549.56217903827155</v>
      </c>
      <c r="H235" s="19">
        <f>IF(J235=1,Specification!$I$14,IF(J235=2,Specification!$I$15,IF(J235=3,Specification!$I$16)))</f>
        <v>578.93404261974786</v>
      </c>
      <c r="I235" s="16">
        <v>0</v>
      </c>
      <c r="J235" s="17">
        <v>3</v>
      </c>
      <c r="K235" s="16">
        <f>IF(J235=1,VLOOKUP(B235,RPM!$F$2:$H$62,3,TRUE),IF(J235=2,VLOOKUP(B235,RPM!$I$2:$K$62,3,TRUE),IF(J235=3,VLOOKUP(B235,RPM!$L$2:$N$62,3,TRUE))))</f>
        <v>4300</v>
      </c>
      <c r="L235" s="17">
        <f t="shared" si="37"/>
        <v>20.113008965106438</v>
      </c>
      <c r="M235" s="16">
        <f t="shared" si="34"/>
        <v>0</v>
      </c>
      <c r="N235" s="17">
        <f>VLOOKUP(K235,RPM!$A$2:$D$62,3,FALSE)</f>
        <v>11.4</v>
      </c>
      <c r="O235" s="16">
        <f>VLOOKUP(K235,RPM!$A$2:$D$62,4,FALSE)</f>
        <v>18.894837209302327</v>
      </c>
      <c r="P235" s="17">
        <f t="shared" si="35"/>
        <v>14.089880106976747</v>
      </c>
      <c r="Q235" s="16" cm="1">
        <f t="array" ref="Q235">_xlfn.XLOOKUP(O235,BSFC!$A$2:$A$24,_xlfn.XLOOKUP(K235,BSFC!$B$1:$O$1,BSFC!$B$2:$O$24,,-1),,-1)</f>
        <v>480</v>
      </c>
      <c r="R235" s="17">
        <f t="shared" si="36"/>
        <v>1.8786506809302328</v>
      </c>
      <c r="S235" s="16">
        <f t="shared" si="38"/>
        <v>2.9183485335177264E-4</v>
      </c>
      <c r="T235" s="17">
        <f t="shared" si="42"/>
        <v>0.14008072960885087</v>
      </c>
      <c r="U235" s="16">
        <f t="shared" si="43"/>
        <v>35.804639517442624</v>
      </c>
      <c r="V235" s="17">
        <f t="shared" si="44"/>
        <v>7.2546165327313297E-2</v>
      </c>
      <c r="W235" s="16">
        <f t="shared" si="39"/>
        <v>261166.19517832791</v>
      </c>
      <c r="X235">
        <f>('Hybrid Info'!$A$2-Track!P235)*(L235-L234)*1000+X234</f>
        <v>-22454.767791547692</v>
      </c>
    </row>
    <row r="236" spans="1:24">
      <c r="A236" s="16">
        <f t="shared" si="40"/>
        <v>235</v>
      </c>
      <c r="B236" s="17">
        <f t="shared" si="41"/>
        <v>13.411199999999999</v>
      </c>
      <c r="C236" s="18">
        <f>Specification!$G$30</f>
        <v>109.96225200000001</v>
      </c>
      <c r="D236" s="17">
        <f>0.5*Specification!$K$4*Track!B236^2*Specification!$K$3*Specification!$K$2</f>
        <v>93.159842569492653</v>
      </c>
      <c r="E236" s="16">
        <v>0</v>
      </c>
      <c r="F236" s="17">
        <f>Specification!$C$23*9.81*SIN((E236*PI()/180))</f>
        <v>0</v>
      </c>
      <c r="G236" s="18">
        <f>IF(J236=1,VLOOKUP(K236,RPM!$E$2:$H$62,3,FALSE)-F236-E236-D236,IF(J236=2,VLOOKUP(K236,RPM!$H$2:$K$62,3,FALSE)-F236-E236-D236,IF(J236=3,VLOOKUP(K236,RPM!$K$2:$N$62,3,FALSE)-F236-E236-D236)))</f>
        <v>549.56217903827155</v>
      </c>
      <c r="H236" s="19">
        <f>IF(J236=1,Specification!$I$14,IF(J236=2,Specification!$I$15,IF(J236=3,Specification!$I$16)))</f>
        <v>578.93404261974786</v>
      </c>
      <c r="I236" s="16">
        <v>0</v>
      </c>
      <c r="J236" s="17">
        <v>3</v>
      </c>
      <c r="K236" s="16">
        <f>IF(J236=1,VLOOKUP(B236,RPM!$F$2:$H$62,3,TRUE),IF(J236=2,VLOOKUP(B236,RPM!$I$2:$K$62,3,TRUE),IF(J236=3,VLOOKUP(B236,RPM!$L$2:$N$62,3,TRUE))))</f>
        <v>4300</v>
      </c>
      <c r="L236" s="17">
        <f t="shared" si="37"/>
        <v>20.187573508174918</v>
      </c>
      <c r="M236" s="16">
        <f t="shared" si="34"/>
        <v>0</v>
      </c>
      <c r="N236" s="17">
        <f>VLOOKUP(K236,RPM!$A$2:$D$62,3,FALSE)</f>
        <v>11.4</v>
      </c>
      <c r="O236" s="16">
        <f>VLOOKUP(K236,RPM!$A$2:$D$62,4,FALSE)</f>
        <v>18.894837209302327</v>
      </c>
      <c r="P236" s="17">
        <f t="shared" si="35"/>
        <v>14.089880106976747</v>
      </c>
      <c r="Q236" s="16" cm="1">
        <f t="array" ref="Q236">_xlfn.XLOOKUP(O236,BSFC!$A$2:$A$24,_xlfn.XLOOKUP(K236,BSFC!$B$1:$O$1,BSFC!$B$2:$O$24,,-1),,-1)</f>
        <v>480</v>
      </c>
      <c r="R236" s="17">
        <f t="shared" si="36"/>
        <v>1.8786506809302328</v>
      </c>
      <c r="S236" s="16">
        <f t="shared" si="38"/>
        <v>2.9183485335177264E-4</v>
      </c>
      <c r="T236" s="17">
        <f t="shared" si="42"/>
        <v>0.14008072960885087</v>
      </c>
      <c r="U236" s="16">
        <f t="shared" si="43"/>
        <v>35.944720247051478</v>
      </c>
      <c r="V236" s="17">
        <f t="shared" si="44"/>
        <v>7.2838000180665066E-2</v>
      </c>
      <c r="W236" s="16">
        <f t="shared" si="39"/>
        <v>262216.80065039423</v>
      </c>
      <c r="X236">
        <f>('Hybrid Info'!$A$2-Track!P236)*(L236-L235)*1000+X235</f>
        <v>-22601.617104897105</v>
      </c>
    </row>
    <row r="237" spans="1:24">
      <c r="A237" s="16">
        <f t="shared" si="40"/>
        <v>236</v>
      </c>
      <c r="B237" s="17">
        <f t="shared" si="41"/>
        <v>13.411199999999999</v>
      </c>
      <c r="C237" s="18">
        <f>Specification!$G$30</f>
        <v>109.96225200000001</v>
      </c>
      <c r="D237" s="17">
        <f>0.5*Specification!$K$4*Track!B237^2*Specification!$K$3*Specification!$K$2</f>
        <v>93.159842569492653</v>
      </c>
      <c r="E237" s="16">
        <v>0</v>
      </c>
      <c r="F237" s="17">
        <f>Specification!$C$23*9.81*SIN((E237*PI()/180))</f>
        <v>0</v>
      </c>
      <c r="G237" s="18">
        <f>IF(J237=1,VLOOKUP(K237,RPM!$E$2:$H$62,3,FALSE)-F237-E237-D237,IF(J237=2,VLOOKUP(K237,RPM!$H$2:$K$62,3,FALSE)-F237-E237-D237,IF(J237=3,VLOOKUP(K237,RPM!$K$2:$N$62,3,FALSE)-F237-E237-D237)))</f>
        <v>549.56217903827155</v>
      </c>
      <c r="H237" s="19">
        <f>IF(J237=1,Specification!$I$14,IF(J237=2,Specification!$I$15,IF(J237=3,Specification!$I$16)))</f>
        <v>578.93404261974786</v>
      </c>
      <c r="I237" s="16">
        <v>0</v>
      </c>
      <c r="J237" s="17">
        <v>3</v>
      </c>
      <c r="K237" s="16">
        <f>IF(J237=1,VLOOKUP(B237,RPM!$F$2:$H$62,3,TRUE),IF(J237=2,VLOOKUP(B237,RPM!$I$2:$K$62,3,TRUE),IF(J237=3,VLOOKUP(B237,RPM!$L$2:$N$62,3,TRUE))))</f>
        <v>4300</v>
      </c>
      <c r="L237" s="17">
        <f t="shared" si="37"/>
        <v>20.262138051243397</v>
      </c>
      <c r="M237" s="16">
        <f t="shared" si="34"/>
        <v>0</v>
      </c>
      <c r="N237" s="17">
        <f>VLOOKUP(K237,RPM!$A$2:$D$62,3,FALSE)</f>
        <v>11.4</v>
      </c>
      <c r="O237" s="16">
        <f>VLOOKUP(K237,RPM!$A$2:$D$62,4,FALSE)</f>
        <v>18.894837209302327</v>
      </c>
      <c r="P237" s="17">
        <f t="shared" si="35"/>
        <v>14.089880106976747</v>
      </c>
      <c r="Q237" s="16" cm="1">
        <f t="array" ref="Q237">_xlfn.XLOOKUP(O237,BSFC!$A$2:$A$24,_xlfn.XLOOKUP(K237,BSFC!$B$1:$O$1,BSFC!$B$2:$O$24,,-1),,-1)</f>
        <v>480</v>
      </c>
      <c r="R237" s="17">
        <f t="shared" si="36"/>
        <v>1.8786506809302328</v>
      </c>
      <c r="S237" s="16">
        <f t="shared" si="38"/>
        <v>2.9183485335177264E-4</v>
      </c>
      <c r="T237" s="17">
        <f t="shared" si="42"/>
        <v>0.14008072960885087</v>
      </c>
      <c r="U237" s="16">
        <f t="shared" si="43"/>
        <v>36.084800976660333</v>
      </c>
      <c r="V237" s="17">
        <f t="shared" si="44"/>
        <v>7.3129835034016835E-2</v>
      </c>
      <c r="W237" s="16">
        <f t="shared" si="39"/>
        <v>263267.40612246061</v>
      </c>
      <c r="X237">
        <f>('Hybrid Info'!$A$2-Track!P237)*(L237-L236)*1000+X236</f>
        <v>-22748.466418246517</v>
      </c>
    </row>
    <row r="238" spans="1:24">
      <c r="A238" s="16">
        <f t="shared" si="40"/>
        <v>237</v>
      </c>
      <c r="B238" s="17">
        <f t="shared" si="41"/>
        <v>13.411199999999999</v>
      </c>
      <c r="C238" s="18">
        <f>Specification!$G$30</f>
        <v>109.96225200000001</v>
      </c>
      <c r="D238" s="17">
        <f>0.5*Specification!$K$4*Track!B238^2*Specification!$K$3*Specification!$K$2</f>
        <v>93.159842569492653</v>
      </c>
      <c r="E238" s="16">
        <v>0</v>
      </c>
      <c r="F238" s="17">
        <f>Specification!$C$23*9.81*SIN((E238*PI()/180))</f>
        <v>0</v>
      </c>
      <c r="G238" s="18">
        <f>IF(J238=1,VLOOKUP(K238,RPM!$E$2:$H$62,3,FALSE)-F238-E238-D238,IF(J238=2,VLOOKUP(K238,RPM!$H$2:$K$62,3,FALSE)-F238-E238-D238,IF(J238=3,VLOOKUP(K238,RPM!$K$2:$N$62,3,FALSE)-F238-E238-D238)))</f>
        <v>549.56217903827155</v>
      </c>
      <c r="H238" s="19">
        <f>IF(J238=1,Specification!$I$14,IF(J238=2,Specification!$I$15,IF(J238=3,Specification!$I$16)))</f>
        <v>578.93404261974786</v>
      </c>
      <c r="I238" s="16">
        <v>0</v>
      </c>
      <c r="J238" s="17">
        <v>3</v>
      </c>
      <c r="K238" s="16">
        <f>IF(J238=1,VLOOKUP(B238,RPM!$F$2:$H$62,3,TRUE),IF(J238=2,VLOOKUP(B238,RPM!$I$2:$K$62,3,TRUE),IF(J238=3,VLOOKUP(B238,RPM!$L$2:$N$62,3,TRUE))))</f>
        <v>4300</v>
      </c>
      <c r="L238" s="17">
        <f t="shared" si="37"/>
        <v>20.336702594311877</v>
      </c>
      <c r="M238" s="16">
        <f t="shared" si="34"/>
        <v>0</v>
      </c>
      <c r="N238" s="17">
        <f>VLOOKUP(K238,RPM!$A$2:$D$62,3,FALSE)</f>
        <v>11.4</v>
      </c>
      <c r="O238" s="16">
        <f>VLOOKUP(K238,RPM!$A$2:$D$62,4,FALSE)</f>
        <v>18.894837209302327</v>
      </c>
      <c r="P238" s="17">
        <f t="shared" si="35"/>
        <v>14.089880106976747</v>
      </c>
      <c r="Q238" s="16" cm="1">
        <f t="array" ref="Q238">_xlfn.XLOOKUP(O238,BSFC!$A$2:$A$24,_xlfn.XLOOKUP(K238,BSFC!$B$1:$O$1,BSFC!$B$2:$O$24,,-1),,-1)</f>
        <v>480</v>
      </c>
      <c r="R238" s="17">
        <f t="shared" si="36"/>
        <v>1.8786506809302328</v>
      </c>
      <c r="S238" s="16">
        <f t="shared" si="38"/>
        <v>2.9183485335177264E-4</v>
      </c>
      <c r="T238" s="17">
        <f t="shared" si="42"/>
        <v>0.14008072960885087</v>
      </c>
      <c r="U238" s="16">
        <f t="shared" si="43"/>
        <v>36.224881706269187</v>
      </c>
      <c r="V238" s="17">
        <f t="shared" si="44"/>
        <v>7.3421669887368604E-2</v>
      </c>
      <c r="W238" s="16">
        <f t="shared" si="39"/>
        <v>264318.01159452699</v>
      </c>
      <c r="X238">
        <f>('Hybrid Info'!$A$2-Track!P238)*(L238-L237)*1000+X237</f>
        <v>-22895.315731595929</v>
      </c>
    </row>
    <row r="239" spans="1:24">
      <c r="A239" s="16">
        <f t="shared" si="40"/>
        <v>238</v>
      </c>
      <c r="B239" s="17">
        <f t="shared" si="41"/>
        <v>13.411199999999999</v>
      </c>
      <c r="C239" s="18">
        <f>Specification!$G$30</f>
        <v>109.96225200000001</v>
      </c>
      <c r="D239" s="17">
        <f>0.5*Specification!$K$4*Track!B239^2*Specification!$K$3*Specification!$K$2</f>
        <v>93.159842569492653</v>
      </c>
      <c r="E239" s="16">
        <v>0</v>
      </c>
      <c r="F239" s="17">
        <f>Specification!$C$23*9.81*SIN((E239*PI()/180))</f>
        <v>0</v>
      </c>
      <c r="G239" s="18">
        <f>IF(J239=1,VLOOKUP(K239,RPM!$E$2:$H$62,3,FALSE)-F239-E239-D239,IF(J239=2,VLOOKUP(K239,RPM!$H$2:$K$62,3,FALSE)-F239-E239-D239,IF(J239=3,VLOOKUP(K239,RPM!$K$2:$N$62,3,FALSE)-F239-E239-D239)))</f>
        <v>549.56217903827155</v>
      </c>
      <c r="H239" s="19">
        <f>IF(J239=1,Specification!$I$14,IF(J239=2,Specification!$I$15,IF(J239=3,Specification!$I$16)))</f>
        <v>578.93404261974786</v>
      </c>
      <c r="I239" s="16">
        <v>0</v>
      </c>
      <c r="J239" s="17">
        <v>3</v>
      </c>
      <c r="K239" s="16">
        <f>IF(J239=1,VLOOKUP(B239,RPM!$F$2:$H$62,3,TRUE),IF(J239=2,VLOOKUP(B239,RPM!$I$2:$K$62,3,TRUE),IF(J239=3,VLOOKUP(B239,RPM!$L$2:$N$62,3,TRUE))))</f>
        <v>4300</v>
      </c>
      <c r="L239" s="17">
        <f t="shared" si="37"/>
        <v>20.411267137380356</v>
      </c>
      <c r="M239" s="16">
        <f t="shared" si="34"/>
        <v>0</v>
      </c>
      <c r="N239" s="17">
        <f>VLOOKUP(K239,RPM!$A$2:$D$62,3,FALSE)</f>
        <v>11.4</v>
      </c>
      <c r="O239" s="16">
        <f>VLOOKUP(K239,RPM!$A$2:$D$62,4,FALSE)</f>
        <v>18.894837209302327</v>
      </c>
      <c r="P239" s="17">
        <f t="shared" si="35"/>
        <v>14.089880106976747</v>
      </c>
      <c r="Q239" s="16" cm="1">
        <f t="array" ref="Q239">_xlfn.XLOOKUP(O239,BSFC!$A$2:$A$24,_xlfn.XLOOKUP(K239,BSFC!$B$1:$O$1,BSFC!$B$2:$O$24,,-1),,-1)</f>
        <v>480</v>
      </c>
      <c r="R239" s="17">
        <f t="shared" si="36"/>
        <v>1.8786506809302328</v>
      </c>
      <c r="S239" s="16">
        <f t="shared" si="38"/>
        <v>2.9183485335177264E-4</v>
      </c>
      <c r="T239" s="17">
        <f t="shared" si="42"/>
        <v>0.14008072960885087</v>
      </c>
      <c r="U239" s="16">
        <f t="shared" si="43"/>
        <v>36.364962435878041</v>
      </c>
      <c r="V239" s="17">
        <f t="shared" si="44"/>
        <v>7.3713504740720373E-2</v>
      </c>
      <c r="W239" s="16">
        <f t="shared" si="39"/>
        <v>265368.61706659332</v>
      </c>
      <c r="X239">
        <f>('Hybrid Info'!$A$2-Track!P239)*(L239-L238)*1000+X238</f>
        <v>-23042.165044945341</v>
      </c>
    </row>
    <row r="240" spans="1:24">
      <c r="A240" s="16">
        <f t="shared" si="40"/>
        <v>239</v>
      </c>
      <c r="B240" s="17">
        <f t="shared" si="41"/>
        <v>13.411199999999999</v>
      </c>
      <c r="C240" s="18">
        <f>Specification!$G$30</f>
        <v>109.96225200000001</v>
      </c>
      <c r="D240" s="17">
        <f>0.5*Specification!$K$4*Track!B240^2*Specification!$K$3*Specification!$K$2</f>
        <v>93.159842569492653</v>
      </c>
      <c r="E240" s="16">
        <v>0</v>
      </c>
      <c r="F240" s="17">
        <f>Specification!$C$23*9.81*SIN((E240*PI()/180))</f>
        <v>0</v>
      </c>
      <c r="G240" s="18">
        <f>IF(J240=1,VLOOKUP(K240,RPM!$E$2:$H$62,3,FALSE)-F240-E240-D240,IF(J240=2,VLOOKUP(K240,RPM!$H$2:$K$62,3,FALSE)-F240-E240-D240,IF(J240=3,VLOOKUP(K240,RPM!$K$2:$N$62,3,FALSE)-F240-E240-D240)))</f>
        <v>549.56217903827155</v>
      </c>
      <c r="H240" s="19">
        <f>IF(J240=1,Specification!$I$14,IF(J240=2,Specification!$I$15,IF(J240=3,Specification!$I$16)))</f>
        <v>578.93404261974786</v>
      </c>
      <c r="I240" s="16">
        <v>0</v>
      </c>
      <c r="J240" s="17">
        <v>3</v>
      </c>
      <c r="K240" s="16">
        <f>IF(J240=1,VLOOKUP(B240,RPM!$F$2:$H$62,3,TRUE),IF(J240=2,VLOOKUP(B240,RPM!$I$2:$K$62,3,TRUE),IF(J240=3,VLOOKUP(B240,RPM!$L$2:$N$62,3,TRUE))))</f>
        <v>4300</v>
      </c>
      <c r="L240" s="17">
        <f t="shared" si="37"/>
        <v>20.485831680448836</v>
      </c>
      <c r="M240" s="16">
        <f t="shared" si="34"/>
        <v>0</v>
      </c>
      <c r="N240" s="17">
        <f>VLOOKUP(K240,RPM!$A$2:$D$62,3,FALSE)</f>
        <v>11.4</v>
      </c>
      <c r="O240" s="16">
        <f>VLOOKUP(K240,RPM!$A$2:$D$62,4,FALSE)</f>
        <v>18.894837209302327</v>
      </c>
      <c r="P240" s="17">
        <f t="shared" si="35"/>
        <v>14.089880106976747</v>
      </c>
      <c r="Q240" s="16" cm="1">
        <f t="array" ref="Q240">_xlfn.XLOOKUP(O240,BSFC!$A$2:$A$24,_xlfn.XLOOKUP(K240,BSFC!$B$1:$O$1,BSFC!$B$2:$O$24,,-1),,-1)</f>
        <v>480</v>
      </c>
      <c r="R240" s="17">
        <f t="shared" si="36"/>
        <v>1.8786506809302328</v>
      </c>
      <c r="S240" s="16">
        <f t="shared" si="38"/>
        <v>2.9183485335177264E-4</v>
      </c>
      <c r="T240" s="17">
        <f t="shared" si="42"/>
        <v>0.14008072960885087</v>
      </c>
      <c r="U240" s="16">
        <f t="shared" si="43"/>
        <v>36.505043165486896</v>
      </c>
      <c r="V240" s="17">
        <f t="shared" si="44"/>
        <v>7.4005339594072142E-2</v>
      </c>
      <c r="W240" s="16">
        <f t="shared" si="39"/>
        <v>266419.2225386597</v>
      </c>
      <c r="X240">
        <f>('Hybrid Info'!$A$2-Track!P240)*(L240-L239)*1000+X239</f>
        <v>-23189.014358294753</v>
      </c>
    </row>
    <row r="241" spans="1:24">
      <c r="A241" s="16">
        <f t="shared" si="40"/>
        <v>240</v>
      </c>
      <c r="B241" s="17">
        <f t="shared" si="41"/>
        <v>13.411199999999999</v>
      </c>
      <c r="C241" s="18">
        <f>Specification!$G$30</f>
        <v>109.96225200000001</v>
      </c>
      <c r="D241" s="17">
        <f>0.5*Specification!$K$4*Track!B241^2*Specification!$K$3*Specification!$K$2</f>
        <v>93.159842569492653</v>
      </c>
      <c r="E241" s="16">
        <v>0</v>
      </c>
      <c r="F241" s="17">
        <f>Specification!$C$23*9.81*SIN((E241*PI()/180))</f>
        <v>0</v>
      </c>
      <c r="G241" s="18">
        <f>IF(J241=1,VLOOKUP(K241,RPM!$E$2:$H$62,3,FALSE)-F241-E241-D241,IF(J241=2,VLOOKUP(K241,RPM!$H$2:$K$62,3,FALSE)-F241-E241-D241,IF(J241=3,VLOOKUP(K241,RPM!$K$2:$N$62,3,FALSE)-F241-E241-D241)))</f>
        <v>549.56217903827155</v>
      </c>
      <c r="H241" s="19">
        <f>IF(J241=1,Specification!$I$14,IF(J241=2,Specification!$I$15,IF(J241=3,Specification!$I$16)))</f>
        <v>578.93404261974786</v>
      </c>
      <c r="I241" s="16">
        <v>0</v>
      </c>
      <c r="J241" s="17">
        <v>3</v>
      </c>
      <c r="K241" s="16">
        <f>IF(J241=1,VLOOKUP(B241,RPM!$F$2:$H$62,3,TRUE),IF(J241=2,VLOOKUP(B241,RPM!$I$2:$K$62,3,TRUE),IF(J241=3,VLOOKUP(B241,RPM!$L$2:$N$62,3,TRUE))))</f>
        <v>4300</v>
      </c>
      <c r="L241" s="17">
        <f t="shared" si="37"/>
        <v>20.560396223517316</v>
      </c>
      <c r="M241" s="16">
        <f t="shared" si="34"/>
        <v>0</v>
      </c>
      <c r="N241" s="17">
        <f>VLOOKUP(K241,RPM!$A$2:$D$62,3,FALSE)</f>
        <v>11.4</v>
      </c>
      <c r="O241" s="16">
        <f>VLOOKUP(K241,RPM!$A$2:$D$62,4,FALSE)</f>
        <v>18.894837209302327</v>
      </c>
      <c r="P241" s="17">
        <f t="shared" si="35"/>
        <v>14.089880106976747</v>
      </c>
      <c r="Q241" s="16" cm="1">
        <f t="array" ref="Q241">_xlfn.XLOOKUP(O241,BSFC!$A$2:$A$24,_xlfn.XLOOKUP(K241,BSFC!$B$1:$O$1,BSFC!$B$2:$O$24,,-1),,-1)</f>
        <v>480</v>
      </c>
      <c r="R241" s="17">
        <f t="shared" si="36"/>
        <v>1.8786506809302328</v>
      </c>
      <c r="S241" s="16">
        <f t="shared" si="38"/>
        <v>2.9183485335177264E-4</v>
      </c>
      <c r="T241" s="17">
        <f t="shared" si="42"/>
        <v>0.14008072960885087</v>
      </c>
      <c r="U241" s="16">
        <f t="shared" si="43"/>
        <v>36.64512389509575</v>
      </c>
      <c r="V241" s="17">
        <f t="shared" si="44"/>
        <v>7.4297174447423911E-2</v>
      </c>
      <c r="W241" s="16">
        <f t="shared" si="39"/>
        <v>267469.82801072608</v>
      </c>
      <c r="X241">
        <f>('Hybrid Info'!$A$2-Track!P241)*(L241-L240)*1000+X240</f>
        <v>-23335.863671644165</v>
      </c>
    </row>
    <row r="242" spans="1:24">
      <c r="A242" s="16">
        <f t="shared" si="40"/>
        <v>241</v>
      </c>
      <c r="B242" s="17">
        <f t="shared" si="41"/>
        <v>13.411199999999999</v>
      </c>
      <c r="C242" s="18">
        <f>Specification!$G$30</f>
        <v>109.96225200000001</v>
      </c>
      <c r="D242" s="17">
        <f>0.5*Specification!$K$4*Track!B242^2*Specification!$K$3*Specification!$K$2</f>
        <v>93.159842569492653</v>
      </c>
      <c r="E242" s="16">
        <v>0</v>
      </c>
      <c r="F242" s="17">
        <f>Specification!$C$23*9.81*SIN((E242*PI()/180))</f>
        <v>0</v>
      </c>
      <c r="G242" s="18">
        <f>IF(J242=1,VLOOKUP(K242,RPM!$E$2:$H$62,3,FALSE)-F242-E242-D242,IF(J242=2,VLOOKUP(K242,RPM!$H$2:$K$62,3,FALSE)-F242-E242-D242,IF(J242=3,VLOOKUP(K242,RPM!$K$2:$N$62,3,FALSE)-F242-E242-D242)))</f>
        <v>549.56217903827155</v>
      </c>
      <c r="H242" s="19">
        <f>IF(J242=1,Specification!$I$14,IF(J242=2,Specification!$I$15,IF(J242=3,Specification!$I$16)))</f>
        <v>578.93404261974786</v>
      </c>
      <c r="I242" s="16">
        <v>0</v>
      </c>
      <c r="J242" s="17">
        <v>3</v>
      </c>
      <c r="K242" s="16">
        <f>IF(J242=1,VLOOKUP(B242,RPM!$F$2:$H$62,3,TRUE),IF(J242=2,VLOOKUP(B242,RPM!$I$2:$K$62,3,TRUE),IF(J242=3,VLOOKUP(B242,RPM!$L$2:$N$62,3,TRUE))))</f>
        <v>4300</v>
      </c>
      <c r="L242" s="17">
        <f t="shared" si="37"/>
        <v>20.634960766585795</v>
      </c>
      <c r="M242" s="16">
        <f t="shared" si="34"/>
        <v>0</v>
      </c>
      <c r="N242" s="17">
        <f>VLOOKUP(K242,RPM!$A$2:$D$62,3,FALSE)</f>
        <v>11.4</v>
      </c>
      <c r="O242" s="16">
        <f>VLOOKUP(K242,RPM!$A$2:$D$62,4,FALSE)</f>
        <v>18.894837209302327</v>
      </c>
      <c r="P242" s="17">
        <f t="shared" si="35"/>
        <v>14.089880106976747</v>
      </c>
      <c r="Q242" s="16" cm="1">
        <f t="array" ref="Q242">_xlfn.XLOOKUP(O242,BSFC!$A$2:$A$24,_xlfn.XLOOKUP(K242,BSFC!$B$1:$O$1,BSFC!$B$2:$O$24,,-1),,-1)</f>
        <v>480</v>
      </c>
      <c r="R242" s="17">
        <f t="shared" si="36"/>
        <v>1.8786506809302328</v>
      </c>
      <c r="S242" s="16">
        <f t="shared" si="38"/>
        <v>2.9183485335177264E-4</v>
      </c>
      <c r="T242" s="17">
        <f t="shared" si="42"/>
        <v>0.14008072960885087</v>
      </c>
      <c r="U242" s="16">
        <f t="shared" si="43"/>
        <v>36.785204624704605</v>
      </c>
      <c r="V242" s="17">
        <f t="shared" si="44"/>
        <v>7.458900930077568E-2</v>
      </c>
      <c r="W242" s="16">
        <f t="shared" si="39"/>
        <v>268520.43348279246</v>
      </c>
      <c r="X242">
        <f>('Hybrid Info'!$A$2-Track!P242)*(L242-L241)*1000+X241</f>
        <v>-23482.712984993577</v>
      </c>
    </row>
    <row r="243" spans="1:24">
      <c r="A243" s="16">
        <f t="shared" si="40"/>
        <v>242</v>
      </c>
      <c r="B243" s="17">
        <f t="shared" si="41"/>
        <v>13.411199999999999</v>
      </c>
      <c r="C243" s="18">
        <f>Specification!$G$30</f>
        <v>109.96225200000001</v>
      </c>
      <c r="D243" s="17">
        <f>0.5*Specification!$K$4*Track!B243^2*Specification!$K$3*Specification!$K$2</f>
        <v>93.159842569492653</v>
      </c>
      <c r="E243" s="16">
        <v>0</v>
      </c>
      <c r="F243" s="17">
        <f>Specification!$C$23*9.81*SIN((E243*PI()/180))</f>
        <v>0</v>
      </c>
      <c r="G243" s="18">
        <f>IF(J243=1,VLOOKUP(K243,RPM!$E$2:$H$62,3,FALSE)-F243-E243-D243,IF(J243=2,VLOOKUP(K243,RPM!$H$2:$K$62,3,FALSE)-F243-E243-D243,IF(J243=3,VLOOKUP(K243,RPM!$K$2:$N$62,3,FALSE)-F243-E243-D243)))</f>
        <v>549.56217903827155</v>
      </c>
      <c r="H243" s="19">
        <f>IF(J243=1,Specification!$I$14,IF(J243=2,Specification!$I$15,IF(J243=3,Specification!$I$16)))</f>
        <v>578.93404261974786</v>
      </c>
      <c r="I243" s="16">
        <v>0</v>
      </c>
      <c r="J243" s="17">
        <v>3</v>
      </c>
      <c r="K243" s="16">
        <f>IF(J243=1,VLOOKUP(B243,RPM!$F$2:$H$62,3,TRUE),IF(J243=2,VLOOKUP(B243,RPM!$I$2:$K$62,3,TRUE),IF(J243=3,VLOOKUP(B243,RPM!$L$2:$N$62,3,TRUE))))</f>
        <v>4300</v>
      </c>
      <c r="L243" s="17">
        <f t="shared" si="37"/>
        <v>20.709525309654275</v>
      </c>
      <c r="M243" s="16">
        <f t="shared" si="34"/>
        <v>0</v>
      </c>
      <c r="N243" s="17">
        <f>VLOOKUP(K243,RPM!$A$2:$D$62,3,FALSE)</f>
        <v>11.4</v>
      </c>
      <c r="O243" s="16">
        <f>VLOOKUP(K243,RPM!$A$2:$D$62,4,FALSE)</f>
        <v>18.894837209302327</v>
      </c>
      <c r="P243" s="17">
        <f t="shared" si="35"/>
        <v>14.089880106976747</v>
      </c>
      <c r="Q243" s="16" cm="1">
        <f t="array" ref="Q243">_xlfn.XLOOKUP(O243,BSFC!$A$2:$A$24,_xlfn.XLOOKUP(K243,BSFC!$B$1:$O$1,BSFC!$B$2:$O$24,,-1),,-1)</f>
        <v>480</v>
      </c>
      <c r="R243" s="17">
        <f t="shared" si="36"/>
        <v>1.8786506809302328</v>
      </c>
      <c r="S243" s="16">
        <f t="shared" si="38"/>
        <v>2.9183485335177264E-4</v>
      </c>
      <c r="T243" s="17">
        <f t="shared" si="42"/>
        <v>0.14008072960885087</v>
      </c>
      <c r="U243" s="16">
        <f t="shared" si="43"/>
        <v>36.925285354313459</v>
      </c>
      <c r="V243" s="17">
        <f t="shared" si="44"/>
        <v>7.4880844154127449E-2</v>
      </c>
      <c r="W243" s="16">
        <f t="shared" si="39"/>
        <v>269571.03895485878</v>
      </c>
      <c r="X243">
        <f>('Hybrid Info'!$A$2-Track!P243)*(L243-L242)*1000+X242</f>
        <v>-23629.562298342989</v>
      </c>
    </row>
    <row r="244" spans="1:24">
      <c r="A244" s="16">
        <f t="shared" si="40"/>
        <v>243</v>
      </c>
      <c r="B244" s="17">
        <f t="shared" si="41"/>
        <v>13.411199999999999</v>
      </c>
      <c r="C244" s="18">
        <f>Specification!$G$30</f>
        <v>109.96225200000001</v>
      </c>
      <c r="D244" s="17">
        <f>0.5*Specification!$K$4*Track!B244^2*Specification!$K$3*Specification!$K$2</f>
        <v>93.159842569492653</v>
      </c>
      <c r="E244" s="16">
        <v>0</v>
      </c>
      <c r="F244" s="17">
        <f>Specification!$C$23*9.81*SIN((E244*PI()/180))</f>
        <v>0</v>
      </c>
      <c r="G244" s="18">
        <f>IF(J244=1,VLOOKUP(K244,RPM!$E$2:$H$62,3,FALSE)-F244-E244-D244,IF(J244=2,VLOOKUP(K244,RPM!$H$2:$K$62,3,FALSE)-F244-E244-D244,IF(J244=3,VLOOKUP(K244,RPM!$K$2:$N$62,3,FALSE)-F244-E244-D244)))</f>
        <v>549.56217903827155</v>
      </c>
      <c r="H244" s="19">
        <f>IF(J244=1,Specification!$I$14,IF(J244=2,Specification!$I$15,IF(J244=3,Specification!$I$16)))</f>
        <v>578.93404261974786</v>
      </c>
      <c r="I244" s="16">
        <v>0</v>
      </c>
      <c r="J244" s="17">
        <v>3</v>
      </c>
      <c r="K244" s="16">
        <f>IF(J244=1,VLOOKUP(B244,RPM!$F$2:$H$62,3,TRUE),IF(J244=2,VLOOKUP(B244,RPM!$I$2:$K$62,3,TRUE),IF(J244=3,VLOOKUP(B244,RPM!$L$2:$N$62,3,TRUE))))</f>
        <v>4300</v>
      </c>
      <c r="L244" s="17">
        <f t="shared" si="37"/>
        <v>20.784089852722754</v>
      </c>
      <c r="M244" s="16">
        <f t="shared" si="34"/>
        <v>0</v>
      </c>
      <c r="N244" s="17">
        <f>VLOOKUP(K244,RPM!$A$2:$D$62,3,FALSE)</f>
        <v>11.4</v>
      </c>
      <c r="O244" s="16">
        <f>VLOOKUP(K244,RPM!$A$2:$D$62,4,FALSE)</f>
        <v>18.894837209302327</v>
      </c>
      <c r="P244" s="17">
        <f t="shared" si="35"/>
        <v>14.089880106976747</v>
      </c>
      <c r="Q244" s="16" cm="1">
        <f t="array" ref="Q244">_xlfn.XLOOKUP(O244,BSFC!$A$2:$A$24,_xlfn.XLOOKUP(K244,BSFC!$B$1:$O$1,BSFC!$B$2:$O$24,,-1),,-1)</f>
        <v>480</v>
      </c>
      <c r="R244" s="17">
        <f t="shared" si="36"/>
        <v>1.8786506809302328</v>
      </c>
      <c r="S244" s="16">
        <f t="shared" si="38"/>
        <v>2.9183485335177264E-4</v>
      </c>
      <c r="T244" s="17">
        <f t="shared" si="42"/>
        <v>0.14008072960885087</v>
      </c>
      <c r="U244" s="16">
        <f t="shared" si="43"/>
        <v>37.065366083922314</v>
      </c>
      <c r="V244" s="17">
        <f t="shared" si="44"/>
        <v>7.5172679007479218E-2</v>
      </c>
      <c r="W244" s="16">
        <f t="shared" si="39"/>
        <v>270621.64442692517</v>
      </c>
      <c r="X244">
        <f>('Hybrid Info'!$A$2-Track!P244)*(L244-L243)*1000+X243</f>
        <v>-23776.411611692401</v>
      </c>
    </row>
    <row r="245" spans="1:24">
      <c r="A245" s="16">
        <f t="shared" si="40"/>
        <v>244</v>
      </c>
      <c r="B245" s="17">
        <f t="shared" si="41"/>
        <v>13.411199999999999</v>
      </c>
      <c r="C245" s="18">
        <f>Specification!$G$30</f>
        <v>109.96225200000001</v>
      </c>
      <c r="D245" s="17">
        <f>0.5*Specification!$K$4*Track!B245^2*Specification!$K$3*Specification!$K$2</f>
        <v>93.159842569492653</v>
      </c>
      <c r="E245" s="16">
        <v>0</v>
      </c>
      <c r="F245" s="17">
        <f>Specification!$C$23*9.81*SIN((E245*PI()/180))</f>
        <v>0</v>
      </c>
      <c r="G245" s="18">
        <f>IF(J245=1,VLOOKUP(K245,RPM!$E$2:$H$62,3,FALSE)-F245-E245-D245,IF(J245=2,VLOOKUP(K245,RPM!$H$2:$K$62,3,FALSE)-F245-E245-D245,IF(J245=3,VLOOKUP(K245,RPM!$K$2:$N$62,3,FALSE)-F245-E245-D245)))</f>
        <v>549.56217903827155</v>
      </c>
      <c r="H245" s="19">
        <f>IF(J245=1,Specification!$I$14,IF(J245=2,Specification!$I$15,IF(J245=3,Specification!$I$16)))</f>
        <v>578.93404261974786</v>
      </c>
      <c r="I245" s="16">
        <v>0</v>
      </c>
      <c r="J245" s="17">
        <v>3</v>
      </c>
      <c r="K245" s="16">
        <f>IF(J245=1,VLOOKUP(B245,RPM!$F$2:$H$62,3,TRUE),IF(J245=2,VLOOKUP(B245,RPM!$I$2:$K$62,3,TRUE),IF(J245=3,VLOOKUP(B245,RPM!$L$2:$N$62,3,TRUE))))</f>
        <v>4300</v>
      </c>
      <c r="L245" s="17">
        <f t="shared" si="37"/>
        <v>20.858654395791234</v>
      </c>
      <c r="M245" s="16">
        <f t="shared" si="34"/>
        <v>0</v>
      </c>
      <c r="N245" s="17">
        <f>VLOOKUP(K245,RPM!$A$2:$D$62,3,FALSE)</f>
        <v>11.4</v>
      </c>
      <c r="O245" s="16">
        <f>VLOOKUP(K245,RPM!$A$2:$D$62,4,FALSE)</f>
        <v>18.894837209302327</v>
      </c>
      <c r="P245" s="17">
        <f t="shared" si="35"/>
        <v>14.089880106976747</v>
      </c>
      <c r="Q245" s="16" cm="1">
        <f t="array" ref="Q245">_xlfn.XLOOKUP(O245,BSFC!$A$2:$A$24,_xlfn.XLOOKUP(K245,BSFC!$B$1:$O$1,BSFC!$B$2:$O$24,,-1),,-1)</f>
        <v>480</v>
      </c>
      <c r="R245" s="17">
        <f t="shared" si="36"/>
        <v>1.8786506809302328</v>
      </c>
      <c r="S245" s="16">
        <f t="shared" si="38"/>
        <v>2.9183485335177264E-4</v>
      </c>
      <c r="T245" s="17">
        <f t="shared" si="42"/>
        <v>0.14008072960885087</v>
      </c>
      <c r="U245" s="16">
        <f t="shared" si="43"/>
        <v>37.205446813531168</v>
      </c>
      <c r="V245" s="17">
        <f t="shared" si="44"/>
        <v>7.5464513860830987E-2</v>
      </c>
      <c r="W245" s="16">
        <f t="shared" si="39"/>
        <v>271672.24989899155</v>
      </c>
      <c r="X245">
        <f>('Hybrid Info'!$A$2-Track!P245)*(L245-L244)*1000+X244</f>
        <v>-23923.260925041814</v>
      </c>
    </row>
    <row r="246" spans="1:24">
      <c r="A246" s="16">
        <f t="shared" si="40"/>
        <v>245</v>
      </c>
      <c r="B246" s="17">
        <f t="shared" si="41"/>
        <v>13.411199999999999</v>
      </c>
      <c r="C246" s="18">
        <f>Specification!$G$30</f>
        <v>109.96225200000001</v>
      </c>
      <c r="D246" s="17">
        <f>0.5*Specification!$K$4*Track!B246^2*Specification!$K$3*Specification!$K$2</f>
        <v>93.159842569492653</v>
      </c>
      <c r="E246" s="16">
        <v>0</v>
      </c>
      <c r="F246" s="17">
        <f>Specification!$C$23*9.81*SIN((E246*PI()/180))</f>
        <v>0</v>
      </c>
      <c r="G246" s="18">
        <f>IF(J246=1,VLOOKUP(K246,RPM!$E$2:$H$62,3,FALSE)-F246-E246-D246,IF(J246=2,VLOOKUP(K246,RPM!$H$2:$K$62,3,FALSE)-F246-E246-D246,IF(J246=3,VLOOKUP(K246,RPM!$K$2:$N$62,3,FALSE)-F246-E246-D246)))</f>
        <v>549.56217903827155</v>
      </c>
      <c r="H246" s="19">
        <f>IF(J246=1,Specification!$I$14,IF(J246=2,Specification!$I$15,IF(J246=3,Specification!$I$16)))</f>
        <v>578.93404261974786</v>
      </c>
      <c r="I246" s="16">
        <v>0</v>
      </c>
      <c r="J246" s="17">
        <v>3</v>
      </c>
      <c r="K246" s="16">
        <f>IF(J246=1,VLOOKUP(B246,RPM!$F$2:$H$62,3,TRUE),IF(J246=2,VLOOKUP(B246,RPM!$I$2:$K$62,3,TRUE),IF(J246=3,VLOOKUP(B246,RPM!$L$2:$N$62,3,TRUE))))</f>
        <v>4300</v>
      </c>
      <c r="L246" s="17">
        <f t="shared" si="37"/>
        <v>20.933218938859714</v>
      </c>
      <c r="M246" s="16">
        <f t="shared" si="34"/>
        <v>0</v>
      </c>
      <c r="N246" s="17">
        <f>VLOOKUP(K246,RPM!$A$2:$D$62,3,FALSE)</f>
        <v>11.4</v>
      </c>
      <c r="O246" s="16">
        <f>VLOOKUP(K246,RPM!$A$2:$D$62,4,FALSE)</f>
        <v>18.894837209302327</v>
      </c>
      <c r="P246" s="17">
        <f t="shared" si="35"/>
        <v>14.089880106976747</v>
      </c>
      <c r="Q246" s="16" cm="1">
        <f t="array" ref="Q246">_xlfn.XLOOKUP(O246,BSFC!$A$2:$A$24,_xlfn.XLOOKUP(K246,BSFC!$B$1:$O$1,BSFC!$B$2:$O$24,,-1),,-1)</f>
        <v>480</v>
      </c>
      <c r="R246" s="17">
        <f t="shared" si="36"/>
        <v>1.8786506809302328</v>
      </c>
      <c r="S246" s="16">
        <f t="shared" si="38"/>
        <v>2.9183485335177264E-4</v>
      </c>
      <c r="T246" s="17">
        <f t="shared" si="42"/>
        <v>0.14008072960885087</v>
      </c>
      <c r="U246" s="16">
        <f t="shared" si="43"/>
        <v>37.345527543140022</v>
      </c>
      <c r="V246" s="17">
        <f t="shared" si="44"/>
        <v>7.5756348714182756E-2</v>
      </c>
      <c r="W246" s="16">
        <f t="shared" si="39"/>
        <v>272722.85537105787</v>
      </c>
      <c r="X246">
        <f>('Hybrid Info'!$A$2-Track!P246)*(L246-L245)*1000+X245</f>
        <v>-24070.110238391226</v>
      </c>
    </row>
    <row r="247" spans="1:24">
      <c r="A247" s="16">
        <f t="shared" si="40"/>
        <v>246</v>
      </c>
      <c r="B247" s="17">
        <f t="shared" si="41"/>
        <v>13.411199999999999</v>
      </c>
      <c r="C247" s="18">
        <f>Specification!$G$30</f>
        <v>109.96225200000001</v>
      </c>
      <c r="D247" s="17">
        <f>0.5*Specification!$K$4*Track!B247^2*Specification!$K$3*Specification!$K$2</f>
        <v>93.159842569492653</v>
      </c>
      <c r="E247" s="16">
        <v>0</v>
      </c>
      <c r="F247" s="17">
        <f>Specification!$C$23*9.81*SIN((E247*PI()/180))</f>
        <v>0</v>
      </c>
      <c r="G247" s="18">
        <f>IF(J247=1,VLOOKUP(K247,RPM!$E$2:$H$62,3,FALSE)-F247-E247-D247,IF(J247=2,VLOOKUP(K247,RPM!$H$2:$K$62,3,FALSE)-F247-E247-D247,IF(J247=3,VLOOKUP(K247,RPM!$K$2:$N$62,3,FALSE)-F247-E247-D247)))</f>
        <v>549.56217903827155</v>
      </c>
      <c r="H247" s="19">
        <f>IF(J247=1,Specification!$I$14,IF(J247=2,Specification!$I$15,IF(J247=3,Specification!$I$16)))</f>
        <v>578.93404261974786</v>
      </c>
      <c r="I247" s="16">
        <v>0</v>
      </c>
      <c r="J247" s="17">
        <v>3</v>
      </c>
      <c r="K247" s="16">
        <f>IF(J247=1,VLOOKUP(B247,RPM!$F$2:$H$62,3,TRUE),IF(J247=2,VLOOKUP(B247,RPM!$I$2:$K$62,3,TRUE),IF(J247=3,VLOOKUP(B247,RPM!$L$2:$N$62,3,TRUE))))</f>
        <v>4300</v>
      </c>
      <c r="L247" s="17">
        <f t="shared" si="37"/>
        <v>21.007783481928193</v>
      </c>
      <c r="M247" s="16">
        <f t="shared" si="34"/>
        <v>0</v>
      </c>
      <c r="N247" s="17">
        <f>VLOOKUP(K247,RPM!$A$2:$D$62,3,FALSE)</f>
        <v>11.4</v>
      </c>
      <c r="O247" s="16">
        <f>VLOOKUP(K247,RPM!$A$2:$D$62,4,FALSE)</f>
        <v>18.894837209302327</v>
      </c>
      <c r="P247" s="17">
        <f t="shared" si="35"/>
        <v>14.089880106976747</v>
      </c>
      <c r="Q247" s="16" cm="1">
        <f t="array" ref="Q247">_xlfn.XLOOKUP(O247,BSFC!$A$2:$A$24,_xlfn.XLOOKUP(K247,BSFC!$B$1:$O$1,BSFC!$B$2:$O$24,,-1),,-1)</f>
        <v>480</v>
      </c>
      <c r="R247" s="17">
        <f t="shared" si="36"/>
        <v>1.8786506809302328</v>
      </c>
      <c r="S247" s="16">
        <f t="shared" si="38"/>
        <v>2.9183485335177264E-4</v>
      </c>
      <c r="T247" s="17">
        <f t="shared" si="42"/>
        <v>0.14008072960885087</v>
      </c>
      <c r="U247" s="16">
        <f t="shared" si="43"/>
        <v>37.485608272748877</v>
      </c>
      <c r="V247" s="17">
        <f t="shared" si="44"/>
        <v>7.6048183567534525E-2</v>
      </c>
      <c r="W247" s="16">
        <f t="shared" si="39"/>
        <v>273773.46084312425</v>
      </c>
      <c r="X247">
        <f>('Hybrid Info'!$A$2-Track!P247)*(L247-L246)*1000+X246</f>
        <v>-24216.959551740638</v>
      </c>
    </row>
    <row r="248" spans="1:24">
      <c r="A248" s="16">
        <f t="shared" si="40"/>
        <v>247</v>
      </c>
      <c r="B248" s="17">
        <f t="shared" si="41"/>
        <v>13.411199999999999</v>
      </c>
      <c r="C248" s="18">
        <f>Specification!$G$30</f>
        <v>109.96225200000001</v>
      </c>
      <c r="D248" s="17">
        <f>0.5*Specification!$K$4*Track!B248^2*Specification!$K$3*Specification!$K$2</f>
        <v>93.159842569492653</v>
      </c>
      <c r="E248" s="16">
        <v>0</v>
      </c>
      <c r="F248" s="17">
        <f>Specification!$C$23*9.81*SIN((E248*PI()/180))</f>
        <v>0</v>
      </c>
      <c r="G248" s="18">
        <f>IF(J248=1,VLOOKUP(K248,RPM!$E$2:$H$62,3,FALSE)-F248-E248-D248,IF(J248=2,VLOOKUP(K248,RPM!$H$2:$K$62,3,FALSE)-F248-E248-D248,IF(J248=3,VLOOKUP(K248,RPM!$K$2:$N$62,3,FALSE)-F248-E248-D248)))</f>
        <v>549.56217903827155</v>
      </c>
      <c r="H248" s="19">
        <f>IF(J248=1,Specification!$I$14,IF(J248=2,Specification!$I$15,IF(J248=3,Specification!$I$16)))</f>
        <v>578.93404261974786</v>
      </c>
      <c r="I248" s="16">
        <v>0</v>
      </c>
      <c r="J248" s="17">
        <v>3</v>
      </c>
      <c r="K248" s="16">
        <f>IF(J248=1,VLOOKUP(B248,RPM!$F$2:$H$62,3,TRUE),IF(J248=2,VLOOKUP(B248,RPM!$I$2:$K$62,3,TRUE),IF(J248=3,VLOOKUP(B248,RPM!$L$2:$N$62,3,TRUE))))</f>
        <v>4300</v>
      </c>
      <c r="L248" s="17">
        <f t="shared" si="37"/>
        <v>21.082348024996673</v>
      </c>
      <c r="M248" s="16">
        <f t="shared" si="34"/>
        <v>0</v>
      </c>
      <c r="N248" s="17">
        <f>VLOOKUP(K248,RPM!$A$2:$D$62,3,FALSE)</f>
        <v>11.4</v>
      </c>
      <c r="O248" s="16">
        <f>VLOOKUP(K248,RPM!$A$2:$D$62,4,FALSE)</f>
        <v>18.894837209302327</v>
      </c>
      <c r="P248" s="17">
        <f t="shared" si="35"/>
        <v>14.089880106976747</v>
      </c>
      <c r="Q248" s="16" cm="1">
        <f t="array" ref="Q248">_xlfn.XLOOKUP(O248,BSFC!$A$2:$A$24,_xlfn.XLOOKUP(K248,BSFC!$B$1:$O$1,BSFC!$B$2:$O$24,,-1),,-1)</f>
        <v>480</v>
      </c>
      <c r="R248" s="17">
        <f t="shared" si="36"/>
        <v>1.8786506809302328</v>
      </c>
      <c r="S248" s="16">
        <f t="shared" si="38"/>
        <v>2.9183485335177264E-4</v>
      </c>
      <c r="T248" s="17">
        <f t="shared" si="42"/>
        <v>0.14008072960885087</v>
      </c>
      <c r="U248" s="16">
        <f t="shared" si="43"/>
        <v>37.625689002357731</v>
      </c>
      <c r="V248" s="17">
        <f t="shared" si="44"/>
        <v>7.6340018420886294E-2</v>
      </c>
      <c r="W248" s="16">
        <f t="shared" si="39"/>
        <v>274824.06631519069</v>
      </c>
      <c r="X248">
        <f>('Hybrid Info'!$A$2-Track!P248)*(L248-L247)*1000+X247</f>
        <v>-24363.80886509005</v>
      </c>
    </row>
    <row r="249" spans="1:24">
      <c r="A249" s="16">
        <f t="shared" si="40"/>
        <v>248</v>
      </c>
      <c r="B249" s="17">
        <f t="shared" si="41"/>
        <v>13.411199999999999</v>
      </c>
      <c r="C249" s="18">
        <f>Specification!$G$30</f>
        <v>109.96225200000001</v>
      </c>
      <c r="D249" s="17">
        <f>0.5*Specification!$K$4*Track!B249^2*Specification!$K$3*Specification!$K$2</f>
        <v>93.159842569492653</v>
      </c>
      <c r="E249" s="16">
        <v>0</v>
      </c>
      <c r="F249" s="17">
        <f>Specification!$C$23*9.81*SIN((E249*PI()/180))</f>
        <v>0</v>
      </c>
      <c r="G249" s="18">
        <f>IF(J249=1,VLOOKUP(K249,RPM!$E$2:$H$62,3,FALSE)-F249-E249-D249,IF(J249=2,VLOOKUP(K249,RPM!$H$2:$K$62,3,FALSE)-F249-E249-D249,IF(J249=3,VLOOKUP(K249,RPM!$K$2:$N$62,3,FALSE)-F249-E249-D249)))</f>
        <v>549.56217903827155</v>
      </c>
      <c r="H249" s="19">
        <f>IF(J249=1,Specification!$I$14,IF(J249=2,Specification!$I$15,IF(J249=3,Specification!$I$16)))</f>
        <v>578.93404261974786</v>
      </c>
      <c r="I249" s="16">
        <v>0</v>
      </c>
      <c r="J249" s="17">
        <v>3</v>
      </c>
      <c r="K249" s="16">
        <f>IF(J249=1,VLOOKUP(B249,RPM!$F$2:$H$62,3,TRUE),IF(J249=2,VLOOKUP(B249,RPM!$I$2:$K$62,3,TRUE),IF(J249=3,VLOOKUP(B249,RPM!$L$2:$N$62,3,TRUE))))</f>
        <v>4300</v>
      </c>
      <c r="L249" s="17">
        <f t="shared" si="37"/>
        <v>21.156912568065152</v>
      </c>
      <c r="M249" s="16">
        <f t="shared" si="34"/>
        <v>0</v>
      </c>
      <c r="N249" s="17">
        <f>VLOOKUP(K249,RPM!$A$2:$D$62,3,FALSE)</f>
        <v>11.4</v>
      </c>
      <c r="O249" s="16">
        <f>VLOOKUP(K249,RPM!$A$2:$D$62,4,FALSE)</f>
        <v>18.894837209302327</v>
      </c>
      <c r="P249" s="17">
        <f t="shared" si="35"/>
        <v>14.089880106976747</v>
      </c>
      <c r="Q249" s="16" cm="1">
        <f t="array" ref="Q249">_xlfn.XLOOKUP(O249,BSFC!$A$2:$A$24,_xlfn.XLOOKUP(K249,BSFC!$B$1:$O$1,BSFC!$B$2:$O$24,,-1),,-1)</f>
        <v>480</v>
      </c>
      <c r="R249" s="17">
        <f t="shared" si="36"/>
        <v>1.8786506809302328</v>
      </c>
      <c r="S249" s="16">
        <f t="shared" si="38"/>
        <v>2.9183485335177264E-4</v>
      </c>
      <c r="T249" s="17">
        <f t="shared" si="42"/>
        <v>0.14008072960885087</v>
      </c>
      <c r="U249" s="16">
        <f t="shared" si="43"/>
        <v>37.765769731966586</v>
      </c>
      <c r="V249" s="17">
        <f t="shared" si="44"/>
        <v>7.6631853274238063E-2</v>
      </c>
      <c r="W249" s="16">
        <f t="shared" si="39"/>
        <v>275874.67178725707</v>
      </c>
      <c r="X249">
        <f>('Hybrid Info'!$A$2-Track!P249)*(L249-L248)*1000+X248</f>
        <v>-24510.658178439462</v>
      </c>
    </row>
    <row r="250" spans="1:24">
      <c r="A250" s="16">
        <f t="shared" si="40"/>
        <v>249</v>
      </c>
      <c r="B250" s="17">
        <f t="shared" si="41"/>
        <v>13.411199999999999</v>
      </c>
      <c r="C250" s="18">
        <f>Specification!$G$30</f>
        <v>109.96225200000001</v>
      </c>
      <c r="D250" s="17">
        <f>0.5*Specification!$K$4*Track!B250^2*Specification!$K$3*Specification!$K$2</f>
        <v>93.159842569492653</v>
      </c>
      <c r="E250" s="16">
        <v>0</v>
      </c>
      <c r="F250" s="17">
        <f>Specification!$C$23*9.81*SIN((E250*PI()/180))</f>
        <v>0</v>
      </c>
      <c r="G250" s="18">
        <f>IF(J250=1,VLOOKUP(K250,RPM!$E$2:$H$62,3,FALSE)-F250-E250-D250,IF(J250=2,VLOOKUP(K250,RPM!$H$2:$K$62,3,FALSE)-F250-E250-D250,IF(J250=3,VLOOKUP(K250,RPM!$K$2:$N$62,3,FALSE)-F250-E250-D250)))</f>
        <v>549.56217903827155</v>
      </c>
      <c r="H250" s="19">
        <f>IF(J250=1,Specification!$I$14,IF(J250=2,Specification!$I$15,IF(J250=3,Specification!$I$16)))</f>
        <v>578.93404261974786</v>
      </c>
      <c r="I250" s="16">
        <v>0</v>
      </c>
      <c r="J250" s="17">
        <v>3</v>
      </c>
      <c r="K250" s="16">
        <f>IF(J250=1,VLOOKUP(B250,RPM!$F$2:$H$62,3,TRUE),IF(J250=2,VLOOKUP(B250,RPM!$I$2:$K$62,3,TRUE),IF(J250=3,VLOOKUP(B250,RPM!$L$2:$N$62,3,TRUE))))</f>
        <v>4300</v>
      </c>
      <c r="L250" s="17">
        <f t="shared" si="37"/>
        <v>21.231477111133632</v>
      </c>
      <c r="M250" s="16">
        <f t="shared" si="34"/>
        <v>0</v>
      </c>
      <c r="N250" s="17">
        <f>VLOOKUP(K250,RPM!$A$2:$D$62,3,FALSE)</f>
        <v>11.4</v>
      </c>
      <c r="O250" s="16">
        <f>VLOOKUP(K250,RPM!$A$2:$D$62,4,FALSE)</f>
        <v>18.894837209302327</v>
      </c>
      <c r="P250" s="17">
        <f t="shared" si="35"/>
        <v>14.089880106976747</v>
      </c>
      <c r="Q250" s="16" cm="1">
        <f t="array" ref="Q250">_xlfn.XLOOKUP(O250,BSFC!$A$2:$A$24,_xlfn.XLOOKUP(K250,BSFC!$B$1:$O$1,BSFC!$B$2:$O$24,,-1),,-1)</f>
        <v>480</v>
      </c>
      <c r="R250" s="17">
        <f t="shared" si="36"/>
        <v>1.8786506809302328</v>
      </c>
      <c r="S250" s="16">
        <f t="shared" si="38"/>
        <v>2.9183485335177264E-4</v>
      </c>
      <c r="T250" s="17">
        <f t="shared" si="42"/>
        <v>0.14008072960885087</v>
      </c>
      <c r="U250" s="16">
        <f t="shared" si="43"/>
        <v>37.90585046157544</v>
      </c>
      <c r="V250" s="17">
        <f t="shared" si="44"/>
        <v>7.6923688127589832E-2</v>
      </c>
      <c r="W250" s="16">
        <f t="shared" si="39"/>
        <v>276925.2772593234</v>
      </c>
      <c r="X250">
        <f>('Hybrid Info'!$A$2-Track!P250)*(L250-L249)*1000+X249</f>
        <v>-24657.507491788874</v>
      </c>
    </row>
    <row r="251" spans="1:24">
      <c r="A251" s="16">
        <f t="shared" si="40"/>
        <v>250</v>
      </c>
      <c r="B251" s="17">
        <f t="shared" si="41"/>
        <v>13.411199999999999</v>
      </c>
      <c r="C251" s="18">
        <f>Specification!$G$30</f>
        <v>109.96225200000001</v>
      </c>
      <c r="D251" s="17">
        <f>0.5*Specification!$K$4*Track!B251^2*Specification!$K$3*Specification!$K$2</f>
        <v>93.159842569492653</v>
      </c>
      <c r="E251" s="16">
        <v>0</v>
      </c>
      <c r="F251" s="17">
        <f>Specification!$C$23*9.81*SIN((E251*PI()/180))</f>
        <v>0</v>
      </c>
      <c r="G251" s="18">
        <f>IF(J251=1,VLOOKUP(K251,RPM!$E$2:$H$62,3,FALSE)-F251-E251-D251,IF(J251=2,VLOOKUP(K251,RPM!$H$2:$K$62,3,FALSE)-F251-E251-D251,IF(J251=3,VLOOKUP(K251,RPM!$K$2:$N$62,3,FALSE)-F251-E251-D251)))</f>
        <v>549.56217903827155</v>
      </c>
      <c r="H251" s="19">
        <f>IF(J251=1,Specification!$I$14,IF(J251=2,Specification!$I$15,IF(J251=3,Specification!$I$16)))</f>
        <v>578.93404261974786</v>
      </c>
      <c r="I251" s="16">
        <v>0</v>
      </c>
      <c r="J251" s="17">
        <v>3</v>
      </c>
      <c r="K251" s="16">
        <f>IF(J251=1,VLOOKUP(B251,RPM!$F$2:$H$62,3,TRUE),IF(J251=2,VLOOKUP(B251,RPM!$I$2:$K$62,3,TRUE),IF(J251=3,VLOOKUP(B251,RPM!$L$2:$N$62,3,TRUE))))</f>
        <v>4300</v>
      </c>
      <c r="L251" s="17">
        <f t="shared" si="37"/>
        <v>21.306041654202112</v>
      </c>
      <c r="M251" s="16">
        <f t="shared" si="34"/>
        <v>0</v>
      </c>
      <c r="N251" s="17">
        <f>VLOOKUP(K251,RPM!$A$2:$D$62,3,FALSE)</f>
        <v>11.4</v>
      </c>
      <c r="O251" s="16">
        <f>VLOOKUP(K251,RPM!$A$2:$D$62,4,FALSE)</f>
        <v>18.894837209302327</v>
      </c>
      <c r="P251" s="17">
        <f t="shared" si="35"/>
        <v>14.089880106976747</v>
      </c>
      <c r="Q251" s="16" cm="1">
        <f t="array" ref="Q251">_xlfn.XLOOKUP(O251,BSFC!$A$2:$A$24,_xlfn.XLOOKUP(K251,BSFC!$B$1:$O$1,BSFC!$B$2:$O$24,,-1),,-1)</f>
        <v>480</v>
      </c>
      <c r="R251" s="17">
        <f t="shared" si="36"/>
        <v>1.8786506809302328</v>
      </c>
      <c r="S251" s="16">
        <f t="shared" si="38"/>
        <v>2.9183485335177264E-4</v>
      </c>
      <c r="T251" s="17">
        <f t="shared" si="42"/>
        <v>0.14008072960885087</v>
      </c>
      <c r="U251" s="16">
        <f t="shared" si="43"/>
        <v>38.045931191184295</v>
      </c>
      <c r="V251" s="17">
        <f t="shared" si="44"/>
        <v>7.72155229809416E-2</v>
      </c>
      <c r="W251" s="16">
        <f t="shared" si="39"/>
        <v>277975.88273138978</v>
      </c>
      <c r="X251">
        <f>('Hybrid Info'!$A$2-Track!P251)*(L251-L250)*1000+X250</f>
        <v>-24804.356805138286</v>
      </c>
    </row>
    <row r="252" spans="1:24">
      <c r="A252" s="16">
        <f t="shared" si="40"/>
        <v>251</v>
      </c>
      <c r="B252" s="17">
        <f t="shared" si="41"/>
        <v>13.411199999999999</v>
      </c>
      <c r="C252" s="18">
        <f>Specification!$G$30</f>
        <v>109.96225200000001</v>
      </c>
      <c r="D252" s="17">
        <f>0.5*Specification!$K$4*Track!B252^2*Specification!$K$3*Specification!$K$2</f>
        <v>93.159842569492653</v>
      </c>
      <c r="E252" s="16">
        <v>0</v>
      </c>
      <c r="F252" s="17">
        <f>Specification!$C$23*9.81*SIN((E252*PI()/180))</f>
        <v>0</v>
      </c>
      <c r="G252" s="18">
        <f>IF(J252=1,VLOOKUP(K252,RPM!$E$2:$H$62,3,FALSE)-F252-E252-D252,IF(J252=2,VLOOKUP(K252,RPM!$H$2:$K$62,3,FALSE)-F252-E252-D252,IF(J252=3,VLOOKUP(K252,RPM!$K$2:$N$62,3,FALSE)-F252-E252-D252)))</f>
        <v>549.56217903827155</v>
      </c>
      <c r="H252" s="19">
        <f>IF(J252=1,Specification!$I$14,IF(J252=2,Specification!$I$15,IF(J252=3,Specification!$I$16)))</f>
        <v>578.93404261974786</v>
      </c>
      <c r="I252" s="16">
        <v>0</v>
      </c>
      <c r="J252" s="17">
        <v>3</v>
      </c>
      <c r="K252" s="16">
        <f>IF(J252=1,VLOOKUP(B252,RPM!$F$2:$H$62,3,TRUE),IF(J252=2,VLOOKUP(B252,RPM!$I$2:$K$62,3,TRUE),IF(J252=3,VLOOKUP(B252,RPM!$L$2:$N$62,3,TRUE))))</f>
        <v>4300</v>
      </c>
      <c r="L252" s="17">
        <f t="shared" si="37"/>
        <v>21.380606197270591</v>
      </c>
      <c r="M252" s="16">
        <f t="shared" si="34"/>
        <v>0</v>
      </c>
      <c r="N252" s="17">
        <f>VLOOKUP(K252,RPM!$A$2:$D$62,3,FALSE)</f>
        <v>11.4</v>
      </c>
      <c r="O252" s="16">
        <f>VLOOKUP(K252,RPM!$A$2:$D$62,4,FALSE)</f>
        <v>18.894837209302327</v>
      </c>
      <c r="P252" s="17">
        <f t="shared" si="35"/>
        <v>14.089880106976747</v>
      </c>
      <c r="Q252" s="16" cm="1">
        <f t="array" ref="Q252">_xlfn.XLOOKUP(O252,BSFC!$A$2:$A$24,_xlfn.XLOOKUP(K252,BSFC!$B$1:$O$1,BSFC!$B$2:$O$24,,-1),,-1)</f>
        <v>480</v>
      </c>
      <c r="R252" s="17">
        <f t="shared" si="36"/>
        <v>1.8786506809302328</v>
      </c>
      <c r="S252" s="16">
        <f t="shared" si="38"/>
        <v>2.9183485335177264E-4</v>
      </c>
      <c r="T252" s="17">
        <f t="shared" si="42"/>
        <v>0.14008072960885087</v>
      </c>
      <c r="U252" s="16">
        <f t="shared" si="43"/>
        <v>38.186011920793149</v>
      </c>
      <c r="V252" s="17">
        <f t="shared" si="44"/>
        <v>7.7507357834293369E-2</v>
      </c>
      <c r="W252" s="16">
        <f t="shared" si="39"/>
        <v>279026.48820345616</v>
      </c>
      <c r="X252">
        <f>('Hybrid Info'!$A$2-Track!P252)*(L252-L251)*1000+X251</f>
        <v>-24951.206118487698</v>
      </c>
    </row>
    <row r="253" spans="1:24">
      <c r="A253" s="16">
        <f t="shared" si="40"/>
        <v>252</v>
      </c>
      <c r="B253" s="17">
        <f t="shared" si="41"/>
        <v>13.411199999999999</v>
      </c>
      <c r="C253" s="18">
        <f>Specification!$G$30</f>
        <v>109.96225200000001</v>
      </c>
      <c r="D253" s="17">
        <f>0.5*Specification!$K$4*Track!B253^2*Specification!$K$3*Specification!$K$2</f>
        <v>93.159842569492653</v>
      </c>
      <c r="E253" s="16">
        <v>0</v>
      </c>
      <c r="F253" s="17">
        <f>Specification!$C$23*9.81*SIN((E253*PI()/180))</f>
        <v>0</v>
      </c>
      <c r="G253" s="18">
        <f>IF(J253=1,VLOOKUP(K253,RPM!$E$2:$H$62,3,FALSE)-F253-E253-D253,IF(J253=2,VLOOKUP(K253,RPM!$H$2:$K$62,3,FALSE)-F253-E253-D253,IF(J253=3,VLOOKUP(K253,RPM!$K$2:$N$62,3,FALSE)-F253-E253-D253)))</f>
        <v>549.56217903827155</v>
      </c>
      <c r="H253" s="19">
        <f>IF(J253=1,Specification!$I$14,IF(J253=2,Specification!$I$15,IF(J253=3,Specification!$I$16)))</f>
        <v>578.93404261974786</v>
      </c>
      <c r="I253" s="16">
        <v>0</v>
      </c>
      <c r="J253" s="17">
        <v>3</v>
      </c>
      <c r="K253" s="16">
        <f>IF(J253=1,VLOOKUP(B253,RPM!$F$2:$H$62,3,TRUE),IF(J253=2,VLOOKUP(B253,RPM!$I$2:$K$62,3,TRUE),IF(J253=3,VLOOKUP(B253,RPM!$L$2:$N$62,3,TRUE))))</f>
        <v>4300</v>
      </c>
      <c r="L253" s="17">
        <f t="shared" si="37"/>
        <v>21.455170740339071</v>
      </c>
      <c r="M253" s="16">
        <f t="shared" si="34"/>
        <v>0</v>
      </c>
      <c r="N253" s="17">
        <f>VLOOKUP(K253,RPM!$A$2:$D$62,3,FALSE)</f>
        <v>11.4</v>
      </c>
      <c r="O253" s="16">
        <f>VLOOKUP(K253,RPM!$A$2:$D$62,4,FALSE)</f>
        <v>18.894837209302327</v>
      </c>
      <c r="P253" s="17">
        <f t="shared" si="35"/>
        <v>14.089880106976747</v>
      </c>
      <c r="Q253" s="16" cm="1">
        <f t="array" ref="Q253">_xlfn.XLOOKUP(O253,BSFC!$A$2:$A$24,_xlfn.XLOOKUP(K253,BSFC!$B$1:$O$1,BSFC!$B$2:$O$24,,-1),,-1)</f>
        <v>480</v>
      </c>
      <c r="R253" s="17">
        <f t="shared" si="36"/>
        <v>1.8786506809302328</v>
      </c>
      <c r="S253" s="16">
        <f t="shared" si="38"/>
        <v>2.9183485335177264E-4</v>
      </c>
      <c r="T253" s="17">
        <f t="shared" si="42"/>
        <v>0.14008072960885087</v>
      </c>
      <c r="U253" s="16">
        <f t="shared" si="43"/>
        <v>38.326092650402003</v>
      </c>
      <c r="V253" s="17">
        <f t="shared" si="44"/>
        <v>7.7799192687645138E-2</v>
      </c>
      <c r="W253" s="16">
        <f t="shared" si="39"/>
        <v>280077.09367552248</v>
      </c>
      <c r="X253">
        <f>('Hybrid Info'!$A$2-Track!P253)*(L253-L252)*1000+X252</f>
        <v>-25098.055431837111</v>
      </c>
    </row>
    <row r="254" spans="1:24">
      <c r="A254" s="16">
        <f t="shared" si="40"/>
        <v>253</v>
      </c>
      <c r="B254" s="17">
        <f t="shared" si="41"/>
        <v>13.411199999999999</v>
      </c>
      <c r="C254" s="18">
        <f>Specification!$G$30</f>
        <v>109.96225200000001</v>
      </c>
      <c r="D254" s="17">
        <f>0.5*Specification!$K$4*Track!B254^2*Specification!$K$3*Specification!$K$2</f>
        <v>93.159842569492653</v>
      </c>
      <c r="E254" s="16">
        <v>0</v>
      </c>
      <c r="F254" s="17">
        <f>Specification!$C$23*9.81*SIN((E254*PI()/180))</f>
        <v>0</v>
      </c>
      <c r="G254" s="18">
        <f>IF(J254=1,VLOOKUP(K254,RPM!$E$2:$H$62,3,FALSE)-F254-E254-D254,IF(J254=2,VLOOKUP(K254,RPM!$H$2:$K$62,3,FALSE)-F254-E254-D254,IF(J254=3,VLOOKUP(K254,RPM!$K$2:$N$62,3,FALSE)-F254-E254-D254)))</f>
        <v>549.56217903827155</v>
      </c>
      <c r="H254" s="19">
        <f>IF(J254=1,Specification!$I$14,IF(J254=2,Specification!$I$15,IF(J254=3,Specification!$I$16)))</f>
        <v>578.93404261974786</v>
      </c>
      <c r="I254" s="16">
        <v>0</v>
      </c>
      <c r="J254" s="17">
        <v>3</v>
      </c>
      <c r="K254" s="16">
        <f>IF(J254=1,VLOOKUP(B254,RPM!$F$2:$H$62,3,TRUE),IF(J254=2,VLOOKUP(B254,RPM!$I$2:$K$62,3,TRUE),IF(J254=3,VLOOKUP(B254,RPM!$L$2:$N$62,3,TRUE))))</f>
        <v>4300</v>
      </c>
      <c r="L254" s="17">
        <f t="shared" si="37"/>
        <v>21.52973528340755</v>
      </c>
      <c r="M254" s="16">
        <f t="shared" si="34"/>
        <v>0</v>
      </c>
      <c r="N254" s="17">
        <f>VLOOKUP(K254,RPM!$A$2:$D$62,3,FALSE)</f>
        <v>11.4</v>
      </c>
      <c r="O254" s="16">
        <f>VLOOKUP(K254,RPM!$A$2:$D$62,4,FALSE)</f>
        <v>18.894837209302327</v>
      </c>
      <c r="P254" s="17">
        <f t="shared" si="35"/>
        <v>14.089880106976747</v>
      </c>
      <c r="Q254" s="16" cm="1">
        <f t="array" ref="Q254">_xlfn.XLOOKUP(O254,BSFC!$A$2:$A$24,_xlfn.XLOOKUP(K254,BSFC!$B$1:$O$1,BSFC!$B$2:$O$24,,-1),,-1)</f>
        <v>480</v>
      </c>
      <c r="R254" s="17">
        <f t="shared" si="36"/>
        <v>1.8786506809302328</v>
      </c>
      <c r="S254" s="16">
        <f t="shared" si="38"/>
        <v>2.9183485335177264E-4</v>
      </c>
      <c r="T254" s="17">
        <f t="shared" si="42"/>
        <v>0.14008072960885087</v>
      </c>
      <c r="U254" s="16">
        <f t="shared" si="43"/>
        <v>38.466173380010858</v>
      </c>
      <c r="V254" s="17">
        <f t="shared" si="44"/>
        <v>7.8091027540996907E-2</v>
      </c>
      <c r="W254" s="16">
        <f t="shared" si="39"/>
        <v>281127.69914758886</v>
      </c>
      <c r="X254">
        <f>('Hybrid Info'!$A$2-Track!P254)*(L254-L253)*1000+X253</f>
        <v>-25244.904745186523</v>
      </c>
    </row>
    <row r="255" spans="1:24">
      <c r="A255" s="16">
        <f t="shared" si="40"/>
        <v>254</v>
      </c>
      <c r="B255" s="17">
        <f t="shared" si="41"/>
        <v>13.411199999999999</v>
      </c>
      <c r="C255" s="18">
        <f>Specification!$G$30</f>
        <v>109.96225200000001</v>
      </c>
      <c r="D255" s="17">
        <f>0.5*Specification!$K$4*Track!B255^2*Specification!$K$3*Specification!$K$2</f>
        <v>93.159842569492653</v>
      </c>
      <c r="E255" s="16">
        <v>0</v>
      </c>
      <c r="F255" s="17">
        <f>Specification!$C$23*9.81*SIN((E255*PI()/180))</f>
        <v>0</v>
      </c>
      <c r="G255" s="18">
        <f>IF(J255=1,VLOOKUP(K255,RPM!$E$2:$H$62,3,FALSE)-F255-E255-D255,IF(J255=2,VLOOKUP(K255,RPM!$H$2:$K$62,3,FALSE)-F255-E255-D255,IF(J255=3,VLOOKUP(K255,RPM!$K$2:$N$62,3,FALSE)-F255-E255-D255)))</f>
        <v>549.56217903827155</v>
      </c>
      <c r="H255" s="19">
        <f>IF(J255=1,Specification!$I$14,IF(J255=2,Specification!$I$15,IF(J255=3,Specification!$I$16)))</f>
        <v>578.93404261974786</v>
      </c>
      <c r="I255" s="16">
        <v>0</v>
      </c>
      <c r="J255" s="17">
        <v>3</v>
      </c>
      <c r="K255" s="16">
        <f>IF(J255=1,VLOOKUP(B255,RPM!$F$2:$H$62,3,TRUE),IF(J255=2,VLOOKUP(B255,RPM!$I$2:$K$62,3,TRUE),IF(J255=3,VLOOKUP(B255,RPM!$L$2:$N$62,3,TRUE))))</f>
        <v>4300</v>
      </c>
      <c r="L255" s="17">
        <f t="shared" si="37"/>
        <v>21.60429982647603</v>
      </c>
      <c r="M255" s="16">
        <f t="shared" si="34"/>
        <v>0</v>
      </c>
      <c r="N255" s="17">
        <f>VLOOKUP(K255,RPM!$A$2:$D$62,3,FALSE)</f>
        <v>11.4</v>
      </c>
      <c r="O255" s="16">
        <f>VLOOKUP(K255,RPM!$A$2:$D$62,4,FALSE)</f>
        <v>18.894837209302327</v>
      </c>
      <c r="P255" s="17">
        <f t="shared" si="35"/>
        <v>14.089880106976747</v>
      </c>
      <c r="Q255" s="16" cm="1">
        <f t="array" ref="Q255">_xlfn.XLOOKUP(O255,BSFC!$A$2:$A$24,_xlfn.XLOOKUP(K255,BSFC!$B$1:$O$1,BSFC!$B$2:$O$24,,-1),,-1)</f>
        <v>480</v>
      </c>
      <c r="R255" s="17">
        <f t="shared" si="36"/>
        <v>1.8786506809302328</v>
      </c>
      <c r="S255" s="16">
        <f t="shared" si="38"/>
        <v>2.9183485335177264E-4</v>
      </c>
      <c r="T255" s="17">
        <f t="shared" si="42"/>
        <v>0.14008072960885087</v>
      </c>
      <c r="U255" s="16">
        <f t="shared" si="43"/>
        <v>38.606254109619712</v>
      </c>
      <c r="V255" s="17">
        <f t="shared" si="44"/>
        <v>7.8382862394348676E-2</v>
      </c>
      <c r="W255" s="16">
        <f t="shared" si="39"/>
        <v>282178.30461965525</v>
      </c>
      <c r="X255">
        <f>('Hybrid Info'!$A$2-Track!P255)*(L255-L254)*1000+X254</f>
        <v>-25391.754058535935</v>
      </c>
    </row>
    <row r="256" spans="1:24">
      <c r="A256" s="16">
        <f t="shared" si="40"/>
        <v>255</v>
      </c>
      <c r="B256" s="17">
        <f t="shared" si="41"/>
        <v>13.411199999999999</v>
      </c>
      <c r="C256" s="18">
        <f>Specification!$G$30</f>
        <v>109.96225200000001</v>
      </c>
      <c r="D256" s="17">
        <f>0.5*Specification!$K$4*Track!B256^2*Specification!$K$3*Specification!$K$2</f>
        <v>93.159842569492653</v>
      </c>
      <c r="E256" s="16">
        <v>0</v>
      </c>
      <c r="F256" s="17">
        <f>Specification!$C$23*9.81*SIN((E256*PI()/180))</f>
        <v>0</v>
      </c>
      <c r="G256" s="18">
        <f>IF(J256=1,VLOOKUP(K256,RPM!$E$2:$H$62,3,FALSE)-F256-E256-D256,IF(J256=2,VLOOKUP(K256,RPM!$H$2:$K$62,3,FALSE)-F256-E256-D256,IF(J256=3,VLOOKUP(K256,RPM!$K$2:$N$62,3,FALSE)-F256-E256-D256)))</f>
        <v>549.56217903827155</v>
      </c>
      <c r="H256" s="19">
        <f>IF(J256=1,Specification!$I$14,IF(J256=2,Specification!$I$15,IF(J256=3,Specification!$I$16)))</f>
        <v>578.93404261974786</v>
      </c>
      <c r="I256" s="16">
        <v>0</v>
      </c>
      <c r="J256" s="17">
        <v>3</v>
      </c>
      <c r="K256" s="16">
        <f>IF(J256=1,VLOOKUP(B256,RPM!$F$2:$H$62,3,TRUE),IF(J256=2,VLOOKUP(B256,RPM!$I$2:$K$62,3,TRUE),IF(J256=3,VLOOKUP(B256,RPM!$L$2:$N$62,3,TRUE))))</f>
        <v>4300</v>
      </c>
      <c r="L256" s="17">
        <f t="shared" si="37"/>
        <v>21.67886436954451</v>
      </c>
      <c r="M256" s="16">
        <f t="shared" si="34"/>
        <v>0</v>
      </c>
      <c r="N256" s="17">
        <f>VLOOKUP(K256,RPM!$A$2:$D$62,3,FALSE)</f>
        <v>11.4</v>
      </c>
      <c r="O256" s="16">
        <f>VLOOKUP(K256,RPM!$A$2:$D$62,4,FALSE)</f>
        <v>18.894837209302327</v>
      </c>
      <c r="P256" s="17">
        <f t="shared" si="35"/>
        <v>14.089880106976747</v>
      </c>
      <c r="Q256" s="16" cm="1">
        <f t="array" ref="Q256">_xlfn.XLOOKUP(O256,BSFC!$A$2:$A$24,_xlfn.XLOOKUP(K256,BSFC!$B$1:$O$1,BSFC!$B$2:$O$24,,-1),,-1)</f>
        <v>480</v>
      </c>
      <c r="R256" s="17">
        <f t="shared" si="36"/>
        <v>1.8786506809302328</v>
      </c>
      <c r="S256" s="16">
        <f t="shared" si="38"/>
        <v>2.9183485335177264E-4</v>
      </c>
      <c r="T256" s="17">
        <f t="shared" si="42"/>
        <v>0.14008072960885087</v>
      </c>
      <c r="U256" s="16">
        <f t="shared" si="43"/>
        <v>38.746334839228567</v>
      </c>
      <c r="V256" s="17">
        <f t="shared" si="44"/>
        <v>7.8674697247700445E-2</v>
      </c>
      <c r="W256" s="16">
        <f t="shared" si="39"/>
        <v>283228.91009172163</v>
      </c>
      <c r="X256">
        <f>('Hybrid Info'!$A$2-Track!P256)*(L256-L255)*1000+X255</f>
        <v>-25538.603371885347</v>
      </c>
    </row>
    <row r="257" spans="1:24">
      <c r="A257" s="16">
        <f t="shared" si="40"/>
        <v>256</v>
      </c>
      <c r="B257" s="17">
        <f t="shared" si="41"/>
        <v>13.411199999999999</v>
      </c>
      <c r="C257" s="18">
        <f>Specification!$G$30</f>
        <v>109.96225200000001</v>
      </c>
      <c r="D257" s="17">
        <f>0.5*Specification!$K$4*Track!B257^2*Specification!$K$3*Specification!$K$2</f>
        <v>93.159842569492653</v>
      </c>
      <c r="E257" s="16">
        <v>0</v>
      </c>
      <c r="F257" s="17">
        <f>Specification!$C$23*9.81*SIN((E257*PI()/180))</f>
        <v>0</v>
      </c>
      <c r="G257" s="18">
        <f>IF(J257=1,VLOOKUP(K257,RPM!$E$2:$H$62,3,FALSE)-F257-E257-D257,IF(J257=2,VLOOKUP(K257,RPM!$H$2:$K$62,3,FALSE)-F257-E257-D257,IF(J257=3,VLOOKUP(K257,RPM!$K$2:$N$62,3,FALSE)-F257-E257-D257)))</f>
        <v>549.56217903827155</v>
      </c>
      <c r="H257" s="19">
        <f>IF(J257=1,Specification!$I$14,IF(J257=2,Specification!$I$15,IF(J257=3,Specification!$I$16)))</f>
        <v>578.93404261974786</v>
      </c>
      <c r="I257" s="16">
        <v>0</v>
      </c>
      <c r="J257" s="17">
        <v>3</v>
      </c>
      <c r="K257" s="16">
        <f>IF(J257=1,VLOOKUP(B257,RPM!$F$2:$H$62,3,TRUE),IF(J257=2,VLOOKUP(B257,RPM!$I$2:$K$62,3,TRUE),IF(J257=3,VLOOKUP(B257,RPM!$L$2:$N$62,3,TRUE))))</f>
        <v>4300</v>
      </c>
      <c r="L257" s="17">
        <f t="shared" si="37"/>
        <v>21.753428912612989</v>
      </c>
      <c r="M257" s="16">
        <f t="shared" si="34"/>
        <v>0</v>
      </c>
      <c r="N257" s="17">
        <f>VLOOKUP(K257,RPM!$A$2:$D$62,3,FALSE)</f>
        <v>11.4</v>
      </c>
      <c r="O257" s="16">
        <f>VLOOKUP(K257,RPM!$A$2:$D$62,4,FALSE)</f>
        <v>18.894837209302327</v>
      </c>
      <c r="P257" s="17">
        <f t="shared" si="35"/>
        <v>14.089880106976747</v>
      </c>
      <c r="Q257" s="16" cm="1">
        <f t="array" ref="Q257">_xlfn.XLOOKUP(O257,BSFC!$A$2:$A$24,_xlfn.XLOOKUP(K257,BSFC!$B$1:$O$1,BSFC!$B$2:$O$24,,-1),,-1)</f>
        <v>480</v>
      </c>
      <c r="R257" s="17">
        <f t="shared" si="36"/>
        <v>1.8786506809302328</v>
      </c>
      <c r="S257" s="16">
        <f t="shared" si="38"/>
        <v>2.9183485335177264E-4</v>
      </c>
      <c r="T257" s="17">
        <f t="shared" si="42"/>
        <v>0.14008072960885087</v>
      </c>
      <c r="U257" s="16">
        <f t="shared" si="43"/>
        <v>38.886415568837421</v>
      </c>
      <c r="V257" s="17">
        <f t="shared" si="44"/>
        <v>7.8966532101052214E-2</v>
      </c>
      <c r="W257" s="16">
        <f t="shared" si="39"/>
        <v>284279.51556378795</v>
      </c>
      <c r="X257">
        <f>('Hybrid Info'!$A$2-Track!P257)*(L257-L256)*1000+X256</f>
        <v>-25685.452685234759</v>
      </c>
    </row>
    <row r="258" spans="1:24">
      <c r="A258" s="16">
        <f t="shared" si="40"/>
        <v>257</v>
      </c>
      <c r="B258" s="17">
        <f t="shared" si="41"/>
        <v>13.411199999999999</v>
      </c>
      <c r="C258" s="18">
        <f>Specification!$G$30</f>
        <v>109.96225200000001</v>
      </c>
      <c r="D258" s="17">
        <f>0.5*Specification!$K$4*Track!B258^2*Specification!$K$3*Specification!$K$2</f>
        <v>93.159842569492653</v>
      </c>
      <c r="E258" s="16">
        <v>0</v>
      </c>
      <c r="F258" s="17">
        <f>Specification!$C$23*9.81*SIN((E258*PI()/180))</f>
        <v>0</v>
      </c>
      <c r="G258" s="18">
        <f>IF(J258=1,VLOOKUP(K258,RPM!$E$2:$H$62,3,FALSE)-F258-E258-D258,IF(J258=2,VLOOKUP(K258,RPM!$H$2:$K$62,3,FALSE)-F258-E258-D258,IF(J258=3,VLOOKUP(K258,RPM!$K$2:$N$62,3,FALSE)-F258-E258-D258)))</f>
        <v>549.56217903827155</v>
      </c>
      <c r="H258" s="19">
        <f>IF(J258=1,Specification!$I$14,IF(J258=2,Specification!$I$15,IF(J258=3,Specification!$I$16)))</f>
        <v>578.93404261974786</v>
      </c>
      <c r="I258" s="16">
        <v>0</v>
      </c>
      <c r="J258" s="17">
        <v>3</v>
      </c>
      <c r="K258" s="16">
        <f>IF(J258=1,VLOOKUP(B258,RPM!$F$2:$H$62,3,TRUE),IF(J258=2,VLOOKUP(B258,RPM!$I$2:$K$62,3,TRUE),IF(J258=3,VLOOKUP(B258,RPM!$L$2:$N$62,3,TRUE))))</f>
        <v>4300</v>
      </c>
      <c r="L258" s="17">
        <f t="shared" si="37"/>
        <v>21.827993455681469</v>
      </c>
      <c r="M258" s="16">
        <f t="shared" ref="M258:M321" si="45">TAN(E258*PI()/180)+M257</f>
        <v>0</v>
      </c>
      <c r="N258" s="17">
        <f>VLOOKUP(K258,RPM!$A$2:$D$62,3,FALSE)</f>
        <v>11.4</v>
      </c>
      <c r="O258" s="16">
        <f>VLOOKUP(K258,RPM!$A$2:$D$62,4,FALSE)</f>
        <v>18.894837209302327</v>
      </c>
      <c r="P258" s="17">
        <f t="shared" ref="P258:P321" si="46">O258*0.7457</f>
        <v>14.089880106976747</v>
      </c>
      <c r="Q258" s="16" cm="1">
        <f t="array" ref="Q258">_xlfn.XLOOKUP(O258,BSFC!$A$2:$A$24,_xlfn.XLOOKUP(K258,BSFC!$B$1:$O$1,BSFC!$B$2:$O$24,,-1),,-1)</f>
        <v>480</v>
      </c>
      <c r="R258" s="17">
        <f t="shared" ref="R258:R321" si="47">Q258*P258/3600</f>
        <v>1.8786506809302328</v>
      </c>
      <c r="S258" s="16">
        <f t="shared" si="38"/>
        <v>2.9183485335177264E-4</v>
      </c>
      <c r="T258" s="17">
        <f t="shared" si="42"/>
        <v>0.14008072960885087</v>
      </c>
      <c r="U258" s="16">
        <f t="shared" si="43"/>
        <v>39.026496298446276</v>
      </c>
      <c r="V258" s="17">
        <f t="shared" si="44"/>
        <v>7.9258366954403983E-2</v>
      </c>
      <c r="W258" s="16">
        <f t="shared" si="39"/>
        <v>285330.12103585433</v>
      </c>
      <c r="X258">
        <f>('Hybrid Info'!$A$2-Track!P258)*(L258-L257)*1000+X257</f>
        <v>-25832.301998584171</v>
      </c>
    </row>
    <row r="259" spans="1:24">
      <c r="A259" s="16">
        <f t="shared" si="40"/>
        <v>258</v>
      </c>
      <c r="B259" s="17">
        <f t="shared" si="41"/>
        <v>13.411199999999999</v>
      </c>
      <c r="C259" s="18">
        <f>Specification!$G$30</f>
        <v>109.96225200000001</v>
      </c>
      <c r="D259" s="17">
        <f>0.5*Specification!$K$4*Track!B259^2*Specification!$K$3*Specification!$K$2</f>
        <v>93.159842569492653</v>
      </c>
      <c r="E259" s="16">
        <v>0</v>
      </c>
      <c r="F259" s="17">
        <f>Specification!$C$23*9.81*SIN((E259*PI()/180))</f>
        <v>0</v>
      </c>
      <c r="G259" s="18">
        <f>IF(J259=1,VLOOKUP(K259,RPM!$E$2:$H$62,3,FALSE)-F259-E259-D259,IF(J259=2,VLOOKUP(K259,RPM!$H$2:$K$62,3,FALSE)-F259-E259-D259,IF(J259=3,VLOOKUP(K259,RPM!$K$2:$N$62,3,FALSE)-F259-E259-D259)))</f>
        <v>549.56217903827155</v>
      </c>
      <c r="H259" s="19">
        <f>IF(J259=1,Specification!$I$14,IF(J259=2,Specification!$I$15,IF(J259=3,Specification!$I$16)))</f>
        <v>578.93404261974786</v>
      </c>
      <c r="I259" s="16">
        <v>0</v>
      </c>
      <c r="J259" s="17">
        <v>3</v>
      </c>
      <c r="K259" s="16">
        <f>IF(J259=1,VLOOKUP(B259,RPM!$F$2:$H$62,3,TRUE),IF(J259=2,VLOOKUP(B259,RPM!$I$2:$K$62,3,TRUE),IF(J259=3,VLOOKUP(B259,RPM!$L$2:$N$62,3,TRUE))))</f>
        <v>4300</v>
      </c>
      <c r="L259" s="17">
        <f t="shared" ref="L259:L322" si="48">IF(I259=0,ABS(1/B259)+L258,IF(ABS(B260-B259)=0,1/B259+L258,ABS((B260-B259)/I259)+L258))</f>
        <v>21.902557998749948</v>
      </c>
      <c r="M259" s="16">
        <f t="shared" si="45"/>
        <v>0</v>
      </c>
      <c r="N259" s="17">
        <f>VLOOKUP(K259,RPM!$A$2:$D$62,3,FALSE)</f>
        <v>11.4</v>
      </c>
      <c r="O259" s="16">
        <f>VLOOKUP(K259,RPM!$A$2:$D$62,4,FALSE)</f>
        <v>18.894837209302327</v>
      </c>
      <c r="P259" s="17">
        <f t="shared" si="46"/>
        <v>14.089880106976747</v>
      </c>
      <c r="Q259" s="16" cm="1">
        <f t="array" ref="Q259">_xlfn.XLOOKUP(O259,BSFC!$A$2:$A$24,_xlfn.XLOOKUP(K259,BSFC!$B$1:$O$1,BSFC!$B$2:$O$24,,-1),,-1)</f>
        <v>480</v>
      </c>
      <c r="R259" s="17">
        <f t="shared" si="47"/>
        <v>1.8786506809302328</v>
      </c>
      <c r="S259" s="16">
        <f t="shared" ref="S259:S322" si="49">(L259-L258)/3600*P259</f>
        <v>2.9183485335177264E-4</v>
      </c>
      <c r="T259" s="17">
        <f t="shared" si="42"/>
        <v>0.14008072960885087</v>
      </c>
      <c r="U259" s="16">
        <f t="shared" si="43"/>
        <v>39.16657702805513</v>
      </c>
      <c r="V259" s="17">
        <f t="shared" si="44"/>
        <v>7.9550201807755752E-2</v>
      </c>
      <c r="W259" s="16">
        <f t="shared" ref="W259:W322" si="50">V259*1000*3600</f>
        <v>286380.72650792071</v>
      </c>
      <c r="X259">
        <f>('Hybrid Info'!$A$2-Track!P259)*(L259-L258)*1000+X258</f>
        <v>-25979.151311933583</v>
      </c>
    </row>
    <row r="260" spans="1:24">
      <c r="A260" s="16">
        <f t="shared" ref="A260:A323" si="51">A259+1</f>
        <v>259</v>
      </c>
      <c r="B260" s="17">
        <f t="shared" ref="B260:B323" si="52">IF(SQRT(B259^2+2*I259)&gt;13.4112,13.4112,SQRT(B259^2+2*I259))</f>
        <v>13.411199999999999</v>
      </c>
      <c r="C260" s="18">
        <f>Specification!$G$30</f>
        <v>109.96225200000001</v>
      </c>
      <c r="D260" s="17">
        <f>0.5*Specification!$K$4*Track!B260^2*Specification!$K$3*Specification!$K$2</f>
        <v>93.159842569492653</v>
      </c>
      <c r="E260" s="16">
        <v>0</v>
      </c>
      <c r="F260" s="17">
        <f>Specification!$C$23*9.81*SIN((E260*PI()/180))</f>
        <v>0</v>
      </c>
      <c r="G260" s="18">
        <f>IF(J260=1,VLOOKUP(K260,RPM!$E$2:$H$62,3,FALSE)-F260-E260-D260,IF(J260=2,VLOOKUP(K260,RPM!$H$2:$K$62,3,FALSE)-F260-E260-D260,IF(J260=3,VLOOKUP(K260,RPM!$K$2:$N$62,3,FALSE)-F260-E260-D260)))</f>
        <v>549.56217903827155</v>
      </c>
      <c r="H260" s="19">
        <f>IF(J260=1,Specification!$I$14,IF(J260=2,Specification!$I$15,IF(J260=3,Specification!$I$16)))</f>
        <v>578.93404261974786</v>
      </c>
      <c r="I260" s="16">
        <v>0</v>
      </c>
      <c r="J260" s="17">
        <v>3</v>
      </c>
      <c r="K260" s="16">
        <f>IF(J260=1,VLOOKUP(B260,RPM!$F$2:$H$62,3,TRUE),IF(J260=2,VLOOKUP(B260,RPM!$I$2:$K$62,3,TRUE),IF(J260=3,VLOOKUP(B260,RPM!$L$2:$N$62,3,TRUE))))</f>
        <v>4300</v>
      </c>
      <c r="L260" s="17">
        <f t="shared" si="48"/>
        <v>21.977122541818428</v>
      </c>
      <c r="M260" s="16">
        <f t="shared" si="45"/>
        <v>0</v>
      </c>
      <c r="N260" s="17">
        <f>VLOOKUP(K260,RPM!$A$2:$D$62,3,FALSE)</f>
        <v>11.4</v>
      </c>
      <c r="O260" s="16">
        <f>VLOOKUP(K260,RPM!$A$2:$D$62,4,FALSE)</f>
        <v>18.894837209302327</v>
      </c>
      <c r="P260" s="17">
        <f t="shared" si="46"/>
        <v>14.089880106976747</v>
      </c>
      <c r="Q260" s="16" cm="1">
        <f t="array" ref="Q260">_xlfn.XLOOKUP(O260,BSFC!$A$2:$A$24,_xlfn.XLOOKUP(K260,BSFC!$B$1:$O$1,BSFC!$B$2:$O$24,,-1),,-1)</f>
        <v>480</v>
      </c>
      <c r="R260" s="17">
        <f t="shared" si="47"/>
        <v>1.8786506809302328</v>
      </c>
      <c r="S260" s="16">
        <f t="shared" si="49"/>
        <v>2.9183485335177264E-4</v>
      </c>
      <c r="T260" s="17">
        <f t="shared" ref="T260:T323" si="53">S260*Q260</f>
        <v>0.14008072960885087</v>
      </c>
      <c r="U260" s="16">
        <f t="shared" ref="U260:U323" si="54">U259+T260</f>
        <v>39.306657757663984</v>
      </c>
      <c r="V260" s="17">
        <f t="shared" si="44"/>
        <v>7.9842036661107521E-2</v>
      </c>
      <c r="W260" s="16">
        <f t="shared" si="50"/>
        <v>287431.3319799871</v>
      </c>
      <c r="X260">
        <f>('Hybrid Info'!$A$2-Track!P260)*(L260-L259)*1000+X259</f>
        <v>-26126.000625282995</v>
      </c>
    </row>
    <row r="261" spans="1:24">
      <c r="A261" s="16">
        <f t="shared" si="51"/>
        <v>260</v>
      </c>
      <c r="B261" s="17">
        <f t="shared" si="52"/>
        <v>13.411199999999999</v>
      </c>
      <c r="C261" s="18">
        <f>Specification!$G$30</f>
        <v>109.96225200000001</v>
      </c>
      <c r="D261" s="17">
        <f>0.5*Specification!$K$4*Track!B261^2*Specification!$K$3*Specification!$K$2</f>
        <v>93.159842569492653</v>
      </c>
      <c r="E261" s="16">
        <v>0</v>
      </c>
      <c r="F261" s="17">
        <f>Specification!$C$23*9.81*SIN((E261*PI()/180))</f>
        <v>0</v>
      </c>
      <c r="G261" s="18">
        <f>IF(J261=1,VLOOKUP(K261,RPM!$E$2:$H$62,3,FALSE)-F261-E261-D261,IF(J261=2,VLOOKUP(K261,RPM!$H$2:$K$62,3,FALSE)-F261-E261-D261,IF(J261=3,VLOOKUP(K261,RPM!$K$2:$N$62,3,FALSE)-F261-E261-D261)))</f>
        <v>549.56217903827155</v>
      </c>
      <c r="H261" s="19">
        <f>IF(J261=1,Specification!$I$14,IF(J261=2,Specification!$I$15,IF(J261=3,Specification!$I$16)))</f>
        <v>578.93404261974786</v>
      </c>
      <c r="I261" s="16">
        <v>0</v>
      </c>
      <c r="J261" s="17">
        <v>3</v>
      </c>
      <c r="K261" s="16">
        <f>IF(J261=1,VLOOKUP(B261,RPM!$F$2:$H$62,3,TRUE),IF(J261=2,VLOOKUP(B261,RPM!$I$2:$K$62,3,TRUE),IF(J261=3,VLOOKUP(B261,RPM!$L$2:$N$62,3,TRUE))))</f>
        <v>4300</v>
      </c>
      <c r="L261" s="17">
        <f t="shared" si="48"/>
        <v>22.051687084886908</v>
      </c>
      <c r="M261" s="16">
        <f t="shared" si="45"/>
        <v>0</v>
      </c>
      <c r="N261" s="17">
        <f>VLOOKUP(K261,RPM!$A$2:$D$62,3,FALSE)</f>
        <v>11.4</v>
      </c>
      <c r="O261" s="16">
        <f>VLOOKUP(K261,RPM!$A$2:$D$62,4,FALSE)</f>
        <v>18.894837209302327</v>
      </c>
      <c r="P261" s="17">
        <f t="shared" si="46"/>
        <v>14.089880106976747</v>
      </c>
      <c r="Q261" s="16" cm="1">
        <f t="array" ref="Q261">_xlfn.XLOOKUP(O261,BSFC!$A$2:$A$24,_xlfn.XLOOKUP(K261,BSFC!$B$1:$O$1,BSFC!$B$2:$O$24,,-1),,-1)</f>
        <v>480</v>
      </c>
      <c r="R261" s="17">
        <f t="shared" si="47"/>
        <v>1.8786506809302328</v>
      </c>
      <c r="S261" s="16">
        <f t="shared" si="49"/>
        <v>2.9183485335177264E-4</v>
      </c>
      <c r="T261" s="17">
        <f t="shared" si="53"/>
        <v>0.14008072960885087</v>
      </c>
      <c r="U261" s="16">
        <f t="shared" si="54"/>
        <v>39.446738487272839</v>
      </c>
      <c r="V261" s="17">
        <f t="shared" ref="V261:V324" si="55">V260+S261</f>
        <v>8.013387151445929E-2</v>
      </c>
      <c r="W261" s="16">
        <f t="shared" si="50"/>
        <v>288481.93745205342</v>
      </c>
      <c r="X261">
        <f>('Hybrid Info'!$A$2-Track!P261)*(L261-L260)*1000+X260</f>
        <v>-26272.849938632407</v>
      </c>
    </row>
    <row r="262" spans="1:24">
      <c r="A262" s="16">
        <f t="shared" si="51"/>
        <v>261</v>
      </c>
      <c r="B262" s="17">
        <f t="shared" si="52"/>
        <v>13.411199999999999</v>
      </c>
      <c r="C262" s="18">
        <f>Specification!$G$30</f>
        <v>109.96225200000001</v>
      </c>
      <c r="D262" s="17">
        <f>0.5*Specification!$K$4*Track!B262^2*Specification!$K$3*Specification!$K$2</f>
        <v>93.159842569492653</v>
      </c>
      <c r="E262" s="16">
        <v>0</v>
      </c>
      <c r="F262" s="17">
        <f>Specification!$C$23*9.81*SIN((E262*PI()/180))</f>
        <v>0</v>
      </c>
      <c r="G262" s="18">
        <f>IF(J262=1,VLOOKUP(K262,RPM!$E$2:$H$62,3,FALSE)-F262-E262-D262,IF(J262=2,VLOOKUP(K262,RPM!$H$2:$K$62,3,FALSE)-F262-E262-D262,IF(J262=3,VLOOKUP(K262,RPM!$K$2:$N$62,3,FALSE)-F262-E262-D262)))</f>
        <v>549.56217903827155</v>
      </c>
      <c r="H262" s="19">
        <f>IF(J262=1,Specification!$I$14,IF(J262=2,Specification!$I$15,IF(J262=3,Specification!$I$16)))</f>
        <v>578.93404261974786</v>
      </c>
      <c r="I262" s="16">
        <v>0</v>
      </c>
      <c r="J262" s="17">
        <v>3</v>
      </c>
      <c r="K262" s="16">
        <f>IF(J262=1,VLOOKUP(B262,RPM!$F$2:$H$62,3,TRUE),IF(J262=2,VLOOKUP(B262,RPM!$I$2:$K$62,3,TRUE),IF(J262=3,VLOOKUP(B262,RPM!$L$2:$N$62,3,TRUE))))</f>
        <v>4300</v>
      </c>
      <c r="L262" s="17">
        <f t="shared" si="48"/>
        <v>22.126251627955387</v>
      </c>
      <c r="M262" s="16">
        <f t="shared" si="45"/>
        <v>0</v>
      </c>
      <c r="N262" s="17">
        <f>VLOOKUP(K262,RPM!$A$2:$D$62,3,FALSE)</f>
        <v>11.4</v>
      </c>
      <c r="O262" s="16">
        <f>VLOOKUP(K262,RPM!$A$2:$D$62,4,FALSE)</f>
        <v>18.894837209302327</v>
      </c>
      <c r="P262" s="17">
        <f t="shared" si="46"/>
        <v>14.089880106976747</v>
      </c>
      <c r="Q262" s="16" cm="1">
        <f t="array" ref="Q262">_xlfn.XLOOKUP(O262,BSFC!$A$2:$A$24,_xlfn.XLOOKUP(K262,BSFC!$B$1:$O$1,BSFC!$B$2:$O$24,,-1),,-1)</f>
        <v>480</v>
      </c>
      <c r="R262" s="17">
        <f t="shared" si="47"/>
        <v>1.8786506809302328</v>
      </c>
      <c r="S262" s="16">
        <f t="shared" si="49"/>
        <v>2.9183485335177264E-4</v>
      </c>
      <c r="T262" s="17">
        <f t="shared" si="53"/>
        <v>0.14008072960885087</v>
      </c>
      <c r="U262" s="16">
        <f t="shared" si="54"/>
        <v>39.586819216881693</v>
      </c>
      <c r="V262" s="17">
        <f t="shared" si="55"/>
        <v>8.0425706367811059E-2</v>
      </c>
      <c r="W262" s="16">
        <f t="shared" si="50"/>
        <v>289532.5429241198</v>
      </c>
      <c r="X262">
        <f>('Hybrid Info'!$A$2-Track!P262)*(L262-L261)*1000+X261</f>
        <v>-26419.69925198182</v>
      </c>
    </row>
    <row r="263" spans="1:24">
      <c r="A263" s="16">
        <f t="shared" si="51"/>
        <v>262</v>
      </c>
      <c r="B263" s="17">
        <f t="shared" si="52"/>
        <v>13.411199999999999</v>
      </c>
      <c r="C263" s="18">
        <f>Specification!$G$30</f>
        <v>109.96225200000001</v>
      </c>
      <c r="D263" s="17">
        <f>0.5*Specification!$K$4*Track!B263^2*Specification!$K$3*Specification!$K$2</f>
        <v>93.159842569492653</v>
      </c>
      <c r="E263" s="16">
        <v>0</v>
      </c>
      <c r="F263" s="17">
        <f>Specification!$C$23*9.81*SIN((E263*PI()/180))</f>
        <v>0</v>
      </c>
      <c r="G263" s="18">
        <f>IF(J263=1,VLOOKUP(K263,RPM!$E$2:$H$62,3,FALSE)-F263-E263-D263,IF(J263=2,VLOOKUP(K263,RPM!$H$2:$K$62,3,FALSE)-F263-E263-D263,IF(J263=3,VLOOKUP(K263,RPM!$K$2:$N$62,3,FALSE)-F263-E263-D263)))</f>
        <v>549.56217903827155</v>
      </c>
      <c r="H263" s="19">
        <f>IF(J263=1,Specification!$I$14,IF(J263=2,Specification!$I$15,IF(J263=3,Specification!$I$16)))</f>
        <v>578.93404261974786</v>
      </c>
      <c r="I263" s="16">
        <v>0</v>
      </c>
      <c r="J263" s="17">
        <v>3</v>
      </c>
      <c r="K263" s="16">
        <f>IF(J263=1,VLOOKUP(B263,RPM!$F$2:$H$62,3,TRUE),IF(J263=2,VLOOKUP(B263,RPM!$I$2:$K$62,3,TRUE),IF(J263=3,VLOOKUP(B263,RPM!$L$2:$N$62,3,TRUE))))</f>
        <v>4300</v>
      </c>
      <c r="L263" s="17">
        <f t="shared" si="48"/>
        <v>22.200816171023867</v>
      </c>
      <c r="M263" s="16">
        <f t="shared" si="45"/>
        <v>0</v>
      </c>
      <c r="N263" s="17">
        <f>VLOOKUP(K263,RPM!$A$2:$D$62,3,FALSE)</f>
        <v>11.4</v>
      </c>
      <c r="O263" s="16">
        <f>VLOOKUP(K263,RPM!$A$2:$D$62,4,FALSE)</f>
        <v>18.894837209302327</v>
      </c>
      <c r="P263" s="17">
        <f t="shared" si="46"/>
        <v>14.089880106976747</v>
      </c>
      <c r="Q263" s="16" cm="1">
        <f t="array" ref="Q263">_xlfn.XLOOKUP(O263,BSFC!$A$2:$A$24,_xlfn.XLOOKUP(K263,BSFC!$B$1:$O$1,BSFC!$B$2:$O$24,,-1),,-1)</f>
        <v>480</v>
      </c>
      <c r="R263" s="17">
        <f t="shared" si="47"/>
        <v>1.8786506809302328</v>
      </c>
      <c r="S263" s="16">
        <f t="shared" si="49"/>
        <v>2.9183485335177264E-4</v>
      </c>
      <c r="T263" s="17">
        <f t="shared" si="53"/>
        <v>0.14008072960885087</v>
      </c>
      <c r="U263" s="16">
        <f t="shared" si="54"/>
        <v>39.726899946490548</v>
      </c>
      <c r="V263" s="17">
        <f t="shared" si="55"/>
        <v>8.0717541221162828E-2</v>
      </c>
      <c r="W263" s="16">
        <f t="shared" si="50"/>
        <v>290583.14839618618</v>
      </c>
      <c r="X263">
        <f>('Hybrid Info'!$A$2-Track!P263)*(L263-L262)*1000+X262</f>
        <v>-26566.548565331232</v>
      </c>
    </row>
    <row r="264" spans="1:24">
      <c r="A264" s="16">
        <f t="shared" si="51"/>
        <v>263</v>
      </c>
      <c r="B264" s="17">
        <f t="shared" si="52"/>
        <v>13.411199999999999</v>
      </c>
      <c r="C264" s="18">
        <f>Specification!$G$30</f>
        <v>109.96225200000001</v>
      </c>
      <c r="D264" s="17">
        <f>0.5*Specification!$K$4*Track!B264^2*Specification!$K$3*Specification!$K$2</f>
        <v>93.159842569492653</v>
      </c>
      <c r="E264" s="16">
        <v>0</v>
      </c>
      <c r="F264" s="17">
        <f>Specification!$C$23*9.81*SIN((E264*PI()/180))</f>
        <v>0</v>
      </c>
      <c r="G264" s="18">
        <f>IF(J264=1,VLOOKUP(K264,RPM!$E$2:$H$62,3,FALSE)-F264-E264-D264,IF(J264=2,VLOOKUP(K264,RPM!$H$2:$K$62,3,FALSE)-F264-E264-D264,IF(J264=3,VLOOKUP(K264,RPM!$K$2:$N$62,3,FALSE)-F264-E264-D264)))</f>
        <v>549.56217903827155</v>
      </c>
      <c r="H264" s="19">
        <f>IF(J264=1,Specification!$I$14,IF(J264=2,Specification!$I$15,IF(J264=3,Specification!$I$16)))</f>
        <v>578.93404261974786</v>
      </c>
      <c r="I264" s="16">
        <v>0</v>
      </c>
      <c r="J264" s="17">
        <v>3</v>
      </c>
      <c r="K264" s="16">
        <f>IF(J264=1,VLOOKUP(B264,RPM!$F$2:$H$62,3,TRUE),IF(J264=2,VLOOKUP(B264,RPM!$I$2:$K$62,3,TRUE),IF(J264=3,VLOOKUP(B264,RPM!$L$2:$N$62,3,TRUE))))</f>
        <v>4300</v>
      </c>
      <c r="L264" s="17">
        <f t="shared" si="48"/>
        <v>22.275380714092346</v>
      </c>
      <c r="M264" s="16">
        <f t="shared" si="45"/>
        <v>0</v>
      </c>
      <c r="N264" s="17">
        <f>VLOOKUP(K264,RPM!$A$2:$D$62,3,FALSE)</f>
        <v>11.4</v>
      </c>
      <c r="O264" s="16">
        <f>VLOOKUP(K264,RPM!$A$2:$D$62,4,FALSE)</f>
        <v>18.894837209302327</v>
      </c>
      <c r="P264" s="17">
        <f t="shared" si="46"/>
        <v>14.089880106976747</v>
      </c>
      <c r="Q264" s="16" cm="1">
        <f t="array" ref="Q264">_xlfn.XLOOKUP(O264,BSFC!$A$2:$A$24,_xlfn.XLOOKUP(K264,BSFC!$B$1:$O$1,BSFC!$B$2:$O$24,,-1),,-1)</f>
        <v>480</v>
      </c>
      <c r="R264" s="17">
        <f t="shared" si="47"/>
        <v>1.8786506809302328</v>
      </c>
      <c r="S264" s="16">
        <f t="shared" si="49"/>
        <v>2.9183485335177264E-4</v>
      </c>
      <c r="T264" s="17">
        <f t="shared" si="53"/>
        <v>0.14008072960885087</v>
      </c>
      <c r="U264" s="16">
        <f t="shared" si="54"/>
        <v>39.866980676099402</v>
      </c>
      <c r="V264" s="17">
        <f t="shared" si="55"/>
        <v>8.1009376074514597E-2</v>
      </c>
      <c r="W264" s="16">
        <f t="shared" si="50"/>
        <v>291633.7538682525</v>
      </c>
      <c r="X264">
        <f>('Hybrid Info'!$A$2-Track!P264)*(L264-L263)*1000+X263</f>
        <v>-26713.397878680644</v>
      </c>
    </row>
    <row r="265" spans="1:24">
      <c r="A265" s="16">
        <f t="shared" si="51"/>
        <v>264</v>
      </c>
      <c r="B265" s="17">
        <f t="shared" si="52"/>
        <v>13.411199999999999</v>
      </c>
      <c r="C265" s="18">
        <f>Specification!$G$30</f>
        <v>109.96225200000001</v>
      </c>
      <c r="D265" s="17">
        <f>0.5*Specification!$K$4*Track!B265^2*Specification!$K$3*Specification!$K$2</f>
        <v>93.159842569492653</v>
      </c>
      <c r="E265" s="16">
        <v>0</v>
      </c>
      <c r="F265" s="17">
        <f>Specification!$C$23*9.81*SIN((E265*PI()/180))</f>
        <v>0</v>
      </c>
      <c r="G265" s="18">
        <f>IF(J265=1,VLOOKUP(K265,RPM!$E$2:$H$62,3,FALSE)-F265-E265-D265,IF(J265=2,VLOOKUP(K265,RPM!$H$2:$K$62,3,FALSE)-F265-E265-D265,IF(J265=3,VLOOKUP(K265,RPM!$K$2:$N$62,3,FALSE)-F265-E265-D265)))</f>
        <v>549.56217903827155</v>
      </c>
      <c r="H265" s="19">
        <f>IF(J265=1,Specification!$I$14,IF(J265=2,Specification!$I$15,IF(J265=3,Specification!$I$16)))</f>
        <v>578.93404261974786</v>
      </c>
      <c r="I265" s="16">
        <v>0</v>
      </c>
      <c r="J265" s="17">
        <v>3</v>
      </c>
      <c r="K265" s="16">
        <f>IF(J265=1,VLOOKUP(B265,RPM!$F$2:$H$62,3,TRUE),IF(J265=2,VLOOKUP(B265,RPM!$I$2:$K$62,3,TRUE),IF(J265=3,VLOOKUP(B265,RPM!$L$2:$N$62,3,TRUE))))</f>
        <v>4300</v>
      </c>
      <c r="L265" s="17">
        <f t="shared" si="48"/>
        <v>22.349945257160826</v>
      </c>
      <c r="M265" s="16">
        <f t="shared" si="45"/>
        <v>0</v>
      </c>
      <c r="N265" s="17">
        <f>VLOOKUP(K265,RPM!$A$2:$D$62,3,FALSE)</f>
        <v>11.4</v>
      </c>
      <c r="O265" s="16">
        <f>VLOOKUP(K265,RPM!$A$2:$D$62,4,FALSE)</f>
        <v>18.894837209302327</v>
      </c>
      <c r="P265" s="17">
        <f t="shared" si="46"/>
        <v>14.089880106976747</v>
      </c>
      <c r="Q265" s="16" cm="1">
        <f t="array" ref="Q265">_xlfn.XLOOKUP(O265,BSFC!$A$2:$A$24,_xlfn.XLOOKUP(K265,BSFC!$B$1:$O$1,BSFC!$B$2:$O$24,,-1),,-1)</f>
        <v>480</v>
      </c>
      <c r="R265" s="17">
        <f t="shared" si="47"/>
        <v>1.8786506809302328</v>
      </c>
      <c r="S265" s="16">
        <f t="shared" si="49"/>
        <v>2.9183485335177264E-4</v>
      </c>
      <c r="T265" s="17">
        <f t="shared" si="53"/>
        <v>0.14008072960885087</v>
      </c>
      <c r="U265" s="16">
        <f t="shared" si="54"/>
        <v>40.007061405708257</v>
      </c>
      <c r="V265" s="17">
        <f t="shared" si="55"/>
        <v>8.1301210927866366E-2</v>
      </c>
      <c r="W265" s="16">
        <f t="shared" si="50"/>
        <v>292684.35934031889</v>
      </c>
      <c r="X265">
        <f>('Hybrid Info'!$A$2-Track!P265)*(L265-L264)*1000+X264</f>
        <v>-26860.247192030056</v>
      </c>
    </row>
    <row r="266" spans="1:24">
      <c r="A266" s="16">
        <f t="shared" si="51"/>
        <v>265</v>
      </c>
      <c r="B266" s="17">
        <f t="shared" si="52"/>
        <v>13.411199999999999</v>
      </c>
      <c r="C266" s="18">
        <f>Specification!$G$30</f>
        <v>109.96225200000001</v>
      </c>
      <c r="D266" s="17">
        <f>0.5*Specification!$K$4*Track!B266^2*Specification!$K$3*Specification!$K$2</f>
        <v>93.159842569492653</v>
      </c>
      <c r="E266" s="16">
        <v>0</v>
      </c>
      <c r="F266" s="17">
        <f>Specification!$C$23*9.81*SIN((E266*PI()/180))</f>
        <v>0</v>
      </c>
      <c r="G266" s="18">
        <f>IF(J266=1,VLOOKUP(K266,RPM!$E$2:$H$62,3,FALSE)-F266-E266-D266,IF(J266=2,VLOOKUP(K266,RPM!$H$2:$K$62,3,FALSE)-F266-E266-D266,IF(J266=3,VLOOKUP(K266,RPM!$K$2:$N$62,3,FALSE)-F266-E266-D266)))</f>
        <v>549.56217903827155</v>
      </c>
      <c r="H266" s="19">
        <f>IF(J266=1,Specification!$I$14,IF(J266=2,Specification!$I$15,IF(J266=3,Specification!$I$16)))</f>
        <v>578.93404261974786</v>
      </c>
      <c r="I266" s="16">
        <v>0</v>
      </c>
      <c r="J266" s="17">
        <v>3</v>
      </c>
      <c r="K266" s="16">
        <f>IF(J266=1,VLOOKUP(B266,RPM!$F$2:$H$62,3,TRUE),IF(J266=2,VLOOKUP(B266,RPM!$I$2:$K$62,3,TRUE),IF(J266=3,VLOOKUP(B266,RPM!$L$2:$N$62,3,TRUE))))</f>
        <v>4300</v>
      </c>
      <c r="L266" s="17">
        <f t="shared" si="48"/>
        <v>22.424509800229306</v>
      </c>
      <c r="M266" s="16">
        <f t="shared" si="45"/>
        <v>0</v>
      </c>
      <c r="N266" s="17">
        <f>VLOOKUP(K266,RPM!$A$2:$D$62,3,FALSE)</f>
        <v>11.4</v>
      </c>
      <c r="O266" s="16">
        <f>VLOOKUP(K266,RPM!$A$2:$D$62,4,FALSE)</f>
        <v>18.894837209302327</v>
      </c>
      <c r="P266" s="17">
        <f t="shared" si="46"/>
        <v>14.089880106976747</v>
      </c>
      <c r="Q266" s="16" cm="1">
        <f t="array" ref="Q266">_xlfn.XLOOKUP(O266,BSFC!$A$2:$A$24,_xlfn.XLOOKUP(K266,BSFC!$B$1:$O$1,BSFC!$B$2:$O$24,,-1),,-1)</f>
        <v>480</v>
      </c>
      <c r="R266" s="17">
        <f t="shared" si="47"/>
        <v>1.8786506809302328</v>
      </c>
      <c r="S266" s="16">
        <f t="shared" si="49"/>
        <v>2.9183485335177264E-4</v>
      </c>
      <c r="T266" s="17">
        <f t="shared" si="53"/>
        <v>0.14008072960885087</v>
      </c>
      <c r="U266" s="16">
        <f t="shared" si="54"/>
        <v>40.147142135317111</v>
      </c>
      <c r="V266" s="17">
        <f t="shared" si="55"/>
        <v>8.1593045781218135E-2</v>
      </c>
      <c r="W266" s="16">
        <f t="shared" si="50"/>
        <v>293734.96481238527</v>
      </c>
      <c r="X266">
        <f>('Hybrid Info'!$A$2-Track!P266)*(L266-L265)*1000+X265</f>
        <v>-27007.096505379468</v>
      </c>
    </row>
    <row r="267" spans="1:24">
      <c r="A267" s="16">
        <f t="shared" si="51"/>
        <v>266</v>
      </c>
      <c r="B267" s="17">
        <f t="shared" si="52"/>
        <v>13.411199999999999</v>
      </c>
      <c r="C267" s="18">
        <f>Specification!$G$30</f>
        <v>109.96225200000001</v>
      </c>
      <c r="D267" s="17">
        <f>0.5*Specification!$K$4*Track!B267^2*Specification!$K$3*Specification!$K$2</f>
        <v>93.159842569492653</v>
      </c>
      <c r="E267" s="16">
        <v>0</v>
      </c>
      <c r="F267" s="17">
        <f>Specification!$C$23*9.81*SIN((E267*PI()/180))</f>
        <v>0</v>
      </c>
      <c r="G267" s="18">
        <f>IF(J267=1,VLOOKUP(K267,RPM!$E$2:$H$62,3,FALSE)-F267-E267-D267,IF(J267=2,VLOOKUP(K267,RPM!$H$2:$K$62,3,FALSE)-F267-E267-D267,IF(J267=3,VLOOKUP(K267,RPM!$K$2:$N$62,3,FALSE)-F267-E267-D267)))</f>
        <v>549.56217903827155</v>
      </c>
      <c r="H267" s="19">
        <f>IF(J267=1,Specification!$I$14,IF(J267=2,Specification!$I$15,IF(J267=3,Specification!$I$16)))</f>
        <v>578.93404261974786</v>
      </c>
      <c r="I267" s="16">
        <v>0</v>
      </c>
      <c r="J267" s="17">
        <v>3</v>
      </c>
      <c r="K267" s="16">
        <f>IF(J267=1,VLOOKUP(B267,RPM!$F$2:$H$62,3,TRUE),IF(J267=2,VLOOKUP(B267,RPM!$I$2:$K$62,3,TRUE),IF(J267=3,VLOOKUP(B267,RPM!$L$2:$N$62,3,TRUE))))</f>
        <v>4300</v>
      </c>
      <c r="L267" s="17">
        <f t="shared" si="48"/>
        <v>22.499074343297785</v>
      </c>
      <c r="M267" s="16">
        <f t="shared" si="45"/>
        <v>0</v>
      </c>
      <c r="N267" s="17">
        <f>VLOOKUP(K267,RPM!$A$2:$D$62,3,FALSE)</f>
        <v>11.4</v>
      </c>
      <c r="O267" s="16">
        <f>VLOOKUP(K267,RPM!$A$2:$D$62,4,FALSE)</f>
        <v>18.894837209302327</v>
      </c>
      <c r="P267" s="17">
        <f t="shared" si="46"/>
        <v>14.089880106976747</v>
      </c>
      <c r="Q267" s="16" cm="1">
        <f t="array" ref="Q267">_xlfn.XLOOKUP(O267,BSFC!$A$2:$A$24,_xlfn.XLOOKUP(K267,BSFC!$B$1:$O$1,BSFC!$B$2:$O$24,,-1),,-1)</f>
        <v>480</v>
      </c>
      <c r="R267" s="17">
        <f t="shared" si="47"/>
        <v>1.8786506809302328</v>
      </c>
      <c r="S267" s="16">
        <f t="shared" si="49"/>
        <v>2.9183485335177264E-4</v>
      </c>
      <c r="T267" s="17">
        <f t="shared" si="53"/>
        <v>0.14008072960885087</v>
      </c>
      <c r="U267" s="16">
        <f t="shared" si="54"/>
        <v>40.287222864925965</v>
      </c>
      <c r="V267" s="17">
        <f t="shared" si="55"/>
        <v>8.1884880634569904E-2</v>
      </c>
      <c r="W267" s="16">
        <f t="shared" si="50"/>
        <v>294785.57028445165</v>
      </c>
      <c r="X267">
        <f>('Hybrid Info'!$A$2-Track!P267)*(L267-L266)*1000+X266</f>
        <v>-27153.94581872888</v>
      </c>
    </row>
    <row r="268" spans="1:24">
      <c r="A268" s="16">
        <f t="shared" si="51"/>
        <v>267</v>
      </c>
      <c r="B268" s="17">
        <f t="shared" si="52"/>
        <v>13.411199999999999</v>
      </c>
      <c r="C268" s="18">
        <f>Specification!$G$30</f>
        <v>109.96225200000001</v>
      </c>
      <c r="D268" s="17">
        <f>0.5*Specification!$K$4*Track!B268^2*Specification!$K$3*Specification!$K$2</f>
        <v>93.159842569492653</v>
      </c>
      <c r="E268" s="16">
        <v>0</v>
      </c>
      <c r="F268" s="17">
        <f>Specification!$C$23*9.81*SIN((E268*PI()/180))</f>
        <v>0</v>
      </c>
      <c r="G268" s="18">
        <f>IF(J268=1,VLOOKUP(K268,RPM!$E$2:$H$62,3,FALSE)-F268-E268-D268,IF(J268=2,VLOOKUP(K268,RPM!$H$2:$K$62,3,FALSE)-F268-E268-D268,IF(J268=3,VLOOKUP(K268,RPM!$K$2:$N$62,3,FALSE)-F268-E268-D268)))</f>
        <v>549.56217903827155</v>
      </c>
      <c r="H268" s="19">
        <f>IF(J268=1,Specification!$I$14,IF(J268=2,Specification!$I$15,IF(J268=3,Specification!$I$16)))</f>
        <v>578.93404261974786</v>
      </c>
      <c r="I268" s="16">
        <v>0</v>
      </c>
      <c r="J268" s="17">
        <v>3</v>
      </c>
      <c r="K268" s="16">
        <f>IF(J268=1,VLOOKUP(B268,RPM!$F$2:$H$62,3,TRUE),IF(J268=2,VLOOKUP(B268,RPM!$I$2:$K$62,3,TRUE),IF(J268=3,VLOOKUP(B268,RPM!$L$2:$N$62,3,TRUE))))</f>
        <v>4300</v>
      </c>
      <c r="L268" s="17">
        <f t="shared" si="48"/>
        <v>22.573638886366265</v>
      </c>
      <c r="M268" s="16">
        <f t="shared" si="45"/>
        <v>0</v>
      </c>
      <c r="N268" s="17">
        <f>VLOOKUP(K268,RPM!$A$2:$D$62,3,FALSE)</f>
        <v>11.4</v>
      </c>
      <c r="O268" s="16">
        <f>VLOOKUP(K268,RPM!$A$2:$D$62,4,FALSE)</f>
        <v>18.894837209302327</v>
      </c>
      <c r="P268" s="17">
        <f t="shared" si="46"/>
        <v>14.089880106976747</v>
      </c>
      <c r="Q268" s="16" cm="1">
        <f t="array" ref="Q268">_xlfn.XLOOKUP(O268,BSFC!$A$2:$A$24,_xlfn.XLOOKUP(K268,BSFC!$B$1:$O$1,BSFC!$B$2:$O$24,,-1),,-1)</f>
        <v>480</v>
      </c>
      <c r="R268" s="17">
        <f t="shared" si="47"/>
        <v>1.8786506809302328</v>
      </c>
      <c r="S268" s="16">
        <f t="shared" si="49"/>
        <v>2.9183485335177264E-4</v>
      </c>
      <c r="T268" s="17">
        <f t="shared" si="53"/>
        <v>0.14008072960885087</v>
      </c>
      <c r="U268" s="16">
        <f t="shared" si="54"/>
        <v>40.42730359453482</v>
      </c>
      <c r="V268" s="17">
        <f t="shared" si="55"/>
        <v>8.2176715487921673E-2</v>
      </c>
      <c r="W268" s="16">
        <f t="shared" si="50"/>
        <v>295836.17575651803</v>
      </c>
      <c r="X268">
        <f>('Hybrid Info'!$A$2-Track!P268)*(L268-L267)*1000+X267</f>
        <v>-27300.795132078292</v>
      </c>
    </row>
    <row r="269" spans="1:24">
      <c r="A269" s="16">
        <f t="shared" si="51"/>
        <v>268</v>
      </c>
      <c r="B269" s="17">
        <f t="shared" si="52"/>
        <v>13.411199999999999</v>
      </c>
      <c r="C269" s="18">
        <f>Specification!$G$30</f>
        <v>109.96225200000001</v>
      </c>
      <c r="D269" s="17">
        <f>0.5*Specification!$K$4*Track!B269^2*Specification!$K$3*Specification!$K$2</f>
        <v>93.159842569492653</v>
      </c>
      <c r="E269" s="16">
        <v>0</v>
      </c>
      <c r="F269" s="17">
        <f>Specification!$C$23*9.81*SIN((E269*PI()/180))</f>
        <v>0</v>
      </c>
      <c r="G269" s="18">
        <f>IF(J269=1,VLOOKUP(K269,RPM!$E$2:$H$62,3,FALSE)-F269-E269-D269,IF(J269=2,VLOOKUP(K269,RPM!$H$2:$K$62,3,FALSE)-F269-E269-D269,IF(J269=3,VLOOKUP(K269,RPM!$K$2:$N$62,3,FALSE)-F269-E269-D269)))</f>
        <v>549.56217903827155</v>
      </c>
      <c r="H269" s="19">
        <f>IF(J269=1,Specification!$I$14,IF(J269=2,Specification!$I$15,IF(J269=3,Specification!$I$16)))</f>
        <v>578.93404261974786</v>
      </c>
      <c r="I269" s="16">
        <v>0</v>
      </c>
      <c r="J269" s="17">
        <v>3</v>
      </c>
      <c r="K269" s="16">
        <f>IF(J269=1,VLOOKUP(B269,RPM!$F$2:$H$62,3,TRUE),IF(J269=2,VLOOKUP(B269,RPM!$I$2:$K$62,3,TRUE),IF(J269=3,VLOOKUP(B269,RPM!$L$2:$N$62,3,TRUE))))</f>
        <v>4300</v>
      </c>
      <c r="L269" s="17">
        <f t="shared" si="48"/>
        <v>22.648203429434744</v>
      </c>
      <c r="M269" s="16">
        <f t="shared" si="45"/>
        <v>0</v>
      </c>
      <c r="N269" s="17">
        <f>VLOOKUP(K269,RPM!$A$2:$D$62,3,FALSE)</f>
        <v>11.4</v>
      </c>
      <c r="O269" s="16">
        <f>VLOOKUP(K269,RPM!$A$2:$D$62,4,FALSE)</f>
        <v>18.894837209302327</v>
      </c>
      <c r="P269" s="17">
        <f t="shared" si="46"/>
        <v>14.089880106976747</v>
      </c>
      <c r="Q269" s="16" cm="1">
        <f t="array" ref="Q269">_xlfn.XLOOKUP(O269,BSFC!$A$2:$A$24,_xlfn.XLOOKUP(K269,BSFC!$B$1:$O$1,BSFC!$B$2:$O$24,,-1),,-1)</f>
        <v>480</v>
      </c>
      <c r="R269" s="17">
        <f t="shared" si="47"/>
        <v>1.8786506809302328</v>
      </c>
      <c r="S269" s="16">
        <f t="shared" si="49"/>
        <v>2.9183485335177264E-4</v>
      </c>
      <c r="T269" s="17">
        <f t="shared" si="53"/>
        <v>0.14008072960885087</v>
      </c>
      <c r="U269" s="16">
        <f t="shared" si="54"/>
        <v>40.567384324143674</v>
      </c>
      <c r="V269" s="17">
        <f t="shared" si="55"/>
        <v>8.2468550341273442E-2</v>
      </c>
      <c r="W269" s="16">
        <f t="shared" si="50"/>
        <v>296886.78122858441</v>
      </c>
      <c r="X269">
        <f>('Hybrid Info'!$A$2-Track!P269)*(L269-L268)*1000+X268</f>
        <v>-27447.644445427704</v>
      </c>
    </row>
    <row r="270" spans="1:24">
      <c r="A270" s="16">
        <f t="shared" si="51"/>
        <v>269</v>
      </c>
      <c r="B270" s="17">
        <f t="shared" si="52"/>
        <v>13.411199999999999</v>
      </c>
      <c r="C270" s="18">
        <f>Specification!$G$30</f>
        <v>109.96225200000001</v>
      </c>
      <c r="D270" s="17">
        <f>0.5*Specification!$K$4*Track!B270^2*Specification!$K$3*Specification!$K$2</f>
        <v>93.159842569492653</v>
      </c>
      <c r="E270" s="16">
        <v>0</v>
      </c>
      <c r="F270" s="17">
        <f>Specification!$C$23*9.81*SIN((E270*PI()/180))</f>
        <v>0</v>
      </c>
      <c r="G270" s="18">
        <f>IF(J270=1,VLOOKUP(K270,RPM!$E$2:$H$62,3,FALSE)-F270-E270-D270,IF(J270=2,VLOOKUP(K270,RPM!$H$2:$K$62,3,FALSE)-F270-E270-D270,IF(J270=3,VLOOKUP(K270,RPM!$K$2:$N$62,3,FALSE)-F270-E270-D270)))</f>
        <v>549.56217903827155</v>
      </c>
      <c r="H270" s="19">
        <f>IF(J270=1,Specification!$I$14,IF(J270=2,Specification!$I$15,IF(J270=3,Specification!$I$16)))</f>
        <v>578.93404261974786</v>
      </c>
      <c r="I270" s="16">
        <v>0</v>
      </c>
      <c r="J270" s="17">
        <v>3</v>
      </c>
      <c r="K270" s="16">
        <f>IF(J270=1,VLOOKUP(B270,RPM!$F$2:$H$62,3,TRUE),IF(J270=2,VLOOKUP(B270,RPM!$I$2:$K$62,3,TRUE),IF(J270=3,VLOOKUP(B270,RPM!$L$2:$N$62,3,TRUE))))</f>
        <v>4300</v>
      </c>
      <c r="L270" s="17">
        <f t="shared" si="48"/>
        <v>22.722767972503224</v>
      </c>
      <c r="M270" s="16">
        <f t="shared" si="45"/>
        <v>0</v>
      </c>
      <c r="N270" s="17">
        <f>VLOOKUP(K270,RPM!$A$2:$D$62,3,FALSE)</f>
        <v>11.4</v>
      </c>
      <c r="O270" s="16">
        <f>VLOOKUP(K270,RPM!$A$2:$D$62,4,FALSE)</f>
        <v>18.894837209302327</v>
      </c>
      <c r="P270" s="17">
        <f t="shared" si="46"/>
        <v>14.089880106976747</v>
      </c>
      <c r="Q270" s="16" cm="1">
        <f t="array" ref="Q270">_xlfn.XLOOKUP(O270,BSFC!$A$2:$A$24,_xlfn.XLOOKUP(K270,BSFC!$B$1:$O$1,BSFC!$B$2:$O$24,,-1),,-1)</f>
        <v>480</v>
      </c>
      <c r="R270" s="17">
        <f t="shared" si="47"/>
        <v>1.8786506809302328</v>
      </c>
      <c r="S270" s="16">
        <f t="shared" si="49"/>
        <v>2.9183485335177264E-4</v>
      </c>
      <c r="T270" s="17">
        <f t="shared" si="53"/>
        <v>0.14008072960885087</v>
      </c>
      <c r="U270" s="16">
        <f t="shared" si="54"/>
        <v>40.707465053752529</v>
      </c>
      <c r="V270" s="17">
        <f t="shared" si="55"/>
        <v>8.2760385194625211E-2</v>
      </c>
      <c r="W270" s="16">
        <f t="shared" si="50"/>
        <v>297937.38670065079</v>
      </c>
      <c r="X270">
        <f>('Hybrid Info'!$A$2-Track!P270)*(L270-L269)*1000+X269</f>
        <v>-27594.493758777116</v>
      </c>
    </row>
    <row r="271" spans="1:24">
      <c r="A271" s="16">
        <f t="shared" si="51"/>
        <v>270</v>
      </c>
      <c r="B271" s="17">
        <f t="shared" si="52"/>
        <v>13.411199999999999</v>
      </c>
      <c r="C271" s="18">
        <f>Specification!$G$30</f>
        <v>109.96225200000001</v>
      </c>
      <c r="D271" s="17">
        <f>0.5*Specification!$K$4*Track!B271^2*Specification!$K$3*Specification!$K$2</f>
        <v>93.159842569492653</v>
      </c>
      <c r="E271" s="16">
        <v>0</v>
      </c>
      <c r="F271" s="17">
        <f>Specification!$C$23*9.81*SIN((E271*PI()/180))</f>
        <v>0</v>
      </c>
      <c r="G271" s="18">
        <f>IF(J271=1,VLOOKUP(K271,RPM!$E$2:$H$62,3,FALSE)-F271-E271-D271,IF(J271=2,VLOOKUP(K271,RPM!$H$2:$K$62,3,FALSE)-F271-E271-D271,IF(J271=3,VLOOKUP(K271,RPM!$K$2:$N$62,3,FALSE)-F271-E271-D271)))</f>
        <v>549.56217903827155</v>
      </c>
      <c r="H271" s="19">
        <f>IF(J271=1,Specification!$I$14,IF(J271=2,Specification!$I$15,IF(J271=3,Specification!$I$16)))</f>
        <v>578.93404261974786</v>
      </c>
      <c r="I271" s="16">
        <v>0</v>
      </c>
      <c r="J271" s="17">
        <v>3</v>
      </c>
      <c r="K271" s="16">
        <f>IF(J271=1,VLOOKUP(B271,RPM!$F$2:$H$62,3,TRUE),IF(J271=2,VLOOKUP(B271,RPM!$I$2:$K$62,3,TRUE),IF(J271=3,VLOOKUP(B271,RPM!$L$2:$N$62,3,TRUE))))</f>
        <v>4300</v>
      </c>
      <c r="L271" s="17">
        <f t="shared" si="48"/>
        <v>22.797332515571703</v>
      </c>
      <c r="M271" s="16">
        <f t="shared" si="45"/>
        <v>0</v>
      </c>
      <c r="N271" s="17">
        <f>VLOOKUP(K271,RPM!$A$2:$D$62,3,FALSE)</f>
        <v>11.4</v>
      </c>
      <c r="O271" s="16">
        <f>VLOOKUP(K271,RPM!$A$2:$D$62,4,FALSE)</f>
        <v>18.894837209302327</v>
      </c>
      <c r="P271" s="17">
        <f t="shared" si="46"/>
        <v>14.089880106976747</v>
      </c>
      <c r="Q271" s="16" cm="1">
        <f t="array" ref="Q271">_xlfn.XLOOKUP(O271,BSFC!$A$2:$A$24,_xlfn.XLOOKUP(K271,BSFC!$B$1:$O$1,BSFC!$B$2:$O$24,,-1),,-1)</f>
        <v>480</v>
      </c>
      <c r="R271" s="17">
        <f t="shared" si="47"/>
        <v>1.8786506809302328</v>
      </c>
      <c r="S271" s="16">
        <f t="shared" si="49"/>
        <v>2.9183485335177264E-4</v>
      </c>
      <c r="T271" s="17">
        <f t="shared" si="53"/>
        <v>0.14008072960885087</v>
      </c>
      <c r="U271" s="16">
        <f t="shared" si="54"/>
        <v>40.847545783361383</v>
      </c>
      <c r="V271" s="17">
        <f t="shared" si="55"/>
        <v>8.305222004797698E-2</v>
      </c>
      <c r="W271" s="16">
        <f t="shared" si="50"/>
        <v>298987.99217271712</v>
      </c>
      <c r="X271">
        <f>('Hybrid Info'!$A$2-Track!P271)*(L271-L270)*1000+X270</f>
        <v>-27741.343072126529</v>
      </c>
    </row>
    <row r="272" spans="1:24">
      <c r="A272" s="16">
        <f t="shared" si="51"/>
        <v>271</v>
      </c>
      <c r="B272" s="17">
        <f t="shared" si="52"/>
        <v>13.411199999999999</v>
      </c>
      <c r="C272" s="18">
        <f>Specification!$G$30</f>
        <v>109.96225200000001</v>
      </c>
      <c r="D272" s="17">
        <f>0.5*Specification!$K$4*Track!B272^2*Specification!$K$3*Specification!$K$2</f>
        <v>93.159842569492653</v>
      </c>
      <c r="E272" s="16">
        <v>0</v>
      </c>
      <c r="F272" s="17">
        <f>Specification!$C$23*9.81*SIN((E272*PI()/180))</f>
        <v>0</v>
      </c>
      <c r="G272" s="18">
        <f>IF(J272=1,VLOOKUP(K272,RPM!$E$2:$H$62,3,FALSE)-F272-E272-D272,IF(J272=2,VLOOKUP(K272,RPM!$H$2:$K$62,3,FALSE)-F272-E272-D272,IF(J272=3,VLOOKUP(K272,RPM!$K$2:$N$62,3,FALSE)-F272-E272-D272)))</f>
        <v>549.56217903827155</v>
      </c>
      <c r="H272" s="19">
        <f>IF(J272=1,Specification!$I$14,IF(J272=2,Specification!$I$15,IF(J272=3,Specification!$I$16)))</f>
        <v>578.93404261974786</v>
      </c>
      <c r="I272" s="16">
        <v>0</v>
      </c>
      <c r="J272" s="17">
        <v>3</v>
      </c>
      <c r="K272" s="16">
        <f>IF(J272=1,VLOOKUP(B272,RPM!$F$2:$H$62,3,TRUE),IF(J272=2,VLOOKUP(B272,RPM!$I$2:$K$62,3,TRUE),IF(J272=3,VLOOKUP(B272,RPM!$L$2:$N$62,3,TRUE))))</f>
        <v>4300</v>
      </c>
      <c r="L272" s="17">
        <f t="shared" si="48"/>
        <v>22.871897058640183</v>
      </c>
      <c r="M272" s="16">
        <f t="shared" si="45"/>
        <v>0</v>
      </c>
      <c r="N272" s="17">
        <f>VLOOKUP(K272,RPM!$A$2:$D$62,3,FALSE)</f>
        <v>11.4</v>
      </c>
      <c r="O272" s="16">
        <f>VLOOKUP(K272,RPM!$A$2:$D$62,4,FALSE)</f>
        <v>18.894837209302327</v>
      </c>
      <c r="P272" s="17">
        <f t="shared" si="46"/>
        <v>14.089880106976747</v>
      </c>
      <c r="Q272" s="16" cm="1">
        <f t="array" ref="Q272">_xlfn.XLOOKUP(O272,BSFC!$A$2:$A$24,_xlfn.XLOOKUP(K272,BSFC!$B$1:$O$1,BSFC!$B$2:$O$24,,-1),,-1)</f>
        <v>480</v>
      </c>
      <c r="R272" s="17">
        <f t="shared" si="47"/>
        <v>1.8786506809302328</v>
      </c>
      <c r="S272" s="16">
        <f t="shared" si="49"/>
        <v>2.9183485335177264E-4</v>
      </c>
      <c r="T272" s="17">
        <f t="shared" si="53"/>
        <v>0.14008072960885087</v>
      </c>
      <c r="U272" s="16">
        <f t="shared" si="54"/>
        <v>40.987626512970238</v>
      </c>
      <c r="V272" s="17">
        <f t="shared" si="55"/>
        <v>8.3344054901328748E-2</v>
      </c>
      <c r="W272" s="16">
        <f t="shared" si="50"/>
        <v>300038.5976447835</v>
      </c>
      <c r="X272">
        <f>('Hybrid Info'!$A$2-Track!P272)*(L272-L271)*1000+X271</f>
        <v>-27888.192385475941</v>
      </c>
    </row>
    <row r="273" spans="1:24">
      <c r="A273" s="16">
        <f t="shared" si="51"/>
        <v>272</v>
      </c>
      <c r="B273" s="17">
        <f t="shared" si="52"/>
        <v>13.411199999999999</v>
      </c>
      <c r="C273" s="18">
        <f>Specification!$G$30</f>
        <v>109.96225200000001</v>
      </c>
      <c r="D273" s="17">
        <f>0.5*Specification!$K$4*Track!B273^2*Specification!$K$3*Specification!$K$2</f>
        <v>93.159842569492653</v>
      </c>
      <c r="E273" s="16">
        <v>0</v>
      </c>
      <c r="F273" s="17">
        <f>Specification!$C$23*9.81*SIN((E273*PI()/180))</f>
        <v>0</v>
      </c>
      <c r="G273" s="18">
        <f>IF(J273=1,VLOOKUP(K273,RPM!$E$2:$H$62,3,FALSE)-F273-E273-D273,IF(J273=2,VLOOKUP(K273,RPM!$H$2:$K$62,3,FALSE)-F273-E273-D273,IF(J273=3,VLOOKUP(K273,RPM!$K$2:$N$62,3,FALSE)-F273-E273-D273)))</f>
        <v>549.56217903827155</v>
      </c>
      <c r="H273" s="19">
        <f>IF(J273=1,Specification!$I$14,IF(J273=2,Specification!$I$15,IF(J273=3,Specification!$I$16)))</f>
        <v>578.93404261974786</v>
      </c>
      <c r="I273" s="16">
        <v>0</v>
      </c>
      <c r="J273" s="17">
        <v>3</v>
      </c>
      <c r="K273" s="16">
        <f>IF(J273=1,VLOOKUP(B273,RPM!$F$2:$H$62,3,TRUE),IF(J273=2,VLOOKUP(B273,RPM!$I$2:$K$62,3,TRUE),IF(J273=3,VLOOKUP(B273,RPM!$L$2:$N$62,3,TRUE))))</f>
        <v>4300</v>
      </c>
      <c r="L273" s="17">
        <f t="shared" si="48"/>
        <v>22.946461601708663</v>
      </c>
      <c r="M273" s="16">
        <f t="shared" si="45"/>
        <v>0</v>
      </c>
      <c r="N273" s="17">
        <f>VLOOKUP(K273,RPM!$A$2:$D$62,3,FALSE)</f>
        <v>11.4</v>
      </c>
      <c r="O273" s="16">
        <f>VLOOKUP(K273,RPM!$A$2:$D$62,4,FALSE)</f>
        <v>18.894837209302327</v>
      </c>
      <c r="P273" s="17">
        <f t="shared" si="46"/>
        <v>14.089880106976747</v>
      </c>
      <c r="Q273" s="16" cm="1">
        <f t="array" ref="Q273">_xlfn.XLOOKUP(O273,BSFC!$A$2:$A$24,_xlfn.XLOOKUP(K273,BSFC!$B$1:$O$1,BSFC!$B$2:$O$24,,-1),,-1)</f>
        <v>480</v>
      </c>
      <c r="R273" s="17">
        <f t="shared" si="47"/>
        <v>1.8786506809302328</v>
      </c>
      <c r="S273" s="16">
        <f t="shared" si="49"/>
        <v>2.9183485335177264E-4</v>
      </c>
      <c r="T273" s="17">
        <f t="shared" si="53"/>
        <v>0.14008072960885087</v>
      </c>
      <c r="U273" s="16">
        <f t="shared" si="54"/>
        <v>41.127707242579092</v>
      </c>
      <c r="V273" s="17">
        <f t="shared" si="55"/>
        <v>8.3635889754680517E-2</v>
      </c>
      <c r="W273" s="16">
        <f t="shared" si="50"/>
        <v>301089.20311684988</v>
      </c>
      <c r="X273">
        <f>('Hybrid Info'!$A$2-Track!P273)*(L273-L272)*1000+X272</f>
        <v>-28035.041698825353</v>
      </c>
    </row>
    <row r="274" spans="1:24">
      <c r="A274" s="16">
        <f t="shared" si="51"/>
        <v>273</v>
      </c>
      <c r="B274" s="17">
        <f t="shared" si="52"/>
        <v>13.411199999999999</v>
      </c>
      <c r="C274" s="18">
        <f>Specification!$G$30</f>
        <v>109.96225200000001</v>
      </c>
      <c r="D274" s="17">
        <f>0.5*Specification!$K$4*Track!B274^2*Specification!$K$3*Specification!$K$2</f>
        <v>93.159842569492653</v>
      </c>
      <c r="E274" s="16">
        <v>0</v>
      </c>
      <c r="F274" s="17">
        <f>Specification!$C$23*9.81*SIN((E274*PI()/180))</f>
        <v>0</v>
      </c>
      <c r="G274" s="18">
        <f>IF(J274=1,VLOOKUP(K274,RPM!$E$2:$H$62,3,FALSE)-F274-E274-D274,IF(J274=2,VLOOKUP(K274,RPM!$H$2:$K$62,3,FALSE)-F274-E274-D274,IF(J274=3,VLOOKUP(K274,RPM!$K$2:$N$62,3,FALSE)-F274-E274-D274)))</f>
        <v>549.56217903827155</v>
      </c>
      <c r="H274" s="19">
        <f>IF(J274=1,Specification!$I$14,IF(J274=2,Specification!$I$15,IF(J274=3,Specification!$I$16)))</f>
        <v>578.93404261974786</v>
      </c>
      <c r="I274" s="16">
        <v>0</v>
      </c>
      <c r="J274" s="17">
        <v>3</v>
      </c>
      <c r="K274" s="16">
        <f>IF(J274=1,VLOOKUP(B274,RPM!$F$2:$H$62,3,TRUE),IF(J274=2,VLOOKUP(B274,RPM!$I$2:$K$62,3,TRUE),IF(J274=3,VLOOKUP(B274,RPM!$L$2:$N$62,3,TRUE))))</f>
        <v>4300</v>
      </c>
      <c r="L274" s="17">
        <f t="shared" si="48"/>
        <v>23.021026144777142</v>
      </c>
      <c r="M274" s="16">
        <f t="shared" si="45"/>
        <v>0</v>
      </c>
      <c r="N274" s="17">
        <f>VLOOKUP(K274,RPM!$A$2:$D$62,3,FALSE)</f>
        <v>11.4</v>
      </c>
      <c r="O274" s="16">
        <f>VLOOKUP(K274,RPM!$A$2:$D$62,4,FALSE)</f>
        <v>18.894837209302327</v>
      </c>
      <c r="P274" s="17">
        <f t="shared" si="46"/>
        <v>14.089880106976747</v>
      </c>
      <c r="Q274" s="16" cm="1">
        <f t="array" ref="Q274">_xlfn.XLOOKUP(O274,BSFC!$A$2:$A$24,_xlfn.XLOOKUP(K274,BSFC!$B$1:$O$1,BSFC!$B$2:$O$24,,-1),,-1)</f>
        <v>480</v>
      </c>
      <c r="R274" s="17">
        <f t="shared" si="47"/>
        <v>1.8786506809302328</v>
      </c>
      <c r="S274" s="16">
        <f t="shared" si="49"/>
        <v>2.9183485335177264E-4</v>
      </c>
      <c r="T274" s="17">
        <f t="shared" si="53"/>
        <v>0.14008072960885087</v>
      </c>
      <c r="U274" s="16">
        <f t="shared" si="54"/>
        <v>41.267787972187946</v>
      </c>
      <c r="V274" s="17">
        <f t="shared" si="55"/>
        <v>8.3927724608032286E-2</v>
      </c>
      <c r="W274" s="16">
        <f t="shared" si="50"/>
        <v>302139.80858891626</v>
      </c>
      <c r="X274">
        <f>('Hybrid Info'!$A$2-Track!P274)*(L274-L273)*1000+X273</f>
        <v>-28181.891012174765</v>
      </c>
    </row>
    <row r="275" spans="1:24">
      <c r="A275" s="16">
        <f t="shared" si="51"/>
        <v>274</v>
      </c>
      <c r="B275" s="17">
        <f t="shared" si="52"/>
        <v>13.411199999999999</v>
      </c>
      <c r="C275" s="18">
        <f>Specification!$G$30</f>
        <v>109.96225200000001</v>
      </c>
      <c r="D275" s="17">
        <f>0.5*Specification!$K$4*Track!B275^2*Specification!$K$3*Specification!$K$2</f>
        <v>93.159842569492653</v>
      </c>
      <c r="E275" s="16">
        <v>0</v>
      </c>
      <c r="F275" s="17">
        <f>Specification!$C$23*9.81*SIN((E275*PI()/180))</f>
        <v>0</v>
      </c>
      <c r="G275" s="18">
        <f>IF(J275=1,VLOOKUP(K275,RPM!$E$2:$H$62,3,FALSE)-F275-E275-D275,IF(J275=2,VLOOKUP(K275,RPM!$H$2:$K$62,3,FALSE)-F275-E275-D275,IF(J275=3,VLOOKUP(K275,RPM!$K$2:$N$62,3,FALSE)-F275-E275-D275)))</f>
        <v>549.56217903827155</v>
      </c>
      <c r="H275" s="19">
        <f>IF(J275=1,Specification!$I$14,IF(J275=2,Specification!$I$15,IF(J275=3,Specification!$I$16)))</f>
        <v>578.93404261974786</v>
      </c>
      <c r="I275" s="16">
        <v>0</v>
      </c>
      <c r="J275" s="17">
        <v>3</v>
      </c>
      <c r="K275" s="16">
        <f>IF(J275=1,VLOOKUP(B275,RPM!$F$2:$H$62,3,TRUE),IF(J275=2,VLOOKUP(B275,RPM!$I$2:$K$62,3,TRUE),IF(J275=3,VLOOKUP(B275,RPM!$L$2:$N$62,3,TRUE))))</f>
        <v>4300</v>
      </c>
      <c r="L275" s="17">
        <f t="shared" si="48"/>
        <v>23.095590687845622</v>
      </c>
      <c r="M275" s="16">
        <f t="shared" si="45"/>
        <v>0</v>
      </c>
      <c r="N275" s="17">
        <f>VLOOKUP(K275,RPM!$A$2:$D$62,3,FALSE)</f>
        <v>11.4</v>
      </c>
      <c r="O275" s="16">
        <f>VLOOKUP(K275,RPM!$A$2:$D$62,4,FALSE)</f>
        <v>18.894837209302327</v>
      </c>
      <c r="P275" s="17">
        <f t="shared" si="46"/>
        <v>14.089880106976747</v>
      </c>
      <c r="Q275" s="16" cm="1">
        <f t="array" ref="Q275">_xlfn.XLOOKUP(O275,BSFC!$A$2:$A$24,_xlfn.XLOOKUP(K275,BSFC!$B$1:$O$1,BSFC!$B$2:$O$24,,-1),,-1)</f>
        <v>480</v>
      </c>
      <c r="R275" s="17">
        <f t="shared" si="47"/>
        <v>1.8786506809302328</v>
      </c>
      <c r="S275" s="16">
        <f t="shared" si="49"/>
        <v>2.9183485335177264E-4</v>
      </c>
      <c r="T275" s="17">
        <f t="shared" si="53"/>
        <v>0.14008072960885087</v>
      </c>
      <c r="U275" s="16">
        <f t="shared" si="54"/>
        <v>41.407868701796801</v>
      </c>
      <c r="V275" s="17">
        <f t="shared" si="55"/>
        <v>8.4219559461384055E-2</v>
      </c>
      <c r="W275" s="16">
        <f t="shared" si="50"/>
        <v>303190.41406098258</v>
      </c>
      <c r="X275">
        <f>('Hybrid Info'!$A$2-Track!P275)*(L275-L274)*1000+X274</f>
        <v>-28328.740325524177</v>
      </c>
    </row>
    <row r="276" spans="1:24">
      <c r="A276" s="16">
        <f t="shared" si="51"/>
        <v>275</v>
      </c>
      <c r="B276" s="17">
        <f t="shared" si="52"/>
        <v>13.411199999999999</v>
      </c>
      <c r="C276" s="18">
        <f>Specification!$G$30</f>
        <v>109.96225200000001</v>
      </c>
      <c r="D276" s="17">
        <f>0.5*Specification!$K$4*Track!B276^2*Specification!$K$3*Specification!$K$2</f>
        <v>93.159842569492653</v>
      </c>
      <c r="E276" s="16">
        <v>0</v>
      </c>
      <c r="F276" s="17">
        <f>Specification!$C$23*9.81*SIN((E276*PI()/180))</f>
        <v>0</v>
      </c>
      <c r="G276" s="18">
        <f>IF(J276=1,VLOOKUP(K276,RPM!$E$2:$H$62,3,FALSE)-F276-E276-D276,IF(J276=2,VLOOKUP(K276,RPM!$H$2:$K$62,3,FALSE)-F276-E276-D276,IF(J276=3,VLOOKUP(K276,RPM!$K$2:$N$62,3,FALSE)-F276-E276-D276)))</f>
        <v>549.56217903827155</v>
      </c>
      <c r="H276" s="19">
        <f>IF(J276=1,Specification!$I$14,IF(J276=2,Specification!$I$15,IF(J276=3,Specification!$I$16)))</f>
        <v>578.93404261974786</v>
      </c>
      <c r="I276" s="16">
        <v>0</v>
      </c>
      <c r="J276" s="17">
        <v>3</v>
      </c>
      <c r="K276" s="16">
        <f>IF(J276=1,VLOOKUP(B276,RPM!$F$2:$H$62,3,TRUE),IF(J276=2,VLOOKUP(B276,RPM!$I$2:$K$62,3,TRUE),IF(J276=3,VLOOKUP(B276,RPM!$L$2:$N$62,3,TRUE))))</f>
        <v>4300</v>
      </c>
      <c r="L276" s="17">
        <f t="shared" si="48"/>
        <v>23.170155230914101</v>
      </c>
      <c r="M276" s="16">
        <f t="shared" si="45"/>
        <v>0</v>
      </c>
      <c r="N276" s="17">
        <f>VLOOKUP(K276,RPM!$A$2:$D$62,3,FALSE)</f>
        <v>11.4</v>
      </c>
      <c r="O276" s="16">
        <f>VLOOKUP(K276,RPM!$A$2:$D$62,4,FALSE)</f>
        <v>18.894837209302327</v>
      </c>
      <c r="P276" s="17">
        <f t="shared" si="46"/>
        <v>14.089880106976747</v>
      </c>
      <c r="Q276" s="16" cm="1">
        <f t="array" ref="Q276">_xlfn.XLOOKUP(O276,BSFC!$A$2:$A$24,_xlfn.XLOOKUP(K276,BSFC!$B$1:$O$1,BSFC!$B$2:$O$24,,-1),,-1)</f>
        <v>480</v>
      </c>
      <c r="R276" s="17">
        <f t="shared" si="47"/>
        <v>1.8786506809302328</v>
      </c>
      <c r="S276" s="16">
        <f t="shared" si="49"/>
        <v>2.9183485335177264E-4</v>
      </c>
      <c r="T276" s="17">
        <f t="shared" si="53"/>
        <v>0.14008072960885087</v>
      </c>
      <c r="U276" s="16">
        <f t="shared" si="54"/>
        <v>41.547949431405655</v>
      </c>
      <c r="V276" s="17">
        <f t="shared" si="55"/>
        <v>8.4511394314735824E-2</v>
      </c>
      <c r="W276" s="16">
        <f t="shared" si="50"/>
        <v>304241.01953304897</v>
      </c>
      <c r="X276">
        <f>('Hybrid Info'!$A$2-Track!P276)*(L276-L275)*1000+X275</f>
        <v>-28475.589638873589</v>
      </c>
    </row>
    <row r="277" spans="1:24">
      <c r="A277" s="16">
        <f t="shared" si="51"/>
        <v>276</v>
      </c>
      <c r="B277" s="17">
        <f t="shared" si="52"/>
        <v>13.411199999999999</v>
      </c>
      <c r="C277" s="18">
        <f>Specification!$G$30</f>
        <v>109.96225200000001</v>
      </c>
      <c r="D277" s="17">
        <f>0.5*Specification!$K$4*Track!B277^2*Specification!$K$3*Specification!$K$2</f>
        <v>93.159842569492653</v>
      </c>
      <c r="E277" s="16">
        <v>0</v>
      </c>
      <c r="F277" s="17">
        <f>Specification!$C$23*9.81*SIN((E277*PI()/180))</f>
        <v>0</v>
      </c>
      <c r="G277" s="18">
        <f>IF(J277=1,VLOOKUP(K277,RPM!$E$2:$H$62,3,FALSE)-F277-E277-D277,IF(J277=2,VLOOKUP(K277,RPM!$H$2:$K$62,3,FALSE)-F277-E277-D277,IF(J277=3,VLOOKUP(K277,RPM!$K$2:$N$62,3,FALSE)-F277-E277-D277)))</f>
        <v>549.56217903827155</v>
      </c>
      <c r="H277" s="19">
        <f>IF(J277=1,Specification!$I$14,IF(J277=2,Specification!$I$15,IF(J277=3,Specification!$I$16)))</f>
        <v>578.93404261974786</v>
      </c>
      <c r="I277" s="16">
        <v>0</v>
      </c>
      <c r="J277" s="17">
        <v>3</v>
      </c>
      <c r="K277" s="16">
        <f>IF(J277=1,VLOOKUP(B277,RPM!$F$2:$H$62,3,TRUE),IF(J277=2,VLOOKUP(B277,RPM!$I$2:$K$62,3,TRUE),IF(J277=3,VLOOKUP(B277,RPM!$L$2:$N$62,3,TRUE))))</f>
        <v>4300</v>
      </c>
      <c r="L277" s="17">
        <f t="shared" si="48"/>
        <v>23.244719773982581</v>
      </c>
      <c r="M277" s="16">
        <f t="shared" si="45"/>
        <v>0</v>
      </c>
      <c r="N277" s="17">
        <f>VLOOKUP(K277,RPM!$A$2:$D$62,3,FALSE)</f>
        <v>11.4</v>
      </c>
      <c r="O277" s="16">
        <f>VLOOKUP(K277,RPM!$A$2:$D$62,4,FALSE)</f>
        <v>18.894837209302327</v>
      </c>
      <c r="P277" s="17">
        <f t="shared" si="46"/>
        <v>14.089880106976747</v>
      </c>
      <c r="Q277" s="16" cm="1">
        <f t="array" ref="Q277">_xlfn.XLOOKUP(O277,BSFC!$A$2:$A$24,_xlfn.XLOOKUP(K277,BSFC!$B$1:$O$1,BSFC!$B$2:$O$24,,-1),,-1)</f>
        <v>480</v>
      </c>
      <c r="R277" s="17">
        <f t="shared" si="47"/>
        <v>1.8786506809302328</v>
      </c>
      <c r="S277" s="16">
        <f t="shared" si="49"/>
        <v>2.9183485335177264E-4</v>
      </c>
      <c r="T277" s="17">
        <f t="shared" si="53"/>
        <v>0.14008072960885087</v>
      </c>
      <c r="U277" s="16">
        <f t="shared" si="54"/>
        <v>41.68803016101451</v>
      </c>
      <c r="V277" s="17">
        <f t="shared" si="55"/>
        <v>8.4803229168087593E-2</v>
      </c>
      <c r="W277" s="16">
        <f t="shared" si="50"/>
        <v>305291.62500511535</v>
      </c>
      <c r="X277">
        <f>('Hybrid Info'!$A$2-Track!P277)*(L277-L276)*1000+X276</f>
        <v>-28622.438952223001</v>
      </c>
    </row>
    <row r="278" spans="1:24">
      <c r="A278" s="16">
        <f t="shared" si="51"/>
        <v>277</v>
      </c>
      <c r="B278" s="17">
        <f t="shared" si="52"/>
        <v>13.411199999999999</v>
      </c>
      <c r="C278" s="18">
        <f>Specification!$G$30</f>
        <v>109.96225200000001</v>
      </c>
      <c r="D278" s="17">
        <f>0.5*Specification!$K$4*Track!B278^2*Specification!$K$3*Specification!$K$2</f>
        <v>93.159842569492653</v>
      </c>
      <c r="E278" s="16">
        <v>0</v>
      </c>
      <c r="F278" s="17">
        <f>Specification!$C$23*9.81*SIN((E278*PI()/180))</f>
        <v>0</v>
      </c>
      <c r="G278" s="18">
        <f>IF(J278=1,VLOOKUP(K278,RPM!$E$2:$H$62,3,FALSE)-F278-E278-D278,IF(J278=2,VLOOKUP(K278,RPM!$H$2:$K$62,3,FALSE)-F278-E278-D278,IF(J278=3,VLOOKUP(K278,RPM!$K$2:$N$62,3,FALSE)-F278-E278-D278)))</f>
        <v>549.56217903827155</v>
      </c>
      <c r="H278" s="19">
        <f>IF(J278=1,Specification!$I$14,IF(J278=2,Specification!$I$15,IF(J278=3,Specification!$I$16)))</f>
        <v>578.93404261974786</v>
      </c>
      <c r="I278" s="16">
        <v>0</v>
      </c>
      <c r="J278" s="17">
        <v>3</v>
      </c>
      <c r="K278" s="16">
        <f>IF(J278=1,VLOOKUP(B278,RPM!$F$2:$H$62,3,TRUE),IF(J278=2,VLOOKUP(B278,RPM!$I$2:$K$62,3,TRUE),IF(J278=3,VLOOKUP(B278,RPM!$L$2:$N$62,3,TRUE))))</f>
        <v>4300</v>
      </c>
      <c r="L278" s="17">
        <f t="shared" si="48"/>
        <v>23.319284317051061</v>
      </c>
      <c r="M278" s="16">
        <f t="shared" si="45"/>
        <v>0</v>
      </c>
      <c r="N278" s="17">
        <f>VLOOKUP(K278,RPM!$A$2:$D$62,3,FALSE)</f>
        <v>11.4</v>
      </c>
      <c r="O278" s="16">
        <f>VLOOKUP(K278,RPM!$A$2:$D$62,4,FALSE)</f>
        <v>18.894837209302327</v>
      </c>
      <c r="P278" s="17">
        <f t="shared" si="46"/>
        <v>14.089880106976747</v>
      </c>
      <c r="Q278" s="16" cm="1">
        <f t="array" ref="Q278">_xlfn.XLOOKUP(O278,BSFC!$A$2:$A$24,_xlfn.XLOOKUP(K278,BSFC!$B$1:$O$1,BSFC!$B$2:$O$24,,-1),,-1)</f>
        <v>480</v>
      </c>
      <c r="R278" s="17">
        <f t="shared" si="47"/>
        <v>1.8786506809302328</v>
      </c>
      <c r="S278" s="16">
        <f t="shared" si="49"/>
        <v>2.9183485335177264E-4</v>
      </c>
      <c r="T278" s="17">
        <f t="shared" si="53"/>
        <v>0.14008072960885087</v>
      </c>
      <c r="U278" s="16">
        <f t="shared" si="54"/>
        <v>41.828110890623364</v>
      </c>
      <c r="V278" s="17">
        <f t="shared" si="55"/>
        <v>8.5095064021439362E-2</v>
      </c>
      <c r="W278" s="16">
        <f t="shared" si="50"/>
        <v>306342.23047718167</v>
      </c>
      <c r="X278">
        <f>('Hybrid Info'!$A$2-Track!P278)*(L278-L277)*1000+X277</f>
        <v>-28769.288265572413</v>
      </c>
    </row>
    <row r="279" spans="1:24">
      <c r="A279" s="16">
        <f t="shared" si="51"/>
        <v>278</v>
      </c>
      <c r="B279" s="17">
        <f t="shared" si="52"/>
        <v>13.411199999999999</v>
      </c>
      <c r="C279" s="18">
        <f>Specification!$G$30</f>
        <v>109.96225200000001</v>
      </c>
      <c r="D279" s="17">
        <f>0.5*Specification!$K$4*Track!B279^2*Specification!$K$3*Specification!$K$2</f>
        <v>93.159842569492653</v>
      </c>
      <c r="E279" s="16">
        <v>0</v>
      </c>
      <c r="F279" s="17">
        <f>Specification!$C$23*9.81*SIN((E279*PI()/180))</f>
        <v>0</v>
      </c>
      <c r="G279" s="18">
        <f>IF(J279=1,VLOOKUP(K279,RPM!$E$2:$H$62,3,FALSE)-F279-E279-D279,IF(J279=2,VLOOKUP(K279,RPM!$H$2:$K$62,3,FALSE)-F279-E279-D279,IF(J279=3,VLOOKUP(K279,RPM!$K$2:$N$62,3,FALSE)-F279-E279-D279)))</f>
        <v>549.56217903827155</v>
      </c>
      <c r="H279" s="19">
        <f>IF(J279=1,Specification!$I$14,IF(J279=2,Specification!$I$15,IF(J279=3,Specification!$I$16)))</f>
        <v>578.93404261974786</v>
      </c>
      <c r="I279" s="16">
        <v>0</v>
      </c>
      <c r="J279" s="17">
        <v>3</v>
      </c>
      <c r="K279" s="16">
        <f>IF(J279=1,VLOOKUP(B279,RPM!$F$2:$H$62,3,TRUE),IF(J279=2,VLOOKUP(B279,RPM!$I$2:$K$62,3,TRUE),IF(J279=3,VLOOKUP(B279,RPM!$L$2:$N$62,3,TRUE))))</f>
        <v>4300</v>
      </c>
      <c r="L279" s="17">
        <f t="shared" si="48"/>
        <v>23.39384886011954</v>
      </c>
      <c r="M279" s="16">
        <f t="shared" si="45"/>
        <v>0</v>
      </c>
      <c r="N279" s="17">
        <f>VLOOKUP(K279,RPM!$A$2:$D$62,3,FALSE)</f>
        <v>11.4</v>
      </c>
      <c r="O279" s="16">
        <f>VLOOKUP(K279,RPM!$A$2:$D$62,4,FALSE)</f>
        <v>18.894837209302327</v>
      </c>
      <c r="P279" s="17">
        <f t="shared" si="46"/>
        <v>14.089880106976747</v>
      </c>
      <c r="Q279" s="16" cm="1">
        <f t="array" ref="Q279">_xlfn.XLOOKUP(O279,BSFC!$A$2:$A$24,_xlfn.XLOOKUP(K279,BSFC!$B$1:$O$1,BSFC!$B$2:$O$24,,-1),,-1)</f>
        <v>480</v>
      </c>
      <c r="R279" s="17">
        <f t="shared" si="47"/>
        <v>1.8786506809302328</v>
      </c>
      <c r="S279" s="16">
        <f t="shared" si="49"/>
        <v>2.9183485335177264E-4</v>
      </c>
      <c r="T279" s="17">
        <f t="shared" si="53"/>
        <v>0.14008072960885087</v>
      </c>
      <c r="U279" s="16">
        <f t="shared" si="54"/>
        <v>41.968191620232218</v>
      </c>
      <c r="V279" s="17">
        <f t="shared" si="55"/>
        <v>8.5386898874791131E-2</v>
      </c>
      <c r="W279" s="16">
        <f t="shared" si="50"/>
        <v>307392.83594924805</v>
      </c>
      <c r="X279">
        <f>('Hybrid Info'!$A$2-Track!P279)*(L279-L278)*1000+X278</f>
        <v>-28916.137578921825</v>
      </c>
    </row>
    <row r="280" spans="1:24">
      <c r="A280" s="16">
        <f t="shared" si="51"/>
        <v>279</v>
      </c>
      <c r="B280" s="17">
        <f t="shared" si="52"/>
        <v>13.411199999999999</v>
      </c>
      <c r="C280" s="18">
        <f>Specification!$G$30</f>
        <v>109.96225200000001</v>
      </c>
      <c r="D280" s="17">
        <f>0.5*Specification!$K$4*Track!B280^2*Specification!$K$3*Specification!$K$2</f>
        <v>93.159842569492653</v>
      </c>
      <c r="E280" s="16">
        <v>0</v>
      </c>
      <c r="F280" s="17">
        <f>Specification!$C$23*9.81*SIN((E280*PI()/180))</f>
        <v>0</v>
      </c>
      <c r="G280" s="18">
        <f>IF(J280=1,VLOOKUP(K280,RPM!$E$2:$H$62,3,FALSE)-F280-E280-D280,IF(J280=2,VLOOKUP(K280,RPM!$H$2:$K$62,3,FALSE)-F280-E280-D280,IF(J280=3,VLOOKUP(K280,RPM!$K$2:$N$62,3,FALSE)-F280-E280-D280)))</f>
        <v>549.56217903827155</v>
      </c>
      <c r="H280" s="19">
        <f>IF(J280=1,Specification!$I$14,IF(J280=2,Specification!$I$15,IF(J280=3,Specification!$I$16)))</f>
        <v>578.93404261974786</v>
      </c>
      <c r="I280" s="16">
        <v>0</v>
      </c>
      <c r="J280" s="17">
        <v>3</v>
      </c>
      <c r="K280" s="16">
        <f>IF(J280=1,VLOOKUP(B280,RPM!$F$2:$H$62,3,TRUE),IF(J280=2,VLOOKUP(B280,RPM!$I$2:$K$62,3,TRUE),IF(J280=3,VLOOKUP(B280,RPM!$L$2:$N$62,3,TRUE))))</f>
        <v>4300</v>
      </c>
      <c r="L280" s="17">
        <f t="shared" si="48"/>
        <v>23.46841340318802</v>
      </c>
      <c r="M280" s="16">
        <f t="shared" si="45"/>
        <v>0</v>
      </c>
      <c r="N280" s="17">
        <f>VLOOKUP(K280,RPM!$A$2:$D$62,3,FALSE)</f>
        <v>11.4</v>
      </c>
      <c r="O280" s="16">
        <f>VLOOKUP(K280,RPM!$A$2:$D$62,4,FALSE)</f>
        <v>18.894837209302327</v>
      </c>
      <c r="P280" s="17">
        <f t="shared" si="46"/>
        <v>14.089880106976747</v>
      </c>
      <c r="Q280" s="16" cm="1">
        <f t="array" ref="Q280">_xlfn.XLOOKUP(O280,BSFC!$A$2:$A$24,_xlfn.XLOOKUP(K280,BSFC!$B$1:$O$1,BSFC!$B$2:$O$24,,-1),,-1)</f>
        <v>480</v>
      </c>
      <c r="R280" s="17">
        <f t="shared" si="47"/>
        <v>1.8786506809302328</v>
      </c>
      <c r="S280" s="16">
        <f t="shared" si="49"/>
        <v>2.9183485335177264E-4</v>
      </c>
      <c r="T280" s="17">
        <f t="shared" si="53"/>
        <v>0.14008072960885087</v>
      </c>
      <c r="U280" s="16">
        <f t="shared" si="54"/>
        <v>42.108272349841073</v>
      </c>
      <c r="V280" s="17">
        <f t="shared" si="55"/>
        <v>8.56787337281429E-2</v>
      </c>
      <c r="W280" s="16">
        <f t="shared" si="50"/>
        <v>308443.44142131443</v>
      </c>
      <c r="X280">
        <f>('Hybrid Info'!$A$2-Track!P280)*(L280-L279)*1000+X279</f>
        <v>-29062.986892271238</v>
      </c>
    </row>
    <row r="281" spans="1:24">
      <c r="A281" s="16">
        <f t="shared" si="51"/>
        <v>280</v>
      </c>
      <c r="B281" s="17">
        <f t="shared" si="52"/>
        <v>13.411199999999999</v>
      </c>
      <c r="C281" s="18">
        <f>Specification!$G$30</f>
        <v>109.96225200000001</v>
      </c>
      <c r="D281" s="17">
        <f>0.5*Specification!$K$4*Track!B281^2*Specification!$K$3*Specification!$K$2</f>
        <v>93.159842569492653</v>
      </c>
      <c r="E281" s="16">
        <v>0</v>
      </c>
      <c r="F281" s="17">
        <f>Specification!$C$23*9.81*SIN((E281*PI()/180))</f>
        <v>0</v>
      </c>
      <c r="G281" s="18">
        <f>IF(J281=1,VLOOKUP(K281,RPM!$E$2:$H$62,3,FALSE)-F281-E281-D281,IF(J281=2,VLOOKUP(K281,RPM!$H$2:$K$62,3,FALSE)-F281-E281-D281,IF(J281=3,VLOOKUP(K281,RPM!$K$2:$N$62,3,FALSE)-F281-E281-D281)))</f>
        <v>549.56217903827155</v>
      </c>
      <c r="H281" s="19">
        <f>IF(J281=1,Specification!$I$14,IF(J281=2,Specification!$I$15,IF(J281=3,Specification!$I$16)))</f>
        <v>578.93404261974786</v>
      </c>
      <c r="I281" s="16">
        <v>0</v>
      </c>
      <c r="J281" s="17">
        <v>3</v>
      </c>
      <c r="K281" s="16">
        <f>IF(J281=1,VLOOKUP(B281,RPM!$F$2:$H$62,3,TRUE),IF(J281=2,VLOOKUP(B281,RPM!$I$2:$K$62,3,TRUE),IF(J281=3,VLOOKUP(B281,RPM!$L$2:$N$62,3,TRUE))))</f>
        <v>4300</v>
      </c>
      <c r="L281" s="17">
        <f t="shared" si="48"/>
        <v>23.542977946256499</v>
      </c>
      <c r="M281" s="16">
        <f t="shared" si="45"/>
        <v>0</v>
      </c>
      <c r="N281" s="17">
        <f>VLOOKUP(K281,RPM!$A$2:$D$62,3,FALSE)</f>
        <v>11.4</v>
      </c>
      <c r="O281" s="16">
        <f>VLOOKUP(K281,RPM!$A$2:$D$62,4,FALSE)</f>
        <v>18.894837209302327</v>
      </c>
      <c r="P281" s="17">
        <f t="shared" si="46"/>
        <v>14.089880106976747</v>
      </c>
      <c r="Q281" s="16" cm="1">
        <f t="array" ref="Q281">_xlfn.XLOOKUP(O281,BSFC!$A$2:$A$24,_xlfn.XLOOKUP(K281,BSFC!$B$1:$O$1,BSFC!$B$2:$O$24,,-1),,-1)</f>
        <v>480</v>
      </c>
      <c r="R281" s="17">
        <f t="shared" si="47"/>
        <v>1.8786506809302328</v>
      </c>
      <c r="S281" s="16">
        <f t="shared" si="49"/>
        <v>2.9183485335177264E-4</v>
      </c>
      <c r="T281" s="17">
        <f t="shared" si="53"/>
        <v>0.14008072960885087</v>
      </c>
      <c r="U281" s="16">
        <f t="shared" si="54"/>
        <v>42.248353079449927</v>
      </c>
      <c r="V281" s="17">
        <f t="shared" si="55"/>
        <v>8.5970568581494669E-2</v>
      </c>
      <c r="W281" s="16">
        <f t="shared" si="50"/>
        <v>309494.04689338082</v>
      </c>
      <c r="X281">
        <f>('Hybrid Info'!$A$2-Track!P281)*(L281-L280)*1000+X280</f>
        <v>-29209.83620562065</v>
      </c>
    </row>
    <row r="282" spans="1:24">
      <c r="A282" s="16">
        <f t="shared" si="51"/>
        <v>281</v>
      </c>
      <c r="B282" s="17">
        <f t="shared" si="52"/>
        <v>13.411199999999999</v>
      </c>
      <c r="C282" s="18">
        <f>Specification!$G$30</f>
        <v>109.96225200000001</v>
      </c>
      <c r="D282" s="17">
        <f>0.5*Specification!$K$4*Track!B282^2*Specification!$K$3*Specification!$K$2</f>
        <v>93.159842569492653</v>
      </c>
      <c r="E282" s="16">
        <v>0</v>
      </c>
      <c r="F282" s="17">
        <f>Specification!$C$23*9.81*SIN((E282*PI()/180))</f>
        <v>0</v>
      </c>
      <c r="G282" s="18">
        <f>IF(J282=1,VLOOKUP(K282,RPM!$E$2:$H$62,3,FALSE)-F282-E282-D282,IF(J282=2,VLOOKUP(K282,RPM!$H$2:$K$62,3,FALSE)-F282-E282-D282,IF(J282=3,VLOOKUP(K282,RPM!$K$2:$N$62,3,FALSE)-F282-E282-D282)))</f>
        <v>549.56217903827155</v>
      </c>
      <c r="H282" s="19">
        <f>IF(J282=1,Specification!$I$14,IF(J282=2,Specification!$I$15,IF(J282=3,Specification!$I$16)))</f>
        <v>578.93404261974786</v>
      </c>
      <c r="I282" s="16">
        <v>0</v>
      </c>
      <c r="J282" s="17">
        <v>3</v>
      </c>
      <c r="K282" s="16">
        <f>IF(J282=1,VLOOKUP(B282,RPM!$F$2:$H$62,3,TRUE),IF(J282=2,VLOOKUP(B282,RPM!$I$2:$K$62,3,TRUE),IF(J282=3,VLOOKUP(B282,RPM!$L$2:$N$62,3,TRUE))))</f>
        <v>4300</v>
      </c>
      <c r="L282" s="17">
        <f t="shared" si="48"/>
        <v>23.617542489324979</v>
      </c>
      <c r="M282" s="16">
        <f t="shared" si="45"/>
        <v>0</v>
      </c>
      <c r="N282" s="17">
        <f>VLOOKUP(K282,RPM!$A$2:$D$62,3,FALSE)</f>
        <v>11.4</v>
      </c>
      <c r="O282" s="16">
        <f>VLOOKUP(K282,RPM!$A$2:$D$62,4,FALSE)</f>
        <v>18.894837209302327</v>
      </c>
      <c r="P282" s="17">
        <f t="shared" si="46"/>
        <v>14.089880106976747</v>
      </c>
      <c r="Q282" s="16" cm="1">
        <f t="array" ref="Q282">_xlfn.XLOOKUP(O282,BSFC!$A$2:$A$24,_xlfn.XLOOKUP(K282,BSFC!$B$1:$O$1,BSFC!$B$2:$O$24,,-1),,-1)</f>
        <v>480</v>
      </c>
      <c r="R282" s="17">
        <f t="shared" si="47"/>
        <v>1.8786506809302328</v>
      </c>
      <c r="S282" s="16">
        <f t="shared" si="49"/>
        <v>2.9183485335177264E-4</v>
      </c>
      <c r="T282" s="17">
        <f t="shared" si="53"/>
        <v>0.14008072960885087</v>
      </c>
      <c r="U282" s="16">
        <f t="shared" si="54"/>
        <v>42.388433809058782</v>
      </c>
      <c r="V282" s="17">
        <f t="shared" si="55"/>
        <v>8.6262403434846438E-2</v>
      </c>
      <c r="W282" s="16">
        <f t="shared" si="50"/>
        <v>310544.65236544714</v>
      </c>
      <c r="X282">
        <f>('Hybrid Info'!$A$2-Track!P282)*(L282-L281)*1000+X281</f>
        <v>-29356.685518970062</v>
      </c>
    </row>
    <row r="283" spans="1:24">
      <c r="A283" s="16">
        <f t="shared" si="51"/>
        <v>282</v>
      </c>
      <c r="B283" s="17">
        <f t="shared" si="52"/>
        <v>13.411199999999999</v>
      </c>
      <c r="C283" s="18">
        <f>Specification!$G$30</f>
        <v>109.96225200000001</v>
      </c>
      <c r="D283" s="17">
        <f>0.5*Specification!$K$4*Track!B283^2*Specification!$K$3*Specification!$K$2</f>
        <v>93.159842569492653</v>
      </c>
      <c r="E283" s="16">
        <v>0</v>
      </c>
      <c r="F283" s="17">
        <f>Specification!$C$23*9.81*SIN((E283*PI()/180))</f>
        <v>0</v>
      </c>
      <c r="G283" s="18">
        <f>IF(J283=1,VLOOKUP(K283,RPM!$E$2:$H$62,3,FALSE)-F283-E283-D283,IF(J283=2,VLOOKUP(K283,RPM!$H$2:$K$62,3,FALSE)-F283-E283-D283,IF(J283=3,VLOOKUP(K283,RPM!$K$2:$N$62,3,FALSE)-F283-E283-D283)))</f>
        <v>549.56217903827155</v>
      </c>
      <c r="H283" s="19">
        <f>IF(J283=1,Specification!$I$14,IF(J283=2,Specification!$I$15,IF(J283=3,Specification!$I$16)))</f>
        <v>578.93404261974786</v>
      </c>
      <c r="I283" s="16">
        <v>0</v>
      </c>
      <c r="J283" s="17">
        <v>3</v>
      </c>
      <c r="K283" s="16">
        <f>IF(J283=1,VLOOKUP(B283,RPM!$F$2:$H$62,3,TRUE),IF(J283=2,VLOOKUP(B283,RPM!$I$2:$K$62,3,TRUE),IF(J283=3,VLOOKUP(B283,RPM!$L$2:$N$62,3,TRUE))))</f>
        <v>4300</v>
      </c>
      <c r="L283" s="17">
        <f t="shared" si="48"/>
        <v>23.692107032393459</v>
      </c>
      <c r="M283" s="16">
        <f t="shared" si="45"/>
        <v>0</v>
      </c>
      <c r="N283" s="17">
        <f>VLOOKUP(K283,RPM!$A$2:$D$62,3,FALSE)</f>
        <v>11.4</v>
      </c>
      <c r="O283" s="16">
        <f>VLOOKUP(K283,RPM!$A$2:$D$62,4,FALSE)</f>
        <v>18.894837209302327</v>
      </c>
      <c r="P283" s="17">
        <f t="shared" si="46"/>
        <v>14.089880106976747</v>
      </c>
      <c r="Q283" s="16" cm="1">
        <f t="array" ref="Q283">_xlfn.XLOOKUP(O283,BSFC!$A$2:$A$24,_xlfn.XLOOKUP(K283,BSFC!$B$1:$O$1,BSFC!$B$2:$O$24,,-1),,-1)</f>
        <v>480</v>
      </c>
      <c r="R283" s="17">
        <f t="shared" si="47"/>
        <v>1.8786506809302328</v>
      </c>
      <c r="S283" s="16">
        <f t="shared" si="49"/>
        <v>2.9183485335177264E-4</v>
      </c>
      <c r="T283" s="17">
        <f t="shared" si="53"/>
        <v>0.14008072960885087</v>
      </c>
      <c r="U283" s="16">
        <f t="shared" si="54"/>
        <v>42.528514538667636</v>
      </c>
      <c r="V283" s="17">
        <f t="shared" si="55"/>
        <v>8.6554238288198207E-2</v>
      </c>
      <c r="W283" s="16">
        <f t="shared" si="50"/>
        <v>311595.25783751352</v>
      </c>
      <c r="X283">
        <f>('Hybrid Info'!$A$2-Track!P283)*(L283-L282)*1000+X282</f>
        <v>-29503.534832319474</v>
      </c>
    </row>
    <row r="284" spans="1:24">
      <c r="A284" s="16">
        <f t="shared" si="51"/>
        <v>283</v>
      </c>
      <c r="B284" s="17">
        <f t="shared" si="52"/>
        <v>13.411199999999999</v>
      </c>
      <c r="C284" s="18">
        <f>Specification!$G$30</f>
        <v>109.96225200000001</v>
      </c>
      <c r="D284" s="17">
        <f>0.5*Specification!$K$4*Track!B284^2*Specification!$K$3*Specification!$K$2</f>
        <v>93.159842569492653</v>
      </c>
      <c r="E284" s="16">
        <v>0</v>
      </c>
      <c r="F284" s="17">
        <f>Specification!$C$23*9.81*SIN((E284*PI()/180))</f>
        <v>0</v>
      </c>
      <c r="G284" s="18">
        <f>IF(J284=1,VLOOKUP(K284,RPM!$E$2:$H$62,3,FALSE)-F284-E284-D284,IF(J284=2,VLOOKUP(K284,RPM!$H$2:$K$62,3,FALSE)-F284-E284-D284,IF(J284=3,VLOOKUP(K284,RPM!$K$2:$N$62,3,FALSE)-F284-E284-D284)))</f>
        <v>549.56217903827155</v>
      </c>
      <c r="H284" s="19">
        <f>IF(J284=1,Specification!$I$14,IF(J284=2,Specification!$I$15,IF(J284=3,Specification!$I$16)))</f>
        <v>578.93404261974786</v>
      </c>
      <c r="I284" s="16">
        <v>0</v>
      </c>
      <c r="J284" s="17">
        <v>3</v>
      </c>
      <c r="K284" s="16">
        <f>IF(J284=1,VLOOKUP(B284,RPM!$F$2:$H$62,3,TRUE),IF(J284=2,VLOOKUP(B284,RPM!$I$2:$K$62,3,TRUE),IF(J284=3,VLOOKUP(B284,RPM!$L$2:$N$62,3,TRUE))))</f>
        <v>4300</v>
      </c>
      <c r="L284" s="17">
        <f t="shared" si="48"/>
        <v>23.766671575461938</v>
      </c>
      <c r="M284" s="16">
        <f t="shared" si="45"/>
        <v>0</v>
      </c>
      <c r="N284" s="17">
        <f>VLOOKUP(K284,RPM!$A$2:$D$62,3,FALSE)</f>
        <v>11.4</v>
      </c>
      <c r="O284" s="16">
        <f>VLOOKUP(K284,RPM!$A$2:$D$62,4,FALSE)</f>
        <v>18.894837209302327</v>
      </c>
      <c r="P284" s="17">
        <f t="shared" si="46"/>
        <v>14.089880106976747</v>
      </c>
      <c r="Q284" s="16" cm="1">
        <f t="array" ref="Q284">_xlfn.XLOOKUP(O284,BSFC!$A$2:$A$24,_xlfn.XLOOKUP(K284,BSFC!$B$1:$O$1,BSFC!$B$2:$O$24,,-1),,-1)</f>
        <v>480</v>
      </c>
      <c r="R284" s="17">
        <f t="shared" si="47"/>
        <v>1.8786506809302328</v>
      </c>
      <c r="S284" s="16">
        <f t="shared" si="49"/>
        <v>2.9183485335177264E-4</v>
      </c>
      <c r="T284" s="17">
        <f t="shared" si="53"/>
        <v>0.14008072960885087</v>
      </c>
      <c r="U284" s="16">
        <f t="shared" si="54"/>
        <v>42.668595268276491</v>
      </c>
      <c r="V284" s="17">
        <f t="shared" si="55"/>
        <v>8.6846073141549976E-2</v>
      </c>
      <c r="W284" s="16">
        <f t="shared" si="50"/>
        <v>312645.8633095799</v>
      </c>
      <c r="X284">
        <f>('Hybrid Info'!$A$2-Track!P284)*(L284-L283)*1000+X283</f>
        <v>-29650.384145668886</v>
      </c>
    </row>
    <row r="285" spans="1:24">
      <c r="A285" s="16">
        <f t="shared" si="51"/>
        <v>284</v>
      </c>
      <c r="B285" s="17">
        <f t="shared" si="52"/>
        <v>13.411199999999999</v>
      </c>
      <c r="C285" s="18">
        <f>Specification!$G$30</f>
        <v>109.96225200000001</v>
      </c>
      <c r="D285" s="17">
        <f>0.5*Specification!$K$4*Track!B285^2*Specification!$K$3*Specification!$K$2</f>
        <v>93.159842569492653</v>
      </c>
      <c r="E285" s="16">
        <v>0</v>
      </c>
      <c r="F285" s="17">
        <f>Specification!$C$23*9.81*SIN((E285*PI()/180))</f>
        <v>0</v>
      </c>
      <c r="G285" s="18">
        <f>IF(J285=1,VLOOKUP(K285,RPM!$E$2:$H$62,3,FALSE)-F285-E285-D285,IF(J285=2,VLOOKUP(K285,RPM!$H$2:$K$62,3,FALSE)-F285-E285-D285,IF(J285=3,VLOOKUP(K285,RPM!$K$2:$N$62,3,FALSE)-F285-E285-D285)))</f>
        <v>549.56217903827155</v>
      </c>
      <c r="H285" s="19">
        <f>IF(J285=1,Specification!$I$14,IF(J285=2,Specification!$I$15,IF(J285=3,Specification!$I$16)))</f>
        <v>578.93404261974786</v>
      </c>
      <c r="I285" s="16">
        <v>0</v>
      </c>
      <c r="J285" s="17">
        <v>3</v>
      </c>
      <c r="K285" s="16">
        <f>IF(J285=1,VLOOKUP(B285,RPM!$F$2:$H$62,3,TRUE),IF(J285=2,VLOOKUP(B285,RPM!$I$2:$K$62,3,TRUE),IF(J285=3,VLOOKUP(B285,RPM!$L$2:$N$62,3,TRUE))))</f>
        <v>4300</v>
      </c>
      <c r="L285" s="17">
        <f t="shared" si="48"/>
        <v>23.841236118530418</v>
      </c>
      <c r="M285" s="16">
        <f t="shared" si="45"/>
        <v>0</v>
      </c>
      <c r="N285" s="17">
        <f>VLOOKUP(K285,RPM!$A$2:$D$62,3,FALSE)</f>
        <v>11.4</v>
      </c>
      <c r="O285" s="16">
        <f>VLOOKUP(K285,RPM!$A$2:$D$62,4,FALSE)</f>
        <v>18.894837209302327</v>
      </c>
      <c r="P285" s="17">
        <f t="shared" si="46"/>
        <v>14.089880106976747</v>
      </c>
      <c r="Q285" s="16" cm="1">
        <f t="array" ref="Q285">_xlfn.XLOOKUP(O285,BSFC!$A$2:$A$24,_xlfn.XLOOKUP(K285,BSFC!$B$1:$O$1,BSFC!$B$2:$O$24,,-1),,-1)</f>
        <v>480</v>
      </c>
      <c r="R285" s="17">
        <f t="shared" si="47"/>
        <v>1.8786506809302328</v>
      </c>
      <c r="S285" s="16">
        <f t="shared" si="49"/>
        <v>2.9183485335177264E-4</v>
      </c>
      <c r="T285" s="17">
        <f t="shared" si="53"/>
        <v>0.14008072960885087</v>
      </c>
      <c r="U285" s="16">
        <f t="shared" si="54"/>
        <v>42.808675997885345</v>
      </c>
      <c r="V285" s="17">
        <f t="shared" si="55"/>
        <v>8.7137907994901745E-2</v>
      </c>
      <c r="W285" s="16">
        <f t="shared" si="50"/>
        <v>313696.46878164628</v>
      </c>
      <c r="X285">
        <f>('Hybrid Info'!$A$2-Track!P285)*(L285-L284)*1000+X284</f>
        <v>-29797.233459018298</v>
      </c>
    </row>
    <row r="286" spans="1:24">
      <c r="A286" s="16">
        <f t="shared" si="51"/>
        <v>285</v>
      </c>
      <c r="B286" s="17">
        <f t="shared" si="52"/>
        <v>13.411199999999999</v>
      </c>
      <c r="C286" s="18">
        <f>Specification!$G$30</f>
        <v>109.96225200000001</v>
      </c>
      <c r="D286" s="17">
        <f>0.5*Specification!$K$4*Track!B286^2*Specification!$K$3*Specification!$K$2</f>
        <v>93.159842569492653</v>
      </c>
      <c r="E286" s="16">
        <v>0</v>
      </c>
      <c r="F286" s="17">
        <f>Specification!$C$23*9.81*SIN((E286*PI()/180))</f>
        <v>0</v>
      </c>
      <c r="G286" s="18">
        <f>IF(J286=1,VLOOKUP(K286,RPM!$E$2:$H$62,3,FALSE)-F286-E286-D286,IF(J286=2,VLOOKUP(K286,RPM!$H$2:$K$62,3,FALSE)-F286-E286-D286,IF(J286=3,VLOOKUP(K286,RPM!$K$2:$N$62,3,FALSE)-F286-E286-D286)))</f>
        <v>549.56217903827155</v>
      </c>
      <c r="H286" s="19">
        <f>IF(J286=1,Specification!$I$14,IF(J286=2,Specification!$I$15,IF(J286=3,Specification!$I$16)))</f>
        <v>578.93404261974786</v>
      </c>
      <c r="I286" s="16">
        <v>0</v>
      </c>
      <c r="J286" s="17">
        <v>3</v>
      </c>
      <c r="K286" s="16">
        <f>IF(J286=1,VLOOKUP(B286,RPM!$F$2:$H$62,3,TRUE),IF(J286=2,VLOOKUP(B286,RPM!$I$2:$K$62,3,TRUE),IF(J286=3,VLOOKUP(B286,RPM!$L$2:$N$62,3,TRUE))))</f>
        <v>4300</v>
      </c>
      <c r="L286" s="17">
        <f t="shared" si="48"/>
        <v>23.915800661598897</v>
      </c>
      <c r="M286" s="16">
        <f t="shared" si="45"/>
        <v>0</v>
      </c>
      <c r="N286" s="17">
        <f>VLOOKUP(K286,RPM!$A$2:$D$62,3,FALSE)</f>
        <v>11.4</v>
      </c>
      <c r="O286" s="16">
        <f>VLOOKUP(K286,RPM!$A$2:$D$62,4,FALSE)</f>
        <v>18.894837209302327</v>
      </c>
      <c r="P286" s="17">
        <f t="shared" si="46"/>
        <v>14.089880106976747</v>
      </c>
      <c r="Q286" s="16" cm="1">
        <f t="array" ref="Q286">_xlfn.XLOOKUP(O286,BSFC!$A$2:$A$24,_xlfn.XLOOKUP(K286,BSFC!$B$1:$O$1,BSFC!$B$2:$O$24,,-1),,-1)</f>
        <v>480</v>
      </c>
      <c r="R286" s="17">
        <f t="shared" si="47"/>
        <v>1.8786506809302328</v>
      </c>
      <c r="S286" s="16">
        <f t="shared" si="49"/>
        <v>2.9183485335177264E-4</v>
      </c>
      <c r="T286" s="17">
        <f t="shared" si="53"/>
        <v>0.14008072960885087</v>
      </c>
      <c r="U286" s="16">
        <f t="shared" si="54"/>
        <v>42.948756727494199</v>
      </c>
      <c r="V286" s="17">
        <f t="shared" si="55"/>
        <v>8.7429742848253514E-2</v>
      </c>
      <c r="W286" s="16">
        <f t="shared" si="50"/>
        <v>314747.07425371266</v>
      </c>
      <c r="X286">
        <f>('Hybrid Info'!$A$2-Track!P286)*(L286-L285)*1000+X285</f>
        <v>-29944.08277236771</v>
      </c>
    </row>
    <row r="287" spans="1:24">
      <c r="A287" s="16">
        <f t="shared" si="51"/>
        <v>286</v>
      </c>
      <c r="B287" s="17">
        <f t="shared" si="52"/>
        <v>13.411199999999999</v>
      </c>
      <c r="C287" s="18">
        <f>Specification!$G$30</f>
        <v>109.96225200000001</v>
      </c>
      <c r="D287" s="17">
        <f>0.5*Specification!$K$4*Track!B287^2*Specification!$K$3*Specification!$K$2</f>
        <v>93.159842569492653</v>
      </c>
      <c r="E287" s="16">
        <v>0</v>
      </c>
      <c r="F287" s="17">
        <f>Specification!$C$23*9.81*SIN((E287*PI()/180))</f>
        <v>0</v>
      </c>
      <c r="G287" s="18">
        <f>IF(J287=1,VLOOKUP(K287,RPM!$E$2:$H$62,3,FALSE)-F287-E287-D287,IF(J287=2,VLOOKUP(K287,RPM!$H$2:$K$62,3,FALSE)-F287-E287-D287,IF(J287=3,VLOOKUP(K287,RPM!$K$2:$N$62,3,FALSE)-F287-E287-D287)))</f>
        <v>549.56217903827155</v>
      </c>
      <c r="H287" s="19">
        <f>IF(J287=1,Specification!$I$14,IF(J287=2,Specification!$I$15,IF(J287=3,Specification!$I$16)))</f>
        <v>578.93404261974786</v>
      </c>
      <c r="I287" s="16">
        <v>0</v>
      </c>
      <c r="J287" s="17">
        <v>3</v>
      </c>
      <c r="K287" s="16">
        <f>IF(J287=1,VLOOKUP(B287,RPM!$F$2:$H$62,3,TRUE),IF(J287=2,VLOOKUP(B287,RPM!$I$2:$K$62,3,TRUE),IF(J287=3,VLOOKUP(B287,RPM!$L$2:$N$62,3,TRUE))))</f>
        <v>4300</v>
      </c>
      <c r="L287" s="17">
        <f t="shared" si="48"/>
        <v>23.990365204667377</v>
      </c>
      <c r="M287" s="16">
        <f t="shared" si="45"/>
        <v>0</v>
      </c>
      <c r="N287" s="17">
        <f>VLOOKUP(K287,RPM!$A$2:$D$62,3,FALSE)</f>
        <v>11.4</v>
      </c>
      <c r="O287" s="16">
        <f>VLOOKUP(K287,RPM!$A$2:$D$62,4,FALSE)</f>
        <v>18.894837209302327</v>
      </c>
      <c r="P287" s="17">
        <f t="shared" si="46"/>
        <v>14.089880106976747</v>
      </c>
      <c r="Q287" s="16" cm="1">
        <f t="array" ref="Q287">_xlfn.XLOOKUP(O287,BSFC!$A$2:$A$24,_xlfn.XLOOKUP(K287,BSFC!$B$1:$O$1,BSFC!$B$2:$O$24,,-1),,-1)</f>
        <v>480</v>
      </c>
      <c r="R287" s="17">
        <f t="shared" si="47"/>
        <v>1.8786506809302328</v>
      </c>
      <c r="S287" s="16">
        <f t="shared" si="49"/>
        <v>2.9183485335177264E-4</v>
      </c>
      <c r="T287" s="17">
        <f t="shared" si="53"/>
        <v>0.14008072960885087</v>
      </c>
      <c r="U287" s="16">
        <f t="shared" si="54"/>
        <v>43.088837457103054</v>
      </c>
      <c r="V287" s="17">
        <f t="shared" si="55"/>
        <v>8.7721577701605283E-2</v>
      </c>
      <c r="W287" s="16">
        <f t="shared" si="50"/>
        <v>315797.67972577905</v>
      </c>
      <c r="X287">
        <f>('Hybrid Info'!$A$2-Track!P287)*(L287-L286)*1000+X286</f>
        <v>-30090.932085717122</v>
      </c>
    </row>
    <row r="288" spans="1:24">
      <c r="A288" s="16">
        <f t="shared" si="51"/>
        <v>287</v>
      </c>
      <c r="B288" s="17">
        <f t="shared" si="52"/>
        <v>13.411199999999999</v>
      </c>
      <c r="C288" s="18">
        <f>Specification!$G$30</f>
        <v>109.96225200000001</v>
      </c>
      <c r="D288" s="17">
        <f>0.5*Specification!$K$4*Track!B288^2*Specification!$K$3*Specification!$K$2</f>
        <v>93.159842569492653</v>
      </c>
      <c r="E288" s="16">
        <v>0</v>
      </c>
      <c r="F288" s="17">
        <f>Specification!$C$23*9.81*SIN((E288*PI()/180))</f>
        <v>0</v>
      </c>
      <c r="G288" s="18">
        <f>IF(J288=1,VLOOKUP(K288,RPM!$E$2:$H$62,3,FALSE)-F288-E288-D288,IF(J288=2,VLOOKUP(K288,RPM!$H$2:$K$62,3,FALSE)-F288-E288-D288,IF(J288=3,VLOOKUP(K288,RPM!$K$2:$N$62,3,FALSE)-F288-E288-D288)))</f>
        <v>549.56217903827155</v>
      </c>
      <c r="H288" s="19">
        <f>IF(J288=1,Specification!$I$14,IF(J288=2,Specification!$I$15,IF(J288=3,Specification!$I$16)))</f>
        <v>578.93404261974786</v>
      </c>
      <c r="I288" s="16">
        <v>0</v>
      </c>
      <c r="J288" s="17">
        <v>3</v>
      </c>
      <c r="K288" s="16">
        <f>IF(J288=1,VLOOKUP(B288,RPM!$F$2:$H$62,3,TRUE),IF(J288=2,VLOOKUP(B288,RPM!$I$2:$K$62,3,TRUE),IF(J288=3,VLOOKUP(B288,RPM!$L$2:$N$62,3,TRUE))))</f>
        <v>4300</v>
      </c>
      <c r="L288" s="17">
        <f t="shared" si="48"/>
        <v>24.064929747735857</v>
      </c>
      <c r="M288" s="16">
        <f t="shared" si="45"/>
        <v>0</v>
      </c>
      <c r="N288" s="17">
        <f>VLOOKUP(K288,RPM!$A$2:$D$62,3,FALSE)</f>
        <v>11.4</v>
      </c>
      <c r="O288" s="16">
        <f>VLOOKUP(K288,RPM!$A$2:$D$62,4,FALSE)</f>
        <v>18.894837209302327</v>
      </c>
      <c r="P288" s="17">
        <f t="shared" si="46"/>
        <v>14.089880106976747</v>
      </c>
      <c r="Q288" s="16" cm="1">
        <f t="array" ref="Q288">_xlfn.XLOOKUP(O288,BSFC!$A$2:$A$24,_xlfn.XLOOKUP(K288,BSFC!$B$1:$O$1,BSFC!$B$2:$O$24,,-1),,-1)</f>
        <v>480</v>
      </c>
      <c r="R288" s="17">
        <f t="shared" si="47"/>
        <v>1.8786506809302328</v>
      </c>
      <c r="S288" s="16">
        <f t="shared" si="49"/>
        <v>2.9183485335177264E-4</v>
      </c>
      <c r="T288" s="17">
        <f t="shared" si="53"/>
        <v>0.14008072960885087</v>
      </c>
      <c r="U288" s="16">
        <f t="shared" si="54"/>
        <v>43.228918186711908</v>
      </c>
      <c r="V288" s="17">
        <f t="shared" si="55"/>
        <v>8.8013412554957052E-2</v>
      </c>
      <c r="W288" s="16">
        <f t="shared" si="50"/>
        <v>316848.28519784543</v>
      </c>
      <c r="X288">
        <f>('Hybrid Info'!$A$2-Track!P288)*(L288-L287)*1000+X287</f>
        <v>-30237.781399066535</v>
      </c>
    </row>
    <row r="289" spans="1:24">
      <c r="A289" s="16">
        <f t="shared" si="51"/>
        <v>288</v>
      </c>
      <c r="B289" s="17">
        <f t="shared" si="52"/>
        <v>13.411199999999999</v>
      </c>
      <c r="C289" s="18">
        <f>Specification!$G$30</f>
        <v>109.96225200000001</v>
      </c>
      <c r="D289" s="17">
        <f>0.5*Specification!$K$4*Track!B289^2*Specification!$K$3*Specification!$K$2</f>
        <v>93.159842569492653</v>
      </c>
      <c r="E289" s="16">
        <v>0</v>
      </c>
      <c r="F289" s="17">
        <f>Specification!$C$23*9.81*SIN((E289*PI()/180))</f>
        <v>0</v>
      </c>
      <c r="G289" s="18">
        <f>IF(J289=1,VLOOKUP(K289,RPM!$E$2:$H$62,3,FALSE)-F289-E289-D289,IF(J289=2,VLOOKUP(K289,RPM!$H$2:$K$62,3,FALSE)-F289-E289-D289,IF(J289=3,VLOOKUP(K289,RPM!$K$2:$N$62,3,FALSE)-F289-E289-D289)))</f>
        <v>549.56217903827155</v>
      </c>
      <c r="H289" s="19">
        <f>IF(J289=1,Specification!$I$14,IF(J289=2,Specification!$I$15,IF(J289=3,Specification!$I$16)))</f>
        <v>578.93404261974786</v>
      </c>
      <c r="I289" s="16">
        <f>Specification!$F$13</f>
        <v>-2.4219830853227711</v>
      </c>
      <c r="J289" s="17">
        <v>3</v>
      </c>
      <c r="K289" s="16">
        <f>IF(J289=1,VLOOKUP(B289,RPM!$F$2:$H$62,3,TRUE),IF(J289=2,VLOOKUP(B289,RPM!$I$2:$K$62,3,TRUE),IF(J289=3,VLOOKUP(B289,RPM!$L$2:$N$62,3,TRUE))))</f>
        <v>4300</v>
      </c>
      <c r="L289" s="17">
        <f t="shared" si="48"/>
        <v>24.140003207065096</v>
      </c>
      <c r="M289" s="16">
        <f t="shared" si="45"/>
        <v>0</v>
      </c>
      <c r="N289" s="17">
        <f>VLOOKUP(K289,RPM!$A$2:$D$62,3,FALSE)</f>
        <v>11.4</v>
      </c>
      <c r="O289" s="16">
        <f>VLOOKUP(K289,RPM!$A$2:$D$62,4,FALSE)</f>
        <v>18.894837209302327</v>
      </c>
      <c r="P289" s="17">
        <f t="shared" si="46"/>
        <v>14.089880106976747</v>
      </c>
      <c r="Q289" s="16" cm="1">
        <f t="array" ref="Q289">_xlfn.XLOOKUP(O289,BSFC!$A$2:$A$24,_xlfn.XLOOKUP(K289,BSFC!$B$1:$O$1,BSFC!$B$2:$O$24,,-1),,-1)</f>
        <v>480</v>
      </c>
      <c r="R289" s="17">
        <f t="shared" si="47"/>
        <v>1.8786506809302328</v>
      </c>
      <c r="S289" s="16">
        <f t="shared" si="49"/>
        <v>2.9382667810138224E-4</v>
      </c>
      <c r="T289" s="17">
        <f t="shared" si="53"/>
        <v>0.14103680548866349</v>
      </c>
      <c r="U289" s="16">
        <f t="shared" si="54"/>
        <v>43.369954992200569</v>
      </c>
      <c r="V289" s="17">
        <f t="shared" si="55"/>
        <v>8.8307239233058429E-2</v>
      </c>
      <c r="W289" s="16">
        <f t="shared" si="50"/>
        <v>317906.06123901031</v>
      </c>
      <c r="X289">
        <f>('Hybrid Info'!$A$2-Track!P289)*(L289-L288)*1000+X288</f>
        <v>-30385.632985082946</v>
      </c>
    </row>
    <row r="290" spans="1:24">
      <c r="A290" s="16">
        <f t="shared" si="51"/>
        <v>289</v>
      </c>
      <c r="B290" s="17">
        <f t="shared" si="52"/>
        <v>13.229373351347919</v>
      </c>
      <c r="C290" s="18">
        <f>Specification!$G$30</f>
        <v>109.96225200000001</v>
      </c>
      <c r="D290" s="17">
        <f>0.5*Specification!$K$4*Track!B290^2*Specification!$K$3*Specification!$K$2</f>
        <v>90.650877765142752</v>
      </c>
      <c r="E290" s="16">
        <v>0</v>
      </c>
      <c r="F290" s="17">
        <f>Specification!$C$23*9.81*SIN((E290*PI()/180))</f>
        <v>0</v>
      </c>
      <c r="G290" s="18">
        <f>IF(J290=1,VLOOKUP(K290,RPM!$E$2:$H$62,3,FALSE)-F290-E290-D290,IF(J290=2,VLOOKUP(K290,RPM!$H$2:$K$62,3,FALSE)-F290-E290-D290,IF(J290=3,VLOOKUP(K290,RPM!$K$2:$N$62,3,FALSE)-F290-E290-D290)))</f>
        <v>550.05760367467724</v>
      </c>
      <c r="H290" s="19">
        <f>IF(J290=1,Specification!$I$14,IF(J290=2,Specification!$I$15,IF(J290=3,Specification!$I$16)))</f>
        <v>578.93404261974786</v>
      </c>
      <c r="I290" s="16">
        <f>Specification!$F$13</f>
        <v>-2.4219830853227711</v>
      </c>
      <c r="J290" s="17">
        <v>3</v>
      </c>
      <c r="K290" s="16">
        <f>IF(J290=1,VLOOKUP(B290,RPM!$F$2:$H$62,3,TRUE),IF(J290=2,VLOOKUP(B290,RPM!$I$2:$K$62,3,TRUE),IF(J290=3,VLOOKUP(B290,RPM!$L$2:$N$62,3,TRUE))))</f>
        <v>4200</v>
      </c>
      <c r="L290" s="17">
        <f t="shared" si="48"/>
        <v>24.216122968933455</v>
      </c>
      <c r="M290" s="16">
        <f t="shared" si="45"/>
        <v>0</v>
      </c>
      <c r="N290" s="17">
        <f>VLOOKUP(K290,RPM!$A$2:$D$62,3,FALSE)</f>
        <v>11.1</v>
      </c>
      <c r="O290" s="16">
        <f>VLOOKUP(K290,RPM!$A$2:$D$62,4,FALSE)</f>
        <v>18.835642857142858</v>
      </c>
      <c r="P290" s="17">
        <f t="shared" si="46"/>
        <v>14.045738878571429</v>
      </c>
      <c r="Q290" s="16" cm="1">
        <f t="array" ref="Q290">_xlfn.XLOOKUP(O290,BSFC!$A$2:$A$24,_xlfn.XLOOKUP(K290,BSFC!$B$1:$O$1,BSFC!$B$2:$O$24,,-1),,-1)</f>
        <v>480</v>
      </c>
      <c r="R290" s="17">
        <f t="shared" si="47"/>
        <v>1.8727651838095238</v>
      </c>
      <c r="S290" s="16">
        <f t="shared" si="49"/>
        <v>2.9698841630611315E-4</v>
      </c>
      <c r="T290" s="17">
        <f t="shared" si="53"/>
        <v>0.1425544398269343</v>
      </c>
      <c r="U290" s="16">
        <f t="shared" si="54"/>
        <v>43.5125094320275</v>
      </c>
      <c r="V290" s="17">
        <f t="shared" si="55"/>
        <v>8.8604227649364542E-2</v>
      </c>
      <c r="W290" s="16">
        <f t="shared" si="50"/>
        <v>318975.21953771234</v>
      </c>
      <c r="X290">
        <f>('Hybrid Info'!$A$2-Track!P290)*(L290-L289)*1000+X289</f>
        <v>-30532.185166217536</v>
      </c>
    </row>
    <row r="291" spans="1:24">
      <c r="A291" s="16">
        <f t="shared" si="51"/>
        <v>290</v>
      </c>
      <c r="B291" s="17">
        <f t="shared" si="52"/>
        <v>13.045012575643955</v>
      </c>
      <c r="C291" s="18">
        <f>Specification!$G$30</f>
        <v>109.96225200000001</v>
      </c>
      <c r="D291" s="17">
        <f>0.5*Specification!$K$4*Track!B291^2*Specification!$K$3*Specification!$K$2</f>
        <v>88.14191296079288</v>
      </c>
      <c r="E291" s="16">
        <v>0</v>
      </c>
      <c r="F291" s="17">
        <f>Specification!$C$23*9.81*SIN((E291*PI()/180))</f>
        <v>0</v>
      </c>
      <c r="G291" s="18">
        <f>IF(J291=1,VLOOKUP(K291,RPM!$E$2:$H$62,3,FALSE)-F291-E291-D291,IF(J291=2,VLOOKUP(K291,RPM!$H$2:$K$62,3,FALSE)-F291-E291-D291,IF(J291=3,VLOOKUP(K291,RPM!$K$2:$N$62,3,FALSE)-F291-E291-D291)))</f>
        <v>552.56656847902718</v>
      </c>
      <c r="H291" s="19">
        <f>IF(J291=1,Specification!$I$14,IF(J291=2,Specification!$I$15,IF(J291=3,Specification!$I$16)))</f>
        <v>578.93404261974786</v>
      </c>
      <c r="I291" s="16">
        <f>Specification!$F$13</f>
        <v>-2.4219830853227711</v>
      </c>
      <c r="J291" s="17">
        <v>3</v>
      </c>
      <c r="K291" s="16">
        <f>IF(J291=1,VLOOKUP(B291,RPM!$F$2:$H$62,3,TRUE),IF(J291=2,VLOOKUP(B291,RPM!$I$2:$K$62,3,TRUE),IF(J291=3,VLOOKUP(B291,RPM!$L$2:$N$62,3,TRUE))))</f>
        <v>4200</v>
      </c>
      <c r="L291" s="17">
        <f t="shared" si="48"/>
        <v>24.293334039453871</v>
      </c>
      <c r="M291" s="16">
        <f t="shared" si="45"/>
        <v>0</v>
      </c>
      <c r="N291" s="17">
        <f>VLOOKUP(K291,RPM!$A$2:$D$62,3,FALSE)</f>
        <v>11.1</v>
      </c>
      <c r="O291" s="16">
        <f>VLOOKUP(K291,RPM!$A$2:$D$62,4,FALSE)</f>
        <v>18.835642857142858</v>
      </c>
      <c r="P291" s="17">
        <f t="shared" si="46"/>
        <v>14.045738878571429</v>
      </c>
      <c r="Q291" s="16" cm="1">
        <f t="array" ref="Q291">_xlfn.XLOOKUP(O291,BSFC!$A$2:$A$24,_xlfn.XLOOKUP(K291,BSFC!$B$1:$O$1,BSFC!$B$2:$O$24,,-1),,-1)</f>
        <v>480</v>
      </c>
      <c r="R291" s="17">
        <f t="shared" si="47"/>
        <v>1.8727651838095238</v>
      </c>
      <c r="S291" s="16">
        <f t="shared" si="49"/>
        <v>3.0124625974020327E-4</v>
      </c>
      <c r="T291" s="17">
        <f t="shared" si="53"/>
        <v>0.14459820467529758</v>
      </c>
      <c r="U291" s="16">
        <f t="shared" si="54"/>
        <v>43.657107636702797</v>
      </c>
      <c r="V291" s="17">
        <f t="shared" si="55"/>
        <v>8.8905473909104749E-2</v>
      </c>
      <c r="W291" s="16">
        <f t="shared" si="50"/>
        <v>320059.70607277704</v>
      </c>
      <c r="X291">
        <f>('Hybrid Info'!$A$2-Track!P291)*(L291-L290)*1000+X290</f>
        <v>-30680.838426747599</v>
      </c>
    </row>
    <row r="292" spans="1:24">
      <c r="A292" s="16">
        <f t="shared" si="51"/>
        <v>291</v>
      </c>
      <c r="B292" s="17">
        <f t="shared" si="52"/>
        <v>12.858008668843844</v>
      </c>
      <c r="C292" s="18">
        <f>Specification!$G$30</f>
        <v>109.96225200000001</v>
      </c>
      <c r="D292" s="17">
        <f>0.5*Specification!$K$4*Track!B292^2*Specification!$K$3*Specification!$K$2</f>
        <v>85.632948156442993</v>
      </c>
      <c r="E292" s="16">
        <v>0</v>
      </c>
      <c r="F292" s="17">
        <f>Specification!$C$23*9.81*SIN((E292*PI()/180))</f>
        <v>0</v>
      </c>
      <c r="G292" s="18">
        <f>IF(J292=1,VLOOKUP(K292,RPM!$E$2:$H$62,3,FALSE)-F292-E292-D292,IF(J292=2,VLOOKUP(K292,RPM!$H$2:$K$62,3,FALSE)-F292-E292-D292,IF(J292=3,VLOOKUP(K292,RPM!$K$2:$N$62,3,FALSE)-F292-E292-D292)))</f>
        <v>552.96377164382591</v>
      </c>
      <c r="H292" s="19">
        <f>IF(J292=1,Specification!$I$14,IF(J292=2,Specification!$I$15,IF(J292=3,Specification!$I$16)))</f>
        <v>578.93404261974786</v>
      </c>
      <c r="I292" s="16">
        <f>Specification!$F$13</f>
        <v>-2.4219830853227711</v>
      </c>
      <c r="J292" s="17">
        <v>3</v>
      </c>
      <c r="K292" s="16">
        <f>IF(J292=1,VLOOKUP(B292,RPM!$F$2:$H$62,3,TRUE),IF(J292=2,VLOOKUP(B292,RPM!$I$2:$K$62,3,TRUE),IF(J292=3,VLOOKUP(B292,RPM!$L$2:$N$62,3,TRUE))))</f>
        <v>4100</v>
      </c>
      <c r="L292" s="17">
        <f t="shared" si="48"/>
        <v>24.371684746878302</v>
      </c>
      <c r="M292" s="16">
        <f t="shared" si="45"/>
        <v>0</v>
      </c>
      <c r="N292" s="17">
        <f>VLOOKUP(K292,RPM!$A$2:$D$62,3,FALSE)</f>
        <v>10.8</v>
      </c>
      <c r="O292" s="16">
        <f>VLOOKUP(K292,RPM!$A$2:$D$62,4,FALSE)</f>
        <v>18.773560975609758</v>
      </c>
      <c r="P292" s="17">
        <f t="shared" si="46"/>
        <v>13.999444419512198</v>
      </c>
      <c r="Q292" s="16" cm="1">
        <f t="array" ref="Q292">_xlfn.XLOOKUP(O292,BSFC!$A$2:$A$24,_xlfn.XLOOKUP(K292,BSFC!$B$1:$O$1,BSFC!$B$2:$O$24,,-1),,-1)</f>
        <v>480</v>
      </c>
      <c r="R292" s="17">
        <f t="shared" si="47"/>
        <v>1.8665925892682931</v>
      </c>
      <c r="S292" s="16">
        <f t="shared" si="49"/>
        <v>3.0468510383827127E-4</v>
      </c>
      <c r="T292" s="17">
        <f t="shared" si="53"/>
        <v>0.14624884984237022</v>
      </c>
      <c r="U292" s="16">
        <f t="shared" si="54"/>
        <v>43.803356486545169</v>
      </c>
      <c r="V292" s="17">
        <f t="shared" si="55"/>
        <v>8.9210159012943019E-2</v>
      </c>
      <c r="W292" s="16">
        <f t="shared" si="50"/>
        <v>321156.57244659489</v>
      </c>
      <c r="X292">
        <f>('Hybrid Info'!$A$2-Track!P292)*(L292-L291)*1000+X291</f>
        <v>-30828.058608679923</v>
      </c>
    </row>
    <row r="293" spans="1:24">
      <c r="A293" s="16">
        <f t="shared" si="51"/>
        <v>292</v>
      </c>
      <c r="B293" s="17">
        <f t="shared" si="52"/>
        <v>12.668244580738797</v>
      </c>
      <c r="C293" s="18">
        <f>Specification!$G$30</f>
        <v>109.96225200000001</v>
      </c>
      <c r="D293" s="17">
        <f>0.5*Specification!$K$4*Track!B293^2*Specification!$K$3*Specification!$K$2</f>
        <v>83.123983352093092</v>
      </c>
      <c r="E293" s="16">
        <v>0</v>
      </c>
      <c r="F293" s="17">
        <f>Specification!$C$23*9.81*SIN((E293*PI()/180))</f>
        <v>0</v>
      </c>
      <c r="G293" s="18">
        <f>IF(J293=1,VLOOKUP(K293,RPM!$E$2:$H$62,3,FALSE)-F293-E293-D293,IF(J293=2,VLOOKUP(K293,RPM!$H$2:$K$62,3,FALSE)-F293-E293-D293,IF(J293=3,VLOOKUP(K293,RPM!$K$2:$N$62,3,FALSE)-F293-E293-D293)))</f>
        <v>555.47273644817585</v>
      </c>
      <c r="H293" s="19">
        <f>IF(J293=1,Specification!$I$14,IF(J293=2,Specification!$I$15,IF(J293=3,Specification!$I$16)))</f>
        <v>578.93404261974786</v>
      </c>
      <c r="I293" s="16">
        <f>Specification!$F$13</f>
        <v>-2.4219830853227711</v>
      </c>
      <c r="J293" s="17">
        <v>3</v>
      </c>
      <c r="K293" s="16">
        <f>IF(J293=1,VLOOKUP(B293,RPM!$F$2:$H$62,3,TRUE),IF(J293=2,VLOOKUP(B293,RPM!$I$2:$K$62,3,TRUE),IF(J293=3,VLOOKUP(B293,RPM!$L$2:$N$62,3,TRUE))))</f>
        <v>4100</v>
      </c>
      <c r="L293" s="17">
        <f t="shared" si="48"/>
        <v>24.451227095398284</v>
      </c>
      <c r="M293" s="16">
        <f t="shared" si="45"/>
        <v>0</v>
      </c>
      <c r="N293" s="17">
        <f>VLOOKUP(K293,RPM!$A$2:$D$62,3,FALSE)</f>
        <v>10.8</v>
      </c>
      <c r="O293" s="16">
        <f>VLOOKUP(K293,RPM!$A$2:$D$62,4,FALSE)</f>
        <v>18.773560975609758</v>
      </c>
      <c r="P293" s="17">
        <f t="shared" si="46"/>
        <v>13.999444419512198</v>
      </c>
      <c r="Q293" s="16" cm="1">
        <f t="array" ref="Q293">_xlfn.XLOOKUP(O293,BSFC!$A$2:$A$24,_xlfn.XLOOKUP(K293,BSFC!$B$1:$O$1,BSFC!$B$2:$O$24,,-1),,-1)</f>
        <v>480</v>
      </c>
      <c r="R293" s="17">
        <f t="shared" si="47"/>
        <v>1.8665925892682931</v>
      </c>
      <c r="S293" s="16">
        <f t="shared" si="49"/>
        <v>3.0931907975082374E-4</v>
      </c>
      <c r="T293" s="17">
        <f t="shared" si="53"/>
        <v>0.1484731582803954</v>
      </c>
      <c r="U293" s="16">
        <f t="shared" si="54"/>
        <v>43.951829644825565</v>
      </c>
      <c r="V293" s="17">
        <f t="shared" si="55"/>
        <v>8.9519478092693838E-2</v>
      </c>
      <c r="W293" s="16">
        <f t="shared" si="50"/>
        <v>322270.12113369786</v>
      </c>
      <c r="X293">
        <f>('Hybrid Info'!$A$2-Track!P293)*(L293-L292)*1000+X292</f>
        <v>-30977.517872104323</v>
      </c>
    </row>
    <row r="294" spans="1:24">
      <c r="A294" s="16">
        <f t="shared" si="51"/>
        <v>293</v>
      </c>
      <c r="B294" s="17">
        <f t="shared" si="52"/>
        <v>12.475594358056547</v>
      </c>
      <c r="C294" s="18">
        <f>Specification!$G$30</f>
        <v>109.96225200000001</v>
      </c>
      <c r="D294" s="17">
        <f>0.5*Specification!$K$4*Track!B294^2*Specification!$K$3*Specification!$K$2</f>
        <v>80.61501854774319</v>
      </c>
      <c r="E294" s="16">
        <v>0</v>
      </c>
      <c r="F294" s="17">
        <f>Specification!$C$23*9.81*SIN((E294*PI()/180))</f>
        <v>0</v>
      </c>
      <c r="G294" s="18">
        <f>IF(J294=1,VLOOKUP(K294,RPM!$E$2:$H$62,3,FALSE)-F294-E294-D294,IF(J294=2,VLOOKUP(K294,RPM!$H$2:$K$62,3,FALSE)-F294-E294-D294,IF(J294=3,VLOOKUP(K294,RPM!$K$2:$N$62,3,FALSE)-F294-E294-D294)))</f>
        <v>555.76435153099703</v>
      </c>
      <c r="H294" s="19">
        <f>IF(J294=1,Specification!$I$14,IF(J294=2,Specification!$I$15,IF(J294=3,Specification!$I$16)))</f>
        <v>578.93404261974786</v>
      </c>
      <c r="I294" s="16">
        <f>Specification!$F$13</f>
        <v>-2.4219830853227711</v>
      </c>
      <c r="J294" s="17">
        <v>3</v>
      </c>
      <c r="K294" s="16">
        <f>IF(J294=1,VLOOKUP(B294,RPM!$F$2:$H$62,3,TRUE),IF(J294=2,VLOOKUP(B294,RPM!$I$2:$K$62,3,TRUE),IF(J294=3,VLOOKUP(B294,RPM!$L$2:$N$62,3,TRUE))))</f>
        <v>4000</v>
      </c>
      <c r="L294" s="17">
        <f t="shared" si="48"/>
        <v>24.532017168916376</v>
      </c>
      <c r="M294" s="16">
        <f t="shared" si="45"/>
        <v>0</v>
      </c>
      <c r="N294" s="17">
        <f>VLOOKUP(K294,RPM!$A$2:$D$62,3,FALSE)</f>
        <v>10.5</v>
      </c>
      <c r="O294" s="16">
        <f>VLOOKUP(K294,RPM!$A$2:$D$62,4,FALSE)</f>
        <v>18.708375</v>
      </c>
      <c r="P294" s="17">
        <f t="shared" si="46"/>
        <v>13.950835237500002</v>
      </c>
      <c r="Q294" s="16" cm="1">
        <f t="array" ref="Q294">_xlfn.XLOOKUP(O294,BSFC!$A$2:$A$24,_xlfn.XLOOKUP(K294,BSFC!$B$1:$O$1,BSFC!$B$2:$O$24,,-1),,-1)</f>
        <v>480</v>
      </c>
      <c r="R294" s="17">
        <f t="shared" si="47"/>
        <v>1.8601113650000003</v>
      </c>
      <c r="S294" s="16">
        <f t="shared" si="49"/>
        <v>3.1308027902122418E-4</v>
      </c>
      <c r="T294" s="17">
        <f t="shared" si="53"/>
        <v>0.15027853393018761</v>
      </c>
      <c r="U294" s="16">
        <f t="shared" si="54"/>
        <v>44.102108178755756</v>
      </c>
      <c r="V294" s="17">
        <f t="shared" si="55"/>
        <v>8.9832558371715068E-2</v>
      </c>
      <c r="W294" s="16">
        <f t="shared" si="50"/>
        <v>323397.21013817424</v>
      </c>
      <c r="X294">
        <f>('Hybrid Info'!$A$2-Track!P294)*(L294-L293)*1000+X293</f>
        <v>-31125.39445871456</v>
      </c>
    </row>
    <row r="295" spans="1:24">
      <c r="A295" s="16">
        <f t="shared" si="51"/>
        <v>294</v>
      </c>
      <c r="B295" s="17">
        <f t="shared" si="52"/>
        <v>12.279922166533746</v>
      </c>
      <c r="C295" s="18">
        <f>Specification!$G$30</f>
        <v>109.96225200000001</v>
      </c>
      <c r="D295" s="17">
        <f>0.5*Specification!$K$4*Track!B295^2*Specification!$K$3*Specification!$K$2</f>
        <v>78.106053743393304</v>
      </c>
      <c r="E295" s="16">
        <v>0</v>
      </c>
      <c r="F295" s="17">
        <f>Specification!$C$23*9.81*SIN((E295*PI()/180))</f>
        <v>0</v>
      </c>
      <c r="G295" s="18">
        <f>IF(J295=1,VLOOKUP(K295,RPM!$E$2:$H$62,3,FALSE)-F295-E295-D295,IF(J295=2,VLOOKUP(K295,RPM!$H$2:$K$62,3,FALSE)-F295-E295-D295,IF(J295=3,VLOOKUP(K295,RPM!$K$2:$N$62,3,FALSE)-F295-E295-D295)))</f>
        <v>562.15841627477766</v>
      </c>
      <c r="H295" s="19">
        <f>IF(J295=1,Specification!$I$14,IF(J295=2,Specification!$I$15,IF(J295=3,Specification!$I$16)))</f>
        <v>578.93404261974786</v>
      </c>
      <c r="I295" s="16">
        <f>Specification!$F$13</f>
        <v>-2.4219830853227711</v>
      </c>
      <c r="J295" s="17">
        <v>3</v>
      </c>
      <c r="K295" s="16">
        <f>IF(J295=1,VLOOKUP(B295,RPM!$F$2:$H$62,3,TRUE),IF(J295=2,VLOOKUP(B295,RPM!$I$2:$K$62,3,TRUE),IF(J295=3,VLOOKUP(B295,RPM!$L$2:$N$62,3,TRUE))))</f>
        <v>3900</v>
      </c>
      <c r="L295" s="17">
        <f t="shared" si="48"/>
        <v>24.614115593695491</v>
      </c>
      <c r="M295" s="16">
        <f t="shared" si="45"/>
        <v>0</v>
      </c>
      <c r="N295" s="17">
        <f>VLOOKUP(K295,RPM!$A$2:$D$62,3,FALSE)</f>
        <v>10.3</v>
      </c>
      <c r="O295" s="16">
        <f>VLOOKUP(K295,RPM!$A$2:$D$62,4,FALSE)</f>
        <v>18.822589743589745</v>
      </c>
      <c r="P295" s="17">
        <f t="shared" si="46"/>
        <v>14.036005171794873</v>
      </c>
      <c r="Q295" s="16" cm="1">
        <f t="array" ref="Q295">_xlfn.XLOOKUP(O295,BSFC!$A$2:$A$24,_xlfn.XLOOKUP(K295,BSFC!$B$1:$O$1,BSFC!$B$2:$O$24,,-1),,-1)</f>
        <v>490</v>
      </c>
      <c r="R295" s="17">
        <f t="shared" si="47"/>
        <v>1.910456259494302</v>
      </c>
      <c r="S295" s="16">
        <f t="shared" si="49"/>
        <v>3.2009275410996491E-4</v>
      </c>
      <c r="T295" s="17">
        <f t="shared" si="53"/>
        <v>0.1568454495138828</v>
      </c>
      <c r="U295" s="16">
        <f t="shared" si="54"/>
        <v>44.258953628269637</v>
      </c>
      <c r="V295" s="17">
        <f t="shared" si="55"/>
        <v>9.0152651125825031E-2</v>
      </c>
      <c r="W295" s="16">
        <f t="shared" si="50"/>
        <v>324549.54405297013</v>
      </c>
      <c r="X295">
        <f>('Hybrid Info'!$A$2-Track!P295)*(L295-L294)*1000+X294</f>
        <v>-31282.658143589688</v>
      </c>
    </row>
    <row r="296" spans="1:24">
      <c r="A296" s="16">
        <f t="shared" si="51"/>
        <v>295</v>
      </c>
      <c r="B296" s="17">
        <f t="shared" si="52"/>
        <v>12.081081170387082</v>
      </c>
      <c r="C296" s="18">
        <f>Specification!$G$30</f>
        <v>109.96225200000001</v>
      </c>
      <c r="D296" s="17">
        <f>0.5*Specification!$K$4*Track!B296^2*Specification!$K$3*Specification!$K$2</f>
        <v>75.597088939043402</v>
      </c>
      <c r="E296" s="16">
        <v>0</v>
      </c>
      <c r="F296" s="17">
        <f>Specification!$C$23*9.81*SIN((E296*PI()/180))</f>
        <v>0</v>
      </c>
      <c r="G296" s="18">
        <f>IF(J296=1,VLOOKUP(K296,RPM!$E$2:$H$62,3,FALSE)-F296-E296-D296,IF(J296=2,VLOOKUP(K296,RPM!$H$2:$K$62,3,FALSE)-F296-E296-D296,IF(J296=3,VLOOKUP(K296,RPM!$K$2:$N$62,3,FALSE)-F296-E296-D296)))</f>
        <v>852.82752893960401</v>
      </c>
      <c r="H296" s="19">
        <f>IF(J296=1,Specification!$I$14,IF(J296=2,Specification!$I$15,IF(J296=3,Specification!$I$16)))</f>
        <v>582.50936296077191</v>
      </c>
      <c r="I296" s="16">
        <v>0</v>
      </c>
      <c r="J296" s="17">
        <v>2</v>
      </c>
      <c r="K296" s="16">
        <f>IF(J296=1,VLOOKUP(B296,RPM!$F$2:$H$62,3,TRUE),IF(J296=2,VLOOKUP(B296,RPM!$I$2:$K$62,3,TRUE),IF(J296=3,VLOOKUP(B296,RPM!$L$2:$N$62,3,TRUE))))</f>
        <v>6800</v>
      </c>
      <c r="L296" s="17">
        <f t="shared" si="48"/>
        <v>24.696889642300608</v>
      </c>
      <c r="M296" s="16">
        <f t="shared" si="45"/>
        <v>0</v>
      </c>
      <c r="N296" s="17">
        <f>VLOOKUP(K296,RPM!$A$2:$D$62,3,FALSE)</f>
        <v>15</v>
      </c>
      <c r="O296" s="16">
        <f>VLOOKUP(K296,RPM!$A$2:$D$62,4,FALSE)</f>
        <v>15.721323529411764</v>
      </c>
      <c r="P296" s="17">
        <f t="shared" si="46"/>
        <v>11.723390955882353</v>
      </c>
      <c r="Q296" s="16" cm="1">
        <f t="array" ref="Q296">_xlfn.XLOOKUP(O296,BSFC!$A$2:$A$24,_xlfn.XLOOKUP(K296,BSFC!$B$1:$O$1,BSFC!$B$2:$O$24,,-1),,-1)</f>
        <v>440</v>
      </c>
      <c r="R296" s="17">
        <f t="shared" si="47"/>
        <v>1.4328588946078433</v>
      </c>
      <c r="S296" s="16">
        <f t="shared" si="49"/>
        <v>2.6955348133305399E-4</v>
      </c>
      <c r="T296" s="17">
        <f t="shared" si="53"/>
        <v>0.11860353178654376</v>
      </c>
      <c r="U296" s="16">
        <f t="shared" si="54"/>
        <v>44.377557160056178</v>
      </c>
      <c r="V296" s="17">
        <f t="shared" si="55"/>
        <v>9.042220460715808E-2</v>
      </c>
      <c r="W296" s="16">
        <f t="shared" si="50"/>
        <v>325519.93658576906</v>
      </c>
      <c r="X296">
        <f>('Hybrid Info'!$A$2-Track!P296)*(L296-L295)*1000+X295</f>
        <v>-31249.791578561053</v>
      </c>
    </row>
    <row r="297" spans="1:24">
      <c r="A297" s="16">
        <f t="shared" si="51"/>
        <v>296</v>
      </c>
      <c r="B297" s="17">
        <f t="shared" si="52"/>
        <v>12.081081170387082</v>
      </c>
      <c r="C297" s="18">
        <f>Specification!$G$30</f>
        <v>109.96225200000001</v>
      </c>
      <c r="D297" s="17">
        <f>0.5*Specification!$K$4*Track!B297^2*Specification!$K$3*Specification!$K$2</f>
        <v>75.597088939043402</v>
      </c>
      <c r="E297" s="16">
        <v>0</v>
      </c>
      <c r="F297" s="17">
        <f>Specification!$C$23*9.81*SIN((E297*PI()/180))</f>
        <v>0</v>
      </c>
      <c r="G297" s="18">
        <f>IF(J297=1,VLOOKUP(K297,RPM!$E$2:$H$62,3,FALSE)-F297-E297-D297,IF(J297=2,VLOOKUP(K297,RPM!$H$2:$K$62,3,FALSE)-F297-E297-D297,IF(J297=3,VLOOKUP(K297,RPM!$K$2:$N$62,3,FALSE)-F297-E297-D297)))</f>
        <v>852.82752893960401</v>
      </c>
      <c r="H297" s="19">
        <f>IF(J297=1,Specification!$I$14,IF(J297=2,Specification!$I$15,IF(J297=3,Specification!$I$16)))</f>
        <v>582.50936296077191</v>
      </c>
      <c r="I297" s="16">
        <v>0</v>
      </c>
      <c r="J297" s="17">
        <v>2</v>
      </c>
      <c r="K297" s="16">
        <f>IF(J297=1,VLOOKUP(B297,RPM!$F$2:$H$62,3,TRUE),IF(J297=2,VLOOKUP(B297,RPM!$I$2:$K$62,3,TRUE),IF(J297=3,VLOOKUP(B297,RPM!$L$2:$N$62,3,TRUE))))</f>
        <v>6800</v>
      </c>
      <c r="L297" s="17">
        <f t="shared" si="48"/>
        <v>24.779663690905725</v>
      </c>
      <c r="M297" s="16">
        <f t="shared" si="45"/>
        <v>0</v>
      </c>
      <c r="N297" s="17">
        <f>VLOOKUP(K297,RPM!$A$2:$D$62,3,FALSE)</f>
        <v>15</v>
      </c>
      <c r="O297" s="16">
        <f>VLOOKUP(K297,RPM!$A$2:$D$62,4,FALSE)</f>
        <v>15.721323529411764</v>
      </c>
      <c r="P297" s="17">
        <f t="shared" si="46"/>
        <v>11.723390955882353</v>
      </c>
      <c r="Q297" s="16" cm="1">
        <f t="array" ref="Q297">_xlfn.XLOOKUP(O297,BSFC!$A$2:$A$24,_xlfn.XLOOKUP(K297,BSFC!$B$1:$O$1,BSFC!$B$2:$O$24,,-1),,-1)</f>
        <v>440</v>
      </c>
      <c r="R297" s="17">
        <f t="shared" si="47"/>
        <v>1.4328588946078433</v>
      </c>
      <c r="S297" s="16">
        <f t="shared" si="49"/>
        <v>2.6955348133305399E-4</v>
      </c>
      <c r="T297" s="17">
        <f t="shared" si="53"/>
        <v>0.11860353178654376</v>
      </c>
      <c r="U297" s="16">
        <f t="shared" si="54"/>
        <v>44.496160691842718</v>
      </c>
      <c r="V297" s="17">
        <f t="shared" si="55"/>
        <v>9.0691758088491128E-2</v>
      </c>
      <c r="W297" s="16">
        <f t="shared" si="50"/>
        <v>326490.32911856804</v>
      </c>
      <c r="X297">
        <f>('Hybrid Info'!$A$2-Track!P297)*(L297-L296)*1000+X296</f>
        <v>-31216.925013532418</v>
      </c>
    </row>
    <row r="298" spans="1:24">
      <c r="A298" s="16">
        <f t="shared" si="51"/>
        <v>297</v>
      </c>
      <c r="B298" s="17">
        <f t="shared" si="52"/>
        <v>12.081081170387082</v>
      </c>
      <c r="C298" s="18">
        <f>Specification!$G$30</f>
        <v>109.96225200000001</v>
      </c>
      <c r="D298" s="17">
        <f>0.5*Specification!$K$4*Track!B298^2*Specification!$K$3*Specification!$K$2</f>
        <v>75.597088939043402</v>
      </c>
      <c r="E298" s="16">
        <v>0</v>
      </c>
      <c r="F298" s="17">
        <f>Specification!$C$23*9.81*SIN((E298*PI()/180))</f>
        <v>0</v>
      </c>
      <c r="G298" s="18">
        <f>IF(J298=1,VLOOKUP(K298,RPM!$E$2:$H$62,3,FALSE)-F298-E298-D298,IF(J298=2,VLOOKUP(K298,RPM!$H$2:$K$62,3,FALSE)-F298-E298-D298,IF(J298=3,VLOOKUP(K298,RPM!$K$2:$N$62,3,FALSE)-F298-E298-D298)))</f>
        <v>852.82752893960401</v>
      </c>
      <c r="H298" s="19">
        <f>IF(J298=1,Specification!$I$14,IF(J298=2,Specification!$I$15,IF(J298=3,Specification!$I$16)))</f>
        <v>582.50936296077191</v>
      </c>
      <c r="I298" s="16">
        <v>0</v>
      </c>
      <c r="J298" s="17">
        <v>2</v>
      </c>
      <c r="K298" s="16">
        <f>IF(J298=1,VLOOKUP(B298,RPM!$F$2:$H$62,3,TRUE),IF(J298=2,VLOOKUP(B298,RPM!$I$2:$K$62,3,TRUE),IF(J298=3,VLOOKUP(B298,RPM!$L$2:$N$62,3,TRUE))))</f>
        <v>6800</v>
      </c>
      <c r="L298" s="17">
        <f t="shared" si="48"/>
        <v>24.862437739510842</v>
      </c>
      <c r="M298" s="16">
        <f t="shared" si="45"/>
        <v>0</v>
      </c>
      <c r="N298" s="17">
        <f>VLOOKUP(K298,RPM!$A$2:$D$62,3,FALSE)</f>
        <v>15</v>
      </c>
      <c r="O298" s="16">
        <f>VLOOKUP(K298,RPM!$A$2:$D$62,4,FALSE)</f>
        <v>15.721323529411764</v>
      </c>
      <c r="P298" s="17">
        <f t="shared" si="46"/>
        <v>11.723390955882353</v>
      </c>
      <c r="Q298" s="16" cm="1">
        <f t="array" ref="Q298">_xlfn.XLOOKUP(O298,BSFC!$A$2:$A$24,_xlfn.XLOOKUP(K298,BSFC!$B$1:$O$1,BSFC!$B$2:$O$24,,-1),,-1)</f>
        <v>440</v>
      </c>
      <c r="R298" s="17">
        <f t="shared" si="47"/>
        <v>1.4328588946078433</v>
      </c>
      <c r="S298" s="16">
        <f t="shared" si="49"/>
        <v>2.6955348133305399E-4</v>
      </c>
      <c r="T298" s="17">
        <f t="shared" si="53"/>
        <v>0.11860353178654376</v>
      </c>
      <c r="U298" s="16">
        <f t="shared" si="54"/>
        <v>44.614764223629258</v>
      </c>
      <c r="V298" s="17">
        <f t="shared" si="55"/>
        <v>9.0961311569824177E-2</v>
      </c>
      <c r="W298" s="16">
        <f t="shared" si="50"/>
        <v>327460.72165136703</v>
      </c>
      <c r="X298">
        <f>('Hybrid Info'!$A$2-Track!P298)*(L298-L297)*1000+X297</f>
        <v>-31184.058448503783</v>
      </c>
    </row>
    <row r="299" spans="1:24">
      <c r="A299" s="16">
        <f t="shared" si="51"/>
        <v>298</v>
      </c>
      <c r="B299" s="17">
        <f t="shared" si="52"/>
        <v>12.081081170387082</v>
      </c>
      <c r="C299" s="18">
        <f>Specification!$G$30</f>
        <v>109.96225200000001</v>
      </c>
      <c r="D299" s="17">
        <f>0.5*Specification!$K$4*Track!B299^2*Specification!$K$3*Specification!$K$2</f>
        <v>75.597088939043402</v>
      </c>
      <c r="E299" s="16">
        <v>0</v>
      </c>
      <c r="F299" s="17">
        <f>Specification!$C$23*9.81*SIN((E299*PI()/180))</f>
        <v>0</v>
      </c>
      <c r="G299" s="18">
        <f>IF(J299=1,VLOOKUP(K299,RPM!$E$2:$H$62,3,FALSE)-F299-E299-D299,IF(J299=2,VLOOKUP(K299,RPM!$H$2:$K$62,3,FALSE)-F299-E299-D299,IF(J299=3,VLOOKUP(K299,RPM!$K$2:$N$62,3,FALSE)-F299-E299-D299)))</f>
        <v>852.82752893960401</v>
      </c>
      <c r="H299" s="19">
        <f>IF(J299=1,Specification!$I$14,IF(J299=2,Specification!$I$15,IF(J299=3,Specification!$I$16)))</f>
        <v>582.50936296077191</v>
      </c>
      <c r="I299" s="16">
        <v>0</v>
      </c>
      <c r="J299" s="17">
        <v>2</v>
      </c>
      <c r="K299" s="16">
        <f>IF(J299=1,VLOOKUP(B299,RPM!$F$2:$H$62,3,TRUE),IF(J299=2,VLOOKUP(B299,RPM!$I$2:$K$62,3,TRUE),IF(J299=3,VLOOKUP(B299,RPM!$L$2:$N$62,3,TRUE))))</f>
        <v>6800</v>
      </c>
      <c r="L299" s="17">
        <f t="shared" si="48"/>
        <v>24.945211788115959</v>
      </c>
      <c r="M299" s="16">
        <f t="shared" si="45"/>
        <v>0</v>
      </c>
      <c r="N299" s="17">
        <f>VLOOKUP(K299,RPM!$A$2:$D$62,3,FALSE)</f>
        <v>15</v>
      </c>
      <c r="O299" s="16">
        <f>VLOOKUP(K299,RPM!$A$2:$D$62,4,FALSE)</f>
        <v>15.721323529411764</v>
      </c>
      <c r="P299" s="17">
        <f t="shared" si="46"/>
        <v>11.723390955882353</v>
      </c>
      <c r="Q299" s="16" cm="1">
        <f t="array" ref="Q299">_xlfn.XLOOKUP(O299,BSFC!$A$2:$A$24,_xlfn.XLOOKUP(K299,BSFC!$B$1:$O$1,BSFC!$B$2:$O$24,,-1),,-1)</f>
        <v>440</v>
      </c>
      <c r="R299" s="17">
        <f t="shared" si="47"/>
        <v>1.4328588946078433</v>
      </c>
      <c r="S299" s="16">
        <f t="shared" si="49"/>
        <v>2.6955348133305399E-4</v>
      </c>
      <c r="T299" s="17">
        <f t="shared" si="53"/>
        <v>0.11860353178654376</v>
      </c>
      <c r="U299" s="16">
        <f t="shared" si="54"/>
        <v>44.733367755415799</v>
      </c>
      <c r="V299" s="17">
        <f t="shared" si="55"/>
        <v>9.1230865051157226E-2</v>
      </c>
      <c r="W299" s="16">
        <f t="shared" si="50"/>
        <v>328431.11418416601</v>
      </c>
      <c r="X299">
        <f>('Hybrid Info'!$A$2-Track!P299)*(L299-L298)*1000+X298</f>
        <v>-31151.191883475149</v>
      </c>
    </row>
    <row r="300" spans="1:24">
      <c r="A300" s="16">
        <f t="shared" si="51"/>
        <v>299</v>
      </c>
      <c r="B300" s="17">
        <f t="shared" si="52"/>
        <v>12.081081170387082</v>
      </c>
      <c r="C300" s="18">
        <f>Specification!$G$30</f>
        <v>109.96225200000001</v>
      </c>
      <c r="D300" s="17">
        <f>0.5*Specification!$K$4*Track!B300^2*Specification!$K$3*Specification!$K$2</f>
        <v>75.597088939043402</v>
      </c>
      <c r="E300" s="16">
        <v>0</v>
      </c>
      <c r="F300" s="17">
        <f>Specification!$C$23*9.81*SIN((E300*PI()/180))</f>
        <v>0</v>
      </c>
      <c r="G300" s="18">
        <f>IF(J300=1,VLOOKUP(K300,RPM!$E$2:$H$62,3,FALSE)-F300-E300-D300,IF(J300=2,VLOOKUP(K300,RPM!$H$2:$K$62,3,FALSE)-F300-E300-D300,IF(J300=3,VLOOKUP(K300,RPM!$K$2:$N$62,3,FALSE)-F300-E300-D300)))</f>
        <v>852.82752893960401</v>
      </c>
      <c r="H300" s="19">
        <f>IF(J300=1,Specification!$I$14,IF(J300=2,Specification!$I$15,IF(J300=3,Specification!$I$16)))</f>
        <v>582.50936296077191</v>
      </c>
      <c r="I300" s="16">
        <v>0</v>
      </c>
      <c r="J300" s="17">
        <v>2</v>
      </c>
      <c r="K300" s="16">
        <f>IF(J300=1,VLOOKUP(B300,RPM!$F$2:$H$62,3,TRUE),IF(J300=2,VLOOKUP(B300,RPM!$I$2:$K$62,3,TRUE),IF(J300=3,VLOOKUP(B300,RPM!$L$2:$N$62,3,TRUE))))</f>
        <v>6800</v>
      </c>
      <c r="L300" s="17">
        <f t="shared" si="48"/>
        <v>25.027985836721076</v>
      </c>
      <c r="M300" s="16">
        <f t="shared" si="45"/>
        <v>0</v>
      </c>
      <c r="N300" s="17">
        <f>VLOOKUP(K300,RPM!$A$2:$D$62,3,FALSE)</f>
        <v>15</v>
      </c>
      <c r="O300" s="16">
        <f>VLOOKUP(K300,RPM!$A$2:$D$62,4,FALSE)</f>
        <v>15.721323529411764</v>
      </c>
      <c r="P300" s="17">
        <f t="shared" si="46"/>
        <v>11.723390955882353</v>
      </c>
      <c r="Q300" s="16" cm="1">
        <f t="array" ref="Q300">_xlfn.XLOOKUP(O300,BSFC!$A$2:$A$24,_xlfn.XLOOKUP(K300,BSFC!$B$1:$O$1,BSFC!$B$2:$O$24,,-1),,-1)</f>
        <v>440</v>
      </c>
      <c r="R300" s="17">
        <f t="shared" si="47"/>
        <v>1.4328588946078433</v>
      </c>
      <c r="S300" s="16">
        <f t="shared" si="49"/>
        <v>2.6955348133305399E-4</v>
      </c>
      <c r="T300" s="17">
        <f t="shared" si="53"/>
        <v>0.11860353178654376</v>
      </c>
      <c r="U300" s="16">
        <f t="shared" si="54"/>
        <v>44.851971287202339</v>
      </c>
      <c r="V300" s="17">
        <f t="shared" si="55"/>
        <v>9.1500418532490274E-2</v>
      </c>
      <c r="W300" s="16">
        <f t="shared" si="50"/>
        <v>329401.506716965</v>
      </c>
      <c r="X300">
        <f>('Hybrid Info'!$A$2-Track!P300)*(L300-L299)*1000+X299</f>
        <v>-31118.325318446514</v>
      </c>
    </row>
    <row r="301" spans="1:24">
      <c r="A301" s="16">
        <f t="shared" si="51"/>
        <v>300</v>
      </c>
      <c r="B301" s="17">
        <f t="shared" si="52"/>
        <v>12.081081170387082</v>
      </c>
      <c r="C301" s="18">
        <f>Specification!$G$30</f>
        <v>109.96225200000001</v>
      </c>
      <c r="D301" s="17">
        <f>0.5*Specification!$K$4*Track!B301^2*Specification!$K$3*Specification!$K$2</f>
        <v>75.597088939043402</v>
      </c>
      <c r="E301" s="16">
        <v>0</v>
      </c>
      <c r="F301" s="17">
        <f>Specification!$C$23*9.81*SIN((E301*PI()/180))</f>
        <v>0</v>
      </c>
      <c r="G301" s="18">
        <f>IF(J301=1,VLOOKUP(K301,RPM!$E$2:$H$62,3,FALSE)-F301-E301-D301,IF(J301=2,VLOOKUP(K301,RPM!$H$2:$K$62,3,FALSE)-F301-E301-D301,IF(J301=3,VLOOKUP(K301,RPM!$K$2:$N$62,3,FALSE)-F301-E301-D301)))</f>
        <v>852.82752893960401</v>
      </c>
      <c r="H301" s="19">
        <f>IF(J301=1,Specification!$I$14,IF(J301=2,Specification!$I$15,IF(J301=3,Specification!$I$16)))</f>
        <v>582.50936296077191</v>
      </c>
      <c r="I301" s="16">
        <v>0</v>
      </c>
      <c r="J301" s="17">
        <v>2</v>
      </c>
      <c r="K301" s="16">
        <f>IF(J301=1,VLOOKUP(B301,RPM!$F$2:$H$62,3,TRUE),IF(J301=2,VLOOKUP(B301,RPM!$I$2:$K$62,3,TRUE),IF(J301=3,VLOOKUP(B301,RPM!$L$2:$N$62,3,TRUE))))</f>
        <v>6800</v>
      </c>
      <c r="L301" s="17">
        <f t="shared" si="48"/>
        <v>25.110759885326193</v>
      </c>
      <c r="M301" s="16">
        <f t="shared" si="45"/>
        <v>0</v>
      </c>
      <c r="N301" s="17">
        <f>VLOOKUP(K301,RPM!$A$2:$D$62,3,FALSE)</f>
        <v>15</v>
      </c>
      <c r="O301" s="16">
        <f>VLOOKUP(K301,RPM!$A$2:$D$62,4,FALSE)</f>
        <v>15.721323529411764</v>
      </c>
      <c r="P301" s="17">
        <f t="shared" si="46"/>
        <v>11.723390955882353</v>
      </c>
      <c r="Q301" s="16" cm="1">
        <f t="array" ref="Q301">_xlfn.XLOOKUP(O301,BSFC!$A$2:$A$24,_xlfn.XLOOKUP(K301,BSFC!$B$1:$O$1,BSFC!$B$2:$O$24,,-1),,-1)</f>
        <v>440</v>
      </c>
      <c r="R301" s="17">
        <f t="shared" si="47"/>
        <v>1.4328588946078433</v>
      </c>
      <c r="S301" s="16">
        <f t="shared" si="49"/>
        <v>2.6955348133305399E-4</v>
      </c>
      <c r="T301" s="17">
        <f t="shared" si="53"/>
        <v>0.11860353178654376</v>
      </c>
      <c r="U301" s="16">
        <f t="shared" si="54"/>
        <v>44.970574818988879</v>
      </c>
      <c r="V301" s="17">
        <f t="shared" si="55"/>
        <v>9.1769972013823323E-2</v>
      </c>
      <c r="W301" s="16">
        <f t="shared" si="50"/>
        <v>330371.89924976393</v>
      </c>
      <c r="X301">
        <f>('Hybrid Info'!$A$2-Track!P301)*(L301-L300)*1000+X300</f>
        <v>-31085.458753417879</v>
      </c>
    </row>
    <row r="302" spans="1:24">
      <c r="A302" s="16">
        <f t="shared" si="51"/>
        <v>301</v>
      </c>
      <c r="B302" s="17">
        <f>IF(SQRT(B301^2+2*I301)&gt;13.4112,13.4112,SQRT(B301^2+2*I301))</f>
        <v>12.081081170387082</v>
      </c>
      <c r="C302" s="18">
        <f>Specification!$G$30</f>
        <v>109.96225200000001</v>
      </c>
      <c r="D302" s="17">
        <f>0.5*Specification!$K$4*Track!B302^2*Specification!$K$3*Specification!$K$2</f>
        <v>75.597088939043402</v>
      </c>
      <c r="E302" s="16">
        <v>0</v>
      </c>
      <c r="F302" s="17">
        <f>Specification!$C$23*9.81*SIN((E302*PI()/180))</f>
        <v>0</v>
      </c>
      <c r="G302" s="18">
        <f>IF(J302=1,VLOOKUP(K302,RPM!$E$2:$H$62,3,FALSE)-F302-E302-D302,IF(J302=2,VLOOKUP(K302,RPM!$H$2:$K$62,3,FALSE)-F302-E302-D302,IF(J302=3,VLOOKUP(K302,RPM!$K$2:$N$62,3,FALSE)-F302-E302-D302)))</f>
        <v>852.82752893960401</v>
      </c>
      <c r="H302" s="19">
        <f>IF(J302=1,Specification!$I$14,IF(J302=2,Specification!$I$15,IF(J302=3,Specification!$I$16)))</f>
        <v>582.50936296077191</v>
      </c>
      <c r="I302" s="16">
        <v>0</v>
      </c>
      <c r="J302" s="17">
        <v>2</v>
      </c>
      <c r="K302" s="16">
        <f>IF(J302=1,VLOOKUP(B302,RPM!$F$2:$H$62,3,TRUE),IF(J302=2,VLOOKUP(B302,RPM!$I$2:$K$62,3,TRUE),IF(J302=3,VLOOKUP(B302,RPM!$L$2:$N$62,3,TRUE))))</f>
        <v>6800</v>
      </c>
      <c r="L302" s="17">
        <f t="shared" si="48"/>
        <v>25.19353393393131</v>
      </c>
      <c r="M302" s="16">
        <f t="shared" si="45"/>
        <v>0</v>
      </c>
      <c r="N302" s="17">
        <f>VLOOKUP(K302,RPM!$A$2:$D$62,3,FALSE)</f>
        <v>15</v>
      </c>
      <c r="O302" s="16">
        <f>VLOOKUP(K302,RPM!$A$2:$D$62,4,FALSE)</f>
        <v>15.721323529411764</v>
      </c>
      <c r="P302" s="17">
        <f t="shared" si="46"/>
        <v>11.723390955882353</v>
      </c>
      <c r="Q302" s="16" cm="1">
        <f t="array" ref="Q302">_xlfn.XLOOKUP(O302,BSFC!$A$2:$A$24,_xlfn.XLOOKUP(K302,BSFC!$B$1:$O$1,BSFC!$B$2:$O$24,,-1),,-1)</f>
        <v>440</v>
      </c>
      <c r="R302" s="17">
        <f t="shared" si="47"/>
        <v>1.4328588946078433</v>
      </c>
      <c r="S302" s="16">
        <f t="shared" si="49"/>
        <v>2.6955348133305399E-4</v>
      </c>
      <c r="T302" s="17">
        <f t="shared" si="53"/>
        <v>0.11860353178654376</v>
      </c>
      <c r="U302" s="16">
        <f t="shared" si="54"/>
        <v>45.08917835077542</v>
      </c>
      <c r="V302" s="17">
        <f t="shared" si="55"/>
        <v>9.2039525495156371E-2</v>
      </c>
      <c r="W302" s="16">
        <f t="shared" si="50"/>
        <v>331342.29178256291</v>
      </c>
      <c r="X302">
        <f>('Hybrid Info'!$A$2-Track!P302)*(L302-L301)*1000+X301</f>
        <v>-31052.592188389244</v>
      </c>
    </row>
    <row r="303" spans="1:24">
      <c r="A303" s="16">
        <f t="shared" si="51"/>
        <v>302</v>
      </c>
      <c r="B303" s="17">
        <f t="shared" si="52"/>
        <v>12.081081170387082</v>
      </c>
      <c r="C303" s="18">
        <f>Specification!$G$30</f>
        <v>109.96225200000001</v>
      </c>
      <c r="D303" s="17">
        <f>0.5*Specification!$K$4*Track!B303^2*Specification!$K$3*Specification!$K$2</f>
        <v>75.597088939043402</v>
      </c>
      <c r="E303" s="16">
        <v>0</v>
      </c>
      <c r="F303" s="17">
        <f>Specification!$C$23*9.81*SIN((E303*PI()/180))</f>
        <v>0</v>
      </c>
      <c r="G303" s="18">
        <f>IF(J303=1,VLOOKUP(K303,RPM!$E$2:$H$62,3,FALSE)-F303-E303-D303,IF(J303=2,VLOOKUP(K303,RPM!$H$2:$K$62,3,FALSE)-F303-E303-D303,IF(J303=3,VLOOKUP(K303,RPM!$K$2:$N$62,3,FALSE)-F303-E303-D303)))</f>
        <v>852.82752893960401</v>
      </c>
      <c r="H303" s="19">
        <f>IF(J303=1,Specification!$I$14,IF(J303=2,Specification!$I$15,IF(J303=3,Specification!$I$16)))</f>
        <v>582.50936296077191</v>
      </c>
      <c r="I303" s="16">
        <v>0</v>
      </c>
      <c r="J303" s="17">
        <v>2</v>
      </c>
      <c r="K303" s="16">
        <f>IF(J303=1,VLOOKUP(B303,RPM!$F$2:$H$62,3,TRUE),IF(J303=2,VLOOKUP(B303,RPM!$I$2:$K$62,3,TRUE),IF(J303=3,VLOOKUP(B303,RPM!$L$2:$N$62,3,TRUE))))</f>
        <v>6800</v>
      </c>
      <c r="L303" s="17">
        <f t="shared" si="48"/>
        <v>25.276307982536427</v>
      </c>
      <c r="M303" s="16">
        <f t="shared" si="45"/>
        <v>0</v>
      </c>
      <c r="N303" s="17">
        <f>VLOOKUP(K303,RPM!$A$2:$D$62,3,FALSE)</f>
        <v>15</v>
      </c>
      <c r="O303" s="16">
        <f>VLOOKUP(K303,RPM!$A$2:$D$62,4,FALSE)</f>
        <v>15.721323529411764</v>
      </c>
      <c r="P303" s="17">
        <f t="shared" si="46"/>
        <v>11.723390955882353</v>
      </c>
      <c r="Q303" s="16" cm="1">
        <f t="array" ref="Q303">_xlfn.XLOOKUP(O303,BSFC!$A$2:$A$24,_xlfn.XLOOKUP(K303,BSFC!$B$1:$O$1,BSFC!$B$2:$O$24,,-1),,-1)</f>
        <v>440</v>
      </c>
      <c r="R303" s="17">
        <f t="shared" si="47"/>
        <v>1.4328588946078433</v>
      </c>
      <c r="S303" s="16">
        <f t="shared" si="49"/>
        <v>2.6955348133305399E-4</v>
      </c>
      <c r="T303" s="17">
        <f t="shared" si="53"/>
        <v>0.11860353178654376</v>
      </c>
      <c r="U303" s="16">
        <f t="shared" si="54"/>
        <v>45.20778188256196</v>
      </c>
      <c r="V303" s="17">
        <f t="shared" si="55"/>
        <v>9.230907897648942E-2</v>
      </c>
      <c r="W303" s="16">
        <f t="shared" si="50"/>
        <v>332312.6843153619</v>
      </c>
      <c r="X303">
        <f>('Hybrid Info'!$A$2-Track!P303)*(L303-L302)*1000+X302</f>
        <v>-31019.725623360609</v>
      </c>
    </row>
    <row r="304" spans="1:24">
      <c r="A304" s="16">
        <f t="shared" si="51"/>
        <v>303</v>
      </c>
      <c r="B304" s="17">
        <f t="shared" si="52"/>
        <v>12.081081170387082</v>
      </c>
      <c r="C304" s="18">
        <f>Specification!$G$30</f>
        <v>109.96225200000001</v>
      </c>
      <c r="D304" s="17">
        <f>0.5*Specification!$K$4*Track!B304^2*Specification!$K$3*Specification!$K$2</f>
        <v>75.597088939043402</v>
      </c>
      <c r="E304" s="16">
        <v>0</v>
      </c>
      <c r="F304" s="17">
        <f>Specification!$C$23*9.81*SIN((E304*PI()/180))</f>
        <v>0</v>
      </c>
      <c r="G304" s="18">
        <f>IF(J304=1,VLOOKUP(K304,RPM!$E$2:$H$62,3,FALSE)-F304-E304-D304,IF(J304=2,VLOOKUP(K304,RPM!$H$2:$K$62,3,FALSE)-F304-E304-D304,IF(J304=3,VLOOKUP(K304,RPM!$K$2:$N$62,3,FALSE)-F304-E304-D304)))</f>
        <v>852.82752893960401</v>
      </c>
      <c r="H304" s="19">
        <f>IF(J304=1,Specification!$I$14,IF(J304=2,Specification!$I$15,IF(J304=3,Specification!$I$16)))</f>
        <v>582.50936296077191</v>
      </c>
      <c r="I304" s="16">
        <v>0</v>
      </c>
      <c r="J304" s="17">
        <v>2</v>
      </c>
      <c r="K304" s="16">
        <f>IF(J304=1,VLOOKUP(B304,RPM!$F$2:$H$62,3,TRUE),IF(J304=2,VLOOKUP(B304,RPM!$I$2:$K$62,3,TRUE),IF(J304=3,VLOOKUP(B304,RPM!$L$2:$N$62,3,TRUE))))</f>
        <v>6800</v>
      </c>
      <c r="L304" s="17">
        <f t="shared" si="48"/>
        <v>25.359082031141543</v>
      </c>
      <c r="M304" s="16">
        <f t="shared" si="45"/>
        <v>0</v>
      </c>
      <c r="N304" s="17">
        <f>VLOOKUP(K304,RPM!$A$2:$D$62,3,FALSE)</f>
        <v>15</v>
      </c>
      <c r="O304" s="16">
        <f>VLOOKUP(K304,RPM!$A$2:$D$62,4,FALSE)</f>
        <v>15.721323529411764</v>
      </c>
      <c r="P304" s="17">
        <f t="shared" si="46"/>
        <v>11.723390955882353</v>
      </c>
      <c r="Q304" s="16" cm="1">
        <f t="array" ref="Q304">_xlfn.XLOOKUP(O304,BSFC!$A$2:$A$24,_xlfn.XLOOKUP(K304,BSFC!$B$1:$O$1,BSFC!$B$2:$O$24,,-1),,-1)</f>
        <v>440</v>
      </c>
      <c r="R304" s="17">
        <f t="shared" si="47"/>
        <v>1.4328588946078433</v>
      </c>
      <c r="S304" s="16">
        <f t="shared" si="49"/>
        <v>2.6955348133305399E-4</v>
      </c>
      <c r="T304" s="17">
        <f t="shared" si="53"/>
        <v>0.11860353178654376</v>
      </c>
      <c r="U304" s="16">
        <f t="shared" si="54"/>
        <v>45.326385414348501</v>
      </c>
      <c r="V304" s="17">
        <f t="shared" si="55"/>
        <v>9.2578632457822468E-2</v>
      </c>
      <c r="W304" s="16">
        <f t="shared" si="50"/>
        <v>333283.07684816088</v>
      </c>
      <c r="X304">
        <f>('Hybrid Info'!$A$2-Track!P304)*(L304-L303)*1000+X303</f>
        <v>-30986.859058331975</v>
      </c>
    </row>
    <row r="305" spans="1:24">
      <c r="A305" s="16">
        <f t="shared" si="51"/>
        <v>304</v>
      </c>
      <c r="B305" s="17">
        <f t="shared" si="52"/>
        <v>12.081081170387082</v>
      </c>
      <c r="C305" s="18">
        <f>Specification!$G$30</f>
        <v>109.96225200000001</v>
      </c>
      <c r="D305" s="17">
        <f>0.5*Specification!$K$4*Track!B305^2*Specification!$K$3*Specification!$K$2</f>
        <v>75.597088939043402</v>
      </c>
      <c r="E305" s="16">
        <v>0</v>
      </c>
      <c r="F305" s="17">
        <f>Specification!$C$23*9.81*SIN((E305*PI()/180))</f>
        <v>0</v>
      </c>
      <c r="G305" s="18">
        <f>IF(J305=1,VLOOKUP(K305,RPM!$E$2:$H$62,3,FALSE)-F305-E305-D305,IF(J305=2,VLOOKUP(K305,RPM!$H$2:$K$62,3,FALSE)-F305-E305-D305,IF(J305=3,VLOOKUP(K305,RPM!$K$2:$N$62,3,FALSE)-F305-E305-D305)))</f>
        <v>852.82752893960401</v>
      </c>
      <c r="H305" s="19">
        <f>IF(J305=1,Specification!$I$14,IF(J305=2,Specification!$I$15,IF(J305=3,Specification!$I$16)))</f>
        <v>582.50936296077191</v>
      </c>
      <c r="I305" s="16">
        <v>0</v>
      </c>
      <c r="J305" s="17">
        <v>2</v>
      </c>
      <c r="K305" s="16">
        <f>IF(J305=1,VLOOKUP(B305,RPM!$F$2:$H$62,3,TRUE),IF(J305=2,VLOOKUP(B305,RPM!$I$2:$K$62,3,TRUE),IF(J305=3,VLOOKUP(B305,RPM!$L$2:$N$62,3,TRUE))))</f>
        <v>6800</v>
      </c>
      <c r="L305" s="17">
        <f t="shared" si="48"/>
        <v>25.44185607974666</v>
      </c>
      <c r="M305" s="16">
        <f t="shared" si="45"/>
        <v>0</v>
      </c>
      <c r="N305" s="17">
        <f>VLOOKUP(K305,RPM!$A$2:$D$62,3,FALSE)</f>
        <v>15</v>
      </c>
      <c r="O305" s="16">
        <f>VLOOKUP(K305,RPM!$A$2:$D$62,4,FALSE)</f>
        <v>15.721323529411764</v>
      </c>
      <c r="P305" s="17">
        <f t="shared" si="46"/>
        <v>11.723390955882353</v>
      </c>
      <c r="Q305" s="16" cm="1">
        <f t="array" ref="Q305">_xlfn.XLOOKUP(O305,BSFC!$A$2:$A$24,_xlfn.XLOOKUP(K305,BSFC!$B$1:$O$1,BSFC!$B$2:$O$24,,-1),,-1)</f>
        <v>440</v>
      </c>
      <c r="R305" s="17">
        <f t="shared" si="47"/>
        <v>1.4328588946078433</v>
      </c>
      <c r="S305" s="16">
        <f t="shared" si="49"/>
        <v>2.6955348133305399E-4</v>
      </c>
      <c r="T305" s="17">
        <f t="shared" si="53"/>
        <v>0.11860353178654376</v>
      </c>
      <c r="U305" s="16">
        <f t="shared" si="54"/>
        <v>45.444988946135041</v>
      </c>
      <c r="V305" s="17">
        <f t="shared" si="55"/>
        <v>9.2848185939155517E-2</v>
      </c>
      <c r="W305" s="16">
        <f t="shared" si="50"/>
        <v>334253.46938095987</v>
      </c>
      <c r="X305">
        <f>('Hybrid Info'!$A$2-Track!P305)*(L305-L304)*1000+X304</f>
        <v>-30953.99249330334</v>
      </c>
    </row>
    <row r="306" spans="1:24">
      <c r="A306" s="16">
        <f t="shared" si="51"/>
        <v>305</v>
      </c>
      <c r="B306" s="17">
        <f t="shared" si="52"/>
        <v>12.081081170387082</v>
      </c>
      <c r="C306" s="18">
        <f>Specification!$G$30</f>
        <v>109.96225200000001</v>
      </c>
      <c r="D306" s="17">
        <f>0.5*Specification!$K$4*Track!B306^2*Specification!$K$3*Specification!$K$2</f>
        <v>75.597088939043402</v>
      </c>
      <c r="E306" s="16">
        <v>0</v>
      </c>
      <c r="F306" s="17">
        <f>Specification!$C$23*9.81*SIN((E306*PI()/180))</f>
        <v>0</v>
      </c>
      <c r="G306" s="18">
        <f>IF(J306=1,VLOOKUP(K306,RPM!$E$2:$H$62,3,FALSE)-F306-E306-D306,IF(J306=2,VLOOKUP(K306,RPM!$H$2:$K$62,3,FALSE)-F306-E306-D306,IF(J306=3,VLOOKUP(K306,RPM!$K$2:$N$62,3,FALSE)-F306-E306-D306)))</f>
        <v>852.82752893960401</v>
      </c>
      <c r="H306" s="19">
        <f>IF(J306=1,Specification!$I$14,IF(J306=2,Specification!$I$15,IF(J306=3,Specification!$I$16)))</f>
        <v>582.50936296077191</v>
      </c>
      <c r="I306" s="16">
        <v>0</v>
      </c>
      <c r="J306" s="17">
        <v>2</v>
      </c>
      <c r="K306" s="16">
        <f>IF(J306=1,VLOOKUP(B306,RPM!$F$2:$H$62,3,TRUE),IF(J306=2,VLOOKUP(B306,RPM!$I$2:$K$62,3,TRUE),IF(J306=3,VLOOKUP(B306,RPM!$L$2:$N$62,3,TRUE))))</f>
        <v>6800</v>
      </c>
      <c r="L306" s="17">
        <f t="shared" si="48"/>
        <v>25.524630128351777</v>
      </c>
      <c r="M306" s="16">
        <f t="shared" si="45"/>
        <v>0</v>
      </c>
      <c r="N306" s="17">
        <f>VLOOKUP(K306,RPM!$A$2:$D$62,3,FALSE)</f>
        <v>15</v>
      </c>
      <c r="O306" s="16">
        <f>VLOOKUP(K306,RPM!$A$2:$D$62,4,FALSE)</f>
        <v>15.721323529411764</v>
      </c>
      <c r="P306" s="17">
        <f t="shared" si="46"/>
        <v>11.723390955882353</v>
      </c>
      <c r="Q306" s="16" cm="1">
        <f t="array" ref="Q306">_xlfn.XLOOKUP(O306,BSFC!$A$2:$A$24,_xlfn.XLOOKUP(K306,BSFC!$B$1:$O$1,BSFC!$B$2:$O$24,,-1),,-1)</f>
        <v>440</v>
      </c>
      <c r="R306" s="17">
        <f t="shared" si="47"/>
        <v>1.4328588946078433</v>
      </c>
      <c r="S306" s="16">
        <f t="shared" si="49"/>
        <v>2.6955348133305399E-4</v>
      </c>
      <c r="T306" s="17">
        <f t="shared" si="53"/>
        <v>0.11860353178654376</v>
      </c>
      <c r="U306" s="16">
        <f t="shared" si="54"/>
        <v>45.563592477921581</v>
      </c>
      <c r="V306" s="17">
        <f t="shared" si="55"/>
        <v>9.3117739420488566E-2</v>
      </c>
      <c r="W306" s="16">
        <f t="shared" si="50"/>
        <v>335223.8619137588</v>
      </c>
      <c r="X306">
        <f>('Hybrid Info'!$A$2-Track!P306)*(L306-L305)*1000+X305</f>
        <v>-30921.125928274705</v>
      </c>
    </row>
    <row r="307" spans="1:24">
      <c r="A307" s="16">
        <f t="shared" si="51"/>
        <v>306</v>
      </c>
      <c r="B307" s="17">
        <f t="shared" si="52"/>
        <v>12.081081170387082</v>
      </c>
      <c r="C307" s="18">
        <f>Specification!$G$30</f>
        <v>109.96225200000001</v>
      </c>
      <c r="D307" s="17">
        <f>0.5*Specification!$K$4*Track!B307^2*Specification!$K$3*Specification!$K$2</f>
        <v>75.597088939043402</v>
      </c>
      <c r="E307" s="16">
        <v>0</v>
      </c>
      <c r="F307" s="17">
        <f>Specification!$C$23*9.81*SIN((E307*PI()/180))</f>
        <v>0</v>
      </c>
      <c r="G307" s="18">
        <f>IF(J307=1,VLOOKUP(K307,RPM!$E$2:$H$62,3,FALSE)-F307-E307-D307,IF(J307=2,VLOOKUP(K307,RPM!$H$2:$K$62,3,FALSE)-F307-E307-D307,IF(J307=3,VLOOKUP(K307,RPM!$K$2:$N$62,3,FALSE)-F307-E307-D307)))</f>
        <v>852.82752893960401</v>
      </c>
      <c r="H307" s="19">
        <f>IF(J307=1,Specification!$I$14,IF(J307=2,Specification!$I$15,IF(J307=3,Specification!$I$16)))</f>
        <v>582.50936296077191</v>
      </c>
      <c r="I307" s="16">
        <v>0</v>
      </c>
      <c r="J307" s="17">
        <v>2</v>
      </c>
      <c r="K307" s="16">
        <f>IF(J307=1,VLOOKUP(B307,RPM!$F$2:$H$62,3,TRUE),IF(J307=2,VLOOKUP(B307,RPM!$I$2:$K$62,3,TRUE),IF(J307=3,VLOOKUP(B307,RPM!$L$2:$N$62,3,TRUE))))</f>
        <v>6800</v>
      </c>
      <c r="L307" s="17">
        <f t="shared" si="48"/>
        <v>25.607404176956894</v>
      </c>
      <c r="M307" s="16">
        <f t="shared" si="45"/>
        <v>0</v>
      </c>
      <c r="N307" s="17">
        <f>VLOOKUP(K307,RPM!$A$2:$D$62,3,FALSE)</f>
        <v>15</v>
      </c>
      <c r="O307" s="16">
        <f>VLOOKUP(K307,RPM!$A$2:$D$62,4,FALSE)</f>
        <v>15.721323529411764</v>
      </c>
      <c r="P307" s="17">
        <f t="shared" si="46"/>
        <v>11.723390955882353</v>
      </c>
      <c r="Q307" s="16" cm="1">
        <f t="array" ref="Q307">_xlfn.XLOOKUP(O307,BSFC!$A$2:$A$24,_xlfn.XLOOKUP(K307,BSFC!$B$1:$O$1,BSFC!$B$2:$O$24,,-1),,-1)</f>
        <v>440</v>
      </c>
      <c r="R307" s="17">
        <f t="shared" si="47"/>
        <v>1.4328588946078433</v>
      </c>
      <c r="S307" s="16">
        <f t="shared" si="49"/>
        <v>2.6955348133305399E-4</v>
      </c>
      <c r="T307" s="17">
        <f t="shared" si="53"/>
        <v>0.11860353178654376</v>
      </c>
      <c r="U307" s="16">
        <f t="shared" si="54"/>
        <v>45.682196009708122</v>
      </c>
      <c r="V307" s="17">
        <f t="shared" si="55"/>
        <v>9.3387292901821614E-2</v>
      </c>
      <c r="W307" s="16">
        <f t="shared" si="50"/>
        <v>336194.25444655778</v>
      </c>
      <c r="X307">
        <f>('Hybrid Info'!$A$2-Track!P307)*(L307-L306)*1000+X306</f>
        <v>-30888.25936324607</v>
      </c>
    </row>
    <row r="308" spans="1:24">
      <c r="A308" s="16">
        <f t="shared" si="51"/>
        <v>307</v>
      </c>
      <c r="B308" s="17">
        <f t="shared" si="52"/>
        <v>12.081081170387082</v>
      </c>
      <c r="C308" s="18">
        <f>Specification!$G$30</f>
        <v>109.96225200000001</v>
      </c>
      <c r="D308" s="17">
        <f>0.5*Specification!$K$4*Track!B308^2*Specification!$K$3*Specification!$K$2</f>
        <v>75.597088939043402</v>
      </c>
      <c r="E308" s="16">
        <v>0</v>
      </c>
      <c r="F308" s="17">
        <f>Specification!$C$23*9.81*SIN((E308*PI()/180))</f>
        <v>0</v>
      </c>
      <c r="G308" s="18">
        <f>IF(J308=1,VLOOKUP(K308,RPM!$E$2:$H$62,3,FALSE)-F308-E308-D308,IF(J308=2,VLOOKUP(K308,RPM!$H$2:$K$62,3,FALSE)-F308-E308-D308,IF(J308=3,VLOOKUP(K308,RPM!$K$2:$N$62,3,FALSE)-F308-E308-D308)))</f>
        <v>852.82752893960401</v>
      </c>
      <c r="H308" s="19">
        <f>IF(J308=1,Specification!$I$14,IF(J308=2,Specification!$I$15,IF(J308=3,Specification!$I$16)))</f>
        <v>582.50936296077191</v>
      </c>
      <c r="I308" s="16">
        <v>0</v>
      </c>
      <c r="J308" s="17">
        <v>2</v>
      </c>
      <c r="K308" s="16">
        <f>IF(J308=1,VLOOKUP(B308,RPM!$F$2:$H$62,3,TRUE),IF(J308=2,VLOOKUP(B308,RPM!$I$2:$K$62,3,TRUE),IF(J308=3,VLOOKUP(B308,RPM!$L$2:$N$62,3,TRUE))))</f>
        <v>6800</v>
      </c>
      <c r="L308" s="17">
        <f t="shared" si="48"/>
        <v>25.690178225562011</v>
      </c>
      <c r="M308" s="16">
        <f t="shared" si="45"/>
        <v>0</v>
      </c>
      <c r="N308" s="17">
        <f>VLOOKUP(K308,RPM!$A$2:$D$62,3,FALSE)</f>
        <v>15</v>
      </c>
      <c r="O308" s="16">
        <f>VLOOKUP(K308,RPM!$A$2:$D$62,4,FALSE)</f>
        <v>15.721323529411764</v>
      </c>
      <c r="P308" s="17">
        <f t="shared" si="46"/>
        <v>11.723390955882353</v>
      </c>
      <c r="Q308" s="16" cm="1">
        <f t="array" ref="Q308">_xlfn.XLOOKUP(O308,BSFC!$A$2:$A$24,_xlfn.XLOOKUP(K308,BSFC!$B$1:$O$1,BSFC!$B$2:$O$24,,-1),,-1)</f>
        <v>440</v>
      </c>
      <c r="R308" s="17">
        <f t="shared" si="47"/>
        <v>1.4328588946078433</v>
      </c>
      <c r="S308" s="16">
        <f t="shared" si="49"/>
        <v>2.6955348133305399E-4</v>
      </c>
      <c r="T308" s="17">
        <f t="shared" si="53"/>
        <v>0.11860353178654376</v>
      </c>
      <c r="U308" s="16">
        <f t="shared" si="54"/>
        <v>45.800799541494662</v>
      </c>
      <c r="V308" s="17">
        <f t="shared" si="55"/>
        <v>9.3656846383154663E-2</v>
      </c>
      <c r="W308" s="16">
        <f t="shared" si="50"/>
        <v>337164.64697935677</v>
      </c>
      <c r="X308">
        <f>('Hybrid Info'!$A$2-Track!P308)*(L308-L307)*1000+X307</f>
        <v>-30855.392798217435</v>
      </c>
    </row>
    <row r="309" spans="1:24">
      <c r="A309" s="16">
        <f t="shared" si="51"/>
        <v>308</v>
      </c>
      <c r="B309" s="17">
        <f t="shared" si="52"/>
        <v>12.081081170387082</v>
      </c>
      <c r="C309" s="18">
        <f>Specification!$G$30</f>
        <v>109.96225200000001</v>
      </c>
      <c r="D309" s="17">
        <f>0.5*Specification!$K$4*Track!B309^2*Specification!$K$3*Specification!$K$2</f>
        <v>75.597088939043402</v>
      </c>
      <c r="E309" s="16">
        <v>0</v>
      </c>
      <c r="F309" s="17">
        <f>Specification!$C$23*9.81*SIN((E309*PI()/180))</f>
        <v>0</v>
      </c>
      <c r="G309" s="18">
        <f>IF(J309=1,VLOOKUP(K309,RPM!$E$2:$H$62,3,FALSE)-F309-E309-D309,IF(J309=2,VLOOKUP(K309,RPM!$H$2:$K$62,3,FALSE)-F309-E309-D309,IF(J309=3,VLOOKUP(K309,RPM!$K$2:$N$62,3,FALSE)-F309-E309-D309)))</f>
        <v>852.82752893960401</v>
      </c>
      <c r="H309" s="19">
        <f>IF(J309=1,Specification!$I$14,IF(J309=2,Specification!$I$15,IF(J309=3,Specification!$I$16)))</f>
        <v>582.50936296077191</v>
      </c>
      <c r="I309" s="16">
        <v>0</v>
      </c>
      <c r="J309" s="17">
        <v>2</v>
      </c>
      <c r="K309" s="16">
        <f>IF(J309=1,VLOOKUP(B309,RPM!$F$2:$H$62,3,TRUE),IF(J309=2,VLOOKUP(B309,RPM!$I$2:$K$62,3,TRUE),IF(J309=3,VLOOKUP(B309,RPM!$L$2:$N$62,3,TRUE))))</f>
        <v>6800</v>
      </c>
      <c r="L309" s="17">
        <f t="shared" si="48"/>
        <v>25.772952274167128</v>
      </c>
      <c r="M309" s="16">
        <f t="shared" si="45"/>
        <v>0</v>
      </c>
      <c r="N309" s="17">
        <f>VLOOKUP(K309,RPM!$A$2:$D$62,3,FALSE)</f>
        <v>15</v>
      </c>
      <c r="O309" s="16">
        <f>VLOOKUP(K309,RPM!$A$2:$D$62,4,FALSE)</f>
        <v>15.721323529411764</v>
      </c>
      <c r="P309" s="17">
        <f t="shared" si="46"/>
        <v>11.723390955882353</v>
      </c>
      <c r="Q309" s="16" cm="1">
        <f t="array" ref="Q309">_xlfn.XLOOKUP(O309,BSFC!$A$2:$A$24,_xlfn.XLOOKUP(K309,BSFC!$B$1:$O$1,BSFC!$B$2:$O$24,,-1),,-1)</f>
        <v>440</v>
      </c>
      <c r="R309" s="17">
        <f t="shared" si="47"/>
        <v>1.4328588946078433</v>
      </c>
      <c r="S309" s="16">
        <f t="shared" si="49"/>
        <v>2.6955348133305399E-4</v>
      </c>
      <c r="T309" s="17">
        <f t="shared" si="53"/>
        <v>0.11860353178654376</v>
      </c>
      <c r="U309" s="16">
        <f t="shared" si="54"/>
        <v>45.919403073281202</v>
      </c>
      <c r="V309" s="17">
        <f t="shared" si="55"/>
        <v>9.3926399864487711E-2</v>
      </c>
      <c r="W309" s="16">
        <f t="shared" si="50"/>
        <v>338135.03951215575</v>
      </c>
      <c r="X309">
        <f>('Hybrid Info'!$A$2-Track!P309)*(L309-L308)*1000+X308</f>
        <v>-30822.526233188801</v>
      </c>
    </row>
    <row r="310" spans="1:24">
      <c r="A310" s="16">
        <f t="shared" si="51"/>
        <v>309</v>
      </c>
      <c r="B310" s="17">
        <f t="shared" si="52"/>
        <v>12.081081170387082</v>
      </c>
      <c r="C310" s="18">
        <f>Specification!$G$30</f>
        <v>109.96225200000001</v>
      </c>
      <c r="D310" s="17">
        <f>0.5*Specification!$K$4*Track!B310^2*Specification!$K$3*Specification!$K$2</f>
        <v>75.597088939043402</v>
      </c>
      <c r="E310" s="16">
        <v>0</v>
      </c>
      <c r="F310" s="17">
        <f>Specification!$C$23*9.81*SIN((E310*PI()/180))</f>
        <v>0</v>
      </c>
      <c r="G310" s="18">
        <f>IF(J310=1,VLOOKUP(K310,RPM!$E$2:$H$62,3,FALSE)-F310-E310-D310,IF(J310=2,VLOOKUP(K310,RPM!$H$2:$K$62,3,FALSE)-F310-E310-D310,IF(J310=3,VLOOKUP(K310,RPM!$K$2:$N$62,3,FALSE)-F310-E310-D310)))</f>
        <v>852.82752893960401</v>
      </c>
      <c r="H310" s="19">
        <f>IF(J310=1,Specification!$I$14,IF(J310=2,Specification!$I$15,IF(J310=3,Specification!$I$16)))</f>
        <v>582.50936296077191</v>
      </c>
      <c r="I310" s="16">
        <v>0</v>
      </c>
      <c r="J310" s="17">
        <v>2</v>
      </c>
      <c r="K310" s="16">
        <f>IF(J310=1,VLOOKUP(B310,RPM!$F$2:$H$62,3,TRUE),IF(J310=2,VLOOKUP(B310,RPM!$I$2:$K$62,3,TRUE),IF(J310=3,VLOOKUP(B310,RPM!$L$2:$N$62,3,TRUE))))</f>
        <v>6800</v>
      </c>
      <c r="L310" s="17">
        <f t="shared" si="48"/>
        <v>25.855726322772245</v>
      </c>
      <c r="M310" s="16">
        <f t="shared" si="45"/>
        <v>0</v>
      </c>
      <c r="N310" s="17">
        <f>VLOOKUP(K310,RPM!$A$2:$D$62,3,FALSE)</f>
        <v>15</v>
      </c>
      <c r="O310" s="16">
        <f>VLOOKUP(K310,RPM!$A$2:$D$62,4,FALSE)</f>
        <v>15.721323529411764</v>
      </c>
      <c r="P310" s="17">
        <f t="shared" si="46"/>
        <v>11.723390955882353</v>
      </c>
      <c r="Q310" s="16" cm="1">
        <f t="array" ref="Q310">_xlfn.XLOOKUP(O310,BSFC!$A$2:$A$24,_xlfn.XLOOKUP(K310,BSFC!$B$1:$O$1,BSFC!$B$2:$O$24,,-1),,-1)</f>
        <v>440</v>
      </c>
      <c r="R310" s="17">
        <f t="shared" si="47"/>
        <v>1.4328588946078433</v>
      </c>
      <c r="S310" s="16">
        <f t="shared" si="49"/>
        <v>2.6955348133305399E-4</v>
      </c>
      <c r="T310" s="17">
        <f t="shared" si="53"/>
        <v>0.11860353178654376</v>
      </c>
      <c r="U310" s="16">
        <f t="shared" si="54"/>
        <v>46.038006605067743</v>
      </c>
      <c r="V310" s="17">
        <f t="shared" si="55"/>
        <v>9.419595334582076E-2</v>
      </c>
      <c r="W310" s="16">
        <f t="shared" si="50"/>
        <v>339105.43204495474</v>
      </c>
      <c r="X310">
        <f>('Hybrid Info'!$A$2-Track!P310)*(L310-L309)*1000+X309</f>
        <v>-30789.659668160166</v>
      </c>
    </row>
    <row r="311" spans="1:24">
      <c r="A311" s="16">
        <f t="shared" si="51"/>
        <v>310</v>
      </c>
      <c r="B311" s="17">
        <f t="shared" si="52"/>
        <v>12.081081170387082</v>
      </c>
      <c r="C311" s="18">
        <f>Specification!$G$30</f>
        <v>109.96225200000001</v>
      </c>
      <c r="D311" s="17">
        <f>0.5*Specification!$K$4*Track!B311^2*Specification!$K$3*Specification!$K$2</f>
        <v>75.597088939043402</v>
      </c>
      <c r="E311" s="16">
        <v>0</v>
      </c>
      <c r="F311" s="17">
        <f>Specification!$C$23*9.81*SIN((E311*PI()/180))</f>
        <v>0</v>
      </c>
      <c r="G311" s="18">
        <f>IF(J311=1,VLOOKUP(K311,RPM!$E$2:$H$62,3,FALSE)-F311-E311-D311,IF(J311=2,VLOOKUP(K311,RPM!$H$2:$K$62,3,FALSE)-F311-E311-D311,IF(J311=3,VLOOKUP(K311,RPM!$K$2:$N$62,3,FALSE)-F311-E311-D311)))</f>
        <v>852.82752893960401</v>
      </c>
      <c r="H311" s="19">
        <f>IF(J311=1,Specification!$I$14,IF(J311=2,Specification!$I$15,IF(J311=3,Specification!$I$16)))</f>
        <v>582.50936296077191</v>
      </c>
      <c r="I311" s="16">
        <v>0</v>
      </c>
      <c r="J311" s="17">
        <v>2</v>
      </c>
      <c r="K311" s="16">
        <f>IF(J311=1,VLOOKUP(B311,RPM!$F$2:$H$62,3,TRUE),IF(J311=2,VLOOKUP(B311,RPM!$I$2:$K$62,3,TRUE),IF(J311=3,VLOOKUP(B311,RPM!$L$2:$N$62,3,TRUE))))</f>
        <v>6800</v>
      </c>
      <c r="L311" s="17">
        <f t="shared" si="48"/>
        <v>25.938500371377362</v>
      </c>
      <c r="M311" s="16">
        <f t="shared" si="45"/>
        <v>0</v>
      </c>
      <c r="N311" s="17">
        <f>VLOOKUP(K311,RPM!$A$2:$D$62,3,FALSE)</f>
        <v>15</v>
      </c>
      <c r="O311" s="16">
        <f>VLOOKUP(K311,RPM!$A$2:$D$62,4,FALSE)</f>
        <v>15.721323529411764</v>
      </c>
      <c r="P311" s="17">
        <f t="shared" si="46"/>
        <v>11.723390955882353</v>
      </c>
      <c r="Q311" s="16" cm="1">
        <f t="array" ref="Q311">_xlfn.XLOOKUP(O311,BSFC!$A$2:$A$24,_xlfn.XLOOKUP(K311,BSFC!$B$1:$O$1,BSFC!$B$2:$O$24,,-1),,-1)</f>
        <v>440</v>
      </c>
      <c r="R311" s="17">
        <f t="shared" si="47"/>
        <v>1.4328588946078433</v>
      </c>
      <c r="S311" s="16">
        <f t="shared" si="49"/>
        <v>2.6955348133305399E-4</v>
      </c>
      <c r="T311" s="17">
        <f t="shared" si="53"/>
        <v>0.11860353178654376</v>
      </c>
      <c r="U311" s="16">
        <f t="shared" si="54"/>
        <v>46.156610136854283</v>
      </c>
      <c r="V311" s="17">
        <f t="shared" si="55"/>
        <v>9.4465506827153808E-2</v>
      </c>
      <c r="W311" s="16">
        <f t="shared" si="50"/>
        <v>340075.82457775366</v>
      </c>
      <c r="X311">
        <f>('Hybrid Info'!$A$2-Track!P311)*(L311-L310)*1000+X310</f>
        <v>-30756.793103131531</v>
      </c>
    </row>
    <row r="312" spans="1:24">
      <c r="A312" s="16">
        <f t="shared" si="51"/>
        <v>311</v>
      </c>
      <c r="B312" s="17">
        <f t="shared" si="52"/>
        <v>12.081081170387082</v>
      </c>
      <c r="C312" s="18">
        <f>Specification!$G$30</f>
        <v>109.96225200000001</v>
      </c>
      <c r="D312" s="17">
        <f>0.5*Specification!$K$4*Track!B312^2*Specification!$K$3*Specification!$K$2</f>
        <v>75.597088939043402</v>
      </c>
      <c r="E312" s="16">
        <v>0</v>
      </c>
      <c r="F312" s="17">
        <f>Specification!$C$23*9.81*SIN((E312*PI()/180))</f>
        <v>0</v>
      </c>
      <c r="G312" s="18">
        <f>IF(J312=1,VLOOKUP(K312,RPM!$E$2:$H$62,3,FALSE)-F312-E312-D312,IF(J312=2,VLOOKUP(K312,RPM!$H$2:$K$62,3,FALSE)-F312-E312-D312,IF(J312=3,VLOOKUP(K312,RPM!$K$2:$N$62,3,FALSE)-F312-E312-D312)))</f>
        <v>852.82752893960401</v>
      </c>
      <c r="H312" s="19">
        <f>IF(J312=1,Specification!$I$14,IF(J312=2,Specification!$I$15,IF(J312=3,Specification!$I$16)))</f>
        <v>582.50936296077191</v>
      </c>
      <c r="I312" s="16">
        <v>0</v>
      </c>
      <c r="J312" s="17">
        <v>2</v>
      </c>
      <c r="K312" s="16">
        <f>IF(J312=1,VLOOKUP(B312,RPM!$F$2:$H$62,3,TRUE),IF(J312=2,VLOOKUP(B312,RPM!$I$2:$K$62,3,TRUE),IF(J312=3,VLOOKUP(B312,RPM!$L$2:$N$62,3,TRUE))))</f>
        <v>6800</v>
      </c>
      <c r="L312" s="17">
        <f t="shared" si="48"/>
        <v>26.021274419982479</v>
      </c>
      <c r="M312" s="16">
        <f t="shared" si="45"/>
        <v>0</v>
      </c>
      <c r="N312" s="17">
        <f>VLOOKUP(K312,RPM!$A$2:$D$62,3,FALSE)</f>
        <v>15</v>
      </c>
      <c r="O312" s="16">
        <f>VLOOKUP(K312,RPM!$A$2:$D$62,4,FALSE)</f>
        <v>15.721323529411764</v>
      </c>
      <c r="P312" s="17">
        <f t="shared" si="46"/>
        <v>11.723390955882353</v>
      </c>
      <c r="Q312" s="16" cm="1">
        <f t="array" ref="Q312">_xlfn.XLOOKUP(O312,BSFC!$A$2:$A$24,_xlfn.XLOOKUP(K312,BSFC!$B$1:$O$1,BSFC!$B$2:$O$24,,-1),,-1)</f>
        <v>440</v>
      </c>
      <c r="R312" s="17">
        <f t="shared" si="47"/>
        <v>1.4328588946078433</v>
      </c>
      <c r="S312" s="16">
        <f t="shared" si="49"/>
        <v>2.6955348133305399E-4</v>
      </c>
      <c r="T312" s="17">
        <f t="shared" si="53"/>
        <v>0.11860353178654376</v>
      </c>
      <c r="U312" s="16">
        <f t="shared" si="54"/>
        <v>46.275213668640824</v>
      </c>
      <c r="V312" s="17">
        <f t="shared" si="55"/>
        <v>9.4735060308486857E-2</v>
      </c>
      <c r="W312" s="16">
        <f t="shared" si="50"/>
        <v>341046.21711055265</v>
      </c>
      <c r="X312">
        <f>('Hybrid Info'!$A$2-Track!P312)*(L312-L311)*1000+X311</f>
        <v>-30723.926538102896</v>
      </c>
    </row>
    <row r="313" spans="1:24">
      <c r="A313" s="16">
        <f t="shared" si="51"/>
        <v>312</v>
      </c>
      <c r="B313" s="17">
        <f t="shared" si="52"/>
        <v>12.081081170387082</v>
      </c>
      <c r="C313" s="18">
        <f>Specification!$G$30</f>
        <v>109.96225200000001</v>
      </c>
      <c r="D313" s="17">
        <f>0.5*Specification!$K$4*Track!B313^2*Specification!$K$3*Specification!$K$2</f>
        <v>75.597088939043402</v>
      </c>
      <c r="E313" s="16">
        <v>0</v>
      </c>
      <c r="F313" s="17">
        <f>Specification!$C$23*9.81*SIN((E313*PI()/180))</f>
        <v>0</v>
      </c>
      <c r="G313" s="18">
        <f>IF(J313=1,VLOOKUP(K313,RPM!$E$2:$H$62,3,FALSE)-F313-E313-D313,IF(J313=2,VLOOKUP(K313,RPM!$H$2:$K$62,3,FALSE)-F313-E313-D313,IF(J313=3,VLOOKUP(K313,RPM!$K$2:$N$62,3,FALSE)-F313-E313-D313)))</f>
        <v>852.82752893960401</v>
      </c>
      <c r="H313" s="19">
        <f>IF(J313=1,Specification!$I$14,IF(J313=2,Specification!$I$15,IF(J313=3,Specification!$I$16)))</f>
        <v>582.50936296077191</v>
      </c>
      <c r="I313" s="16">
        <v>0</v>
      </c>
      <c r="J313" s="17">
        <v>2</v>
      </c>
      <c r="K313" s="16">
        <f>IF(J313=1,VLOOKUP(B313,RPM!$F$2:$H$62,3,TRUE),IF(J313=2,VLOOKUP(B313,RPM!$I$2:$K$62,3,TRUE),IF(J313=3,VLOOKUP(B313,RPM!$L$2:$N$62,3,TRUE))))</f>
        <v>6800</v>
      </c>
      <c r="L313" s="17">
        <f t="shared" si="48"/>
        <v>26.104048468587596</v>
      </c>
      <c r="M313" s="16">
        <f t="shared" si="45"/>
        <v>0</v>
      </c>
      <c r="N313" s="17">
        <f>VLOOKUP(K313,RPM!$A$2:$D$62,3,FALSE)</f>
        <v>15</v>
      </c>
      <c r="O313" s="16">
        <f>VLOOKUP(K313,RPM!$A$2:$D$62,4,FALSE)</f>
        <v>15.721323529411764</v>
      </c>
      <c r="P313" s="17">
        <f t="shared" si="46"/>
        <v>11.723390955882353</v>
      </c>
      <c r="Q313" s="16" cm="1">
        <f t="array" ref="Q313">_xlfn.XLOOKUP(O313,BSFC!$A$2:$A$24,_xlfn.XLOOKUP(K313,BSFC!$B$1:$O$1,BSFC!$B$2:$O$24,,-1),,-1)</f>
        <v>440</v>
      </c>
      <c r="R313" s="17">
        <f t="shared" si="47"/>
        <v>1.4328588946078433</v>
      </c>
      <c r="S313" s="16">
        <f t="shared" si="49"/>
        <v>2.6955348133305399E-4</v>
      </c>
      <c r="T313" s="17">
        <f t="shared" si="53"/>
        <v>0.11860353178654376</v>
      </c>
      <c r="U313" s="16">
        <f t="shared" si="54"/>
        <v>46.393817200427364</v>
      </c>
      <c r="V313" s="17">
        <f t="shared" si="55"/>
        <v>9.5004613789819906E-2</v>
      </c>
      <c r="W313" s="16">
        <f t="shared" si="50"/>
        <v>342016.60964335164</v>
      </c>
      <c r="X313">
        <f>('Hybrid Info'!$A$2-Track!P313)*(L313-L312)*1000+X312</f>
        <v>-30691.059973074262</v>
      </c>
    </row>
    <row r="314" spans="1:24">
      <c r="A314" s="16">
        <f t="shared" si="51"/>
        <v>313</v>
      </c>
      <c r="B314" s="17">
        <f t="shared" si="52"/>
        <v>12.081081170387082</v>
      </c>
      <c r="C314" s="18">
        <f>Specification!$G$30</f>
        <v>109.96225200000001</v>
      </c>
      <c r="D314" s="17">
        <f>0.5*Specification!$K$4*Track!B314^2*Specification!$K$3*Specification!$K$2</f>
        <v>75.597088939043402</v>
      </c>
      <c r="E314" s="16">
        <v>0</v>
      </c>
      <c r="F314" s="17">
        <f>Specification!$C$23*9.81*SIN((E314*PI()/180))</f>
        <v>0</v>
      </c>
      <c r="G314" s="18">
        <f>IF(J314=1,VLOOKUP(K314,RPM!$E$2:$H$62,3,FALSE)-F314-E314-D314,IF(J314=2,VLOOKUP(K314,RPM!$H$2:$K$62,3,FALSE)-F314-E314-D314,IF(J314=3,VLOOKUP(K314,RPM!$K$2:$N$62,3,FALSE)-F314-E314-D314)))</f>
        <v>852.82752893960401</v>
      </c>
      <c r="H314" s="19">
        <f>IF(J314=1,Specification!$I$14,IF(J314=2,Specification!$I$15,IF(J314=3,Specification!$I$16)))</f>
        <v>582.50936296077191</v>
      </c>
      <c r="I314" s="16">
        <v>0</v>
      </c>
      <c r="J314" s="17">
        <v>2</v>
      </c>
      <c r="K314" s="16">
        <f>IF(J314=1,VLOOKUP(B314,RPM!$F$2:$H$62,3,TRUE),IF(J314=2,VLOOKUP(B314,RPM!$I$2:$K$62,3,TRUE),IF(J314=3,VLOOKUP(B314,RPM!$L$2:$N$62,3,TRUE))))</f>
        <v>6800</v>
      </c>
      <c r="L314" s="17">
        <f t="shared" si="48"/>
        <v>26.186822517192713</v>
      </c>
      <c r="M314" s="16">
        <f t="shared" si="45"/>
        <v>0</v>
      </c>
      <c r="N314" s="17">
        <f>VLOOKUP(K314,RPM!$A$2:$D$62,3,FALSE)</f>
        <v>15</v>
      </c>
      <c r="O314" s="16">
        <f>VLOOKUP(K314,RPM!$A$2:$D$62,4,FALSE)</f>
        <v>15.721323529411764</v>
      </c>
      <c r="P314" s="17">
        <f t="shared" si="46"/>
        <v>11.723390955882353</v>
      </c>
      <c r="Q314" s="16" cm="1">
        <f t="array" ref="Q314">_xlfn.XLOOKUP(O314,BSFC!$A$2:$A$24,_xlfn.XLOOKUP(K314,BSFC!$B$1:$O$1,BSFC!$B$2:$O$24,,-1),,-1)</f>
        <v>440</v>
      </c>
      <c r="R314" s="17">
        <f t="shared" si="47"/>
        <v>1.4328588946078433</v>
      </c>
      <c r="S314" s="16">
        <f t="shared" si="49"/>
        <v>2.6955348133305399E-4</v>
      </c>
      <c r="T314" s="17">
        <f t="shared" si="53"/>
        <v>0.11860353178654376</v>
      </c>
      <c r="U314" s="16">
        <f t="shared" si="54"/>
        <v>46.512420732213904</v>
      </c>
      <c r="V314" s="17">
        <f t="shared" si="55"/>
        <v>9.5274167271152954E-2</v>
      </c>
      <c r="W314" s="16">
        <f t="shared" si="50"/>
        <v>342987.00217615062</v>
      </c>
      <c r="X314">
        <f>('Hybrid Info'!$A$2-Track!P314)*(L314-L313)*1000+X313</f>
        <v>-30658.193408045627</v>
      </c>
    </row>
    <row r="315" spans="1:24">
      <c r="A315" s="16">
        <f t="shared" si="51"/>
        <v>314</v>
      </c>
      <c r="B315" s="17">
        <f t="shared" si="52"/>
        <v>12.081081170387082</v>
      </c>
      <c r="C315" s="18">
        <f>Specification!$G$30</f>
        <v>109.96225200000001</v>
      </c>
      <c r="D315" s="17">
        <f>0.5*Specification!$K$4*Track!B315^2*Specification!$K$3*Specification!$K$2</f>
        <v>75.597088939043402</v>
      </c>
      <c r="E315" s="16">
        <v>0</v>
      </c>
      <c r="F315" s="17">
        <f>Specification!$C$23*9.81*SIN((E315*PI()/180))</f>
        <v>0</v>
      </c>
      <c r="G315" s="18">
        <f>IF(J315=1,VLOOKUP(K315,RPM!$E$2:$H$62,3,FALSE)-F315-E315-D315,IF(J315=2,VLOOKUP(K315,RPM!$H$2:$K$62,3,FALSE)-F315-E315-D315,IF(J315=3,VLOOKUP(K315,RPM!$K$2:$N$62,3,FALSE)-F315-E315-D315)))</f>
        <v>852.82752893960401</v>
      </c>
      <c r="H315" s="19">
        <f>IF(J315=1,Specification!$I$14,IF(J315=2,Specification!$I$15,IF(J315=3,Specification!$I$16)))</f>
        <v>582.50936296077191</v>
      </c>
      <c r="I315" s="16">
        <v>0</v>
      </c>
      <c r="J315" s="17">
        <v>2</v>
      </c>
      <c r="K315" s="16">
        <f>IF(J315=1,VLOOKUP(B315,RPM!$F$2:$H$62,3,TRUE),IF(J315=2,VLOOKUP(B315,RPM!$I$2:$K$62,3,TRUE),IF(J315=3,VLOOKUP(B315,RPM!$L$2:$N$62,3,TRUE))))</f>
        <v>6800</v>
      </c>
      <c r="L315" s="17">
        <f t="shared" si="48"/>
        <v>26.26959656579783</v>
      </c>
      <c r="M315" s="16">
        <f t="shared" si="45"/>
        <v>0</v>
      </c>
      <c r="N315" s="17">
        <f>VLOOKUP(K315,RPM!$A$2:$D$62,3,FALSE)</f>
        <v>15</v>
      </c>
      <c r="O315" s="16">
        <f>VLOOKUP(K315,RPM!$A$2:$D$62,4,FALSE)</f>
        <v>15.721323529411764</v>
      </c>
      <c r="P315" s="17">
        <f t="shared" si="46"/>
        <v>11.723390955882353</v>
      </c>
      <c r="Q315" s="16" cm="1">
        <f t="array" ref="Q315">_xlfn.XLOOKUP(O315,BSFC!$A$2:$A$24,_xlfn.XLOOKUP(K315,BSFC!$B$1:$O$1,BSFC!$B$2:$O$24,,-1),,-1)</f>
        <v>440</v>
      </c>
      <c r="R315" s="17">
        <f t="shared" si="47"/>
        <v>1.4328588946078433</v>
      </c>
      <c r="S315" s="16">
        <f t="shared" si="49"/>
        <v>2.6955348133305399E-4</v>
      </c>
      <c r="T315" s="17">
        <f t="shared" si="53"/>
        <v>0.11860353178654376</v>
      </c>
      <c r="U315" s="16">
        <f t="shared" si="54"/>
        <v>46.631024264000445</v>
      </c>
      <c r="V315" s="17">
        <f t="shared" si="55"/>
        <v>9.5543720752486003E-2</v>
      </c>
      <c r="W315" s="16">
        <f t="shared" si="50"/>
        <v>343957.39470894961</v>
      </c>
      <c r="X315">
        <f>('Hybrid Info'!$A$2-Track!P315)*(L315-L314)*1000+X314</f>
        <v>-30625.326843016992</v>
      </c>
    </row>
    <row r="316" spans="1:24">
      <c r="A316" s="16">
        <f t="shared" si="51"/>
        <v>315</v>
      </c>
      <c r="B316" s="17">
        <f t="shared" si="52"/>
        <v>12.081081170387082</v>
      </c>
      <c r="C316" s="18">
        <f>Specification!$G$30</f>
        <v>109.96225200000001</v>
      </c>
      <c r="D316" s="17">
        <f>0.5*Specification!$K$4*Track!B316^2*Specification!$K$3*Specification!$K$2</f>
        <v>75.597088939043402</v>
      </c>
      <c r="E316" s="16">
        <v>0</v>
      </c>
      <c r="F316" s="17">
        <f>Specification!$C$23*9.81*SIN((E316*PI()/180))</f>
        <v>0</v>
      </c>
      <c r="G316" s="18">
        <f>IF(J316=1,VLOOKUP(K316,RPM!$E$2:$H$62,3,FALSE)-F316-E316-D316,IF(J316=2,VLOOKUP(K316,RPM!$H$2:$K$62,3,FALSE)-F316-E316-D316,IF(J316=3,VLOOKUP(K316,RPM!$K$2:$N$62,3,FALSE)-F316-E316-D316)))</f>
        <v>852.82752893960401</v>
      </c>
      <c r="H316" s="19">
        <f>IF(J316=1,Specification!$I$14,IF(J316=2,Specification!$I$15,IF(J316=3,Specification!$I$16)))</f>
        <v>582.50936296077191</v>
      </c>
      <c r="I316" s="16">
        <v>0</v>
      </c>
      <c r="J316" s="17">
        <v>2</v>
      </c>
      <c r="K316" s="16">
        <f>IF(J316=1,VLOOKUP(B316,RPM!$F$2:$H$62,3,TRUE),IF(J316=2,VLOOKUP(B316,RPM!$I$2:$K$62,3,TRUE),IF(J316=3,VLOOKUP(B316,RPM!$L$2:$N$62,3,TRUE))))</f>
        <v>6800</v>
      </c>
      <c r="L316" s="17">
        <f t="shared" si="48"/>
        <v>26.352370614402947</v>
      </c>
      <c r="M316" s="16">
        <f t="shared" si="45"/>
        <v>0</v>
      </c>
      <c r="N316" s="17">
        <f>VLOOKUP(K316,RPM!$A$2:$D$62,3,FALSE)</f>
        <v>15</v>
      </c>
      <c r="O316" s="16">
        <f>VLOOKUP(K316,RPM!$A$2:$D$62,4,FALSE)</f>
        <v>15.721323529411764</v>
      </c>
      <c r="P316" s="17">
        <f t="shared" si="46"/>
        <v>11.723390955882353</v>
      </c>
      <c r="Q316" s="16" cm="1">
        <f t="array" ref="Q316">_xlfn.XLOOKUP(O316,BSFC!$A$2:$A$24,_xlfn.XLOOKUP(K316,BSFC!$B$1:$O$1,BSFC!$B$2:$O$24,,-1),,-1)</f>
        <v>440</v>
      </c>
      <c r="R316" s="17">
        <f t="shared" si="47"/>
        <v>1.4328588946078433</v>
      </c>
      <c r="S316" s="16">
        <f t="shared" si="49"/>
        <v>2.6955348133305399E-4</v>
      </c>
      <c r="T316" s="17">
        <f t="shared" si="53"/>
        <v>0.11860353178654376</v>
      </c>
      <c r="U316" s="16">
        <f t="shared" si="54"/>
        <v>46.749627795786985</v>
      </c>
      <c r="V316" s="17">
        <f t="shared" si="55"/>
        <v>9.5813274233819051E-2</v>
      </c>
      <c r="W316" s="16">
        <f t="shared" si="50"/>
        <v>344927.78724174859</v>
      </c>
      <c r="X316">
        <f>('Hybrid Info'!$A$2-Track!P316)*(L316-L315)*1000+X315</f>
        <v>-30592.460277988357</v>
      </c>
    </row>
    <row r="317" spans="1:24">
      <c r="A317" s="16">
        <f t="shared" si="51"/>
        <v>316</v>
      </c>
      <c r="B317" s="17">
        <f t="shared" si="52"/>
        <v>12.081081170387082</v>
      </c>
      <c r="C317" s="18">
        <f>Specification!$G$30</f>
        <v>109.96225200000001</v>
      </c>
      <c r="D317" s="17">
        <f>0.5*Specification!$K$4*Track!B317^2*Specification!$K$3*Specification!$K$2</f>
        <v>75.597088939043402</v>
      </c>
      <c r="E317" s="16">
        <v>0</v>
      </c>
      <c r="F317" s="17">
        <f>Specification!$C$23*9.81*SIN((E317*PI()/180))</f>
        <v>0</v>
      </c>
      <c r="G317" s="18">
        <f>IF(J317=1,VLOOKUP(K317,RPM!$E$2:$H$62,3,FALSE)-F317-E317-D317,IF(J317=2,VLOOKUP(K317,RPM!$H$2:$K$62,3,FALSE)-F317-E317-D317,IF(J317=3,VLOOKUP(K317,RPM!$K$2:$N$62,3,FALSE)-F317-E317-D317)))</f>
        <v>852.82752893960401</v>
      </c>
      <c r="H317" s="19">
        <f>IF(J317=1,Specification!$I$14,IF(J317=2,Specification!$I$15,IF(J317=3,Specification!$I$16)))</f>
        <v>582.50936296077191</v>
      </c>
      <c r="I317" s="16">
        <v>0</v>
      </c>
      <c r="J317" s="17">
        <v>2</v>
      </c>
      <c r="K317" s="16">
        <f>IF(J317=1,VLOOKUP(B317,RPM!$F$2:$H$62,3,TRUE),IF(J317=2,VLOOKUP(B317,RPM!$I$2:$K$62,3,TRUE),IF(J317=3,VLOOKUP(B317,RPM!$L$2:$N$62,3,TRUE))))</f>
        <v>6800</v>
      </c>
      <c r="L317" s="17">
        <f t="shared" si="48"/>
        <v>26.435144663008064</v>
      </c>
      <c r="M317" s="16">
        <f t="shared" si="45"/>
        <v>0</v>
      </c>
      <c r="N317" s="17">
        <f>VLOOKUP(K317,RPM!$A$2:$D$62,3,FALSE)</f>
        <v>15</v>
      </c>
      <c r="O317" s="16">
        <f>VLOOKUP(K317,RPM!$A$2:$D$62,4,FALSE)</f>
        <v>15.721323529411764</v>
      </c>
      <c r="P317" s="17">
        <f t="shared" si="46"/>
        <v>11.723390955882353</v>
      </c>
      <c r="Q317" s="16" cm="1">
        <f t="array" ref="Q317">_xlfn.XLOOKUP(O317,BSFC!$A$2:$A$24,_xlfn.XLOOKUP(K317,BSFC!$B$1:$O$1,BSFC!$B$2:$O$24,,-1),,-1)</f>
        <v>440</v>
      </c>
      <c r="R317" s="17">
        <f t="shared" si="47"/>
        <v>1.4328588946078433</v>
      </c>
      <c r="S317" s="16">
        <f t="shared" si="49"/>
        <v>2.6955348133305399E-4</v>
      </c>
      <c r="T317" s="17">
        <f t="shared" si="53"/>
        <v>0.11860353178654376</v>
      </c>
      <c r="U317" s="16">
        <f t="shared" si="54"/>
        <v>46.868231327573525</v>
      </c>
      <c r="V317" s="17">
        <f t="shared" si="55"/>
        <v>9.60828277151521E-2</v>
      </c>
      <c r="W317" s="16">
        <f t="shared" si="50"/>
        <v>345898.17977454758</v>
      </c>
      <c r="X317">
        <f>('Hybrid Info'!$A$2-Track!P317)*(L317-L316)*1000+X316</f>
        <v>-30559.593712959722</v>
      </c>
    </row>
    <row r="318" spans="1:24">
      <c r="A318" s="16">
        <f t="shared" si="51"/>
        <v>317</v>
      </c>
      <c r="B318" s="17">
        <f t="shared" si="52"/>
        <v>12.081081170387082</v>
      </c>
      <c r="C318" s="18">
        <f>Specification!$G$30</f>
        <v>109.96225200000001</v>
      </c>
      <c r="D318" s="17">
        <f>0.5*Specification!$K$4*Track!B318^2*Specification!$K$3*Specification!$K$2</f>
        <v>75.597088939043402</v>
      </c>
      <c r="E318" s="16">
        <v>0</v>
      </c>
      <c r="F318" s="17">
        <f>Specification!$C$23*9.81*SIN((E318*PI()/180))</f>
        <v>0</v>
      </c>
      <c r="G318" s="18">
        <f>IF(J318=1,VLOOKUP(K318,RPM!$E$2:$H$62,3,FALSE)-F318-E318-D318,IF(J318=2,VLOOKUP(K318,RPM!$H$2:$K$62,3,FALSE)-F318-E318-D318,IF(J318=3,VLOOKUP(K318,RPM!$K$2:$N$62,3,FALSE)-F318-E318-D318)))</f>
        <v>852.82752893960401</v>
      </c>
      <c r="H318" s="19">
        <f>IF(J318=1,Specification!$I$14,IF(J318=2,Specification!$I$15,IF(J318=3,Specification!$I$16)))</f>
        <v>582.50936296077191</v>
      </c>
      <c r="I318" s="16">
        <v>0</v>
      </c>
      <c r="J318" s="17">
        <v>2</v>
      </c>
      <c r="K318" s="16">
        <f>IF(J318=1,VLOOKUP(B318,RPM!$F$2:$H$62,3,TRUE),IF(J318=2,VLOOKUP(B318,RPM!$I$2:$K$62,3,TRUE),IF(J318=3,VLOOKUP(B318,RPM!$L$2:$N$62,3,TRUE))))</f>
        <v>6800</v>
      </c>
      <c r="L318" s="17">
        <f t="shared" si="48"/>
        <v>26.517918711613181</v>
      </c>
      <c r="M318" s="16">
        <f t="shared" si="45"/>
        <v>0</v>
      </c>
      <c r="N318" s="17">
        <f>VLOOKUP(K318,RPM!$A$2:$D$62,3,FALSE)</f>
        <v>15</v>
      </c>
      <c r="O318" s="16">
        <f>VLOOKUP(K318,RPM!$A$2:$D$62,4,FALSE)</f>
        <v>15.721323529411764</v>
      </c>
      <c r="P318" s="17">
        <f t="shared" si="46"/>
        <v>11.723390955882353</v>
      </c>
      <c r="Q318" s="16" cm="1">
        <f t="array" ref="Q318">_xlfn.XLOOKUP(O318,BSFC!$A$2:$A$24,_xlfn.XLOOKUP(K318,BSFC!$B$1:$O$1,BSFC!$B$2:$O$24,,-1),,-1)</f>
        <v>440</v>
      </c>
      <c r="R318" s="17">
        <f t="shared" si="47"/>
        <v>1.4328588946078433</v>
      </c>
      <c r="S318" s="16">
        <f t="shared" si="49"/>
        <v>2.6955348133305399E-4</v>
      </c>
      <c r="T318" s="17">
        <f t="shared" si="53"/>
        <v>0.11860353178654376</v>
      </c>
      <c r="U318" s="16">
        <f t="shared" si="54"/>
        <v>46.986834859360066</v>
      </c>
      <c r="V318" s="17">
        <f t="shared" si="55"/>
        <v>9.6352381196485148E-2</v>
      </c>
      <c r="W318" s="16">
        <f t="shared" si="50"/>
        <v>346868.57230734656</v>
      </c>
      <c r="X318">
        <f>('Hybrid Info'!$A$2-Track!P318)*(L318-L317)*1000+X317</f>
        <v>-30526.727147931088</v>
      </c>
    </row>
    <row r="319" spans="1:24">
      <c r="A319" s="16">
        <f t="shared" si="51"/>
        <v>318</v>
      </c>
      <c r="B319" s="17">
        <f t="shared" si="52"/>
        <v>12.081081170387082</v>
      </c>
      <c r="C319" s="18">
        <f>Specification!$G$30</f>
        <v>109.96225200000001</v>
      </c>
      <c r="D319" s="17">
        <f>0.5*Specification!$K$4*Track!B319^2*Specification!$K$3*Specification!$K$2</f>
        <v>75.597088939043402</v>
      </c>
      <c r="E319" s="16">
        <v>0</v>
      </c>
      <c r="F319" s="17">
        <f>Specification!$C$23*9.81*SIN((E319*PI()/180))</f>
        <v>0</v>
      </c>
      <c r="G319" s="18">
        <f>IF(J319=1,VLOOKUP(K319,RPM!$E$2:$H$62,3,FALSE)-F319-E319-D319,IF(J319=2,VLOOKUP(K319,RPM!$H$2:$K$62,3,FALSE)-F319-E319-D319,IF(J319=3,VLOOKUP(K319,RPM!$K$2:$N$62,3,FALSE)-F319-E319-D319)))</f>
        <v>852.82752893960401</v>
      </c>
      <c r="H319" s="19">
        <f>IF(J319=1,Specification!$I$14,IF(J319=2,Specification!$I$15,IF(J319=3,Specification!$I$16)))</f>
        <v>582.50936296077191</v>
      </c>
      <c r="I319" s="16">
        <v>0</v>
      </c>
      <c r="J319" s="17">
        <v>2</v>
      </c>
      <c r="K319" s="16">
        <f>IF(J319=1,VLOOKUP(B319,RPM!$F$2:$H$62,3,TRUE),IF(J319=2,VLOOKUP(B319,RPM!$I$2:$K$62,3,TRUE),IF(J319=3,VLOOKUP(B319,RPM!$L$2:$N$62,3,TRUE))))</f>
        <v>6800</v>
      </c>
      <c r="L319" s="17">
        <f t="shared" si="48"/>
        <v>26.600692760218298</v>
      </c>
      <c r="M319" s="16">
        <f t="shared" si="45"/>
        <v>0</v>
      </c>
      <c r="N319" s="17">
        <f>VLOOKUP(K319,RPM!$A$2:$D$62,3,FALSE)</f>
        <v>15</v>
      </c>
      <c r="O319" s="16">
        <f>VLOOKUP(K319,RPM!$A$2:$D$62,4,FALSE)</f>
        <v>15.721323529411764</v>
      </c>
      <c r="P319" s="17">
        <f t="shared" si="46"/>
        <v>11.723390955882353</v>
      </c>
      <c r="Q319" s="16" cm="1">
        <f t="array" ref="Q319">_xlfn.XLOOKUP(O319,BSFC!$A$2:$A$24,_xlfn.XLOOKUP(K319,BSFC!$B$1:$O$1,BSFC!$B$2:$O$24,,-1),,-1)</f>
        <v>440</v>
      </c>
      <c r="R319" s="17">
        <f t="shared" si="47"/>
        <v>1.4328588946078433</v>
      </c>
      <c r="S319" s="16">
        <f t="shared" si="49"/>
        <v>2.6955348133305399E-4</v>
      </c>
      <c r="T319" s="17">
        <f t="shared" si="53"/>
        <v>0.11860353178654376</v>
      </c>
      <c r="U319" s="16">
        <f t="shared" si="54"/>
        <v>47.105438391146606</v>
      </c>
      <c r="V319" s="17">
        <f t="shared" si="55"/>
        <v>9.6621934677818197E-2</v>
      </c>
      <c r="W319" s="16">
        <f t="shared" si="50"/>
        <v>347838.96484014555</v>
      </c>
      <c r="X319">
        <f>('Hybrid Info'!$A$2-Track!P319)*(L319-L318)*1000+X318</f>
        <v>-30493.860582902453</v>
      </c>
    </row>
    <row r="320" spans="1:24">
      <c r="A320" s="16">
        <f t="shared" si="51"/>
        <v>319</v>
      </c>
      <c r="B320" s="17">
        <f t="shared" si="52"/>
        <v>12.081081170387082</v>
      </c>
      <c r="C320" s="18">
        <f>Specification!$G$30</f>
        <v>109.96225200000001</v>
      </c>
      <c r="D320" s="17">
        <f>0.5*Specification!$K$4*Track!B320^2*Specification!$K$3*Specification!$K$2</f>
        <v>75.597088939043402</v>
      </c>
      <c r="E320" s="16">
        <v>0</v>
      </c>
      <c r="F320" s="17">
        <f>Specification!$C$23*9.81*SIN((E320*PI()/180))</f>
        <v>0</v>
      </c>
      <c r="G320" s="18">
        <f>IF(J320=1,VLOOKUP(K320,RPM!$E$2:$H$62,3,FALSE)-F320-E320-D320,IF(J320=2,VLOOKUP(K320,RPM!$H$2:$K$62,3,FALSE)-F320-E320-D320,IF(J320=3,VLOOKUP(K320,RPM!$K$2:$N$62,3,FALSE)-F320-E320-D320)))</f>
        <v>852.82752893960401</v>
      </c>
      <c r="H320" s="19">
        <f>IF(J320=1,Specification!$I$14,IF(J320=2,Specification!$I$15,IF(J320=3,Specification!$I$16)))</f>
        <v>582.50936296077191</v>
      </c>
      <c r="I320" s="16">
        <v>0</v>
      </c>
      <c r="J320" s="17">
        <v>2</v>
      </c>
      <c r="K320" s="16">
        <f>IF(J320=1,VLOOKUP(B320,RPM!$F$2:$H$62,3,TRUE),IF(J320=2,VLOOKUP(B320,RPM!$I$2:$K$62,3,TRUE),IF(J320=3,VLOOKUP(B320,RPM!$L$2:$N$62,3,TRUE))))</f>
        <v>6800</v>
      </c>
      <c r="L320" s="17">
        <f t="shared" si="48"/>
        <v>26.683466808823415</v>
      </c>
      <c r="M320" s="16">
        <f t="shared" si="45"/>
        <v>0</v>
      </c>
      <c r="N320" s="17">
        <f>VLOOKUP(K320,RPM!$A$2:$D$62,3,FALSE)</f>
        <v>15</v>
      </c>
      <c r="O320" s="16">
        <f>VLOOKUP(K320,RPM!$A$2:$D$62,4,FALSE)</f>
        <v>15.721323529411764</v>
      </c>
      <c r="P320" s="17">
        <f t="shared" si="46"/>
        <v>11.723390955882353</v>
      </c>
      <c r="Q320" s="16" cm="1">
        <f t="array" ref="Q320">_xlfn.XLOOKUP(O320,BSFC!$A$2:$A$24,_xlfn.XLOOKUP(K320,BSFC!$B$1:$O$1,BSFC!$B$2:$O$24,,-1),,-1)</f>
        <v>440</v>
      </c>
      <c r="R320" s="17">
        <f t="shared" si="47"/>
        <v>1.4328588946078433</v>
      </c>
      <c r="S320" s="16">
        <f t="shared" si="49"/>
        <v>2.6955348133305399E-4</v>
      </c>
      <c r="T320" s="17">
        <f t="shared" si="53"/>
        <v>0.11860353178654376</v>
      </c>
      <c r="U320" s="16">
        <f t="shared" si="54"/>
        <v>47.224041922933147</v>
      </c>
      <c r="V320" s="17">
        <f t="shared" si="55"/>
        <v>9.6891488159151246E-2</v>
      </c>
      <c r="W320" s="16">
        <f t="shared" si="50"/>
        <v>348809.35737294448</v>
      </c>
      <c r="X320">
        <f>('Hybrid Info'!$A$2-Track!P320)*(L320-L319)*1000+X319</f>
        <v>-30460.994017873818</v>
      </c>
    </row>
    <row r="321" spans="1:24">
      <c r="A321" s="16">
        <f t="shared" si="51"/>
        <v>320</v>
      </c>
      <c r="B321" s="17">
        <f t="shared" si="52"/>
        <v>12.081081170387082</v>
      </c>
      <c r="C321" s="18">
        <f>Specification!$G$30</f>
        <v>109.96225200000001</v>
      </c>
      <c r="D321" s="17">
        <f>0.5*Specification!$K$4*Track!B321^2*Specification!$K$3*Specification!$K$2</f>
        <v>75.597088939043402</v>
      </c>
      <c r="E321" s="16">
        <v>0</v>
      </c>
      <c r="F321" s="17">
        <f>Specification!$C$23*9.81*SIN((E321*PI()/180))</f>
        <v>0</v>
      </c>
      <c r="G321" s="18">
        <f>IF(J321=1,VLOOKUP(K321,RPM!$E$2:$H$62,3,FALSE)-F321-E321-D321,IF(J321=2,VLOOKUP(K321,RPM!$H$2:$K$62,3,FALSE)-F321-E321-D321,IF(J321=3,VLOOKUP(K321,RPM!$K$2:$N$62,3,FALSE)-F321-E321-D321)))</f>
        <v>852.82752893960401</v>
      </c>
      <c r="H321" s="19">
        <f>IF(J321=1,Specification!$I$14,IF(J321=2,Specification!$I$15,IF(J321=3,Specification!$I$16)))</f>
        <v>582.50936296077191</v>
      </c>
      <c r="I321" s="16">
        <v>0</v>
      </c>
      <c r="J321" s="17">
        <v>2</v>
      </c>
      <c r="K321" s="16">
        <f>IF(J321=1,VLOOKUP(B321,RPM!$F$2:$H$62,3,TRUE),IF(J321=2,VLOOKUP(B321,RPM!$I$2:$K$62,3,TRUE),IF(J321=3,VLOOKUP(B321,RPM!$L$2:$N$62,3,TRUE))))</f>
        <v>6800</v>
      </c>
      <c r="L321" s="17">
        <f t="shared" si="48"/>
        <v>26.766240857428532</v>
      </c>
      <c r="M321" s="16">
        <f t="shared" si="45"/>
        <v>0</v>
      </c>
      <c r="N321" s="17">
        <f>VLOOKUP(K321,RPM!$A$2:$D$62,3,FALSE)</f>
        <v>15</v>
      </c>
      <c r="O321" s="16">
        <f>VLOOKUP(K321,RPM!$A$2:$D$62,4,FALSE)</f>
        <v>15.721323529411764</v>
      </c>
      <c r="P321" s="17">
        <f t="shared" si="46"/>
        <v>11.723390955882353</v>
      </c>
      <c r="Q321" s="16" cm="1">
        <f t="array" ref="Q321">_xlfn.XLOOKUP(O321,BSFC!$A$2:$A$24,_xlfn.XLOOKUP(K321,BSFC!$B$1:$O$1,BSFC!$B$2:$O$24,,-1),,-1)</f>
        <v>440</v>
      </c>
      <c r="R321" s="17">
        <f t="shared" si="47"/>
        <v>1.4328588946078433</v>
      </c>
      <c r="S321" s="16">
        <f t="shared" si="49"/>
        <v>2.6955348133305399E-4</v>
      </c>
      <c r="T321" s="17">
        <f t="shared" si="53"/>
        <v>0.11860353178654376</v>
      </c>
      <c r="U321" s="16">
        <f t="shared" si="54"/>
        <v>47.342645454719687</v>
      </c>
      <c r="V321" s="17">
        <f t="shared" si="55"/>
        <v>9.7161041640484294E-2</v>
      </c>
      <c r="W321" s="16">
        <f t="shared" si="50"/>
        <v>349779.74990574346</v>
      </c>
      <c r="X321">
        <f>('Hybrid Info'!$A$2-Track!P321)*(L321-L320)*1000+X320</f>
        <v>-30428.127452845183</v>
      </c>
    </row>
    <row r="322" spans="1:24">
      <c r="A322" s="16">
        <f t="shared" si="51"/>
        <v>321</v>
      </c>
      <c r="B322" s="17">
        <f t="shared" si="52"/>
        <v>12.081081170387082</v>
      </c>
      <c r="C322" s="18">
        <f>Specification!$G$30</f>
        <v>109.96225200000001</v>
      </c>
      <c r="D322" s="17">
        <f>0.5*Specification!$K$4*Track!B322^2*Specification!$K$3*Specification!$K$2</f>
        <v>75.597088939043402</v>
      </c>
      <c r="E322" s="16">
        <v>0</v>
      </c>
      <c r="F322" s="17">
        <f>Specification!$C$23*9.81*SIN((E322*PI()/180))</f>
        <v>0</v>
      </c>
      <c r="G322" s="18">
        <f>IF(J322=1,VLOOKUP(K322,RPM!$E$2:$H$62,3,FALSE)-F322-E322-D322,IF(J322=2,VLOOKUP(K322,RPM!$H$2:$K$62,3,FALSE)-F322-E322-D322,IF(J322=3,VLOOKUP(K322,RPM!$K$2:$N$62,3,FALSE)-F322-E322-D322)))</f>
        <v>852.82752893960401</v>
      </c>
      <c r="H322" s="19">
        <f>IF(J322=1,Specification!$I$14,IF(J322=2,Specification!$I$15,IF(J322=3,Specification!$I$16)))</f>
        <v>582.50936296077191</v>
      </c>
      <c r="I322" s="16">
        <v>0</v>
      </c>
      <c r="J322" s="17">
        <v>2</v>
      </c>
      <c r="K322" s="16">
        <f>IF(J322=1,VLOOKUP(B322,RPM!$F$2:$H$62,3,TRUE),IF(J322=2,VLOOKUP(B322,RPM!$I$2:$K$62,3,TRUE),IF(J322=3,VLOOKUP(B322,RPM!$L$2:$N$62,3,TRUE))))</f>
        <v>6800</v>
      </c>
      <c r="L322" s="17">
        <f t="shared" si="48"/>
        <v>26.849014906033648</v>
      </c>
      <c r="M322" s="16">
        <f t="shared" ref="M322:M385" si="56">TAN(E322*PI()/180)+M321</f>
        <v>0</v>
      </c>
      <c r="N322" s="17">
        <f>VLOOKUP(K322,RPM!$A$2:$D$62,3,FALSE)</f>
        <v>15</v>
      </c>
      <c r="O322" s="16">
        <f>VLOOKUP(K322,RPM!$A$2:$D$62,4,FALSE)</f>
        <v>15.721323529411764</v>
      </c>
      <c r="P322" s="17">
        <f t="shared" ref="P322:P385" si="57">O322*0.7457</f>
        <v>11.723390955882353</v>
      </c>
      <c r="Q322" s="16" cm="1">
        <f t="array" ref="Q322">_xlfn.XLOOKUP(O322,BSFC!$A$2:$A$24,_xlfn.XLOOKUP(K322,BSFC!$B$1:$O$1,BSFC!$B$2:$O$24,,-1),,-1)</f>
        <v>440</v>
      </c>
      <c r="R322" s="17">
        <f t="shared" ref="R322:R385" si="58">Q322*P322/3600</f>
        <v>1.4328588946078433</v>
      </c>
      <c r="S322" s="16">
        <f t="shared" si="49"/>
        <v>2.6955348133305399E-4</v>
      </c>
      <c r="T322" s="17">
        <f t="shared" si="53"/>
        <v>0.11860353178654376</v>
      </c>
      <c r="U322" s="16">
        <f t="shared" si="54"/>
        <v>47.461248986506227</v>
      </c>
      <c r="V322" s="17">
        <f t="shared" si="55"/>
        <v>9.7430595121817343E-2</v>
      </c>
      <c r="W322" s="16">
        <f t="shared" si="50"/>
        <v>350750.14243854245</v>
      </c>
      <c r="X322">
        <f>('Hybrid Info'!$A$2-Track!P322)*(L322-L321)*1000+X321</f>
        <v>-30395.260887816548</v>
      </c>
    </row>
    <row r="323" spans="1:24">
      <c r="A323" s="16">
        <f t="shared" si="51"/>
        <v>322</v>
      </c>
      <c r="B323" s="17">
        <f t="shared" si="52"/>
        <v>12.081081170387082</v>
      </c>
      <c r="C323" s="18">
        <f>Specification!$G$30</f>
        <v>109.96225200000001</v>
      </c>
      <c r="D323" s="17">
        <f>0.5*Specification!$K$4*Track!B323^2*Specification!$K$3*Specification!$K$2</f>
        <v>75.597088939043402</v>
      </c>
      <c r="E323" s="16">
        <v>0</v>
      </c>
      <c r="F323" s="17">
        <f>Specification!$C$23*9.81*SIN((E323*PI()/180))</f>
        <v>0</v>
      </c>
      <c r="G323" s="18">
        <f>IF(J323=1,VLOOKUP(K323,RPM!$E$2:$H$62,3,FALSE)-F323-E323-D323,IF(J323=2,VLOOKUP(K323,RPM!$H$2:$K$62,3,FALSE)-F323-E323-D323,IF(J323=3,VLOOKUP(K323,RPM!$K$2:$N$62,3,FALSE)-F323-E323-D323)))</f>
        <v>852.82752893960401</v>
      </c>
      <c r="H323" s="19">
        <f>IF(J323=1,Specification!$I$14,IF(J323=2,Specification!$I$15,IF(J323=3,Specification!$I$16)))</f>
        <v>582.50936296077191</v>
      </c>
      <c r="I323" s="16">
        <v>0</v>
      </c>
      <c r="J323" s="17">
        <v>2</v>
      </c>
      <c r="K323" s="16">
        <f>IF(J323=1,VLOOKUP(B323,RPM!$F$2:$H$62,3,TRUE),IF(J323=2,VLOOKUP(B323,RPM!$I$2:$K$62,3,TRUE),IF(J323=3,VLOOKUP(B323,RPM!$L$2:$N$62,3,TRUE))))</f>
        <v>6800</v>
      </c>
      <c r="L323" s="17">
        <f t="shared" ref="L323:L386" si="59">IF(I323=0,ABS(1/B323)+L322,IF(ABS(B324-B323)=0,1/B323+L322,ABS((B324-B323)/I323)+L322))</f>
        <v>26.931788954638765</v>
      </c>
      <c r="M323" s="16">
        <f t="shared" si="56"/>
        <v>0</v>
      </c>
      <c r="N323" s="17">
        <f>VLOOKUP(K323,RPM!$A$2:$D$62,3,FALSE)</f>
        <v>15</v>
      </c>
      <c r="O323" s="16">
        <f>VLOOKUP(K323,RPM!$A$2:$D$62,4,FALSE)</f>
        <v>15.721323529411764</v>
      </c>
      <c r="P323" s="17">
        <f t="shared" si="57"/>
        <v>11.723390955882353</v>
      </c>
      <c r="Q323" s="16" cm="1">
        <f t="array" ref="Q323">_xlfn.XLOOKUP(O323,BSFC!$A$2:$A$24,_xlfn.XLOOKUP(K323,BSFC!$B$1:$O$1,BSFC!$B$2:$O$24,,-1),,-1)</f>
        <v>440</v>
      </c>
      <c r="R323" s="17">
        <f t="shared" si="58"/>
        <v>1.4328588946078433</v>
      </c>
      <c r="S323" s="16">
        <f t="shared" ref="S323:S386" si="60">(L323-L322)/3600*P323</f>
        <v>2.6955348133305399E-4</v>
      </c>
      <c r="T323" s="17">
        <f t="shared" si="53"/>
        <v>0.11860353178654376</v>
      </c>
      <c r="U323" s="16">
        <f t="shared" si="54"/>
        <v>47.579852518292768</v>
      </c>
      <c r="V323" s="17">
        <f t="shared" si="55"/>
        <v>9.7700148603150391E-2</v>
      </c>
      <c r="W323" s="16">
        <f t="shared" ref="W323:W386" si="61">V323*1000*3600</f>
        <v>351720.53497134143</v>
      </c>
      <c r="X323">
        <f>('Hybrid Info'!$A$2-Track!P323)*(L323-L322)*1000+X322</f>
        <v>-30362.394322787914</v>
      </c>
    </row>
    <row r="324" spans="1:24">
      <c r="A324" s="16">
        <f t="shared" ref="A324:A387" si="62">A323+1</f>
        <v>323</v>
      </c>
      <c r="B324" s="17">
        <f t="shared" ref="B324:B387" si="63">IF(SQRT(B323^2+2*I323)&gt;13.4112,13.4112,SQRT(B323^2+2*I323))</f>
        <v>12.081081170387082</v>
      </c>
      <c r="C324" s="18">
        <f>Specification!$G$30</f>
        <v>109.96225200000001</v>
      </c>
      <c r="D324" s="17">
        <f>0.5*Specification!$K$4*Track!B324^2*Specification!$K$3*Specification!$K$2</f>
        <v>75.597088939043402</v>
      </c>
      <c r="E324" s="16">
        <v>0</v>
      </c>
      <c r="F324" s="17">
        <f>Specification!$C$23*9.81*SIN((E324*PI()/180))</f>
        <v>0</v>
      </c>
      <c r="G324" s="18">
        <f>IF(J324=1,VLOOKUP(K324,RPM!$E$2:$H$62,3,FALSE)-F324-E324-D324,IF(J324=2,VLOOKUP(K324,RPM!$H$2:$K$62,3,FALSE)-F324-E324-D324,IF(J324=3,VLOOKUP(K324,RPM!$K$2:$N$62,3,FALSE)-F324-E324-D324)))</f>
        <v>852.82752893960401</v>
      </c>
      <c r="H324" s="19">
        <f>IF(J324=1,Specification!$I$14,IF(J324=2,Specification!$I$15,IF(J324=3,Specification!$I$16)))</f>
        <v>582.50936296077191</v>
      </c>
      <c r="I324" s="16">
        <v>0</v>
      </c>
      <c r="J324" s="17">
        <v>2</v>
      </c>
      <c r="K324" s="16">
        <f>IF(J324=1,VLOOKUP(B324,RPM!$F$2:$H$62,3,TRUE),IF(J324=2,VLOOKUP(B324,RPM!$I$2:$K$62,3,TRUE),IF(J324=3,VLOOKUP(B324,RPM!$L$2:$N$62,3,TRUE))))</f>
        <v>6800</v>
      </c>
      <c r="L324" s="17">
        <f t="shared" si="59"/>
        <v>27.014563003243882</v>
      </c>
      <c r="M324" s="16">
        <f t="shared" si="56"/>
        <v>0</v>
      </c>
      <c r="N324" s="17">
        <f>VLOOKUP(K324,RPM!$A$2:$D$62,3,FALSE)</f>
        <v>15</v>
      </c>
      <c r="O324" s="16">
        <f>VLOOKUP(K324,RPM!$A$2:$D$62,4,FALSE)</f>
        <v>15.721323529411764</v>
      </c>
      <c r="P324" s="17">
        <f t="shared" si="57"/>
        <v>11.723390955882353</v>
      </c>
      <c r="Q324" s="16" cm="1">
        <f t="array" ref="Q324">_xlfn.XLOOKUP(O324,BSFC!$A$2:$A$24,_xlfn.XLOOKUP(K324,BSFC!$B$1:$O$1,BSFC!$B$2:$O$24,,-1),,-1)</f>
        <v>440</v>
      </c>
      <c r="R324" s="17">
        <f t="shared" si="58"/>
        <v>1.4328588946078433</v>
      </c>
      <c r="S324" s="16">
        <f t="shared" si="60"/>
        <v>2.6955348133305399E-4</v>
      </c>
      <c r="T324" s="17">
        <f t="shared" ref="T324:T387" si="64">S324*Q324</f>
        <v>0.11860353178654376</v>
      </c>
      <c r="U324" s="16">
        <f t="shared" ref="U324:U387" si="65">U323+T324</f>
        <v>47.698456050079308</v>
      </c>
      <c r="V324" s="17">
        <f t="shared" si="55"/>
        <v>9.796970208448344E-2</v>
      </c>
      <c r="W324" s="16">
        <f t="shared" si="61"/>
        <v>352690.92750414042</v>
      </c>
      <c r="X324">
        <f>('Hybrid Info'!$A$2-Track!P324)*(L324-L323)*1000+X323</f>
        <v>-30329.527757759279</v>
      </c>
    </row>
    <row r="325" spans="1:24">
      <c r="A325" s="16">
        <f t="shared" si="62"/>
        <v>324</v>
      </c>
      <c r="B325" s="17">
        <f t="shared" si="63"/>
        <v>12.081081170387082</v>
      </c>
      <c r="C325" s="18">
        <f>Specification!$G$30</f>
        <v>109.96225200000001</v>
      </c>
      <c r="D325" s="17">
        <f>0.5*Specification!$K$4*Track!B325^2*Specification!$K$3*Specification!$K$2</f>
        <v>75.597088939043402</v>
      </c>
      <c r="E325" s="16">
        <v>0</v>
      </c>
      <c r="F325" s="17">
        <f>Specification!$C$23*9.81*SIN((E325*PI()/180))</f>
        <v>0</v>
      </c>
      <c r="G325" s="18">
        <f>IF(J325=1,VLOOKUP(K325,RPM!$E$2:$H$62,3,FALSE)-F325-E325-D325,IF(J325=2,VLOOKUP(K325,RPM!$H$2:$K$62,3,FALSE)-F325-E325-D325,IF(J325=3,VLOOKUP(K325,RPM!$K$2:$N$62,3,FALSE)-F325-E325-D325)))</f>
        <v>852.82752893960401</v>
      </c>
      <c r="H325" s="19">
        <f>IF(J325=1,Specification!$I$14,IF(J325=2,Specification!$I$15,IF(J325=3,Specification!$I$16)))</f>
        <v>582.50936296077191</v>
      </c>
      <c r="I325" s="16">
        <v>0</v>
      </c>
      <c r="J325" s="17">
        <v>2</v>
      </c>
      <c r="K325" s="16">
        <f>IF(J325=1,VLOOKUP(B325,RPM!$F$2:$H$62,3,TRUE),IF(J325=2,VLOOKUP(B325,RPM!$I$2:$K$62,3,TRUE),IF(J325=3,VLOOKUP(B325,RPM!$L$2:$N$62,3,TRUE))))</f>
        <v>6800</v>
      </c>
      <c r="L325" s="17">
        <f t="shared" si="59"/>
        <v>27.097337051848999</v>
      </c>
      <c r="M325" s="16">
        <f t="shared" si="56"/>
        <v>0</v>
      </c>
      <c r="N325" s="17">
        <f>VLOOKUP(K325,RPM!$A$2:$D$62,3,FALSE)</f>
        <v>15</v>
      </c>
      <c r="O325" s="16">
        <f>VLOOKUP(K325,RPM!$A$2:$D$62,4,FALSE)</f>
        <v>15.721323529411764</v>
      </c>
      <c r="P325" s="17">
        <f t="shared" si="57"/>
        <v>11.723390955882353</v>
      </c>
      <c r="Q325" s="16" cm="1">
        <f t="array" ref="Q325">_xlfn.XLOOKUP(O325,BSFC!$A$2:$A$24,_xlfn.XLOOKUP(K325,BSFC!$B$1:$O$1,BSFC!$B$2:$O$24,,-1),,-1)</f>
        <v>440</v>
      </c>
      <c r="R325" s="17">
        <f t="shared" si="58"/>
        <v>1.4328588946078433</v>
      </c>
      <c r="S325" s="16">
        <f t="shared" si="60"/>
        <v>2.6955348133305399E-4</v>
      </c>
      <c r="T325" s="17">
        <f t="shared" si="64"/>
        <v>0.11860353178654376</v>
      </c>
      <c r="U325" s="16">
        <f t="shared" si="65"/>
        <v>47.817059581865848</v>
      </c>
      <c r="V325" s="17">
        <f t="shared" ref="V325:V388" si="66">V324+S325</f>
        <v>9.8239255565816488E-2</v>
      </c>
      <c r="W325" s="16">
        <f t="shared" si="61"/>
        <v>353661.32003693935</v>
      </c>
      <c r="X325">
        <f>('Hybrid Info'!$A$2-Track!P325)*(L325-L324)*1000+X324</f>
        <v>-30296.661192730644</v>
      </c>
    </row>
    <row r="326" spans="1:24">
      <c r="A326" s="16">
        <f t="shared" si="62"/>
        <v>325</v>
      </c>
      <c r="B326" s="17">
        <f t="shared" si="63"/>
        <v>12.081081170387082</v>
      </c>
      <c r="C326" s="18">
        <f>Specification!$G$30</f>
        <v>109.96225200000001</v>
      </c>
      <c r="D326" s="17">
        <f>0.5*Specification!$K$4*Track!B326^2*Specification!$K$3*Specification!$K$2</f>
        <v>75.597088939043402</v>
      </c>
      <c r="E326" s="16">
        <v>0</v>
      </c>
      <c r="F326" s="17">
        <f>Specification!$C$23*9.81*SIN((E326*PI()/180))</f>
        <v>0</v>
      </c>
      <c r="G326" s="18">
        <f>IF(J326=1,VLOOKUP(K326,RPM!$E$2:$H$62,3,FALSE)-F326-E326-D326,IF(J326=2,VLOOKUP(K326,RPM!$H$2:$K$62,3,FALSE)-F326-E326-D326,IF(J326=3,VLOOKUP(K326,RPM!$K$2:$N$62,3,FALSE)-F326-E326-D326)))</f>
        <v>852.82752893960401</v>
      </c>
      <c r="H326" s="19">
        <f>IF(J326=1,Specification!$I$14,IF(J326=2,Specification!$I$15,IF(J326=3,Specification!$I$16)))</f>
        <v>582.50936296077191</v>
      </c>
      <c r="I326" s="16">
        <v>0</v>
      </c>
      <c r="J326" s="17">
        <v>2</v>
      </c>
      <c r="K326" s="16">
        <f>IF(J326=1,VLOOKUP(B326,RPM!$F$2:$H$62,3,TRUE),IF(J326=2,VLOOKUP(B326,RPM!$I$2:$K$62,3,TRUE),IF(J326=3,VLOOKUP(B326,RPM!$L$2:$N$62,3,TRUE))))</f>
        <v>6800</v>
      </c>
      <c r="L326" s="17">
        <f t="shared" si="59"/>
        <v>27.180111100454116</v>
      </c>
      <c r="M326" s="16">
        <f t="shared" si="56"/>
        <v>0</v>
      </c>
      <c r="N326" s="17">
        <f>VLOOKUP(K326,RPM!$A$2:$D$62,3,FALSE)</f>
        <v>15</v>
      </c>
      <c r="O326" s="16">
        <f>VLOOKUP(K326,RPM!$A$2:$D$62,4,FALSE)</f>
        <v>15.721323529411764</v>
      </c>
      <c r="P326" s="17">
        <f t="shared" si="57"/>
        <v>11.723390955882353</v>
      </c>
      <c r="Q326" s="16" cm="1">
        <f t="array" ref="Q326">_xlfn.XLOOKUP(O326,BSFC!$A$2:$A$24,_xlfn.XLOOKUP(K326,BSFC!$B$1:$O$1,BSFC!$B$2:$O$24,,-1),,-1)</f>
        <v>440</v>
      </c>
      <c r="R326" s="17">
        <f t="shared" si="58"/>
        <v>1.4328588946078433</v>
      </c>
      <c r="S326" s="16">
        <f t="shared" si="60"/>
        <v>2.6955348133305399E-4</v>
      </c>
      <c r="T326" s="17">
        <f t="shared" si="64"/>
        <v>0.11860353178654376</v>
      </c>
      <c r="U326" s="16">
        <f t="shared" si="65"/>
        <v>47.935663113652389</v>
      </c>
      <c r="V326" s="17">
        <f t="shared" si="66"/>
        <v>9.8508809047149537E-2</v>
      </c>
      <c r="W326" s="16">
        <f t="shared" si="61"/>
        <v>354631.71256973833</v>
      </c>
      <c r="X326">
        <f>('Hybrid Info'!$A$2-Track!P326)*(L326-L325)*1000+X325</f>
        <v>-30263.794627702009</v>
      </c>
    </row>
    <row r="327" spans="1:24">
      <c r="A327" s="16">
        <f t="shared" si="62"/>
        <v>326</v>
      </c>
      <c r="B327" s="17">
        <f t="shared" si="63"/>
        <v>12.081081170387082</v>
      </c>
      <c r="C327" s="18">
        <f>Specification!$G$30</f>
        <v>109.96225200000001</v>
      </c>
      <c r="D327" s="17">
        <f>0.5*Specification!$K$4*Track!B327^2*Specification!$K$3*Specification!$K$2</f>
        <v>75.597088939043402</v>
      </c>
      <c r="E327" s="16">
        <v>0</v>
      </c>
      <c r="F327" s="17">
        <f>Specification!$C$23*9.81*SIN((E327*PI()/180))</f>
        <v>0</v>
      </c>
      <c r="G327" s="18">
        <f>IF(J327=1,VLOOKUP(K327,RPM!$E$2:$H$62,3,FALSE)-F327-E327-D327,IF(J327=2,VLOOKUP(K327,RPM!$H$2:$K$62,3,FALSE)-F327-E327-D327,IF(J327=3,VLOOKUP(K327,RPM!$K$2:$N$62,3,FALSE)-F327-E327-D327)))</f>
        <v>852.82752893960401</v>
      </c>
      <c r="H327" s="19">
        <f>IF(J327=1,Specification!$I$14,IF(J327=2,Specification!$I$15,IF(J327=3,Specification!$I$16)))</f>
        <v>582.50936296077191</v>
      </c>
      <c r="I327" s="16">
        <v>0</v>
      </c>
      <c r="J327" s="17">
        <v>2</v>
      </c>
      <c r="K327" s="16">
        <f>IF(J327=1,VLOOKUP(B327,RPM!$F$2:$H$62,3,TRUE),IF(J327=2,VLOOKUP(B327,RPM!$I$2:$K$62,3,TRUE),IF(J327=3,VLOOKUP(B327,RPM!$L$2:$N$62,3,TRUE))))</f>
        <v>6800</v>
      </c>
      <c r="L327" s="17">
        <f t="shared" si="59"/>
        <v>27.262885149059233</v>
      </c>
      <c r="M327" s="16">
        <f t="shared" si="56"/>
        <v>0</v>
      </c>
      <c r="N327" s="17">
        <f>VLOOKUP(K327,RPM!$A$2:$D$62,3,FALSE)</f>
        <v>15</v>
      </c>
      <c r="O327" s="16">
        <f>VLOOKUP(K327,RPM!$A$2:$D$62,4,FALSE)</f>
        <v>15.721323529411764</v>
      </c>
      <c r="P327" s="17">
        <f t="shared" si="57"/>
        <v>11.723390955882353</v>
      </c>
      <c r="Q327" s="16" cm="1">
        <f t="array" ref="Q327">_xlfn.XLOOKUP(O327,BSFC!$A$2:$A$24,_xlfn.XLOOKUP(K327,BSFC!$B$1:$O$1,BSFC!$B$2:$O$24,,-1),,-1)</f>
        <v>440</v>
      </c>
      <c r="R327" s="17">
        <f t="shared" si="58"/>
        <v>1.4328588946078433</v>
      </c>
      <c r="S327" s="16">
        <f t="shared" si="60"/>
        <v>2.6955348133305399E-4</v>
      </c>
      <c r="T327" s="17">
        <f t="shared" si="64"/>
        <v>0.11860353178654376</v>
      </c>
      <c r="U327" s="16">
        <f t="shared" si="65"/>
        <v>48.054266645438929</v>
      </c>
      <c r="V327" s="17">
        <f t="shared" si="66"/>
        <v>9.8778362528482586E-2</v>
      </c>
      <c r="W327" s="16">
        <f t="shared" si="61"/>
        <v>355602.10510253732</v>
      </c>
      <c r="X327">
        <f>('Hybrid Info'!$A$2-Track!P327)*(L327-L326)*1000+X326</f>
        <v>-30230.928062673374</v>
      </c>
    </row>
    <row r="328" spans="1:24">
      <c r="A328" s="16">
        <f t="shared" si="62"/>
        <v>327</v>
      </c>
      <c r="B328" s="17">
        <f t="shared" si="63"/>
        <v>12.081081170387082</v>
      </c>
      <c r="C328" s="18">
        <f>Specification!$G$30</f>
        <v>109.96225200000001</v>
      </c>
      <c r="D328" s="17">
        <f>0.5*Specification!$K$4*Track!B328^2*Specification!$K$3*Specification!$K$2</f>
        <v>75.597088939043402</v>
      </c>
      <c r="E328" s="16">
        <v>0</v>
      </c>
      <c r="F328" s="17">
        <f>Specification!$C$23*9.81*SIN((E328*PI()/180))</f>
        <v>0</v>
      </c>
      <c r="G328" s="18">
        <f>IF(J328=1,VLOOKUP(K328,RPM!$E$2:$H$62,3,FALSE)-F328-E328-D328,IF(J328=2,VLOOKUP(K328,RPM!$H$2:$K$62,3,FALSE)-F328-E328-D328,IF(J328=3,VLOOKUP(K328,RPM!$K$2:$N$62,3,FALSE)-F328-E328-D328)))</f>
        <v>852.82752893960401</v>
      </c>
      <c r="H328" s="19">
        <f>IF(J328=1,Specification!$I$14,IF(J328=2,Specification!$I$15,IF(J328=3,Specification!$I$16)))</f>
        <v>582.50936296077191</v>
      </c>
      <c r="I328" s="16">
        <v>0</v>
      </c>
      <c r="J328" s="17">
        <v>2</v>
      </c>
      <c r="K328" s="16">
        <f>IF(J328=1,VLOOKUP(B328,RPM!$F$2:$H$62,3,TRUE),IF(J328=2,VLOOKUP(B328,RPM!$I$2:$K$62,3,TRUE),IF(J328=3,VLOOKUP(B328,RPM!$L$2:$N$62,3,TRUE))))</f>
        <v>6800</v>
      </c>
      <c r="L328" s="17">
        <f t="shared" si="59"/>
        <v>27.34565919766435</v>
      </c>
      <c r="M328" s="16">
        <f t="shared" si="56"/>
        <v>0</v>
      </c>
      <c r="N328" s="17">
        <f>VLOOKUP(K328,RPM!$A$2:$D$62,3,FALSE)</f>
        <v>15</v>
      </c>
      <c r="O328" s="16">
        <f>VLOOKUP(K328,RPM!$A$2:$D$62,4,FALSE)</f>
        <v>15.721323529411764</v>
      </c>
      <c r="P328" s="17">
        <f t="shared" si="57"/>
        <v>11.723390955882353</v>
      </c>
      <c r="Q328" s="16" cm="1">
        <f t="array" ref="Q328">_xlfn.XLOOKUP(O328,BSFC!$A$2:$A$24,_xlfn.XLOOKUP(K328,BSFC!$B$1:$O$1,BSFC!$B$2:$O$24,,-1),,-1)</f>
        <v>440</v>
      </c>
      <c r="R328" s="17">
        <f t="shared" si="58"/>
        <v>1.4328588946078433</v>
      </c>
      <c r="S328" s="16">
        <f t="shared" si="60"/>
        <v>2.6955348133305399E-4</v>
      </c>
      <c r="T328" s="17">
        <f t="shared" si="64"/>
        <v>0.11860353178654376</v>
      </c>
      <c r="U328" s="16">
        <f t="shared" si="65"/>
        <v>48.172870177225469</v>
      </c>
      <c r="V328" s="17">
        <f t="shared" si="66"/>
        <v>9.9047916009815634E-2</v>
      </c>
      <c r="W328" s="16">
        <f t="shared" si="61"/>
        <v>356572.4976353363</v>
      </c>
      <c r="X328">
        <f>('Hybrid Info'!$A$2-Track!P328)*(L328-L327)*1000+X327</f>
        <v>-30198.06149764474</v>
      </c>
    </row>
    <row r="329" spans="1:24">
      <c r="A329" s="16">
        <f t="shared" si="62"/>
        <v>328</v>
      </c>
      <c r="B329" s="17">
        <f t="shared" si="63"/>
        <v>12.081081170387082</v>
      </c>
      <c r="C329" s="18">
        <f>Specification!$G$30</f>
        <v>109.96225200000001</v>
      </c>
      <c r="D329" s="17">
        <f>0.5*Specification!$K$4*Track!B329^2*Specification!$K$3*Specification!$K$2</f>
        <v>75.597088939043402</v>
      </c>
      <c r="E329" s="16">
        <v>0</v>
      </c>
      <c r="F329" s="17">
        <f>Specification!$C$23*9.81*SIN((E329*PI()/180))</f>
        <v>0</v>
      </c>
      <c r="G329" s="18">
        <f>IF(J329=1,VLOOKUP(K329,RPM!$E$2:$H$62,3,FALSE)-F329-E329-D329,IF(J329=2,VLOOKUP(K329,RPM!$H$2:$K$62,3,FALSE)-F329-E329-D329,IF(J329=3,VLOOKUP(K329,RPM!$K$2:$N$62,3,FALSE)-F329-E329-D329)))</f>
        <v>852.82752893960401</v>
      </c>
      <c r="H329" s="19">
        <f>IF(J329=1,Specification!$I$14,IF(J329=2,Specification!$I$15,IF(J329=3,Specification!$I$16)))</f>
        <v>582.50936296077191</v>
      </c>
      <c r="I329" s="16">
        <v>0</v>
      </c>
      <c r="J329" s="17">
        <v>2</v>
      </c>
      <c r="K329" s="16">
        <f>IF(J329=1,VLOOKUP(B329,RPM!$F$2:$H$62,3,TRUE),IF(J329=2,VLOOKUP(B329,RPM!$I$2:$K$62,3,TRUE),IF(J329=3,VLOOKUP(B329,RPM!$L$2:$N$62,3,TRUE))))</f>
        <v>6800</v>
      </c>
      <c r="L329" s="17">
        <f t="shared" si="59"/>
        <v>27.428433246269467</v>
      </c>
      <c r="M329" s="16">
        <f t="shared" si="56"/>
        <v>0</v>
      </c>
      <c r="N329" s="17">
        <f>VLOOKUP(K329,RPM!$A$2:$D$62,3,FALSE)</f>
        <v>15</v>
      </c>
      <c r="O329" s="16">
        <f>VLOOKUP(K329,RPM!$A$2:$D$62,4,FALSE)</f>
        <v>15.721323529411764</v>
      </c>
      <c r="P329" s="17">
        <f t="shared" si="57"/>
        <v>11.723390955882353</v>
      </c>
      <c r="Q329" s="16" cm="1">
        <f t="array" ref="Q329">_xlfn.XLOOKUP(O329,BSFC!$A$2:$A$24,_xlfn.XLOOKUP(K329,BSFC!$B$1:$O$1,BSFC!$B$2:$O$24,,-1),,-1)</f>
        <v>440</v>
      </c>
      <c r="R329" s="17">
        <f t="shared" si="58"/>
        <v>1.4328588946078433</v>
      </c>
      <c r="S329" s="16">
        <f t="shared" si="60"/>
        <v>2.6955348133305399E-4</v>
      </c>
      <c r="T329" s="17">
        <f t="shared" si="64"/>
        <v>0.11860353178654376</v>
      </c>
      <c r="U329" s="16">
        <f t="shared" si="65"/>
        <v>48.29147370901201</v>
      </c>
      <c r="V329" s="17">
        <f t="shared" si="66"/>
        <v>9.9317469491148683E-2</v>
      </c>
      <c r="W329" s="16">
        <f t="shared" si="61"/>
        <v>357542.89016813529</v>
      </c>
      <c r="X329">
        <f>('Hybrid Info'!$A$2-Track!P329)*(L329-L328)*1000+X328</f>
        <v>-30165.194932616105</v>
      </c>
    </row>
    <row r="330" spans="1:24">
      <c r="A330" s="16">
        <f t="shared" si="62"/>
        <v>329</v>
      </c>
      <c r="B330" s="17">
        <f t="shared" si="63"/>
        <v>12.081081170387082</v>
      </c>
      <c r="C330" s="18">
        <f>Specification!$G$30</f>
        <v>109.96225200000001</v>
      </c>
      <c r="D330" s="17">
        <f>0.5*Specification!$K$4*Track!B330^2*Specification!$K$3*Specification!$K$2</f>
        <v>75.597088939043402</v>
      </c>
      <c r="E330" s="16">
        <v>0</v>
      </c>
      <c r="F330" s="17">
        <f>Specification!$C$23*9.81*SIN((E330*PI()/180))</f>
        <v>0</v>
      </c>
      <c r="G330" s="18">
        <f>IF(J330=1,VLOOKUP(K330,RPM!$E$2:$H$62,3,FALSE)-F330-E330-D330,IF(J330=2,VLOOKUP(K330,RPM!$H$2:$K$62,3,FALSE)-F330-E330-D330,IF(J330=3,VLOOKUP(K330,RPM!$K$2:$N$62,3,FALSE)-F330-E330-D330)))</f>
        <v>852.82752893960401</v>
      </c>
      <c r="H330" s="19">
        <f>IF(J330=1,Specification!$I$14,IF(J330=2,Specification!$I$15,IF(J330=3,Specification!$I$16)))</f>
        <v>582.50936296077191</v>
      </c>
      <c r="I330" s="16">
        <v>0</v>
      </c>
      <c r="J330" s="17">
        <v>2</v>
      </c>
      <c r="K330" s="16">
        <f>IF(J330=1,VLOOKUP(B330,RPM!$F$2:$H$62,3,TRUE),IF(J330=2,VLOOKUP(B330,RPM!$I$2:$K$62,3,TRUE),IF(J330=3,VLOOKUP(B330,RPM!$L$2:$N$62,3,TRUE))))</f>
        <v>6800</v>
      </c>
      <c r="L330" s="17">
        <f t="shared" si="59"/>
        <v>27.511207294874584</v>
      </c>
      <c r="M330" s="16">
        <f t="shared" si="56"/>
        <v>0</v>
      </c>
      <c r="N330" s="17">
        <f>VLOOKUP(K330,RPM!$A$2:$D$62,3,FALSE)</f>
        <v>15</v>
      </c>
      <c r="O330" s="16">
        <f>VLOOKUP(K330,RPM!$A$2:$D$62,4,FALSE)</f>
        <v>15.721323529411764</v>
      </c>
      <c r="P330" s="17">
        <f t="shared" si="57"/>
        <v>11.723390955882353</v>
      </c>
      <c r="Q330" s="16" cm="1">
        <f t="array" ref="Q330">_xlfn.XLOOKUP(O330,BSFC!$A$2:$A$24,_xlfn.XLOOKUP(K330,BSFC!$B$1:$O$1,BSFC!$B$2:$O$24,,-1),,-1)</f>
        <v>440</v>
      </c>
      <c r="R330" s="17">
        <f t="shared" si="58"/>
        <v>1.4328588946078433</v>
      </c>
      <c r="S330" s="16">
        <f t="shared" si="60"/>
        <v>2.6955348133305399E-4</v>
      </c>
      <c r="T330" s="17">
        <f t="shared" si="64"/>
        <v>0.11860353178654376</v>
      </c>
      <c r="U330" s="16">
        <f t="shared" si="65"/>
        <v>48.41007724079855</v>
      </c>
      <c r="V330" s="17">
        <f t="shared" si="66"/>
        <v>9.9587022972481731E-2</v>
      </c>
      <c r="W330" s="16">
        <f t="shared" si="61"/>
        <v>358513.28270093421</v>
      </c>
      <c r="X330">
        <f>('Hybrid Info'!$A$2-Track!P330)*(L330-L329)*1000+X329</f>
        <v>-30132.32836758747</v>
      </c>
    </row>
    <row r="331" spans="1:24">
      <c r="A331" s="16">
        <f t="shared" si="62"/>
        <v>330</v>
      </c>
      <c r="B331" s="17">
        <f t="shared" si="63"/>
        <v>12.081081170387082</v>
      </c>
      <c r="C331" s="18">
        <f>Specification!$G$30</f>
        <v>109.96225200000001</v>
      </c>
      <c r="D331" s="17">
        <f>0.5*Specification!$K$4*Track!B331^2*Specification!$K$3*Specification!$K$2</f>
        <v>75.597088939043402</v>
      </c>
      <c r="E331" s="16">
        <v>0</v>
      </c>
      <c r="F331" s="17">
        <f>Specification!$C$23*9.81*SIN((E331*PI()/180))</f>
        <v>0</v>
      </c>
      <c r="G331" s="18">
        <f>IF(J331=1,VLOOKUP(K331,RPM!$E$2:$H$62,3,FALSE)-F331-E331-D331,IF(J331=2,VLOOKUP(K331,RPM!$H$2:$K$62,3,FALSE)-F331-E331-D331,IF(J331=3,VLOOKUP(K331,RPM!$K$2:$N$62,3,FALSE)-F331-E331-D331)))</f>
        <v>852.82752893960401</v>
      </c>
      <c r="H331" s="19">
        <f>IF(J331=1,Specification!$I$14,IF(J331=2,Specification!$I$15,IF(J331=3,Specification!$I$16)))</f>
        <v>582.50936296077191</v>
      </c>
      <c r="I331" s="16">
        <v>0</v>
      </c>
      <c r="J331" s="17">
        <v>2</v>
      </c>
      <c r="K331" s="16">
        <f>IF(J331=1,VLOOKUP(B331,RPM!$F$2:$H$62,3,TRUE),IF(J331=2,VLOOKUP(B331,RPM!$I$2:$K$62,3,TRUE),IF(J331=3,VLOOKUP(B331,RPM!$L$2:$N$62,3,TRUE))))</f>
        <v>6800</v>
      </c>
      <c r="L331" s="17">
        <f t="shared" si="59"/>
        <v>27.593981343479701</v>
      </c>
      <c r="M331" s="16">
        <f t="shared" si="56"/>
        <v>0</v>
      </c>
      <c r="N331" s="17">
        <f>VLOOKUP(K331,RPM!$A$2:$D$62,3,FALSE)</f>
        <v>15</v>
      </c>
      <c r="O331" s="16">
        <f>VLOOKUP(K331,RPM!$A$2:$D$62,4,FALSE)</f>
        <v>15.721323529411764</v>
      </c>
      <c r="P331" s="17">
        <f t="shared" si="57"/>
        <v>11.723390955882353</v>
      </c>
      <c r="Q331" s="16" cm="1">
        <f t="array" ref="Q331">_xlfn.XLOOKUP(O331,BSFC!$A$2:$A$24,_xlfn.XLOOKUP(K331,BSFC!$B$1:$O$1,BSFC!$B$2:$O$24,,-1),,-1)</f>
        <v>440</v>
      </c>
      <c r="R331" s="17">
        <f t="shared" si="58"/>
        <v>1.4328588946078433</v>
      </c>
      <c r="S331" s="16">
        <f t="shared" si="60"/>
        <v>2.6955348133305399E-4</v>
      </c>
      <c r="T331" s="17">
        <f t="shared" si="64"/>
        <v>0.11860353178654376</v>
      </c>
      <c r="U331" s="16">
        <f t="shared" si="65"/>
        <v>48.528680772585091</v>
      </c>
      <c r="V331" s="17">
        <f t="shared" si="66"/>
        <v>9.985657645381478E-2</v>
      </c>
      <c r="W331" s="16">
        <f t="shared" si="61"/>
        <v>359483.6752337332</v>
      </c>
      <c r="X331">
        <f>('Hybrid Info'!$A$2-Track!P331)*(L331-L330)*1000+X330</f>
        <v>-30099.461802558835</v>
      </c>
    </row>
    <row r="332" spans="1:24">
      <c r="A332" s="16">
        <f t="shared" si="62"/>
        <v>331</v>
      </c>
      <c r="B332" s="17">
        <f t="shared" si="63"/>
        <v>12.081081170387082</v>
      </c>
      <c r="C332" s="18">
        <f>Specification!$G$30</f>
        <v>109.96225200000001</v>
      </c>
      <c r="D332" s="17">
        <f>0.5*Specification!$K$4*Track!B332^2*Specification!$K$3*Specification!$K$2</f>
        <v>75.597088939043402</v>
      </c>
      <c r="E332" s="16">
        <v>0</v>
      </c>
      <c r="F332" s="17">
        <f>Specification!$C$23*9.81*SIN((E332*PI()/180))</f>
        <v>0</v>
      </c>
      <c r="G332" s="18">
        <f>IF(J332=1,VLOOKUP(K332,RPM!$E$2:$H$62,3,FALSE)-F332-E332-D332,IF(J332=2,VLOOKUP(K332,RPM!$H$2:$K$62,3,FALSE)-F332-E332-D332,IF(J332=3,VLOOKUP(K332,RPM!$K$2:$N$62,3,FALSE)-F332-E332-D332)))</f>
        <v>852.82752893960401</v>
      </c>
      <c r="H332" s="19">
        <f>IF(J332=1,Specification!$I$14,IF(J332=2,Specification!$I$15,IF(J332=3,Specification!$I$16)))</f>
        <v>582.50936296077191</v>
      </c>
      <c r="I332" s="16">
        <v>0</v>
      </c>
      <c r="J332" s="17">
        <v>2</v>
      </c>
      <c r="K332" s="16">
        <f>IF(J332=1,VLOOKUP(B332,RPM!$F$2:$H$62,3,TRUE),IF(J332=2,VLOOKUP(B332,RPM!$I$2:$K$62,3,TRUE),IF(J332=3,VLOOKUP(B332,RPM!$L$2:$N$62,3,TRUE))))</f>
        <v>6800</v>
      </c>
      <c r="L332" s="17">
        <f t="shared" si="59"/>
        <v>27.676755392084818</v>
      </c>
      <c r="M332" s="16">
        <f t="shared" si="56"/>
        <v>0</v>
      </c>
      <c r="N332" s="17">
        <f>VLOOKUP(K332,RPM!$A$2:$D$62,3,FALSE)</f>
        <v>15</v>
      </c>
      <c r="O332" s="16">
        <f>VLOOKUP(K332,RPM!$A$2:$D$62,4,FALSE)</f>
        <v>15.721323529411764</v>
      </c>
      <c r="P332" s="17">
        <f t="shared" si="57"/>
        <v>11.723390955882353</v>
      </c>
      <c r="Q332" s="16" cm="1">
        <f t="array" ref="Q332">_xlfn.XLOOKUP(O332,BSFC!$A$2:$A$24,_xlfn.XLOOKUP(K332,BSFC!$B$1:$O$1,BSFC!$B$2:$O$24,,-1),,-1)</f>
        <v>440</v>
      </c>
      <c r="R332" s="17">
        <f t="shared" si="58"/>
        <v>1.4328588946078433</v>
      </c>
      <c r="S332" s="16">
        <f t="shared" si="60"/>
        <v>2.6955348133305399E-4</v>
      </c>
      <c r="T332" s="17">
        <f t="shared" si="64"/>
        <v>0.11860353178654376</v>
      </c>
      <c r="U332" s="16">
        <f t="shared" si="65"/>
        <v>48.647284304371631</v>
      </c>
      <c r="V332" s="17">
        <f t="shared" si="66"/>
        <v>0.10012612993514783</v>
      </c>
      <c r="W332" s="16">
        <f t="shared" si="61"/>
        <v>360454.06776653219</v>
      </c>
      <c r="X332">
        <f>('Hybrid Info'!$A$2-Track!P332)*(L332-L331)*1000+X331</f>
        <v>-30066.5952375302</v>
      </c>
    </row>
    <row r="333" spans="1:24">
      <c r="A333" s="16">
        <f t="shared" si="62"/>
        <v>332</v>
      </c>
      <c r="B333" s="17">
        <f t="shared" si="63"/>
        <v>12.081081170387082</v>
      </c>
      <c r="C333" s="18">
        <f>Specification!$G$30</f>
        <v>109.96225200000001</v>
      </c>
      <c r="D333" s="17">
        <f>0.5*Specification!$K$4*Track!B333^2*Specification!$K$3*Specification!$K$2</f>
        <v>75.597088939043402</v>
      </c>
      <c r="E333" s="16">
        <v>0</v>
      </c>
      <c r="F333" s="17">
        <f>Specification!$C$23*9.81*SIN((E333*PI()/180))</f>
        <v>0</v>
      </c>
      <c r="G333" s="18">
        <f>IF(J333=1,VLOOKUP(K333,RPM!$E$2:$H$62,3,FALSE)-F333-E333-D333,IF(J333=2,VLOOKUP(K333,RPM!$H$2:$K$62,3,FALSE)-F333-E333-D333,IF(J333=3,VLOOKUP(K333,RPM!$K$2:$N$62,3,FALSE)-F333-E333-D333)))</f>
        <v>852.82752893960401</v>
      </c>
      <c r="H333" s="19">
        <f>IF(J333=1,Specification!$I$14,IF(J333=2,Specification!$I$15,IF(J333=3,Specification!$I$16)))</f>
        <v>582.50936296077191</v>
      </c>
      <c r="I333" s="16">
        <v>0</v>
      </c>
      <c r="J333" s="17">
        <v>2</v>
      </c>
      <c r="K333" s="16">
        <f>IF(J333=1,VLOOKUP(B333,RPM!$F$2:$H$62,3,TRUE),IF(J333=2,VLOOKUP(B333,RPM!$I$2:$K$62,3,TRUE),IF(J333=3,VLOOKUP(B333,RPM!$L$2:$N$62,3,TRUE))))</f>
        <v>6800</v>
      </c>
      <c r="L333" s="17">
        <f t="shared" si="59"/>
        <v>27.759529440689935</v>
      </c>
      <c r="M333" s="16">
        <f t="shared" si="56"/>
        <v>0</v>
      </c>
      <c r="N333" s="17">
        <f>VLOOKUP(K333,RPM!$A$2:$D$62,3,FALSE)</f>
        <v>15</v>
      </c>
      <c r="O333" s="16">
        <f>VLOOKUP(K333,RPM!$A$2:$D$62,4,FALSE)</f>
        <v>15.721323529411764</v>
      </c>
      <c r="P333" s="17">
        <f t="shared" si="57"/>
        <v>11.723390955882353</v>
      </c>
      <c r="Q333" s="16" cm="1">
        <f t="array" ref="Q333">_xlfn.XLOOKUP(O333,BSFC!$A$2:$A$24,_xlfn.XLOOKUP(K333,BSFC!$B$1:$O$1,BSFC!$B$2:$O$24,,-1),,-1)</f>
        <v>440</v>
      </c>
      <c r="R333" s="17">
        <f t="shared" si="58"/>
        <v>1.4328588946078433</v>
      </c>
      <c r="S333" s="16">
        <f t="shared" si="60"/>
        <v>2.6955348133305399E-4</v>
      </c>
      <c r="T333" s="17">
        <f t="shared" si="64"/>
        <v>0.11860353178654376</v>
      </c>
      <c r="U333" s="16">
        <f t="shared" si="65"/>
        <v>48.765887836158171</v>
      </c>
      <c r="V333" s="17">
        <f t="shared" si="66"/>
        <v>0.10039568341648088</v>
      </c>
      <c r="W333" s="16">
        <f t="shared" si="61"/>
        <v>361424.46029933117</v>
      </c>
      <c r="X333">
        <f>('Hybrid Info'!$A$2-Track!P333)*(L333-L332)*1000+X332</f>
        <v>-30033.728672501566</v>
      </c>
    </row>
    <row r="334" spans="1:24">
      <c r="A334" s="16">
        <f t="shared" si="62"/>
        <v>333</v>
      </c>
      <c r="B334" s="17">
        <f t="shared" si="63"/>
        <v>12.081081170387082</v>
      </c>
      <c r="C334" s="18">
        <f>Specification!$G$30</f>
        <v>109.96225200000001</v>
      </c>
      <c r="D334" s="17">
        <f>0.5*Specification!$K$4*Track!B334^2*Specification!$K$3*Specification!$K$2</f>
        <v>75.597088939043402</v>
      </c>
      <c r="E334" s="16">
        <v>0</v>
      </c>
      <c r="F334" s="17">
        <f>Specification!$C$23*9.81*SIN((E334*PI()/180))</f>
        <v>0</v>
      </c>
      <c r="G334" s="18">
        <f>IF(J334=1,VLOOKUP(K334,RPM!$E$2:$H$62,3,FALSE)-F334-E334-D334,IF(J334=2,VLOOKUP(K334,RPM!$H$2:$K$62,3,FALSE)-F334-E334-D334,IF(J334=3,VLOOKUP(K334,RPM!$K$2:$N$62,3,FALSE)-F334-E334-D334)))</f>
        <v>852.82752893960401</v>
      </c>
      <c r="H334" s="19">
        <f>IF(J334=1,Specification!$I$14,IF(J334=2,Specification!$I$15,IF(J334=3,Specification!$I$16)))</f>
        <v>582.50936296077191</v>
      </c>
      <c r="I334" s="16">
        <v>0</v>
      </c>
      <c r="J334" s="17">
        <v>2</v>
      </c>
      <c r="K334" s="16">
        <f>IF(J334=1,VLOOKUP(B334,RPM!$F$2:$H$62,3,TRUE),IF(J334=2,VLOOKUP(B334,RPM!$I$2:$K$62,3,TRUE),IF(J334=3,VLOOKUP(B334,RPM!$L$2:$N$62,3,TRUE))))</f>
        <v>6800</v>
      </c>
      <c r="L334" s="17">
        <f t="shared" si="59"/>
        <v>27.842303489295052</v>
      </c>
      <c r="M334" s="16">
        <f t="shared" si="56"/>
        <v>0</v>
      </c>
      <c r="N334" s="17">
        <f>VLOOKUP(K334,RPM!$A$2:$D$62,3,FALSE)</f>
        <v>15</v>
      </c>
      <c r="O334" s="16">
        <f>VLOOKUP(K334,RPM!$A$2:$D$62,4,FALSE)</f>
        <v>15.721323529411764</v>
      </c>
      <c r="P334" s="17">
        <f t="shared" si="57"/>
        <v>11.723390955882353</v>
      </c>
      <c r="Q334" s="16" cm="1">
        <f t="array" ref="Q334">_xlfn.XLOOKUP(O334,BSFC!$A$2:$A$24,_xlfn.XLOOKUP(K334,BSFC!$B$1:$O$1,BSFC!$B$2:$O$24,,-1),,-1)</f>
        <v>440</v>
      </c>
      <c r="R334" s="17">
        <f t="shared" si="58"/>
        <v>1.4328588946078433</v>
      </c>
      <c r="S334" s="16">
        <f t="shared" si="60"/>
        <v>2.6955348133305399E-4</v>
      </c>
      <c r="T334" s="17">
        <f t="shared" si="64"/>
        <v>0.11860353178654376</v>
      </c>
      <c r="U334" s="16">
        <f t="shared" si="65"/>
        <v>48.884491367944712</v>
      </c>
      <c r="V334" s="17">
        <f t="shared" si="66"/>
        <v>0.10066523689781393</v>
      </c>
      <c r="W334" s="16">
        <f t="shared" si="61"/>
        <v>362394.85283213016</v>
      </c>
      <c r="X334">
        <f>('Hybrid Info'!$A$2-Track!P334)*(L334-L333)*1000+X333</f>
        <v>-30000.862107472931</v>
      </c>
    </row>
    <row r="335" spans="1:24">
      <c r="A335" s="16">
        <f t="shared" si="62"/>
        <v>334</v>
      </c>
      <c r="B335" s="17">
        <f t="shared" si="63"/>
        <v>12.081081170387082</v>
      </c>
      <c r="C335" s="18">
        <f>Specification!$G$30</f>
        <v>109.96225200000001</v>
      </c>
      <c r="D335" s="17">
        <f>0.5*Specification!$K$4*Track!B335^2*Specification!$K$3*Specification!$K$2</f>
        <v>75.597088939043402</v>
      </c>
      <c r="E335" s="16">
        <v>0</v>
      </c>
      <c r="F335" s="17">
        <f>Specification!$C$23*9.81*SIN((E335*PI()/180))</f>
        <v>0</v>
      </c>
      <c r="G335" s="18">
        <f>IF(J335=1,VLOOKUP(K335,RPM!$E$2:$H$62,3,FALSE)-F335-E335-D335,IF(J335=2,VLOOKUP(K335,RPM!$H$2:$K$62,3,FALSE)-F335-E335-D335,IF(J335=3,VLOOKUP(K335,RPM!$K$2:$N$62,3,FALSE)-F335-E335-D335)))</f>
        <v>852.82752893960401</v>
      </c>
      <c r="H335" s="19">
        <f>IF(J335=1,Specification!$I$14,IF(J335=2,Specification!$I$15,IF(J335=3,Specification!$I$16)))</f>
        <v>582.50936296077191</v>
      </c>
      <c r="I335" s="16">
        <v>0</v>
      </c>
      <c r="J335" s="17">
        <v>2</v>
      </c>
      <c r="K335" s="16">
        <f>IF(J335=1,VLOOKUP(B335,RPM!$F$2:$H$62,3,TRUE),IF(J335=2,VLOOKUP(B335,RPM!$I$2:$K$62,3,TRUE),IF(J335=3,VLOOKUP(B335,RPM!$L$2:$N$62,3,TRUE))))</f>
        <v>6800</v>
      </c>
      <c r="L335" s="17">
        <f t="shared" si="59"/>
        <v>27.925077537900169</v>
      </c>
      <c r="M335" s="16">
        <f t="shared" si="56"/>
        <v>0</v>
      </c>
      <c r="N335" s="17">
        <f>VLOOKUP(K335,RPM!$A$2:$D$62,3,FALSE)</f>
        <v>15</v>
      </c>
      <c r="O335" s="16">
        <f>VLOOKUP(K335,RPM!$A$2:$D$62,4,FALSE)</f>
        <v>15.721323529411764</v>
      </c>
      <c r="P335" s="17">
        <f t="shared" si="57"/>
        <v>11.723390955882353</v>
      </c>
      <c r="Q335" s="16" cm="1">
        <f t="array" ref="Q335">_xlfn.XLOOKUP(O335,BSFC!$A$2:$A$24,_xlfn.XLOOKUP(K335,BSFC!$B$1:$O$1,BSFC!$B$2:$O$24,,-1),,-1)</f>
        <v>440</v>
      </c>
      <c r="R335" s="17">
        <f t="shared" si="58"/>
        <v>1.4328588946078433</v>
      </c>
      <c r="S335" s="16">
        <f t="shared" si="60"/>
        <v>2.6955348133305399E-4</v>
      </c>
      <c r="T335" s="17">
        <f t="shared" si="64"/>
        <v>0.11860353178654376</v>
      </c>
      <c r="U335" s="16">
        <f t="shared" si="65"/>
        <v>49.003094899731252</v>
      </c>
      <c r="V335" s="17">
        <f t="shared" si="66"/>
        <v>0.10093479037914697</v>
      </c>
      <c r="W335" s="16">
        <f t="shared" si="61"/>
        <v>363365.24536492908</v>
      </c>
      <c r="X335">
        <f>('Hybrid Info'!$A$2-Track!P335)*(L335-L334)*1000+X334</f>
        <v>-29967.995542444296</v>
      </c>
    </row>
    <row r="336" spans="1:24">
      <c r="A336" s="16">
        <f t="shared" si="62"/>
        <v>335</v>
      </c>
      <c r="B336" s="17">
        <f t="shared" si="63"/>
        <v>12.081081170387082</v>
      </c>
      <c r="C336" s="18">
        <f>Specification!$G$30</f>
        <v>109.96225200000001</v>
      </c>
      <c r="D336" s="17">
        <f>0.5*Specification!$K$4*Track!B336^2*Specification!$K$3*Specification!$K$2</f>
        <v>75.597088939043402</v>
      </c>
      <c r="E336" s="16">
        <v>0</v>
      </c>
      <c r="F336" s="17">
        <f>Specification!$C$23*9.81*SIN((E336*PI()/180))</f>
        <v>0</v>
      </c>
      <c r="G336" s="18">
        <f>IF(J336=1,VLOOKUP(K336,RPM!$E$2:$H$62,3,FALSE)-F336-E336-D336,IF(J336=2,VLOOKUP(K336,RPM!$H$2:$K$62,3,FALSE)-F336-E336-D336,IF(J336=3,VLOOKUP(K336,RPM!$K$2:$N$62,3,FALSE)-F336-E336-D336)))</f>
        <v>852.82752893960401</v>
      </c>
      <c r="H336" s="19">
        <f>IF(J336=1,Specification!$I$14,IF(J336=2,Specification!$I$15,IF(J336=3,Specification!$I$16)))</f>
        <v>582.50936296077191</v>
      </c>
      <c r="I336" s="16">
        <v>0</v>
      </c>
      <c r="J336" s="17">
        <v>2</v>
      </c>
      <c r="K336" s="16">
        <f>IF(J336=1,VLOOKUP(B336,RPM!$F$2:$H$62,3,TRUE),IF(J336=2,VLOOKUP(B336,RPM!$I$2:$K$62,3,TRUE),IF(J336=3,VLOOKUP(B336,RPM!$L$2:$N$62,3,TRUE))))</f>
        <v>6800</v>
      </c>
      <c r="L336" s="17">
        <f t="shared" si="59"/>
        <v>28.007851586505286</v>
      </c>
      <c r="M336" s="16">
        <f t="shared" si="56"/>
        <v>0</v>
      </c>
      <c r="N336" s="17">
        <f>VLOOKUP(K336,RPM!$A$2:$D$62,3,FALSE)</f>
        <v>15</v>
      </c>
      <c r="O336" s="16">
        <f>VLOOKUP(K336,RPM!$A$2:$D$62,4,FALSE)</f>
        <v>15.721323529411764</v>
      </c>
      <c r="P336" s="17">
        <f t="shared" si="57"/>
        <v>11.723390955882353</v>
      </c>
      <c r="Q336" s="16" cm="1">
        <f t="array" ref="Q336">_xlfn.XLOOKUP(O336,BSFC!$A$2:$A$24,_xlfn.XLOOKUP(K336,BSFC!$B$1:$O$1,BSFC!$B$2:$O$24,,-1),,-1)</f>
        <v>440</v>
      </c>
      <c r="R336" s="17">
        <f t="shared" si="58"/>
        <v>1.4328588946078433</v>
      </c>
      <c r="S336" s="16">
        <f t="shared" si="60"/>
        <v>2.6955348133305399E-4</v>
      </c>
      <c r="T336" s="17">
        <f t="shared" si="64"/>
        <v>0.11860353178654376</v>
      </c>
      <c r="U336" s="16">
        <f t="shared" si="65"/>
        <v>49.121698431517792</v>
      </c>
      <c r="V336" s="17">
        <f t="shared" si="66"/>
        <v>0.10120434386048002</v>
      </c>
      <c r="W336" s="16">
        <f t="shared" si="61"/>
        <v>364335.63789772807</v>
      </c>
      <c r="X336">
        <f>('Hybrid Info'!$A$2-Track!P336)*(L336-L335)*1000+X335</f>
        <v>-29935.128977415661</v>
      </c>
    </row>
    <row r="337" spans="1:24">
      <c r="A337" s="16">
        <f t="shared" si="62"/>
        <v>336</v>
      </c>
      <c r="B337" s="17">
        <f t="shared" si="63"/>
        <v>12.081081170387082</v>
      </c>
      <c r="C337" s="18">
        <f>Specification!$G$30</f>
        <v>109.96225200000001</v>
      </c>
      <c r="D337" s="17">
        <f>0.5*Specification!$K$4*Track!B337^2*Specification!$K$3*Specification!$K$2</f>
        <v>75.597088939043402</v>
      </c>
      <c r="E337" s="16">
        <v>0</v>
      </c>
      <c r="F337" s="17">
        <f>Specification!$C$23*9.81*SIN((E337*PI()/180))</f>
        <v>0</v>
      </c>
      <c r="G337" s="18">
        <f>IF(J337=1,VLOOKUP(K337,RPM!$E$2:$H$62,3,FALSE)-F337-E337-D337,IF(J337=2,VLOOKUP(K337,RPM!$H$2:$K$62,3,FALSE)-F337-E337-D337,IF(J337=3,VLOOKUP(K337,RPM!$K$2:$N$62,3,FALSE)-F337-E337-D337)))</f>
        <v>852.82752893960401</v>
      </c>
      <c r="H337" s="19">
        <f>IF(J337=1,Specification!$I$14,IF(J337=2,Specification!$I$15,IF(J337=3,Specification!$I$16)))</f>
        <v>582.50936296077191</v>
      </c>
      <c r="I337" s="16">
        <v>0</v>
      </c>
      <c r="J337" s="17">
        <v>2</v>
      </c>
      <c r="K337" s="16">
        <f>IF(J337=1,VLOOKUP(B337,RPM!$F$2:$H$62,3,TRUE),IF(J337=2,VLOOKUP(B337,RPM!$I$2:$K$62,3,TRUE),IF(J337=3,VLOOKUP(B337,RPM!$L$2:$N$62,3,TRUE))))</f>
        <v>6800</v>
      </c>
      <c r="L337" s="17">
        <f t="shared" si="59"/>
        <v>28.090625635110403</v>
      </c>
      <c r="M337" s="16">
        <f t="shared" si="56"/>
        <v>0</v>
      </c>
      <c r="N337" s="17">
        <f>VLOOKUP(K337,RPM!$A$2:$D$62,3,FALSE)</f>
        <v>15</v>
      </c>
      <c r="O337" s="16">
        <f>VLOOKUP(K337,RPM!$A$2:$D$62,4,FALSE)</f>
        <v>15.721323529411764</v>
      </c>
      <c r="P337" s="17">
        <f t="shared" si="57"/>
        <v>11.723390955882353</v>
      </c>
      <c r="Q337" s="16" cm="1">
        <f t="array" ref="Q337">_xlfn.XLOOKUP(O337,BSFC!$A$2:$A$24,_xlfn.XLOOKUP(K337,BSFC!$B$1:$O$1,BSFC!$B$2:$O$24,,-1),,-1)</f>
        <v>440</v>
      </c>
      <c r="R337" s="17">
        <f t="shared" si="58"/>
        <v>1.4328588946078433</v>
      </c>
      <c r="S337" s="16">
        <f t="shared" si="60"/>
        <v>2.6955348133305399E-4</v>
      </c>
      <c r="T337" s="17">
        <f t="shared" si="64"/>
        <v>0.11860353178654376</v>
      </c>
      <c r="U337" s="16">
        <f t="shared" si="65"/>
        <v>49.240301963304333</v>
      </c>
      <c r="V337" s="17">
        <f t="shared" si="66"/>
        <v>0.10147389734181307</v>
      </c>
      <c r="W337" s="16">
        <f t="shared" si="61"/>
        <v>365306.03043052705</v>
      </c>
      <c r="X337">
        <f>('Hybrid Info'!$A$2-Track!P337)*(L337-L336)*1000+X336</f>
        <v>-29902.262412387026</v>
      </c>
    </row>
    <row r="338" spans="1:24">
      <c r="A338" s="16">
        <f t="shared" si="62"/>
        <v>337</v>
      </c>
      <c r="B338" s="17">
        <f t="shared" si="63"/>
        <v>12.081081170387082</v>
      </c>
      <c r="C338" s="18">
        <f>Specification!$G$30</f>
        <v>109.96225200000001</v>
      </c>
      <c r="D338" s="17">
        <f>0.5*Specification!$K$4*Track!B338^2*Specification!$K$3*Specification!$K$2</f>
        <v>75.597088939043402</v>
      </c>
      <c r="E338" s="16">
        <v>0</v>
      </c>
      <c r="F338" s="17">
        <f>Specification!$C$23*9.81*SIN((E338*PI()/180))</f>
        <v>0</v>
      </c>
      <c r="G338" s="18">
        <f>IF(J338=1,VLOOKUP(K338,RPM!$E$2:$H$62,3,FALSE)-F338-E338-D338,IF(J338=2,VLOOKUP(K338,RPM!$H$2:$K$62,3,FALSE)-F338-E338-D338,IF(J338=3,VLOOKUP(K338,RPM!$K$2:$N$62,3,FALSE)-F338-E338-D338)))</f>
        <v>852.82752893960401</v>
      </c>
      <c r="H338" s="19">
        <f>IF(J338=1,Specification!$I$14,IF(J338=2,Specification!$I$15,IF(J338=3,Specification!$I$16)))</f>
        <v>582.50936296077191</v>
      </c>
      <c r="I338" s="16">
        <v>0</v>
      </c>
      <c r="J338" s="17">
        <v>2</v>
      </c>
      <c r="K338" s="16">
        <f>IF(J338=1,VLOOKUP(B338,RPM!$F$2:$H$62,3,TRUE),IF(J338=2,VLOOKUP(B338,RPM!$I$2:$K$62,3,TRUE),IF(J338=3,VLOOKUP(B338,RPM!$L$2:$N$62,3,TRUE))))</f>
        <v>6800</v>
      </c>
      <c r="L338" s="17">
        <f t="shared" si="59"/>
        <v>28.17339968371552</v>
      </c>
      <c r="M338" s="16">
        <f t="shared" si="56"/>
        <v>0</v>
      </c>
      <c r="N338" s="17">
        <f>VLOOKUP(K338,RPM!$A$2:$D$62,3,FALSE)</f>
        <v>15</v>
      </c>
      <c r="O338" s="16">
        <f>VLOOKUP(K338,RPM!$A$2:$D$62,4,FALSE)</f>
        <v>15.721323529411764</v>
      </c>
      <c r="P338" s="17">
        <f t="shared" si="57"/>
        <v>11.723390955882353</v>
      </c>
      <c r="Q338" s="16" cm="1">
        <f t="array" ref="Q338">_xlfn.XLOOKUP(O338,BSFC!$A$2:$A$24,_xlfn.XLOOKUP(K338,BSFC!$B$1:$O$1,BSFC!$B$2:$O$24,,-1),,-1)</f>
        <v>440</v>
      </c>
      <c r="R338" s="17">
        <f t="shared" si="58"/>
        <v>1.4328588946078433</v>
      </c>
      <c r="S338" s="16">
        <f t="shared" si="60"/>
        <v>2.6955348133305399E-4</v>
      </c>
      <c r="T338" s="17">
        <f t="shared" si="64"/>
        <v>0.11860353178654376</v>
      </c>
      <c r="U338" s="16">
        <f t="shared" si="65"/>
        <v>49.358905495090873</v>
      </c>
      <c r="V338" s="17">
        <f t="shared" si="66"/>
        <v>0.10174345082314612</v>
      </c>
      <c r="W338" s="16">
        <f t="shared" si="61"/>
        <v>366276.42296332604</v>
      </c>
      <c r="X338">
        <f>('Hybrid Info'!$A$2-Track!P338)*(L338-L337)*1000+X337</f>
        <v>-29869.395847358392</v>
      </c>
    </row>
    <row r="339" spans="1:24">
      <c r="A339" s="16">
        <f t="shared" si="62"/>
        <v>338</v>
      </c>
      <c r="B339" s="17">
        <f t="shared" si="63"/>
        <v>12.081081170387082</v>
      </c>
      <c r="C339" s="18">
        <f>Specification!$G$30</f>
        <v>109.96225200000001</v>
      </c>
      <c r="D339" s="17">
        <f>0.5*Specification!$K$4*Track!B339^2*Specification!$K$3*Specification!$K$2</f>
        <v>75.597088939043402</v>
      </c>
      <c r="E339" s="16">
        <v>0</v>
      </c>
      <c r="F339" s="17">
        <f>Specification!$C$23*9.81*SIN((E339*PI()/180))</f>
        <v>0</v>
      </c>
      <c r="G339" s="18">
        <f>IF(J339=1,VLOOKUP(K339,RPM!$E$2:$H$62,3,FALSE)-F339-E339-D339,IF(J339=2,VLOOKUP(K339,RPM!$H$2:$K$62,3,FALSE)-F339-E339-D339,IF(J339=3,VLOOKUP(K339,RPM!$K$2:$N$62,3,FALSE)-F339-E339-D339)))</f>
        <v>852.82752893960401</v>
      </c>
      <c r="H339" s="19">
        <f>IF(J339=1,Specification!$I$14,IF(J339=2,Specification!$I$15,IF(J339=3,Specification!$I$16)))</f>
        <v>582.50936296077191</v>
      </c>
      <c r="I339" s="16">
        <v>0</v>
      </c>
      <c r="J339" s="17">
        <v>2</v>
      </c>
      <c r="K339" s="16">
        <f>IF(J339=1,VLOOKUP(B339,RPM!$F$2:$H$62,3,TRUE),IF(J339=2,VLOOKUP(B339,RPM!$I$2:$K$62,3,TRUE),IF(J339=3,VLOOKUP(B339,RPM!$L$2:$N$62,3,TRUE))))</f>
        <v>6800</v>
      </c>
      <c r="L339" s="17">
        <f t="shared" si="59"/>
        <v>28.256173732320637</v>
      </c>
      <c r="M339" s="16">
        <f t="shared" si="56"/>
        <v>0</v>
      </c>
      <c r="N339" s="17">
        <f>VLOOKUP(K339,RPM!$A$2:$D$62,3,FALSE)</f>
        <v>15</v>
      </c>
      <c r="O339" s="16">
        <f>VLOOKUP(K339,RPM!$A$2:$D$62,4,FALSE)</f>
        <v>15.721323529411764</v>
      </c>
      <c r="P339" s="17">
        <f t="shared" si="57"/>
        <v>11.723390955882353</v>
      </c>
      <c r="Q339" s="16" cm="1">
        <f t="array" ref="Q339">_xlfn.XLOOKUP(O339,BSFC!$A$2:$A$24,_xlfn.XLOOKUP(K339,BSFC!$B$1:$O$1,BSFC!$B$2:$O$24,,-1),,-1)</f>
        <v>440</v>
      </c>
      <c r="R339" s="17">
        <f t="shared" si="58"/>
        <v>1.4328588946078433</v>
      </c>
      <c r="S339" s="16">
        <f t="shared" si="60"/>
        <v>2.6955348133305399E-4</v>
      </c>
      <c r="T339" s="17">
        <f t="shared" si="64"/>
        <v>0.11860353178654376</v>
      </c>
      <c r="U339" s="16">
        <f t="shared" si="65"/>
        <v>49.477509026877414</v>
      </c>
      <c r="V339" s="17">
        <f t="shared" si="66"/>
        <v>0.10201300430447917</v>
      </c>
      <c r="W339" s="16">
        <f t="shared" si="61"/>
        <v>367246.81549612503</v>
      </c>
      <c r="X339">
        <f>('Hybrid Info'!$A$2-Track!P339)*(L339-L338)*1000+X338</f>
        <v>-29836.529282329757</v>
      </c>
    </row>
    <row r="340" spans="1:24">
      <c r="A340" s="16">
        <f t="shared" si="62"/>
        <v>339</v>
      </c>
      <c r="B340" s="17">
        <f t="shared" si="63"/>
        <v>12.081081170387082</v>
      </c>
      <c r="C340" s="18">
        <f>Specification!$G$30</f>
        <v>109.96225200000001</v>
      </c>
      <c r="D340" s="17">
        <f>0.5*Specification!$K$4*Track!B340^2*Specification!$K$3*Specification!$K$2</f>
        <v>75.597088939043402</v>
      </c>
      <c r="E340" s="16">
        <v>0</v>
      </c>
      <c r="F340" s="17">
        <f>Specification!$C$23*9.81*SIN((E340*PI()/180))</f>
        <v>0</v>
      </c>
      <c r="G340" s="18">
        <f>IF(J340=1,VLOOKUP(K340,RPM!$E$2:$H$62,3,FALSE)-F340-E340-D340,IF(J340=2,VLOOKUP(K340,RPM!$H$2:$K$62,3,FALSE)-F340-E340-D340,IF(J340=3,VLOOKUP(K340,RPM!$K$2:$N$62,3,FALSE)-F340-E340-D340)))</f>
        <v>852.82752893960401</v>
      </c>
      <c r="H340" s="19">
        <f>IF(J340=1,Specification!$I$14,IF(J340=2,Specification!$I$15,IF(J340=3,Specification!$I$16)))</f>
        <v>582.50936296077191</v>
      </c>
      <c r="I340" s="16">
        <v>0</v>
      </c>
      <c r="J340" s="17">
        <v>2</v>
      </c>
      <c r="K340" s="16">
        <f>IF(J340=1,VLOOKUP(B340,RPM!$F$2:$H$62,3,TRUE),IF(J340=2,VLOOKUP(B340,RPM!$I$2:$K$62,3,TRUE),IF(J340=3,VLOOKUP(B340,RPM!$L$2:$N$62,3,TRUE))))</f>
        <v>6800</v>
      </c>
      <c r="L340" s="17">
        <f t="shared" si="59"/>
        <v>28.338947780925754</v>
      </c>
      <c r="M340" s="16">
        <f t="shared" si="56"/>
        <v>0</v>
      </c>
      <c r="N340" s="17">
        <f>VLOOKUP(K340,RPM!$A$2:$D$62,3,FALSE)</f>
        <v>15</v>
      </c>
      <c r="O340" s="16">
        <f>VLOOKUP(K340,RPM!$A$2:$D$62,4,FALSE)</f>
        <v>15.721323529411764</v>
      </c>
      <c r="P340" s="17">
        <f t="shared" si="57"/>
        <v>11.723390955882353</v>
      </c>
      <c r="Q340" s="16" cm="1">
        <f t="array" ref="Q340">_xlfn.XLOOKUP(O340,BSFC!$A$2:$A$24,_xlfn.XLOOKUP(K340,BSFC!$B$1:$O$1,BSFC!$B$2:$O$24,,-1),,-1)</f>
        <v>440</v>
      </c>
      <c r="R340" s="17">
        <f t="shared" si="58"/>
        <v>1.4328588946078433</v>
      </c>
      <c r="S340" s="16">
        <f t="shared" si="60"/>
        <v>2.6955348133305399E-4</v>
      </c>
      <c r="T340" s="17">
        <f t="shared" si="64"/>
        <v>0.11860353178654376</v>
      </c>
      <c r="U340" s="16">
        <f t="shared" si="65"/>
        <v>49.596112558663954</v>
      </c>
      <c r="V340" s="17">
        <f t="shared" si="66"/>
        <v>0.10228255778581222</v>
      </c>
      <c r="W340" s="16">
        <f t="shared" si="61"/>
        <v>368217.20802892395</v>
      </c>
      <c r="X340">
        <f>('Hybrid Info'!$A$2-Track!P340)*(L340-L339)*1000+X339</f>
        <v>-29803.662717301122</v>
      </c>
    </row>
    <row r="341" spans="1:24">
      <c r="A341" s="16">
        <f t="shared" si="62"/>
        <v>340</v>
      </c>
      <c r="B341" s="17">
        <f t="shared" si="63"/>
        <v>12.081081170387082</v>
      </c>
      <c r="C341" s="18">
        <f>Specification!$G$30</f>
        <v>109.96225200000001</v>
      </c>
      <c r="D341" s="17">
        <f>0.5*Specification!$K$4*Track!B341^2*Specification!$K$3*Specification!$K$2</f>
        <v>75.597088939043402</v>
      </c>
      <c r="E341" s="16">
        <v>0</v>
      </c>
      <c r="F341" s="17">
        <f>Specification!$C$23*9.81*SIN((E341*PI()/180))</f>
        <v>0</v>
      </c>
      <c r="G341" s="18">
        <f>IF(J341=1,VLOOKUP(K341,RPM!$E$2:$H$62,3,FALSE)-F341-E341-D341,IF(J341=2,VLOOKUP(K341,RPM!$H$2:$K$62,3,FALSE)-F341-E341-D341,IF(J341=3,VLOOKUP(K341,RPM!$K$2:$N$62,3,FALSE)-F341-E341-D341)))</f>
        <v>852.82752893960401</v>
      </c>
      <c r="H341" s="19">
        <f>IF(J341=1,Specification!$I$14,IF(J341=2,Specification!$I$15,IF(J341=3,Specification!$I$16)))</f>
        <v>582.50936296077191</v>
      </c>
      <c r="I341" s="16">
        <v>0</v>
      </c>
      <c r="J341" s="17">
        <v>2</v>
      </c>
      <c r="K341" s="16">
        <f>IF(J341=1,VLOOKUP(B341,RPM!$F$2:$H$62,3,TRUE),IF(J341=2,VLOOKUP(B341,RPM!$I$2:$K$62,3,TRUE),IF(J341=3,VLOOKUP(B341,RPM!$L$2:$N$62,3,TRUE))))</f>
        <v>6800</v>
      </c>
      <c r="L341" s="17">
        <f t="shared" si="59"/>
        <v>28.42172182953087</v>
      </c>
      <c r="M341" s="16">
        <f t="shared" si="56"/>
        <v>0</v>
      </c>
      <c r="N341" s="17">
        <f>VLOOKUP(K341,RPM!$A$2:$D$62,3,FALSE)</f>
        <v>15</v>
      </c>
      <c r="O341" s="16">
        <f>VLOOKUP(K341,RPM!$A$2:$D$62,4,FALSE)</f>
        <v>15.721323529411764</v>
      </c>
      <c r="P341" s="17">
        <f t="shared" si="57"/>
        <v>11.723390955882353</v>
      </c>
      <c r="Q341" s="16" cm="1">
        <f t="array" ref="Q341">_xlfn.XLOOKUP(O341,BSFC!$A$2:$A$24,_xlfn.XLOOKUP(K341,BSFC!$B$1:$O$1,BSFC!$B$2:$O$24,,-1),,-1)</f>
        <v>440</v>
      </c>
      <c r="R341" s="17">
        <f t="shared" si="58"/>
        <v>1.4328588946078433</v>
      </c>
      <c r="S341" s="16">
        <f t="shared" si="60"/>
        <v>2.6955348133305399E-4</v>
      </c>
      <c r="T341" s="17">
        <f t="shared" si="64"/>
        <v>0.11860353178654376</v>
      </c>
      <c r="U341" s="16">
        <f t="shared" si="65"/>
        <v>49.714716090450494</v>
      </c>
      <c r="V341" s="17">
        <f t="shared" si="66"/>
        <v>0.10255211126714527</v>
      </c>
      <c r="W341" s="16">
        <f t="shared" si="61"/>
        <v>369187.60056172294</v>
      </c>
      <c r="X341">
        <f>('Hybrid Info'!$A$2-Track!P341)*(L341-L340)*1000+X340</f>
        <v>-29770.796152272487</v>
      </c>
    </row>
    <row r="342" spans="1:24">
      <c r="A342" s="16">
        <f t="shared" si="62"/>
        <v>341</v>
      </c>
      <c r="B342" s="17">
        <f t="shared" si="63"/>
        <v>12.081081170387082</v>
      </c>
      <c r="C342" s="18">
        <f>Specification!$G$30</f>
        <v>109.96225200000001</v>
      </c>
      <c r="D342" s="17">
        <f>0.5*Specification!$K$4*Track!B342^2*Specification!$K$3*Specification!$K$2</f>
        <v>75.597088939043402</v>
      </c>
      <c r="E342" s="16">
        <v>0</v>
      </c>
      <c r="F342" s="17">
        <f>Specification!$C$23*9.81*SIN((E342*PI()/180))</f>
        <v>0</v>
      </c>
      <c r="G342" s="18">
        <f>IF(J342=1,VLOOKUP(K342,RPM!$E$2:$H$62,3,FALSE)-F342-E342-D342,IF(J342=2,VLOOKUP(K342,RPM!$H$2:$K$62,3,FALSE)-F342-E342-D342,IF(J342=3,VLOOKUP(K342,RPM!$K$2:$N$62,3,FALSE)-F342-E342-D342)))</f>
        <v>852.82752893960401</v>
      </c>
      <c r="H342" s="19">
        <f>IF(J342=1,Specification!$I$14,IF(J342=2,Specification!$I$15,IF(J342=3,Specification!$I$16)))</f>
        <v>582.50936296077191</v>
      </c>
      <c r="I342" s="16">
        <v>0</v>
      </c>
      <c r="J342" s="17">
        <v>2</v>
      </c>
      <c r="K342" s="16">
        <f>IF(J342=1,VLOOKUP(B342,RPM!$F$2:$H$62,3,TRUE),IF(J342=2,VLOOKUP(B342,RPM!$I$2:$K$62,3,TRUE),IF(J342=3,VLOOKUP(B342,RPM!$L$2:$N$62,3,TRUE))))</f>
        <v>6800</v>
      </c>
      <c r="L342" s="17">
        <f t="shared" si="59"/>
        <v>28.504495878135987</v>
      </c>
      <c r="M342" s="16">
        <f t="shared" si="56"/>
        <v>0</v>
      </c>
      <c r="N342" s="17">
        <f>VLOOKUP(K342,RPM!$A$2:$D$62,3,FALSE)</f>
        <v>15</v>
      </c>
      <c r="O342" s="16">
        <f>VLOOKUP(K342,RPM!$A$2:$D$62,4,FALSE)</f>
        <v>15.721323529411764</v>
      </c>
      <c r="P342" s="17">
        <f t="shared" si="57"/>
        <v>11.723390955882353</v>
      </c>
      <c r="Q342" s="16" cm="1">
        <f t="array" ref="Q342">_xlfn.XLOOKUP(O342,BSFC!$A$2:$A$24,_xlfn.XLOOKUP(K342,BSFC!$B$1:$O$1,BSFC!$B$2:$O$24,,-1),,-1)</f>
        <v>440</v>
      </c>
      <c r="R342" s="17">
        <f t="shared" si="58"/>
        <v>1.4328588946078433</v>
      </c>
      <c r="S342" s="16">
        <f t="shared" si="60"/>
        <v>2.6955348133305399E-4</v>
      </c>
      <c r="T342" s="17">
        <f t="shared" si="64"/>
        <v>0.11860353178654376</v>
      </c>
      <c r="U342" s="16">
        <f t="shared" si="65"/>
        <v>49.833319622237035</v>
      </c>
      <c r="V342" s="17">
        <f t="shared" si="66"/>
        <v>0.10282166474847831</v>
      </c>
      <c r="W342" s="16">
        <f t="shared" si="61"/>
        <v>370157.99309452192</v>
      </c>
      <c r="X342">
        <f>('Hybrid Info'!$A$2-Track!P342)*(L342-L341)*1000+X341</f>
        <v>-29737.929587243852</v>
      </c>
    </row>
    <row r="343" spans="1:24">
      <c r="A343" s="16">
        <f t="shared" si="62"/>
        <v>342</v>
      </c>
      <c r="B343" s="17">
        <f t="shared" si="63"/>
        <v>12.081081170387082</v>
      </c>
      <c r="C343" s="18">
        <f>Specification!$G$30</f>
        <v>109.96225200000001</v>
      </c>
      <c r="D343" s="17">
        <f>0.5*Specification!$K$4*Track!B343^2*Specification!$K$3*Specification!$K$2</f>
        <v>75.597088939043402</v>
      </c>
      <c r="E343" s="16">
        <v>0</v>
      </c>
      <c r="F343" s="17">
        <f>Specification!$C$23*9.81*SIN((E343*PI()/180))</f>
        <v>0</v>
      </c>
      <c r="G343" s="18">
        <f>IF(J343=1,VLOOKUP(K343,RPM!$E$2:$H$62,3,FALSE)-F343-E343-D343,IF(J343=2,VLOOKUP(K343,RPM!$H$2:$K$62,3,FALSE)-F343-E343-D343,IF(J343=3,VLOOKUP(K343,RPM!$K$2:$N$62,3,FALSE)-F343-E343-D343)))</f>
        <v>852.82752893960401</v>
      </c>
      <c r="H343" s="19">
        <f>IF(J343=1,Specification!$I$14,IF(J343=2,Specification!$I$15,IF(J343=3,Specification!$I$16)))</f>
        <v>582.50936296077191</v>
      </c>
      <c r="I343" s="16">
        <v>0</v>
      </c>
      <c r="J343" s="17">
        <v>2</v>
      </c>
      <c r="K343" s="16">
        <f>IF(J343=1,VLOOKUP(B343,RPM!$F$2:$H$62,3,TRUE),IF(J343=2,VLOOKUP(B343,RPM!$I$2:$K$62,3,TRUE),IF(J343=3,VLOOKUP(B343,RPM!$L$2:$N$62,3,TRUE))))</f>
        <v>6800</v>
      </c>
      <c r="L343" s="17">
        <f t="shared" si="59"/>
        <v>28.587269926741104</v>
      </c>
      <c r="M343" s="16">
        <f t="shared" si="56"/>
        <v>0</v>
      </c>
      <c r="N343" s="17">
        <f>VLOOKUP(K343,RPM!$A$2:$D$62,3,FALSE)</f>
        <v>15</v>
      </c>
      <c r="O343" s="16">
        <f>VLOOKUP(K343,RPM!$A$2:$D$62,4,FALSE)</f>
        <v>15.721323529411764</v>
      </c>
      <c r="P343" s="17">
        <f t="shared" si="57"/>
        <v>11.723390955882353</v>
      </c>
      <c r="Q343" s="16" cm="1">
        <f t="array" ref="Q343">_xlfn.XLOOKUP(O343,BSFC!$A$2:$A$24,_xlfn.XLOOKUP(K343,BSFC!$B$1:$O$1,BSFC!$B$2:$O$24,,-1),,-1)</f>
        <v>440</v>
      </c>
      <c r="R343" s="17">
        <f t="shared" si="58"/>
        <v>1.4328588946078433</v>
      </c>
      <c r="S343" s="16">
        <f t="shared" si="60"/>
        <v>2.6955348133305399E-4</v>
      </c>
      <c r="T343" s="17">
        <f t="shared" si="64"/>
        <v>0.11860353178654376</v>
      </c>
      <c r="U343" s="16">
        <f t="shared" si="65"/>
        <v>49.951923154023575</v>
      </c>
      <c r="V343" s="17">
        <f t="shared" si="66"/>
        <v>0.10309121822981136</v>
      </c>
      <c r="W343" s="16">
        <f t="shared" si="61"/>
        <v>371128.38562732091</v>
      </c>
      <c r="X343">
        <f>('Hybrid Info'!$A$2-Track!P343)*(L343-L342)*1000+X342</f>
        <v>-29705.063022215218</v>
      </c>
    </row>
    <row r="344" spans="1:24">
      <c r="A344" s="16">
        <f t="shared" si="62"/>
        <v>343</v>
      </c>
      <c r="B344" s="17">
        <f t="shared" si="63"/>
        <v>12.081081170387082</v>
      </c>
      <c r="C344" s="18">
        <f>Specification!$G$30</f>
        <v>109.96225200000001</v>
      </c>
      <c r="D344" s="17">
        <f>0.5*Specification!$K$4*Track!B344^2*Specification!$K$3*Specification!$K$2</f>
        <v>75.597088939043402</v>
      </c>
      <c r="E344" s="16">
        <v>0</v>
      </c>
      <c r="F344" s="17">
        <f>Specification!$C$23*9.81*SIN((E344*PI()/180))</f>
        <v>0</v>
      </c>
      <c r="G344" s="18">
        <f>IF(J344=1,VLOOKUP(K344,RPM!$E$2:$H$62,3,FALSE)-F344-E344-D344,IF(J344=2,VLOOKUP(K344,RPM!$H$2:$K$62,3,FALSE)-F344-E344-D344,IF(J344=3,VLOOKUP(K344,RPM!$K$2:$N$62,3,FALSE)-F344-E344-D344)))</f>
        <v>852.82752893960401</v>
      </c>
      <c r="H344" s="19">
        <f>IF(J344=1,Specification!$I$14,IF(J344=2,Specification!$I$15,IF(J344=3,Specification!$I$16)))</f>
        <v>582.50936296077191</v>
      </c>
      <c r="I344" s="16">
        <v>0</v>
      </c>
      <c r="J344" s="17">
        <v>2</v>
      </c>
      <c r="K344" s="16">
        <f>IF(J344=1,VLOOKUP(B344,RPM!$F$2:$H$62,3,TRUE),IF(J344=2,VLOOKUP(B344,RPM!$I$2:$K$62,3,TRUE),IF(J344=3,VLOOKUP(B344,RPM!$L$2:$N$62,3,TRUE))))</f>
        <v>6800</v>
      </c>
      <c r="L344" s="17">
        <f t="shared" si="59"/>
        <v>28.670043975346221</v>
      </c>
      <c r="M344" s="16">
        <f t="shared" si="56"/>
        <v>0</v>
      </c>
      <c r="N344" s="17">
        <f>VLOOKUP(K344,RPM!$A$2:$D$62,3,FALSE)</f>
        <v>15</v>
      </c>
      <c r="O344" s="16">
        <f>VLOOKUP(K344,RPM!$A$2:$D$62,4,FALSE)</f>
        <v>15.721323529411764</v>
      </c>
      <c r="P344" s="17">
        <f t="shared" si="57"/>
        <v>11.723390955882353</v>
      </c>
      <c r="Q344" s="16" cm="1">
        <f t="array" ref="Q344">_xlfn.XLOOKUP(O344,BSFC!$A$2:$A$24,_xlfn.XLOOKUP(K344,BSFC!$B$1:$O$1,BSFC!$B$2:$O$24,,-1),,-1)</f>
        <v>440</v>
      </c>
      <c r="R344" s="17">
        <f t="shared" si="58"/>
        <v>1.4328588946078433</v>
      </c>
      <c r="S344" s="16">
        <f t="shared" si="60"/>
        <v>2.6955348133305399E-4</v>
      </c>
      <c r="T344" s="17">
        <f t="shared" si="64"/>
        <v>0.11860353178654376</v>
      </c>
      <c r="U344" s="16">
        <f t="shared" si="65"/>
        <v>50.070526685810115</v>
      </c>
      <c r="V344" s="17">
        <f t="shared" si="66"/>
        <v>0.10336077171114441</v>
      </c>
      <c r="W344" s="16">
        <f t="shared" si="61"/>
        <v>372098.77816011989</v>
      </c>
      <c r="X344">
        <f>('Hybrid Info'!$A$2-Track!P344)*(L344-L343)*1000+X343</f>
        <v>-29672.196457186583</v>
      </c>
    </row>
    <row r="345" spans="1:24">
      <c r="A345" s="16">
        <f t="shared" si="62"/>
        <v>344</v>
      </c>
      <c r="B345" s="17">
        <f t="shared" si="63"/>
        <v>12.081081170387082</v>
      </c>
      <c r="C345" s="18">
        <f>Specification!$G$30</f>
        <v>109.96225200000001</v>
      </c>
      <c r="D345" s="17">
        <f>0.5*Specification!$K$4*Track!B345^2*Specification!$K$3*Specification!$K$2</f>
        <v>75.597088939043402</v>
      </c>
      <c r="E345" s="16">
        <v>0</v>
      </c>
      <c r="F345" s="17">
        <f>Specification!$C$23*9.81*SIN((E345*PI()/180))</f>
        <v>0</v>
      </c>
      <c r="G345" s="18">
        <f>IF(J345=1,VLOOKUP(K345,RPM!$E$2:$H$62,3,FALSE)-F345-E345-D345,IF(J345=2,VLOOKUP(K345,RPM!$H$2:$K$62,3,FALSE)-F345-E345-D345,IF(J345=3,VLOOKUP(K345,RPM!$K$2:$N$62,3,FALSE)-F345-E345-D345)))</f>
        <v>852.82752893960401</v>
      </c>
      <c r="H345" s="19">
        <f>IF(J345=1,Specification!$I$14,IF(J345=2,Specification!$I$15,IF(J345=3,Specification!$I$16)))</f>
        <v>582.50936296077191</v>
      </c>
      <c r="I345" s="16">
        <v>0</v>
      </c>
      <c r="J345" s="17">
        <v>2</v>
      </c>
      <c r="K345" s="16">
        <f>IF(J345=1,VLOOKUP(B345,RPM!$F$2:$H$62,3,TRUE),IF(J345=2,VLOOKUP(B345,RPM!$I$2:$K$62,3,TRUE),IF(J345=3,VLOOKUP(B345,RPM!$L$2:$N$62,3,TRUE))))</f>
        <v>6800</v>
      </c>
      <c r="L345" s="17">
        <f t="shared" si="59"/>
        <v>28.752818023951338</v>
      </c>
      <c r="M345" s="16">
        <f t="shared" si="56"/>
        <v>0</v>
      </c>
      <c r="N345" s="17">
        <f>VLOOKUP(K345,RPM!$A$2:$D$62,3,FALSE)</f>
        <v>15</v>
      </c>
      <c r="O345" s="16">
        <f>VLOOKUP(K345,RPM!$A$2:$D$62,4,FALSE)</f>
        <v>15.721323529411764</v>
      </c>
      <c r="P345" s="17">
        <f t="shared" si="57"/>
        <v>11.723390955882353</v>
      </c>
      <c r="Q345" s="16" cm="1">
        <f t="array" ref="Q345">_xlfn.XLOOKUP(O345,BSFC!$A$2:$A$24,_xlfn.XLOOKUP(K345,BSFC!$B$1:$O$1,BSFC!$B$2:$O$24,,-1),,-1)</f>
        <v>440</v>
      </c>
      <c r="R345" s="17">
        <f t="shared" si="58"/>
        <v>1.4328588946078433</v>
      </c>
      <c r="S345" s="16">
        <f t="shared" si="60"/>
        <v>2.6955348133305399E-4</v>
      </c>
      <c r="T345" s="17">
        <f t="shared" si="64"/>
        <v>0.11860353178654376</v>
      </c>
      <c r="U345" s="16">
        <f t="shared" si="65"/>
        <v>50.189130217596656</v>
      </c>
      <c r="V345" s="17">
        <f t="shared" si="66"/>
        <v>0.10363032519247746</v>
      </c>
      <c r="W345" s="16">
        <f t="shared" si="61"/>
        <v>373069.17069291882</v>
      </c>
      <c r="X345">
        <f>('Hybrid Info'!$A$2-Track!P345)*(L345-L344)*1000+X344</f>
        <v>-29639.329892157948</v>
      </c>
    </row>
    <row r="346" spans="1:24">
      <c r="A346" s="16">
        <f t="shared" si="62"/>
        <v>345</v>
      </c>
      <c r="B346" s="17">
        <f t="shared" si="63"/>
        <v>12.081081170387082</v>
      </c>
      <c r="C346" s="18">
        <f>Specification!$G$30</f>
        <v>109.96225200000001</v>
      </c>
      <c r="D346" s="17">
        <f>0.5*Specification!$K$4*Track!B346^2*Specification!$K$3*Specification!$K$2</f>
        <v>75.597088939043402</v>
      </c>
      <c r="E346" s="16">
        <v>0</v>
      </c>
      <c r="F346" s="17">
        <f>Specification!$C$23*9.81*SIN((E346*PI()/180))</f>
        <v>0</v>
      </c>
      <c r="G346" s="18">
        <f>IF(J346=1,VLOOKUP(K346,RPM!$E$2:$H$62,3,FALSE)-F346-E346-D346,IF(J346=2,VLOOKUP(K346,RPM!$H$2:$K$62,3,FALSE)-F346-E346-D346,IF(J346=3,VLOOKUP(K346,RPM!$K$2:$N$62,3,FALSE)-F346-E346-D346)))</f>
        <v>852.82752893960401</v>
      </c>
      <c r="H346" s="19">
        <f>IF(J346=1,Specification!$I$14,IF(J346=2,Specification!$I$15,IF(J346=3,Specification!$I$16)))</f>
        <v>582.50936296077191</v>
      </c>
      <c r="I346" s="16">
        <v>0</v>
      </c>
      <c r="J346" s="17">
        <v>2</v>
      </c>
      <c r="K346" s="16">
        <f>IF(J346=1,VLOOKUP(B346,RPM!$F$2:$H$62,3,TRUE),IF(J346=2,VLOOKUP(B346,RPM!$I$2:$K$62,3,TRUE),IF(J346=3,VLOOKUP(B346,RPM!$L$2:$N$62,3,TRUE))))</f>
        <v>6800</v>
      </c>
      <c r="L346" s="17">
        <f t="shared" si="59"/>
        <v>28.835592072556455</v>
      </c>
      <c r="M346" s="16">
        <f t="shared" si="56"/>
        <v>0</v>
      </c>
      <c r="N346" s="17">
        <f>VLOOKUP(K346,RPM!$A$2:$D$62,3,FALSE)</f>
        <v>15</v>
      </c>
      <c r="O346" s="16">
        <f>VLOOKUP(K346,RPM!$A$2:$D$62,4,FALSE)</f>
        <v>15.721323529411764</v>
      </c>
      <c r="P346" s="17">
        <f t="shared" si="57"/>
        <v>11.723390955882353</v>
      </c>
      <c r="Q346" s="16" cm="1">
        <f t="array" ref="Q346">_xlfn.XLOOKUP(O346,BSFC!$A$2:$A$24,_xlfn.XLOOKUP(K346,BSFC!$B$1:$O$1,BSFC!$B$2:$O$24,,-1),,-1)</f>
        <v>440</v>
      </c>
      <c r="R346" s="17">
        <f t="shared" si="58"/>
        <v>1.4328588946078433</v>
      </c>
      <c r="S346" s="16">
        <f t="shared" si="60"/>
        <v>2.6955348133305399E-4</v>
      </c>
      <c r="T346" s="17">
        <f t="shared" si="64"/>
        <v>0.11860353178654376</v>
      </c>
      <c r="U346" s="16">
        <f t="shared" si="65"/>
        <v>50.307733749383196</v>
      </c>
      <c r="V346" s="17">
        <f t="shared" si="66"/>
        <v>0.10389987867381051</v>
      </c>
      <c r="W346" s="16">
        <f t="shared" si="61"/>
        <v>374039.56322571781</v>
      </c>
      <c r="X346">
        <f>('Hybrid Info'!$A$2-Track!P346)*(L346-L345)*1000+X345</f>
        <v>-29606.463327129313</v>
      </c>
    </row>
    <row r="347" spans="1:24">
      <c r="A347" s="16">
        <f t="shared" si="62"/>
        <v>346</v>
      </c>
      <c r="B347" s="17">
        <f t="shared" si="63"/>
        <v>12.081081170387082</v>
      </c>
      <c r="C347" s="18">
        <f>Specification!$G$30</f>
        <v>109.96225200000001</v>
      </c>
      <c r="D347" s="17">
        <f>0.5*Specification!$K$4*Track!B347^2*Specification!$K$3*Specification!$K$2</f>
        <v>75.597088939043402</v>
      </c>
      <c r="E347" s="16">
        <v>0</v>
      </c>
      <c r="F347" s="17">
        <f>Specification!$C$23*9.81*SIN((E347*PI()/180))</f>
        <v>0</v>
      </c>
      <c r="G347" s="18">
        <f>IF(J347=1,VLOOKUP(K347,RPM!$E$2:$H$62,3,FALSE)-F347-E347-D347,IF(J347=2,VLOOKUP(K347,RPM!$H$2:$K$62,3,FALSE)-F347-E347-D347,IF(J347=3,VLOOKUP(K347,RPM!$K$2:$N$62,3,FALSE)-F347-E347-D347)))</f>
        <v>852.82752893960401</v>
      </c>
      <c r="H347" s="19">
        <f>IF(J347=1,Specification!$I$14,IF(J347=2,Specification!$I$15,IF(J347=3,Specification!$I$16)))</f>
        <v>582.50936296077191</v>
      </c>
      <c r="I347" s="16">
        <v>0</v>
      </c>
      <c r="J347" s="17">
        <v>2</v>
      </c>
      <c r="K347" s="16">
        <f>IF(J347=1,VLOOKUP(B347,RPM!$F$2:$H$62,3,TRUE),IF(J347=2,VLOOKUP(B347,RPM!$I$2:$K$62,3,TRUE),IF(J347=3,VLOOKUP(B347,RPM!$L$2:$N$62,3,TRUE))))</f>
        <v>6800</v>
      </c>
      <c r="L347" s="17">
        <f t="shared" si="59"/>
        <v>28.918366121161572</v>
      </c>
      <c r="M347" s="16">
        <f t="shared" si="56"/>
        <v>0</v>
      </c>
      <c r="N347" s="17">
        <f>VLOOKUP(K347,RPM!$A$2:$D$62,3,FALSE)</f>
        <v>15</v>
      </c>
      <c r="O347" s="16">
        <f>VLOOKUP(K347,RPM!$A$2:$D$62,4,FALSE)</f>
        <v>15.721323529411764</v>
      </c>
      <c r="P347" s="17">
        <f t="shared" si="57"/>
        <v>11.723390955882353</v>
      </c>
      <c r="Q347" s="16" cm="1">
        <f t="array" ref="Q347">_xlfn.XLOOKUP(O347,BSFC!$A$2:$A$24,_xlfn.XLOOKUP(K347,BSFC!$B$1:$O$1,BSFC!$B$2:$O$24,,-1),,-1)</f>
        <v>440</v>
      </c>
      <c r="R347" s="17">
        <f t="shared" si="58"/>
        <v>1.4328588946078433</v>
      </c>
      <c r="S347" s="16">
        <f t="shared" si="60"/>
        <v>2.6955348133305399E-4</v>
      </c>
      <c r="T347" s="17">
        <f t="shared" si="64"/>
        <v>0.11860353178654376</v>
      </c>
      <c r="U347" s="16">
        <f t="shared" si="65"/>
        <v>50.426337281169737</v>
      </c>
      <c r="V347" s="17">
        <f t="shared" si="66"/>
        <v>0.10416943215514356</v>
      </c>
      <c r="W347" s="16">
        <f t="shared" si="61"/>
        <v>375009.95575851679</v>
      </c>
      <c r="X347">
        <f>('Hybrid Info'!$A$2-Track!P347)*(L347-L346)*1000+X346</f>
        <v>-29573.596762100678</v>
      </c>
    </row>
    <row r="348" spans="1:24">
      <c r="A348" s="16">
        <f t="shared" si="62"/>
        <v>347</v>
      </c>
      <c r="B348" s="17">
        <f t="shared" si="63"/>
        <v>12.081081170387082</v>
      </c>
      <c r="C348" s="18">
        <f>Specification!$G$30</f>
        <v>109.96225200000001</v>
      </c>
      <c r="D348" s="17">
        <f>0.5*Specification!$K$4*Track!B348^2*Specification!$K$3*Specification!$K$2</f>
        <v>75.597088939043402</v>
      </c>
      <c r="E348" s="16">
        <v>0</v>
      </c>
      <c r="F348" s="17">
        <f>Specification!$C$23*9.81*SIN((E348*PI()/180))</f>
        <v>0</v>
      </c>
      <c r="G348" s="18">
        <f>IF(J348=1,VLOOKUP(K348,RPM!$E$2:$H$62,3,FALSE)-F348-E348-D348,IF(J348=2,VLOOKUP(K348,RPM!$H$2:$K$62,3,FALSE)-F348-E348-D348,IF(J348=3,VLOOKUP(K348,RPM!$K$2:$N$62,3,FALSE)-F348-E348-D348)))</f>
        <v>852.82752893960401</v>
      </c>
      <c r="H348" s="19">
        <f>IF(J348=1,Specification!$I$14,IF(J348=2,Specification!$I$15,IF(J348=3,Specification!$I$16)))</f>
        <v>582.50936296077191</v>
      </c>
      <c r="I348" s="16">
        <v>0</v>
      </c>
      <c r="J348" s="17">
        <v>2</v>
      </c>
      <c r="K348" s="16">
        <f>IF(J348=1,VLOOKUP(B348,RPM!$F$2:$H$62,3,TRUE),IF(J348=2,VLOOKUP(B348,RPM!$I$2:$K$62,3,TRUE),IF(J348=3,VLOOKUP(B348,RPM!$L$2:$N$62,3,TRUE))))</f>
        <v>6800</v>
      </c>
      <c r="L348" s="17">
        <f t="shared" si="59"/>
        <v>29.001140169766689</v>
      </c>
      <c r="M348" s="16">
        <f t="shared" si="56"/>
        <v>0</v>
      </c>
      <c r="N348" s="17">
        <f>VLOOKUP(K348,RPM!$A$2:$D$62,3,FALSE)</f>
        <v>15</v>
      </c>
      <c r="O348" s="16">
        <f>VLOOKUP(K348,RPM!$A$2:$D$62,4,FALSE)</f>
        <v>15.721323529411764</v>
      </c>
      <c r="P348" s="17">
        <f t="shared" si="57"/>
        <v>11.723390955882353</v>
      </c>
      <c r="Q348" s="16" cm="1">
        <f t="array" ref="Q348">_xlfn.XLOOKUP(O348,BSFC!$A$2:$A$24,_xlfn.XLOOKUP(K348,BSFC!$B$1:$O$1,BSFC!$B$2:$O$24,,-1),,-1)</f>
        <v>440</v>
      </c>
      <c r="R348" s="17">
        <f t="shared" si="58"/>
        <v>1.4328588946078433</v>
      </c>
      <c r="S348" s="16">
        <f t="shared" si="60"/>
        <v>2.6955348133305399E-4</v>
      </c>
      <c r="T348" s="17">
        <f t="shared" si="64"/>
        <v>0.11860353178654376</v>
      </c>
      <c r="U348" s="16">
        <f t="shared" si="65"/>
        <v>50.544940812956277</v>
      </c>
      <c r="V348" s="17">
        <f t="shared" si="66"/>
        <v>0.10443898563647661</v>
      </c>
      <c r="W348" s="16">
        <f t="shared" si="61"/>
        <v>375980.34829131578</v>
      </c>
      <c r="X348">
        <f>('Hybrid Info'!$A$2-Track!P348)*(L348-L347)*1000+X347</f>
        <v>-29540.730197072044</v>
      </c>
    </row>
    <row r="349" spans="1:24">
      <c r="A349" s="16">
        <f t="shared" si="62"/>
        <v>348</v>
      </c>
      <c r="B349" s="17">
        <f t="shared" si="63"/>
        <v>12.081081170387082</v>
      </c>
      <c r="C349" s="18">
        <f>Specification!$G$30</f>
        <v>109.96225200000001</v>
      </c>
      <c r="D349" s="17">
        <f>0.5*Specification!$K$4*Track!B349^2*Specification!$K$3*Specification!$K$2</f>
        <v>75.597088939043402</v>
      </c>
      <c r="E349" s="16">
        <v>0</v>
      </c>
      <c r="F349" s="17">
        <f>Specification!$C$23*9.81*SIN((E349*PI()/180))</f>
        <v>0</v>
      </c>
      <c r="G349" s="18">
        <f>IF(J349=1,VLOOKUP(K349,RPM!$E$2:$H$62,3,FALSE)-F349-E349-D349,IF(J349=2,VLOOKUP(K349,RPM!$H$2:$K$62,3,FALSE)-F349-E349-D349,IF(J349=3,VLOOKUP(K349,RPM!$K$2:$N$62,3,FALSE)-F349-E349-D349)))</f>
        <v>852.82752893960401</v>
      </c>
      <c r="H349" s="19">
        <f>IF(J349=1,Specification!$I$14,IF(J349=2,Specification!$I$15,IF(J349=3,Specification!$I$16)))</f>
        <v>582.50936296077191</v>
      </c>
      <c r="I349" s="16">
        <v>0</v>
      </c>
      <c r="J349" s="17">
        <v>2</v>
      </c>
      <c r="K349" s="16">
        <f>IF(J349=1,VLOOKUP(B349,RPM!$F$2:$H$62,3,TRUE),IF(J349=2,VLOOKUP(B349,RPM!$I$2:$K$62,3,TRUE),IF(J349=3,VLOOKUP(B349,RPM!$L$2:$N$62,3,TRUE))))</f>
        <v>6800</v>
      </c>
      <c r="L349" s="17">
        <f t="shared" si="59"/>
        <v>29.083914218371806</v>
      </c>
      <c r="M349" s="16">
        <f t="shared" si="56"/>
        <v>0</v>
      </c>
      <c r="N349" s="17">
        <f>VLOOKUP(K349,RPM!$A$2:$D$62,3,FALSE)</f>
        <v>15</v>
      </c>
      <c r="O349" s="16">
        <f>VLOOKUP(K349,RPM!$A$2:$D$62,4,FALSE)</f>
        <v>15.721323529411764</v>
      </c>
      <c r="P349" s="17">
        <f t="shared" si="57"/>
        <v>11.723390955882353</v>
      </c>
      <c r="Q349" s="16" cm="1">
        <f t="array" ref="Q349">_xlfn.XLOOKUP(O349,BSFC!$A$2:$A$24,_xlfn.XLOOKUP(K349,BSFC!$B$1:$O$1,BSFC!$B$2:$O$24,,-1),,-1)</f>
        <v>440</v>
      </c>
      <c r="R349" s="17">
        <f t="shared" si="58"/>
        <v>1.4328588946078433</v>
      </c>
      <c r="S349" s="16">
        <f t="shared" si="60"/>
        <v>2.6955348133305399E-4</v>
      </c>
      <c r="T349" s="17">
        <f t="shared" si="64"/>
        <v>0.11860353178654376</v>
      </c>
      <c r="U349" s="16">
        <f t="shared" si="65"/>
        <v>50.663544344742817</v>
      </c>
      <c r="V349" s="17">
        <f t="shared" si="66"/>
        <v>0.10470853911780965</v>
      </c>
      <c r="W349" s="16">
        <f t="shared" si="61"/>
        <v>376950.74082411476</v>
      </c>
      <c r="X349">
        <f>('Hybrid Info'!$A$2-Track!P349)*(L349-L348)*1000+X348</f>
        <v>-29507.863632043409</v>
      </c>
    </row>
    <row r="350" spans="1:24">
      <c r="A350" s="16">
        <f t="shared" si="62"/>
        <v>349</v>
      </c>
      <c r="B350" s="17">
        <f t="shared" si="63"/>
        <v>12.081081170387082</v>
      </c>
      <c r="C350" s="18">
        <f>Specification!$G$30</f>
        <v>109.96225200000001</v>
      </c>
      <c r="D350" s="17">
        <f>0.5*Specification!$K$4*Track!B350^2*Specification!$K$3*Specification!$K$2</f>
        <v>75.597088939043402</v>
      </c>
      <c r="E350" s="16">
        <v>0</v>
      </c>
      <c r="F350" s="17">
        <f>Specification!$C$23*9.81*SIN((E350*PI()/180))</f>
        <v>0</v>
      </c>
      <c r="G350" s="18">
        <f>IF(J350=1,VLOOKUP(K350,RPM!$E$2:$H$62,3,FALSE)-F350-E350-D350,IF(J350=2,VLOOKUP(K350,RPM!$H$2:$K$62,3,FALSE)-F350-E350-D350,IF(J350=3,VLOOKUP(K350,RPM!$K$2:$N$62,3,FALSE)-F350-E350-D350)))</f>
        <v>852.82752893960401</v>
      </c>
      <c r="H350" s="19">
        <f>IF(J350=1,Specification!$I$14,IF(J350=2,Specification!$I$15,IF(J350=3,Specification!$I$16)))</f>
        <v>582.50936296077191</v>
      </c>
      <c r="I350" s="16">
        <v>0</v>
      </c>
      <c r="J350" s="17">
        <v>2</v>
      </c>
      <c r="K350" s="16">
        <f>IF(J350=1,VLOOKUP(B350,RPM!$F$2:$H$62,3,TRUE),IF(J350=2,VLOOKUP(B350,RPM!$I$2:$K$62,3,TRUE),IF(J350=3,VLOOKUP(B350,RPM!$L$2:$N$62,3,TRUE))))</f>
        <v>6800</v>
      </c>
      <c r="L350" s="17">
        <f t="shared" si="59"/>
        <v>29.166688266976923</v>
      </c>
      <c r="M350" s="16">
        <f t="shared" si="56"/>
        <v>0</v>
      </c>
      <c r="N350" s="17">
        <f>VLOOKUP(K350,RPM!$A$2:$D$62,3,FALSE)</f>
        <v>15</v>
      </c>
      <c r="O350" s="16">
        <f>VLOOKUP(K350,RPM!$A$2:$D$62,4,FALSE)</f>
        <v>15.721323529411764</v>
      </c>
      <c r="P350" s="17">
        <f t="shared" si="57"/>
        <v>11.723390955882353</v>
      </c>
      <c r="Q350" s="16" cm="1">
        <f t="array" ref="Q350">_xlfn.XLOOKUP(O350,BSFC!$A$2:$A$24,_xlfn.XLOOKUP(K350,BSFC!$B$1:$O$1,BSFC!$B$2:$O$24,,-1),,-1)</f>
        <v>440</v>
      </c>
      <c r="R350" s="17">
        <f t="shared" si="58"/>
        <v>1.4328588946078433</v>
      </c>
      <c r="S350" s="16">
        <f t="shared" si="60"/>
        <v>2.6955348133305399E-4</v>
      </c>
      <c r="T350" s="17">
        <f t="shared" si="64"/>
        <v>0.11860353178654376</v>
      </c>
      <c r="U350" s="16">
        <f t="shared" si="65"/>
        <v>50.782147876529358</v>
      </c>
      <c r="V350" s="17">
        <f t="shared" si="66"/>
        <v>0.1049780925991427</v>
      </c>
      <c r="W350" s="16">
        <f t="shared" si="61"/>
        <v>377921.13335691369</v>
      </c>
      <c r="X350">
        <f>('Hybrid Info'!$A$2-Track!P350)*(L350-L349)*1000+X349</f>
        <v>-29474.997067014774</v>
      </c>
    </row>
    <row r="351" spans="1:24">
      <c r="A351" s="16">
        <f t="shared" si="62"/>
        <v>350</v>
      </c>
      <c r="B351" s="17">
        <f t="shared" si="63"/>
        <v>12.081081170387082</v>
      </c>
      <c r="C351" s="18">
        <f>Specification!$G$30</f>
        <v>109.96225200000001</v>
      </c>
      <c r="D351" s="17">
        <f>0.5*Specification!$K$4*Track!B351^2*Specification!$K$3*Specification!$K$2</f>
        <v>75.597088939043402</v>
      </c>
      <c r="E351" s="16">
        <v>0</v>
      </c>
      <c r="F351" s="17">
        <f>Specification!$C$23*9.81*SIN((E351*PI()/180))</f>
        <v>0</v>
      </c>
      <c r="G351" s="18">
        <f>IF(J351=1,VLOOKUP(K351,RPM!$E$2:$H$62,3,FALSE)-F351-E351-D351,IF(J351=2,VLOOKUP(K351,RPM!$H$2:$K$62,3,FALSE)-F351-E351-D351,IF(J351=3,VLOOKUP(K351,RPM!$K$2:$N$62,3,FALSE)-F351-E351-D351)))</f>
        <v>852.82752893960401</v>
      </c>
      <c r="H351" s="19">
        <f>IF(J351=1,Specification!$I$14,IF(J351=2,Specification!$I$15,IF(J351=3,Specification!$I$16)))</f>
        <v>582.50936296077191</v>
      </c>
      <c r="I351" s="16">
        <v>0</v>
      </c>
      <c r="J351" s="17">
        <v>2</v>
      </c>
      <c r="K351" s="16">
        <f>IF(J351=1,VLOOKUP(B351,RPM!$F$2:$H$62,3,TRUE),IF(J351=2,VLOOKUP(B351,RPM!$I$2:$K$62,3,TRUE),IF(J351=3,VLOOKUP(B351,RPM!$L$2:$N$62,3,TRUE))))</f>
        <v>6800</v>
      </c>
      <c r="L351" s="17">
        <f t="shared" si="59"/>
        <v>29.24946231558204</v>
      </c>
      <c r="M351" s="16">
        <f t="shared" si="56"/>
        <v>0</v>
      </c>
      <c r="N351" s="17">
        <f>VLOOKUP(K351,RPM!$A$2:$D$62,3,FALSE)</f>
        <v>15</v>
      </c>
      <c r="O351" s="16">
        <f>VLOOKUP(K351,RPM!$A$2:$D$62,4,FALSE)</f>
        <v>15.721323529411764</v>
      </c>
      <c r="P351" s="17">
        <f t="shared" si="57"/>
        <v>11.723390955882353</v>
      </c>
      <c r="Q351" s="16" cm="1">
        <f t="array" ref="Q351">_xlfn.XLOOKUP(O351,BSFC!$A$2:$A$24,_xlfn.XLOOKUP(K351,BSFC!$B$1:$O$1,BSFC!$B$2:$O$24,,-1),,-1)</f>
        <v>440</v>
      </c>
      <c r="R351" s="17">
        <f t="shared" si="58"/>
        <v>1.4328588946078433</v>
      </c>
      <c r="S351" s="16">
        <f t="shared" si="60"/>
        <v>2.6955348133305399E-4</v>
      </c>
      <c r="T351" s="17">
        <f t="shared" si="64"/>
        <v>0.11860353178654376</v>
      </c>
      <c r="U351" s="16">
        <f t="shared" si="65"/>
        <v>50.900751408315898</v>
      </c>
      <c r="V351" s="17">
        <f t="shared" si="66"/>
        <v>0.10524764608047575</v>
      </c>
      <c r="W351" s="16">
        <f t="shared" si="61"/>
        <v>378891.52588971268</v>
      </c>
      <c r="X351">
        <f>('Hybrid Info'!$A$2-Track!P351)*(L351-L350)*1000+X350</f>
        <v>-29442.130501986139</v>
      </c>
    </row>
    <row r="352" spans="1:24">
      <c r="A352" s="16">
        <f t="shared" si="62"/>
        <v>351</v>
      </c>
      <c r="B352" s="17">
        <f t="shared" si="63"/>
        <v>12.081081170387082</v>
      </c>
      <c r="C352" s="18">
        <f>Specification!$G$30</f>
        <v>109.96225200000001</v>
      </c>
      <c r="D352" s="17">
        <f>0.5*Specification!$K$4*Track!B352^2*Specification!$K$3*Specification!$K$2</f>
        <v>75.597088939043402</v>
      </c>
      <c r="E352" s="16">
        <v>0</v>
      </c>
      <c r="F352" s="17">
        <f>Specification!$C$23*9.81*SIN((E352*PI()/180))</f>
        <v>0</v>
      </c>
      <c r="G352" s="18">
        <f>IF(J352=1,VLOOKUP(K352,RPM!$E$2:$H$62,3,FALSE)-F352-E352-D352,IF(J352=2,VLOOKUP(K352,RPM!$H$2:$K$62,3,FALSE)-F352-E352-D352,IF(J352=3,VLOOKUP(K352,RPM!$K$2:$N$62,3,FALSE)-F352-E352-D352)))</f>
        <v>852.82752893960401</v>
      </c>
      <c r="H352" s="19">
        <f>IF(J352=1,Specification!$I$14,IF(J352=2,Specification!$I$15,IF(J352=3,Specification!$I$16)))</f>
        <v>582.50936296077191</v>
      </c>
      <c r="I352" s="16">
        <v>0</v>
      </c>
      <c r="J352" s="17">
        <v>2</v>
      </c>
      <c r="K352" s="16">
        <f>IF(J352=1,VLOOKUP(B352,RPM!$F$2:$H$62,3,TRUE),IF(J352=2,VLOOKUP(B352,RPM!$I$2:$K$62,3,TRUE),IF(J352=3,VLOOKUP(B352,RPM!$L$2:$N$62,3,TRUE))))</f>
        <v>6800</v>
      </c>
      <c r="L352" s="17">
        <f t="shared" si="59"/>
        <v>29.332236364187157</v>
      </c>
      <c r="M352" s="16">
        <f t="shared" si="56"/>
        <v>0</v>
      </c>
      <c r="N352" s="17">
        <f>VLOOKUP(K352,RPM!$A$2:$D$62,3,FALSE)</f>
        <v>15</v>
      </c>
      <c r="O352" s="16">
        <f>VLOOKUP(K352,RPM!$A$2:$D$62,4,FALSE)</f>
        <v>15.721323529411764</v>
      </c>
      <c r="P352" s="17">
        <f t="shared" si="57"/>
        <v>11.723390955882353</v>
      </c>
      <c r="Q352" s="16" cm="1">
        <f t="array" ref="Q352">_xlfn.XLOOKUP(O352,BSFC!$A$2:$A$24,_xlfn.XLOOKUP(K352,BSFC!$B$1:$O$1,BSFC!$B$2:$O$24,,-1),,-1)</f>
        <v>440</v>
      </c>
      <c r="R352" s="17">
        <f t="shared" si="58"/>
        <v>1.4328588946078433</v>
      </c>
      <c r="S352" s="16">
        <f t="shared" si="60"/>
        <v>2.6955348133305399E-4</v>
      </c>
      <c r="T352" s="17">
        <f t="shared" si="64"/>
        <v>0.11860353178654376</v>
      </c>
      <c r="U352" s="16">
        <f t="shared" si="65"/>
        <v>51.019354940102438</v>
      </c>
      <c r="V352" s="17">
        <f t="shared" si="66"/>
        <v>0.1055171995618088</v>
      </c>
      <c r="W352" s="16">
        <f t="shared" si="61"/>
        <v>379861.91842251166</v>
      </c>
      <c r="X352">
        <f>('Hybrid Info'!$A$2-Track!P352)*(L352-L351)*1000+X351</f>
        <v>-29409.263936957504</v>
      </c>
    </row>
    <row r="353" spans="1:24">
      <c r="A353" s="16">
        <f t="shared" si="62"/>
        <v>352</v>
      </c>
      <c r="B353" s="17">
        <f t="shared" si="63"/>
        <v>12.081081170387082</v>
      </c>
      <c r="C353" s="18">
        <f>Specification!$G$30</f>
        <v>109.96225200000001</v>
      </c>
      <c r="D353" s="17">
        <f>0.5*Specification!$K$4*Track!B353^2*Specification!$K$3*Specification!$K$2</f>
        <v>75.597088939043402</v>
      </c>
      <c r="E353" s="16">
        <v>0</v>
      </c>
      <c r="F353" s="17">
        <f>Specification!$C$23*9.81*SIN((E353*PI()/180))</f>
        <v>0</v>
      </c>
      <c r="G353" s="18">
        <f>IF(J353=1,VLOOKUP(K353,RPM!$E$2:$H$62,3,FALSE)-F353-E353-D353,IF(J353=2,VLOOKUP(K353,RPM!$H$2:$K$62,3,FALSE)-F353-E353-D353,IF(J353=3,VLOOKUP(K353,RPM!$K$2:$N$62,3,FALSE)-F353-E353-D353)))</f>
        <v>852.82752893960401</v>
      </c>
      <c r="H353" s="19">
        <f>IF(J353=1,Specification!$I$14,IF(J353=2,Specification!$I$15,IF(J353=3,Specification!$I$16)))</f>
        <v>582.50936296077191</v>
      </c>
      <c r="I353" s="16">
        <v>0</v>
      </c>
      <c r="J353" s="17">
        <v>2</v>
      </c>
      <c r="K353" s="16">
        <f>IF(J353=1,VLOOKUP(B353,RPM!$F$2:$H$62,3,TRUE),IF(J353=2,VLOOKUP(B353,RPM!$I$2:$K$62,3,TRUE),IF(J353=3,VLOOKUP(B353,RPM!$L$2:$N$62,3,TRUE))))</f>
        <v>6800</v>
      </c>
      <c r="L353" s="17">
        <f t="shared" si="59"/>
        <v>29.415010412792274</v>
      </c>
      <c r="M353" s="16">
        <f t="shared" si="56"/>
        <v>0</v>
      </c>
      <c r="N353" s="17">
        <f>VLOOKUP(K353,RPM!$A$2:$D$62,3,FALSE)</f>
        <v>15</v>
      </c>
      <c r="O353" s="16">
        <f>VLOOKUP(K353,RPM!$A$2:$D$62,4,FALSE)</f>
        <v>15.721323529411764</v>
      </c>
      <c r="P353" s="17">
        <f t="shared" si="57"/>
        <v>11.723390955882353</v>
      </c>
      <c r="Q353" s="16" cm="1">
        <f t="array" ref="Q353">_xlfn.XLOOKUP(O353,BSFC!$A$2:$A$24,_xlfn.XLOOKUP(K353,BSFC!$B$1:$O$1,BSFC!$B$2:$O$24,,-1),,-1)</f>
        <v>440</v>
      </c>
      <c r="R353" s="17">
        <f t="shared" si="58"/>
        <v>1.4328588946078433</v>
      </c>
      <c r="S353" s="16">
        <f t="shared" si="60"/>
        <v>2.6955348133305399E-4</v>
      </c>
      <c r="T353" s="17">
        <f t="shared" si="64"/>
        <v>0.11860353178654376</v>
      </c>
      <c r="U353" s="16">
        <f t="shared" si="65"/>
        <v>51.137958471888979</v>
      </c>
      <c r="V353" s="17">
        <f t="shared" si="66"/>
        <v>0.10578675304314185</v>
      </c>
      <c r="W353" s="16">
        <f t="shared" si="61"/>
        <v>380832.31095531065</v>
      </c>
      <c r="X353">
        <f>('Hybrid Info'!$A$2-Track!P353)*(L353-L352)*1000+X352</f>
        <v>-29376.39737192887</v>
      </c>
    </row>
    <row r="354" spans="1:24">
      <c r="A354" s="16">
        <f t="shared" si="62"/>
        <v>353</v>
      </c>
      <c r="B354" s="17">
        <f t="shared" si="63"/>
        <v>12.081081170387082</v>
      </c>
      <c r="C354" s="18">
        <f>Specification!$G$30</f>
        <v>109.96225200000001</v>
      </c>
      <c r="D354" s="17">
        <f>0.5*Specification!$K$4*Track!B354^2*Specification!$K$3*Specification!$K$2</f>
        <v>75.597088939043402</v>
      </c>
      <c r="E354" s="16">
        <v>0</v>
      </c>
      <c r="F354" s="17">
        <f>Specification!$C$23*9.81*SIN((E354*PI()/180))</f>
        <v>0</v>
      </c>
      <c r="G354" s="18">
        <f>IF(J354=1,VLOOKUP(K354,RPM!$E$2:$H$62,3,FALSE)-F354-E354-D354,IF(J354=2,VLOOKUP(K354,RPM!$H$2:$K$62,3,FALSE)-F354-E354-D354,IF(J354=3,VLOOKUP(K354,RPM!$K$2:$N$62,3,FALSE)-F354-E354-D354)))</f>
        <v>852.82752893960401</v>
      </c>
      <c r="H354" s="19">
        <f>IF(J354=1,Specification!$I$14,IF(J354=2,Specification!$I$15,IF(J354=3,Specification!$I$16)))</f>
        <v>582.50936296077191</v>
      </c>
      <c r="I354" s="16">
        <v>0</v>
      </c>
      <c r="J354" s="17">
        <v>2</v>
      </c>
      <c r="K354" s="16">
        <f>IF(J354=1,VLOOKUP(B354,RPM!$F$2:$H$62,3,TRUE),IF(J354=2,VLOOKUP(B354,RPM!$I$2:$K$62,3,TRUE),IF(J354=3,VLOOKUP(B354,RPM!$L$2:$N$62,3,TRUE))))</f>
        <v>6800</v>
      </c>
      <c r="L354" s="17">
        <f t="shared" si="59"/>
        <v>29.497784461397391</v>
      </c>
      <c r="M354" s="16">
        <f t="shared" si="56"/>
        <v>0</v>
      </c>
      <c r="N354" s="17">
        <f>VLOOKUP(K354,RPM!$A$2:$D$62,3,FALSE)</f>
        <v>15</v>
      </c>
      <c r="O354" s="16">
        <f>VLOOKUP(K354,RPM!$A$2:$D$62,4,FALSE)</f>
        <v>15.721323529411764</v>
      </c>
      <c r="P354" s="17">
        <f t="shared" si="57"/>
        <v>11.723390955882353</v>
      </c>
      <c r="Q354" s="16" cm="1">
        <f t="array" ref="Q354">_xlfn.XLOOKUP(O354,BSFC!$A$2:$A$24,_xlfn.XLOOKUP(K354,BSFC!$B$1:$O$1,BSFC!$B$2:$O$24,,-1),,-1)</f>
        <v>440</v>
      </c>
      <c r="R354" s="17">
        <f t="shared" si="58"/>
        <v>1.4328588946078433</v>
      </c>
      <c r="S354" s="16">
        <f t="shared" si="60"/>
        <v>2.6955348133305399E-4</v>
      </c>
      <c r="T354" s="17">
        <f t="shared" si="64"/>
        <v>0.11860353178654376</v>
      </c>
      <c r="U354" s="16">
        <f t="shared" si="65"/>
        <v>51.256562003675519</v>
      </c>
      <c r="V354" s="17">
        <f t="shared" si="66"/>
        <v>0.1060563065244749</v>
      </c>
      <c r="W354" s="16">
        <f t="shared" si="61"/>
        <v>381802.70348810963</v>
      </c>
      <c r="X354">
        <f>('Hybrid Info'!$A$2-Track!P354)*(L354-L353)*1000+X353</f>
        <v>-29343.530806900235</v>
      </c>
    </row>
    <row r="355" spans="1:24">
      <c r="A355" s="16">
        <f t="shared" si="62"/>
        <v>354</v>
      </c>
      <c r="B355" s="17">
        <f t="shared" si="63"/>
        <v>12.081081170387082</v>
      </c>
      <c r="C355" s="18">
        <f>Specification!$G$30</f>
        <v>109.96225200000001</v>
      </c>
      <c r="D355" s="17">
        <f>0.5*Specification!$K$4*Track!B355^2*Specification!$K$3*Specification!$K$2</f>
        <v>75.597088939043402</v>
      </c>
      <c r="E355" s="16">
        <v>0</v>
      </c>
      <c r="F355" s="17">
        <f>Specification!$C$23*9.81*SIN((E355*PI()/180))</f>
        <v>0</v>
      </c>
      <c r="G355" s="18">
        <f>IF(J355=1,VLOOKUP(K355,RPM!$E$2:$H$62,3,FALSE)-F355-E355-D355,IF(J355=2,VLOOKUP(K355,RPM!$H$2:$K$62,3,FALSE)-F355-E355-D355,IF(J355=3,VLOOKUP(K355,RPM!$K$2:$N$62,3,FALSE)-F355-E355-D355)))</f>
        <v>852.82752893960401</v>
      </c>
      <c r="H355" s="19">
        <f>IF(J355=1,Specification!$I$14,IF(J355=2,Specification!$I$15,IF(J355=3,Specification!$I$16)))</f>
        <v>582.50936296077191</v>
      </c>
      <c r="I355" s="16">
        <v>0</v>
      </c>
      <c r="J355" s="17">
        <v>2</v>
      </c>
      <c r="K355" s="16">
        <f>IF(J355=1,VLOOKUP(B355,RPM!$F$2:$H$62,3,TRUE),IF(J355=2,VLOOKUP(B355,RPM!$I$2:$K$62,3,TRUE),IF(J355=3,VLOOKUP(B355,RPM!$L$2:$N$62,3,TRUE))))</f>
        <v>6800</v>
      </c>
      <c r="L355" s="17">
        <f t="shared" si="59"/>
        <v>29.580558510002508</v>
      </c>
      <c r="M355" s="16">
        <f t="shared" si="56"/>
        <v>0</v>
      </c>
      <c r="N355" s="17">
        <f>VLOOKUP(K355,RPM!$A$2:$D$62,3,FALSE)</f>
        <v>15</v>
      </c>
      <c r="O355" s="16">
        <f>VLOOKUP(K355,RPM!$A$2:$D$62,4,FALSE)</f>
        <v>15.721323529411764</v>
      </c>
      <c r="P355" s="17">
        <f t="shared" si="57"/>
        <v>11.723390955882353</v>
      </c>
      <c r="Q355" s="16" cm="1">
        <f t="array" ref="Q355">_xlfn.XLOOKUP(O355,BSFC!$A$2:$A$24,_xlfn.XLOOKUP(K355,BSFC!$B$1:$O$1,BSFC!$B$2:$O$24,,-1),,-1)</f>
        <v>440</v>
      </c>
      <c r="R355" s="17">
        <f t="shared" si="58"/>
        <v>1.4328588946078433</v>
      </c>
      <c r="S355" s="16">
        <f t="shared" si="60"/>
        <v>2.6955348133305399E-4</v>
      </c>
      <c r="T355" s="17">
        <f t="shared" si="64"/>
        <v>0.11860353178654376</v>
      </c>
      <c r="U355" s="16">
        <f t="shared" si="65"/>
        <v>51.37516553546206</v>
      </c>
      <c r="V355" s="17">
        <f t="shared" si="66"/>
        <v>0.10632586000580795</v>
      </c>
      <c r="W355" s="16">
        <f t="shared" si="61"/>
        <v>382773.09602090856</v>
      </c>
      <c r="X355">
        <f>('Hybrid Info'!$A$2-Track!P355)*(L355-L354)*1000+X354</f>
        <v>-29310.6642418716</v>
      </c>
    </row>
    <row r="356" spans="1:24">
      <c r="A356" s="16">
        <f t="shared" si="62"/>
        <v>355</v>
      </c>
      <c r="B356" s="17">
        <f t="shared" si="63"/>
        <v>12.081081170387082</v>
      </c>
      <c r="C356" s="18">
        <f>Specification!$G$30</f>
        <v>109.96225200000001</v>
      </c>
      <c r="D356" s="17">
        <f>0.5*Specification!$K$4*Track!B356^2*Specification!$K$3*Specification!$K$2</f>
        <v>75.597088939043402</v>
      </c>
      <c r="E356" s="16">
        <v>0</v>
      </c>
      <c r="F356" s="17">
        <f>Specification!$C$23*9.81*SIN((E356*PI()/180))</f>
        <v>0</v>
      </c>
      <c r="G356" s="18">
        <f>IF(J356=1,VLOOKUP(K356,RPM!$E$2:$H$62,3,FALSE)-F356-E356-D356,IF(J356=2,VLOOKUP(K356,RPM!$H$2:$K$62,3,FALSE)-F356-E356-D356,IF(J356=3,VLOOKUP(K356,RPM!$K$2:$N$62,3,FALSE)-F356-E356-D356)))</f>
        <v>852.82752893960401</v>
      </c>
      <c r="H356" s="19">
        <f>IF(J356=1,Specification!$I$14,IF(J356=2,Specification!$I$15,IF(J356=3,Specification!$I$16)))</f>
        <v>582.50936296077191</v>
      </c>
      <c r="I356" s="16">
        <v>0</v>
      </c>
      <c r="J356" s="17">
        <v>2</v>
      </c>
      <c r="K356" s="16">
        <f>IF(J356=1,VLOOKUP(B356,RPM!$F$2:$H$62,3,TRUE),IF(J356=2,VLOOKUP(B356,RPM!$I$2:$K$62,3,TRUE),IF(J356=3,VLOOKUP(B356,RPM!$L$2:$N$62,3,TRUE))))</f>
        <v>6800</v>
      </c>
      <c r="L356" s="17">
        <f t="shared" si="59"/>
        <v>29.663332558607625</v>
      </c>
      <c r="M356" s="16">
        <f t="shared" si="56"/>
        <v>0</v>
      </c>
      <c r="N356" s="17">
        <f>VLOOKUP(K356,RPM!$A$2:$D$62,3,FALSE)</f>
        <v>15</v>
      </c>
      <c r="O356" s="16">
        <f>VLOOKUP(K356,RPM!$A$2:$D$62,4,FALSE)</f>
        <v>15.721323529411764</v>
      </c>
      <c r="P356" s="17">
        <f t="shared" si="57"/>
        <v>11.723390955882353</v>
      </c>
      <c r="Q356" s="16" cm="1">
        <f t="array" ref="Q356">_xlfn.XLOOKUP(O356,BSFC!$A$2:$A$24,_xlfn.XLOOKUP(K356,BSFC!$B$1:$O$1,BSFC!$B$2:$O$24,,-1),,-1)</f>
        <v>440</v>
      </c>
      <c r="R356" s="17">
        <f t="shared" si="58"/>
        <v>1.4328588946078433</v>
      </c>
      <c r="S356" s="16">
        <f t="shared" si="60"/>
        <v>2.6955348133305399E-4</v>
      </c>
      <c r="T356" s="17">
        <f t="shared" si="64"/>
        <v>0.11860353178654376</v>
      </c>
      <c r="U356" s="16">
        <f t="shared" si="65"/>
        <v>51.4937690672486</v>
      </c>
      <c r="V356" s="17">
        <f t="shared" si="66"/>
        <v>0.10659541348714099</v>
      </c>
      <c r="W356" s="16">
        <f t="shared" si="61"/>
        <v>383743.48855370755</v>
      </c>
      <c r="X356">
        <f>('Hybrid Info'!$A$2-Track!P356)*(L356-L355)*1000+X355</f>
        <v>-29277.797676842965</v>
      </c>
    </row>
    <row r="357" spans="1:24">
      <c r="A357" s="16">
        <f t="shared" si="62"/>
        <v>356</v>
      </c>
      <c r="B357" s="17">
        <f t="shared" si="63"/>
        <v>12.081081170387082</v>
      </c>
      <c r="C357" s="18">
        <f>Specification!$G$30</f>
        <v>109.96225200000001</v>
      </c>
      <c r="D357" s="17">
        <f>0.5*Specification!$K$4*Track!B357^2*Specification!$K$3*Specification!$K$2</f>
        <v>75.597088939043402</v>
      </c>
      <c r="E357" s="16">
        <v>0</v>
      </c>
      <c r="F357" s="17">
        <f>Specification!$C$23*9.81*SIN((E357*PI()/180))</f>
        <v>0</v>
      </c>
      <c r="G357" s="18">
        <f>IF(J357=1,VLOOKUP(K357,RPM!$E$2:$H$62,3,FALSE)-F357-E357-D357,IF(J357=2,VLOOKUP(K357,RPM!$H$2:$K$62,3,FALSE)-F357-E357-D357,IF(J357=3,VLOOKUP(K357,RPM!$K$2:$N$62,3,FALSE)-F357-E357-D357)))</f>
        <v>852.82752893960401</v>
      </c>
      <c r="H357" s="19">
        <f>IF(J357=1,Specification!$I$14,IF(J357=2,Specification!$I$15,IF(J357=3,Specification!$I$16)))</f>
        <v>582.50936296077191</v>
      </c>
      <c r="I357" s="16">
        <v>0</v>
      </c>
      <c r="J357" s="17">
        <v>2</v>
      </c>
      <c r="K357" s="16">
        <f>IF(J357=1,VLOOKUP(B357,RPM!$F$2:$H$62,3,TRUE),IF(J357=2,VLOOKUP(B357,RPM!$I$2:$K$62,3,TRUE),IF(J357=3,VLOOKUP(B357,RPM!$L$2:$N$62,3,TRUE))))</f>
        <v>6800</v>
      </c>
      <c r="L357" s="17">
        <f t="shared" si="59"/>
        <v>29.746106607212742</v>
      </c>
      <c r="M357" s="16">
        <f t="shared" si="56"/>
        <v>0</v>
      </c>
      <c r="N357" s="17">
        <f>VLOOKUP(K357,RPM!$A$2:$D$62,3,FALSE)</f>
        <v>15</v>
      </c>
      <c r="O357" s="16">
        <f>VLOOKUP(K357,RPM!$A$2:$D$62,4,FALSE)</f>
        <v>15.721323529411764</v>
      </c>
      <c r="P357" s="17">
        <f t="shared" si="57"/>
        <v>11.723390955882353</v>
      </c>
      <c r="Q357" s="16" cm="1">
        <f t="array" ref="Q357">_xlfn.XLOOKUP(O357,BSFC!$A$2:$A$24,_xlfn.XLOOKUP(K357,BSFC!$B$1:$O$1,BSFC!$B$2:$O$24,,-1),,-1)</f>
        <v>440</v>
      </c>
      <c r="R357" s="17">
        <f t="shared" si="58"/>
        <v>1.4328588946078433</v>
      </c>
      <c r="S357" s="16">
        <f t="shared" si="60"/>
        <v>2.6955348133305399E-4</v>
      </c>
      <c r="T357" s="17">
        <f t="shared" si="64"/>
        <v>0.11860353178654376</v>
      </c>
      <c r="U357" s="16">
        <f t="shared" si="65"/>
        <v>51.61237259903514</v>
      </c>
      <c r="V357" s="17">
        <f t="shared" si="66"/>
        <v>0.10686496696847404</v>
      </c>
      <c r="W357" s="16">
        <f t="shared" si="61"/>
        <v>384713.88108650653</v>
      </c>
      <c r="X357">
        <f>('Hybrid Info'!$A$2-Track!P357)*(L357-L356)*1000+X356</f>
        <v>-29244.931111814331</v>
      </c>
    </row>
    <row r="358" spans="1:24">
      <c r="A358" s="16">
        <f t="shared" si="62"/>
        <v>357</v>
      </c>
      <c r="B358" s="17">
        <f t="shared" si="63"/>
        <v>12.081081170387082</v>
      </c>
      <c r="C358" s="18">
        <f>Specification!$G$30</f>
        <v>109.96225200000001</v>
      </c>
      <c r="D358" s="17">
        <f>0.5*Specification!$K$4*Track!B358^2*Specification!$K$3*Specification!$K$2</f>
        <v>75.597088939043402</v>
      </c>
      <c r="E358" s="16">
        <v>0</v>
      </c>
      <c r="F358" s="17">
        <f>Specification!$C$23*9.81*SIN((E358*PI()/180))</f>
        <v>0</v>
      </c>
      <c r="G358" s="18">
        <f>IF(J358=1,VLOOKUP(K358,RPM!$E$2:$H$62,3,FALSE)-F358-E358-D358,IF(J358=2,VLOOKUP(K358,RPM!$H$2:$K$62,3,FALSE)-F358-E358-D358,IF(J358=3,VLOOKUP(K358,RPM!$K$2:$N$62,3,FALSE)-F358-E358-D358)))</f>
        <v>852.82752893960401</v>
      </c>
      <c r="H358" s="19">
        <f>IF(J358=1,Specification!$I$14,IF(J358=2,Specification!$I$15,IF(J358=3,Specification!$I$16)))</f>
        <v>582.50936296077191</v>
      </c>
      <c r="I358" s="16">
        <v>0</v>
      </c>
      <c r="J358" s="17">
        <v>2</v>
      </c>
      <c r="K358" s="16">
        <f>IF(J358=1,VLOOKUP(B358,RPM!$F$2:$H$62,3,TRUE),IF(J358=2,VLOOKUP(B358,RPM!$I$2:$K$62,3,TRUE),IF(J358=3,VLOOKUP(B358,RPM!$L$2:$N$62,3,TRUE))))</f>
        <v>6800</v>
      </c>
      <c r="L358" s="17">
        <f t="shared" si="59"/>
        <v>29.828880655817859</v>
      </c>
      <c r="M358" s="16">
        <f t="shared" si="56"/>
        <v>0</v>
      </c>
      <c r="N358" s="17">
        <f>VLOOKUP(K358,RPM!$A$2:$D$62,3,FALSE)</f>
        <v>15</v>
      </c>
      <c r="O358" s="16">
        <f>VLOOKUP(K358,RPM!$A$2:$D$62,4,FALSE)</f>
        <v>15.721323529411764</v>
      </c>
      <c r="P358" s="17">
        <f t="shared" si="57"/>
        <v>11.723390955882353</v>
      </c>
      <c r="Q358" s="16" cm="1">
        <f t="array" ref="Q358">_xlfn.XLOOKUP(O358,BSFC!$A$2:$A$24,_xlfn.XLOOKUP(K358,BSFC!$B$1:$O$1,BSFC!$B$2:$O$24,,-1),,-1)</f>
        <v>440</v>
      </c>
      <c r="R358" s="17">
        <f t="shared" si="58"/>
        <v>1.4328588946078433</v>
      </c>
      <c r="S358" s="16">
        <f t="shared" si="60"/>
        <v>2.6955348133305399E-4</v>
      </c>
      <c r="T358" s="17">
        <f t="shared" si="64"/>
        <v>0.11860353178654376</v>
      </c>
      <c r="U358" s="16">
        <f t="shared" si="65"/>
        <v>51.730976130821681</v>
      </c>
      <c r="V358" s="17">
        <f t="shared" si="66"/>
        <v>0.10713452044980709</v>
      </c>
      <c r="W358" s="16">
        <f t="shared" si="61"/>
        <v>385684.27361930558</v>
      </c>
      <c r="X358">
        <f>('Hybrid Info'!$A$2-Track!P358)*(L358-L357)*1000+X357</f>
        <v>-29212.064546785696</v>
      </c>
    </row>
    <row r="359" spans="1:24">
      <c r="A359" s="16">
        <f t="shared" si="62"/>
        <v>358</v>
      </c>
      <c r="B359" s="17">
        <f t="shared" si="63"/>
        <v>12.081081170387082</v>
      </c>
      <c r="C359" s="18">
        <f>Specification!$G$30</f>
        <v>109.96225200000001</v>
      </c>
      <c r="D359" s="17">
        <f>0.5*Specification!$K$4*Track!B359^2*Specification!$K$3*Specification!$K$2</f>
        <v>75.597088939043402</v>
      </c>
      <c r="E359" s="16">
        <v>0</v>
      </c>
      <c r="F359" s="17">
        <f>Specification!$C$23*9.81*SIN((E359*PI()/180))</f>
        <v>0</v>
      </c>
      <c r="G359" s="18">
        <f>IF(J359=1,VLOOKUP(K359,RPM!$E$2:$H$62,3,FALSE)-F359-E359-D359,IF(J359=2,VLOOKUP(K359,RPM!$H$2:$K$62,3,FALSE)-F359-E359-D359,IF(J359=3,VLOOKUP(K359,RPM!$K$2:$N$62,3,FALSE)-F359-E359-D359)))</f>
        <v>852.82752893960401</v>
      </c>
      <c r="H359" s="19">
        <f>IF(J359=1,Specification!$I$14,IF(J359=2,Specification!$I$15,IF(J359=3,Specification!$I$16)))</f>
        <v>582.50936296077191</v>
      </c>
      <c r="I359" s="16">
        <v>0</v>
      </c>
      <c r="J359" s="17">
        <v>2</v>
      </c>
      <c r="K359" s="16">
        <f>IF(J359=1,VLOOKUP(B359,RPM!$F$2:$H$62,3,TRUE),IF(J359=2,VLOOKUP(B359,RPM!$I$2:$K$62,3,TRUE),IF(J359=3,VLOOKUP(B359,RPM!$L$2:$N$62,3,TRUE))))</f>
        <v>6800</v>
      </c>
      <c r="L359" s="17">
        <f t="shared" si="59"/>
        <v>29.911654704422975</v>
      </c>
      <c r="M359" s="16">
        <f t="shared" si="56"/>
        <v>0</v>
      </c>
      <c r="N359" s="17">
        <f>VLOOKUP(K359,RPM!$A$2:$D$62,3,FALSE)</f>
        <v>15</v>
      </c>
      <c r="O359" s="16">
        <f>VLOOKUP(K359,RPM!$A$2:$D$62,4,FALSE)</f>
        <v>15.721323529411764</v>
      </c>
      <c r="P359" s="17">
        <f t="shared" si="57"/>
        <v>11.723390955882353</v>
      </c>
      <c r="Q359" s="16" cm="1">
        <f t="array" ref="Q359">_xlfn.XLOOKUP(O359,BSFC!$A$2:$A$24,_xlfn.XLOOKUP(K359,BSFC!$B$1:$O$1,BSFC!$B$2:$O$24,,-1),,-1)</f>
        <v>440</v>
      </c>
      <c r="R359" s="17">
        <f t="shared" si="58"/>
        <v>1.4328588946078433</v>
      </c>
      <c r="S359" s="16">
        <f t="shared" si="60"/>
        <v>2.6955348133305399E-4</v>
      </c>
      <c r="T359" s="17">
        <f t="shared" si="64"/>
        <v>0.11860353178654376</v>
      </c>
      <c r="U359" s="16">
        <f t="shared" si="65"/>
        <v>51.849579662608221</v>
      </c>
      <c r="V359" s="17">
        <f t="shared" si="66"/>
        <v>0.10740407393114014</v>
      </c>
      <c r="W359" s="16">
        <f t="shared" si="61"/>
        <v>386654.6661521045</v>
      </c>
      <c r="X359">
        <f>('Hybrid Info'!$A$2-Track!P359)*(L359-L358)*1000+X358</f>
        <v>-29179.197981757061</v>
      </c>
    </row>
    <row r="360" spans="1:24">
      <c r="A360" s="16">
        <f t="shared" si="62"/>
        <v>359</v>
      </c>
      <c r="B360" s="17">
        <f t="shared" si="63"/>
        <v>12.081081170387082</v>
      </c>
      <c r="C360" s="18">
        <f>Specification!$G$30</f>
        <v>109.96225200000001</v>
      </c>
      <c r="D360" s="17">
        <f>0.5*Specification!$K$4*Track!B360^2*Specification!$K$3*Specification!$K$2</f>
        <v>75.597088939043402</v>
      </c>
      <c r="E360" s="16">
        <v>0</v>
      </c>
      <c r="F360" s="17">
        <f>Specification!$C$23*9.81*SIN((E360*PI()/180))</f>
        <v>0</v>
      </c>
      <c r="G360" s="18">
        <f>IF(J360=1,VLOOKUP(K360,RPM!$E$2:$H$62,3,FALSE)-F360-E360-D360,IF(J360=2,VLOOKUP(K360,RPM!$H$2:$K$62,3,FALSE)-F360-E360-D360,IF(J360=3,VLOOKUP(K360,RPM!$K$2:$N$62,3,FALSE)-F360-E360-D360)))</f>
        <v>852.82752893960401</v>
      </c>
      <c r="H360" s="19">
        <f>IF(J360=1,Specification!$I$14,IF(J360=2,Specification!$I$15,IF(J360=3,Specification!$I$16)))</f>
        <v>582.50936296077191</v>
      </c>
      <c r="I360" s="16">
        <v>0</v>
      </c>
      <c r="J360" s="17">
        <v>2</v>
      </c>
      <c r="K360" s="16">
        <f>IF(J360=1,VLOOKUP(B360,RPM!$F$2:$H$62,3,TRUE),IF(J360=2,VLOOKUP(B360,RPM!$I$2:$K$62,3,TRUE),IF(J360=3,VLOOKUP(B360,RPM!$L$2:$N$62,3,TRUE))))</f>
        <v>6800</v>
      </c>
      <c r="L360" s="17">
        <f t="shared" si="59"/>
        <v>29.994428753028092</v>
      </c>
      <c r="M360" s="16">
        <f t="shared" si="56"/>
        <v>0</v>
      </c>
      <c r="N360" s="17">
        <f>VLOOKUP(K360,RPM!$A$2:$D$62,3,FALSE)</f>
        <v>15</v>
      </c>
      <c r="O360" s="16">
        <f>VLOOKUP(K360,RPM!$A$2:$D$62,4,FALSE)</f>
        <v>15.721323529411764</v>
      </c>
      <c r="P360" s="17">
        <f t="shared" si="57"/>
        <v>11.723390955882353</v>
      </c>
      <c r="Q360" s="16" cm="1">
        <f t="array" ref="Q360">_xlfn.XLOOKUP(O360,BSFC!$A$2:$A$24,_xlfn.XLOOKUP(K360,BSFC!$B$1:$O$1,BSFC!$B$2:$O$24,,-1),,-1)</f>
        <v>440</v>
      </c>
      <c r="R360" s="17">
        <f t="shared" si="58"/>
        <v>1.4328588946078433</v>
      </c>
      <c r="S360" s="16">
        <f t="shared" si="60"/>
        <v>2.6955348133305399E-4</v>
      </c>
      <c r="T360" s="17">
        <f t="shared" si="64"/>
        <v>0.11860353178654376</v>
      </c>
      <c r="U360" s="16">
        <f t="shared" si="65"/>
        <v>51.968183194394761</v>
      </c>
      <c r="V360" s="17">
        <f t="shared" si="66"/>
        <v>0.10767362741247319</v>
      </c>
      <c r="W360" s="16">
        <f t="shared" si="61"/>
        <v>387625.05868490349</v>
      </c>
      <c r="X360">
        <f>('Hybrid Info'!$A$2-Track!P360)*(L360-L359)*1000+X359</f>
        <v>-29146.331416728426</v>
      </c>
    </row>
    <row r="361" spans="1:24">
      <c r="A361" s="16">
        <f t="shared" si="62"/>
        <v>360</v>
      </c>
      <c r="B361" s="17">
        <f t="shared" si="63"/>
        <v>12.081081170387082</v>
      </c>
      <c r="C361" s="18">
        <f>Specification!$G$30</f>
        <v>109.96225200000001</v>
      </c>
      <c r="D361" s="17">
        <f>0.5*Specification!$K$4*Track!B361^2*Specification!$K$3*Specification!$K$2</f>
        <v>75.597088939043402</v>
      </c>
      <c r="E361" s="16">
        <v>0</v>
      </c>
      <c r="F361" s="17">
        <f>Specification!$C$23*9.81*SIN((E361*PI()/180))</f>
        <v>0</v>
      </c>
      <c r="G361" s="18">
        <f>IF(J361=1,VLOOKUP(K361,RPM!$E$2:$H$62,3,FALSE)-F361-E361-D361,IF(J361=2,VLOOKUP(K361,RPM!$H$2:$K$62,3,FALSE)-F361-E361-D361,IF(J361=3,VLOOKUP(K361,RPM!$K$2:$N$62,3,FALSE)-F361-E361-D361)))</f>
        <v>852.82752893960401</v>
      </c>
      <c r="H361" s="19">
        <f>IF(J361=1,Specification!$I$14,IF(J361=2,Specification!$I$15,IF(J361=3,Specification!$I$16)))</f>
        <v>582.50936296077191</v>
      </c>
      <c r="I361" s="16">
        <v>0</v>
      </c>
      <c r="J361" s="17">
        <v>2</v>
      </c>
      <c r="K361" s="16">
        <f>IF(J361=1,VLOOKUP(B361,RPM!$F$2:$H$62,3,TRUE),IF(J361=2,VLOOKUP(B361,RPM!$I$2:$K$62,3,TRUE),IF(J361=3,VLOOKUP(B361,RPM!$L$2:$N$62,3,TRUE))))</f>
        <v>6800</v>
      </c>
      <c r="L361" s="17">
        <f t="shared" si="59"/>
        <v>30.077202801633209</v>
      </c>
      <c r="M361" s="16">
        <f t="shared" si="56"/>
        <v>0</v>
      </c>
      <c r="N361" s="17">
        <f>VLOOKUP(K361,RPM!$A$2:$D$62,3,FALSE)</f>
        <v>15</v>
      </c>
      <c r="O361" s="16">
        <f>VLOOKUP(K361,RPM!$A$2:$D$62,4,FALSE)</f>
        <v>15.721323529411764</v>
      </c>
      <c r="P361" s="17">
        <f t="shared" si="57"/>
        <v>11.723390955882353</v>
      </c>
      <c r="Q361" s="16" cm="1">
        <f t="array" ref="Q361">_xlfn.XLOOKUP(O361,BSFC!$A$2:$A$24,_xlfn.XLOOKUP(K361,BSFC!$B$1:$O$1,BSFC!$B$2:$O$24,,-1),,-1)</f>
        <v>440</v>
      </c>
      <c r="R361" s="17">
        <f t="shared" si="58"/>
        <v>1.4328588946078433</v>
      </c>
      <c r="S361" s="16">
        <f t="shared" si="60"/>
        <v>2.6955348133305399E-4</v>
      </c>
      <c r="T361" s="17">
        <f t="shared" si="64"/>
        <v>0.11860353178654376</v>
      </c>
      <c r="U361" s="16">
        <f t="shared" si="65"/>
        <v>52.086786726181302</v>
      </c>
      <c r="V361" s="17">
        <f t="shared" si="66"/>
        <v>0.10794318089380624</v>
      </c>
      <c r="W361" s="16">
        <f t="shared" si="61"/>
        <v>388595.45121770247</v>
      </c>
      <c r="X361">
        <f>('Hybrid Info'!$A$2-Track!P361)*(L361-L360)*1000+X360</f>
        <v>-29113.464851699791</v>
      </c>
    </row>
    <row r="362" spans="1:24">
      <c r="A362" s="16">
        <f t="shared" si="62"/>
        <v>361</v>
      </c>
      <c r="B362" s="17">
        <f t="shared" si="63"/>
        <v>12.081081170387082</v>
      </c>
      <c r="C362" s="18">
        <f>Specification!$G$30</f>
        <v>109.96225200000001</v>
      </c>
      <c r="D362" s="17">
        <f>0.5*Specification!$K$4*Track!B362^2*Specification!$K$3*Specification!$K$2</f>
        <v>75.597088939043402</v>
      </c>
      <c r="E362" s="16">
        <v>0</v>
      </c>
      <c r="F362" s="17">
        <f>Specification!$C$23*9.81*SIN((E362*PI()/180))</f>
        <v>0</v>
      </c>
      <c r="G362" s="18">
        <f>IF(J362=1,VLOOKUP(K362,RPM!$E$2:$H$62,3,FALSE)-F362-E362-D362,IF(J362=2,VLOOKUP(K362,RPM!$H$2:$K$62,3,FALSE)-F362-E362-D362,IF(J362=3,VLOOKUP(K362,RPM!$K$2:$N$62,3,FALSE)-F362-E362-D362)))</f>
        <v>852.82752893960401</v>
      </c>
      <c r="H362" s="19">
        <f>IF(J362=1,Specification!$I$14,IF(J362=2,Specification!$I$15,IF(J362=3,Specification!$I$16)))</f>
        <v>582.50936296077191</v>
      </c>
      <c r="I362" s="16">
        <v>0</v>
      </c>
      <c r="J362" s="17">
        <v>2</v>
      </c>
      <c r="K362" s="16">
        <f>IF(J362=1,VLOOKUP(B362,RPM!$F$2:$H$62,3,TRUE),IF(J362=2,VLOOKUP(B362,RPM!$I$2:$K$62,3,TRUE),IF(J362=3,VLOOKUP(B362,RPM!$L$2:$N$62,3,TRUE))))</f>
        <v>6800</v>
      </c>
      <c r="L362" s="17">
        <f t="shared" si="59"/>
        <v>30.159976850238326</v>
      </c>
      <c r="M362" s="16">
        <f t="shared" si="56"/>
        <v>0</v>
      </c>
      <c r="N362" s="17">
        <f>VLOOKUP(K362,RPM!$A$2:$D$62,3,FALSE)</f>
        <v>15</v>
      </c>
      <c r="O362" s="16">
        <f>VLOOKUP(K362,RPM!$A$2:$D$62,4,FALSE)</f>
        <v>15.721323529411764</v>
      </c>
      <c r="P362" s="17">
        <f t="shared" si="57"/>
        <v>11.723390955882353</v>
      </c>
      <c r="Q362" s="16" cm="1">
        <f t="array" ref="Q362">_xlfn.XLOOKUP(O362,BSFC!$A$2:$A$24,_xlfn.XLOOKUP(K362,BSFC!$B$1:$O$1,BSFC!$B$2:$O$24,,-1),,-1)</f>
        <v>440</v>
      </c>
      <c r="R362" s="17">
        <f t="shared" si="58"/>
        <v>1.4328588946078433</v>
      </c>
      <c r="S362" s="16">
        <f t="shared" si="60"/>
        <v>2.6955348133305399E-4</v>
      </c>
      <c r="T362" s="17">
        <f t="shared" si="64"/>
        <v>0.11860353178654376</v>
      </c>
      <c r="U362" s="16">
        <f t="shared" si="65"/>
        <v>52.205390257967842</v>
      </c>
      <c r="V362" s="17">
        <f t="shared" si="66"/>
        <v>0.10821273437513929</v>
      </c>
      <c r="W362" s="16">
        <f t="shared" si="61"/>
        <v>389565.84375050146</v>
      </c>
      <c r="X362">
        <f>('Hybrid Info'!$A$2-Track!P362)*(L362-L361)*1000+X361</f>
        <v>-29080.598286671157</v>
      </c>
    </row>
    <row r="363" spans="1:24">
      <c r="A363" s="16">
        <f t="shared" si="62"/>
        <v>362</v>
      </c>
      <c r="B363" s="17">
        <f t="shared" si="63"/>
        <v>12.081081170387082</v>
      </c>
      <c r="C363" s="18">
        <f>Specification!$G$30</f>
        <v>109.96225200000001</v>
      </c>
      <c r="D363" s="17">
        <f>0.5*Specification!$K$4*Track!B363^2*Specification!$K$3*Specification!$K$2</f>
        <v>75.597088939043402</v>
      </c>
      <c r="E363" s="16">
        <v>0</v>
      </c>
      <c r="F363" s="17">
        <f>Specification!$C$23*9.81*SIN((E363*PI()/180))</f>
        <v>0</v>
      </c>
      <c r="G363" s="18">
        <f>IF(J363=1,VLOOKUP(K363,RPM!$E$2:$H$62,3,FALSE)-F363-E363-D363,IF(J363=2,VLOOKUP(K363,RPM!$H$2:$K$62,3,FALSE)-F363-E363-D363,IF(J363=3,VLOOKUP(K363,RPM!$K$2:$N$62,3,FALSE)-F363-E363-D363)))</f>
        <v>852.82752893960401</v>
      </c>
      <c r="H363" s="19">
        <f>IF(J363=1,Specification!$I$14,IF(J363=2,Specification!$I$15,IF(J363=3,Specification!$I$16)))</f>
        <v>582.50936296077191</v>
      </c>
      <c r="I363" s="16">
        <v>0</v>
      </c>
      <c r="J363" s="17">
        <v>2</v>
      </c>
      <c r="K363" s="16">
        <f>IF(J363=1,VLOOKUP(B363,RPM!$F$2:$H$62,3,TRUE),IF(J363=2,VLOOKUP(B363,RPM!$I$2:$K$62,3,TRUE),IF(J363=3,VLOOKUP(B363,RPM!$L$2:$N$62,3,TRUE))))</f>
        <v>6800</v>
      </c>
      <c r="L363" s="17">
        <f t="shared" si="59"/>
        <v>30.242750898843443</v>
      </c>
      <c r="M363" s="16">
        <f t="shared" si="56"/>
        <v>0</v>
      </c>
      <c r="N363" s="17">
        <f>VLOOKUP(K363,RPM!$A$2:$D$62,3,FALSE)</f>
        <v>15</v>
      </c>
      <c r="O363" s="16">
        <f>VLOOKUP(K363,RPM!$A$2:$D$62,4,FALSE)</f>
        <v>15.721323529411764</v>
      </c>
      <c r="P363" s="17">
        <f t="shared" si="57"/>
        <v>11.723390955882353</v>
      </c>
      <c r="Q363" s="16" cm="1">
        <f t="array" ref="Q363">_xlfn.XLOOKUP(O363,BSFC!$A$2:$A$24,_xlfn.XLOOKUP(K363,BSFC!$B$1:$O$1,BSFC!$B$2:$O$24,,-1),,-1)</f>
        <v>440</v>
      </c>
      <c r="R363" s="17">
        <f t="shared" si="58"/>
        <v>1.4328588946078433</v>
      </c>
      <c r="S363" s="16">
        <f t="shared" si="60"/>
        <v>2.6955348133305399E-4</v>
      </c>
      <c r="T363" s="17">
        <f t="shared" si="64"/>
        <v>0.11860353178654376</v>
      </c>
      <c r="U363" s="16">
        <f t="shared" si="65"/>
        <v>52.323993789754383</v>
      </c>
      <c r="V363" s="17">
        <f t="shared" si="66"/>
        <v>0.10848228785647233</v>
      </c>
      <c r="W363" s="16">
        <f t="shared" si="61"/>
        <v>390536.23628330044</v>
      </c>
      <c r="X363">
        <f>('Hybrid Info'!$A$2-Track!P363)*(L363-L362)*1000+X362</f>
        <v>-29047.731721642522</v>
      </c>
    </row>
    <row r="364" spans="1:24">
      <c r="A364" s="16">
        <f t="shared" si="62"/>
        <v>363</v>
      </c>
      <c r="B364" s="17">
        <f t="shared" si="63"/>
        <v>12.081081170387082</v>
      </c>
      <c r="C364" s="18">
        <f>Specification!$G$30</f>
        <v>109.96225200000001</v>
      </c>
      <c r="D364" s="17">
        <f>0.5*Specification!$K$4*Track!B364^2*Specification!$K$3*Specification!$K$2</f>
        <v>75.597088939043402</v>
      </c>
      <c r="E364" s="16">
        <v>0</v>
      </c>
      <c r="F364" s="17">
        <f>Specification!$C$23*9.81*SIN((E364*PI()/180))</f>
        <v>0</v>
      </c>
      <c r="G364" s="18">
        <f>IF(J364=1,VLOOKUP(K364,RPM!$E$2:$H$62,3,FALSE)-F364-E364-D364,IF(J364=2,VLOOKUP(K364,RPM!$H$2:$K$62,3,FALSE)-F364-E364-D364,IF(J364=3,VLOOKUP(K364,RPM!$K$2:$N$62,3,FALSE)-F364-E364-D364)))</f>
        <v>852.82752893960401</v>
      </c>
      <c r="H364" s="19">
        <f>IF(J364=1,Specification!$I$14,IF(J364=2,Specification!$I$15,IF(J364=3,Specification!$I$16)))</f>
        <v>582.50936296077191</v>
      </c>
      <c r="I364" s="16">
        <v>0</v>
      </c>
      <c r="J364" s="17">
        <v>2</v>
      </c>
      <c r="K364" s="16">
        <f>IF(J364=1,VLOOKUP(B364,RPM!$F$2:$H$62,3,TRUE),IF(J364=2,VLOOKUP(B364,RPM!$I$2:$K$62,3,TRUE),IF(J364=3,VLOOKUP(B364,RPM!$L$2:$N$62,3,TRUE))))</f>
        <v>6800</v>
      </c>
      <c r="L364" s="17">
        <f t="shared" si="59"/>
        <v>30.32552494744856</v>
      </c>
      <c r="M364" s="16">
        <f t="shared" si="56"/>
        <v>0</v>
      </c>
      <c r="N364" s="17">
        <f>VLOOKUP(K364,RPM!$A$2:$D$62,3,FALSE)</f>
        <v>15</v>
      </c>
      <c r="O364" s="16">
        <f>VLOOKUP(K364,RPM!$A$2:$D$62,4,FALSE)</f>
        <v>15.721323529411764</v>
      </c>
      <c r="P364" s="17">
        <f t="shared" si="57"/>
        <v>11.723390955882353</v>
      </c>
      <c r="Q364" s="16" cm="1">
        <f t="array" ref="Q364">_xlfn.XLOOKUP(O364,BSFC!$A$2:$A$24,_xlfn.XLOOKUP(K364,BSFC!$B$1:$O$1,BSFC!$B$2:$O$24,,-1),,-1)</f>
        <v>440</v>
      </c>
      <c r="R364" s="17">
        <f t="shared" si="58"/>
        <v>1.4328588946078433</v>
      </c>
      <c r="S364" s="16">
        <f t="shared" si="60"/>
        <v>2.6955348133305399E-4</v>
      </c>
      <c r="T364" s="17">
        <f t="shared" si="64"/>
        <v>0.11860353178654376</v>
      </c>
      <c r="U364" s="16">
        <f t="shared" si="65"/>
        <v>52.442597321540923</v>
      </c>
      <c r="V364" s="17">
        <f t="shared" si="66"/>
        <v>0.10875184133780538</v>
      </c>
      <c r="W364" s="16">
        <f t="shared" si="61"/>
        <v>391506.62881609937</v>
      </c>
      <c r="X364">
        <f>('Hybrid Info'!$A$2-Track!P364)*(L364-L363)*1000+X363</f>
        <v>-29014.865156613887</v>
      </c>
    </row>
    <row r="365" spans="1:24">
      <c r="A365" s="16">
        <f t="shared" si="62"/>
        <v>364</v>
      </c>
      <c r="B365" s="17">
        <f t="shared" si="63"/>
        <v>12.081081170387082</v>
      </c>
      <c r="C365" s="18">
        <f>Specification!$G$30</f>
        <v>109.96225200000001</v>
      </c>
      <c r="D365" s="17">
        <f>0.5*Specification!$K$4*Track!B365^2*Specification!$K$3*Specification!$K$2</f>
        <v>75.597088939043402</v>
      </c>
      <c r="E365" s="16">
        <v>0</v>
      </c>
      <c r="F365" s="17">
        <f>Specification!$C$23*9.81*SIN((E365*PI()/180))</f>
        <v>0</v>
      </c>
      <c r="G365" s="18">
        <f>IF(J365=1,VLOOKUP(K365,RPM!$E$2:$H$62,3,FALSE)-F365-E365-D365,IF(J365=2,VLOOKUP(K365,RPM!$H$2:$K$62,3,FALSE)-F365-E365-D365,IF(J365=3,VLOOKUP(K365,RPM!$K$2:$N$62,3,FALSE)-F365-E365-D365)))</f>
        <v>852.82752893960401</v>
      </c>
      <c r="H365" s="19">
        <f>IF(J365=1,Specification!$I$14,IF(J365=2,Specification!$I$15,IF(J365=3,Specification!$I$16)))</f>
        <v>582.50936296077191</v>
      </c>
      <c r="I365" s="16">
        <v>0</v>
      </c>
      <c r="J365" s="17">
        <v>2</v>
      </c>
      <c r="K365" s="16">
        <f>IF(J365=1,VLOOKUP(B365,RPM!$F$2:$H$62,3,TRUE),IF(J365=2,VLOOKUP(B365,RPM!$I$2:$K$62,3,TRUE),IF(J365=3,VLOOKUP(B365,RPM!$L$2:$N$62,3,TRUE))))</f>
        <v>6800</v>
      </c>
      <c r="L365" s="17">
        <f t="shared" si="59"/>
        <v>30.408298996053677</v>
      </c>
      <c r="M365" s="16">
        <f t="shared" si="56"/>
        <v>0</v>
      </c>
      <c r="N365" s="17">
        <f>VLOOKUP(K365,RPM!$A$2:$D$62,3,FALSE)</f>
        <v>15</v>
      </c>
      <c r="O365" s="16">
        <f>VLOOKUP(K365,RPM!$A$2:$D$62,4,FALSE)</f>
        <v>15.721323529411764</v>
      </c>
      <c r="P365" s="17">
        <f t="shared" si="57"/>
        <v>11.723390955882353</v>
      </c>
      <c r="Q365" s="16" cm="1">
        <f t="array" ref="Q365">_xlfn.XLOOKUP(O365,BSFC!$A$2:$A$24,_xlfn.XLOOKUP(K365,BSFC!$B$1:$O$1,BSFC!$B$2:$O$24,,-1),,-1)</f>
        <v>440</v>
      </c>
      <c r="R365" s="17">
        <f t="shared" si="58"/>
        <v>1.4328588946078433</v>
      </c>
      <c r="S365" s="16">
        <f t="shared" si="60"/>
        <v>2.6955348133305399E-4</v>
      </c>
      <c r="T365" s="17">
        <f t="shared" si="64"/>
        <v>0.11860353178654376</v>
      </c>
      <c r="U365" s="16">
        <f t="shared" si="65"/>
        <v>52.561200853327463</v>
      </c>
      <c r="V365" s="17">
        <f t="shared" si="66"/>
        <v>0.10902139481913843</v>
      </c>
      <c r="W365" s="16">
        <f t="shared" si="61"/>
        <v>392477.02134889836</v>
      </c>
      <c r="X365">
        <f>('Hybrid Info'!$A$2-Track!P365)*(L365-L364)*1000+X364</f>
        <v>-28981.998591585252</v>
      </c>
    </row>
    <row r="366" spans="1:24">
      <c r="A366" s="16">
        <f t="shared" si="62"/>
        <v>365</v>
      </c>
      <c r="B366" s="17">
        <f t="shared" si="63"/>
        <v>12.081081170387082</v>
      </c>
      <c r="C366" s="18">
        <f>Specification!$G$30</f>
        <v>109.96225200000001</v>
      </c>
      <c r="D366" s="17">
        <f>0.5*Specification!$K$4*Track!B366^2*Specification!$K$3*Specification!$K$2</f>
        <v>75.597088939043402</v>
      </c>
      <c r="E366" s="16">
        <v>0</v>
      </c>
      <c r="F366" s="17">
        <f>Specification!$C$23*9.81*SIN((E366*PI()/180))</f>
        <v>0</v>
      </c>
      <c r="G366" s="18">
        <f>IF(J366=1,VLOOKUP(K366,RPM!$E$2:$H$62,3,FALSE)-F366-E366-D366,IF(J366=2,VLOOKUP(K366,RPM!$H$2:$K$62,3,FALSE)-F366-E366-D366,IF(J366=3,VLOOKUP(K366,RPM!$K$2:$N$62,3,FALSE)-F366-E366-D366)))</f>
        <v>852.82752893960401</v>
      </c>
      <c r="H366" s="19">
        <f>IF(J366=1,Specification!$I$14,IF(J366=2,Specification!$I$15,IF(J366=3,Specification!$I$16)))</f>
        <v>582.50936296077191</v>
      </c>
      <c r="I366" s="16">
        <v>0</v>
      </c>
      <c r="J366" s="17">
        <v>2</v>
      </c>
      <c r="K366" s="16">
        <f>IF(J366=1,VLOOKUP(B366,RPM!$F$2:$H$62,3,TRUE),IF(J366=2,VLOOKUP(B366,RPM!$I$2:$K$62,3,TRUE),IF(J366=3,VLOOKUP(B366,RPM!$L$2:$N$62,3,TRUE))))</f>
        <v>6800</v>
      </c>
      <c r="L366" s="17">
        <f t="shared" si="59"/>
        <v>30.491073044658794</v>
      </c>
      <c r="M366" s="16">
        <f t="shared" si="56"/>
        <v>0</v>
      </c>
      <c r="N366" s="17">
        <f>VLOOKUP(K366,RPM!$A$2:$D$62,3,FALSE)</f>
        <v>15</v>
      </c>
      <c r="O366" s="16">
        <f>VLOOKUP(K366,RPM!$A$2:$D$62,4,FALSE)</f>
        <v>15.721323529411764</v>
      </c>
      <c r="P366" s="17">
        <f t="shared" si="57"/>
        <v>11.723390955882353</v>
      </c>
      <c r="Q366" s="16" cm="1">
        <f t="array" ref="Q366">_xlfn.XLOOKUP(O366,BSFC!$A$2:$A$24,_xlfn.XLOOKUP(K366,BSFC!$B$1:$O$1,BSFC!$B$2:$O$24,,-1),,-1)</f>
        <v>440</v>
      </c>
      <c r="R366" s="17">
        <f t="shared" si="58"/>
        <v>1.4328588946078433</v>
      </c>
      <c r="S366" s="16">
        <f t="shared" si="60"/>
        <v>2.6955348133305399E-4</v>
      </c>
      <c r="T366" s="17">
        <f t="shared" si="64"/>
        <v>0.11860353178654376</v>
      </c>
      <c r="U366" s="16">
        <f t="shared" si="65"/>
        <v>52.679804385114004</v>
      </c>
      <c r="V366" s="17">
        <f t="shared" si="66"/>
        <v>0.10929094830047148</v>
      </c>
      <c r="W366" s="16">
        <f t="shared" si="61"/>
        <v>393447.41388169734</v>
      </c>
      <c r="X366">
        <f>('Hybrid Info'!$A$2-Track!P366)*(L366-L365)*1000+X365</f>
        <v>-28949.132026556617</v>
      </c>
    </row>
    <row r="367" spans="1:24">
      <c r="A367" s="16">
        <f t="shared" si="62"/>
        <v>366</v>
      </c>
      <c r="B367" s="17">
        <f t="shared" si="63"/>
        <v>12.081081170387082</v>
      </c>
      <c r="C367" s="18">
        <f>Specification!$G$30</f>
        <v>109.96225200000001</v>
      </c>
      <c r="D367" s="17">
        <f>0.5*Specification!$K$4*Track!B367^2*Specification!$K$3*Specification!$K$2</f>
        <v>75.597088939043402</v>
      </c>
      <c r="E367" s="16">
        <v>0</v>
      </c>
      <c r="F367" s="17">
        <f>Specification!$C$23*9.81*SIN((E367*PI()/180))</f>
        <v>0</v>
      </c>
      <c r="G367" s="18">
        <f>IF(J367=1,VLOOKUP(K367,RPM!$E$2:$H$62,3,FALSE)-F367-E367-D367,IF(J367=2,VLOOKUP(K367,RPM!$H$2:$K$62,3,FALSE)-F367-E367-D367,IF(J367=3,VLOOKUP(K367,RPM!$K$2:$N$62,3,FALSE)-F367-E367-D367)))</f>
        <v>852.82752893960401</v>
      </c>
      <c r="H367" s="19">
        <f>IF(J367=1,Specification!$I$14,IF(J367=2,Specification!$I$15,IF(J367=3,Specification!$I$16)))</f>
        <v>582.50936296077191</v>
      </c>
      <c r="I367" s="16">
        <v>0</v>
      </c>
      <c r="J367" s="17">
        <v>2</v>
      </c>
      <c r="K367" s="16">
        <f>IF(J367=1,VLOOKUP(B367,RPM!$F$2:$H$62,3,TRUE),IF(J367=2,VLOOKUP(B367,RPM!$I$2:$K$62,3,TRUE),IF(J367=3,VLOOKUP(B367,RPM!$L$2:$N$62,3,TRUE))))</f>
        <v>6800</v>
      </c>
      <c r="L367" s="17">
        <f t="shared" si="59"/>
        <v>30.573847093263911</v>
      </c>
      <c r="M367" s="16">
        <f t="shared" si="56"/>
        <v>0</v>
      </c>
      <c r="N367" s="17">
        <f>VLOOKUP(K367,RPM!$A$2:$D$62,3,FALSE)</f>
        <v>15</v>
      </c>
      <c r="O367" s="16">
        <f>VLOOKUP(K367,RPM!$A$2:$D$62,4,FALSE)</f>
        <v>15.721323529411764</v>
      </c>
      <c r="P367" s="17">
        <f t="shared" si="57"/>
        <v>11.723390955882353</v>
      </c>
      <c r="Q367" s="16" cm="1">
        <f t="array" ref="Q367">_xlfn.XLOOKUP(O367,BSFC!$A$2:$A$24,_xlfn.XLOOKUP(K367,BSFC!$B$1:$O$1,BSFC!$B$2:$O$24,,-1),,-1)</f>
        <v>440</v>
      </c>
      <c r="R367" s="17">
        <f t="shared" si="58"/>
        <v>1.4328588946078433</v>
      </c>
      <c r="S367" s="16">
        <f t="shared" si="60"/>
        <v>2.6955348133305399E-4</v>
      </c>
      <c r="T367" s="17">
        <f t="shared" si="64"/>
        <v>0.11860353178654376</v>
      </c>
      <c r="U367" s="16">
        <f t="shared" si="65"/>
        <v>52.798407916900544</v>
      </c>
      <c r="V367" s="17">
        <f t="shared" si="66"/>
        <v>0.10956050178180453</v>
      </c>
      <c r="W367" s="16">
        <f t="shared" si="61"/>
        <v>394417.80641449633</v>
      </c>
      <c r="X367">
        <f>('Hybrid Info'!$A$2-Track!P367)*(L367-L366)*1000+X366</f>
        <v>-28916.265461527983</v>
      </c>
    </row>
    <row r="368" spans="1:24">
      <c r="A368" s="16">
        <f t="shared" si="62"/>
        <v>367</v>
      </c>
      <c r="B368" s="17">
        <f t="shared" si="63"/>
        <v>12.081081170387082</v>
      </c>
      <c r="C368" s="18">
        <f>Specification!$G$30</f>
        <v>109.96225200000001</v>
      </c>
      <c r="D368" s="17">
        <f>0.5*Specification!$K$4*Track!B368^2*Specification!$K$3*Specification!$K$2</f>
        <v>75.597088939043402</v>
      </c>
      <c r="E368" s="16">
        <v>0</v>
      </c>
      <c r="F368" s="17">
        <f>Specification!$C$23*9.81*SIN((E368*PI()/180))</f>
        <v>0</v>
      </c>
      <c r="G368" s="18">
        <f>IF(J368=1,VLOOKUP(K368,RPM!$E$2:$H$62,3,FALSE)-F368-E368-D368,IF(J368=2,VLOOKUP(K368,RPM!$H$2:$K$62,3,FALSE)-F368-E368-D368,IF(J368=3,VLOOKUP(K368,RPM!$K$2:$N$62,3,FALSE)-F368-E368-D368)))</f>
        <v>852.82752893960401</v>
      </c>
      <c r="H368" s="19">
        <f>IF(J368=1,Specification!$I$14,IF(J368=2,Specification!$I$15,IF(J368=3,Specification!$I$16)))</f>
        <v>582.50936296077191</v>
      </c>
      <c r="I368" s="16">
        <v>0</v>
      </c>
      <c r="J368" s="17">
        <v>2</v>
      </c>
      <c r="K368" s="16">
        <f>IF(J368=1,VLOOKUP(B368,RPM!$F$2:$H$62,3,TRUE),IF(J368=2,VLOOKUP(B368,RPM!$I$2:$K$62,3,TRUE),IF(J368=3,VLOOKUP(B368,RPM!$L$2:$N$62,3,TRUE))))</f>
        <v>6800</v>
      </c>
      <c r="L368" s="17">
        <f t="shared" si="59"/>
        <v>30.656621141869028</v>
      </c>
      <c r="M368" s="16">
        <f t="shared" si="56"/>
        <v>0</v>
      </c>
      <c r="N368" s="17">
        <f>VLOOKUP(K368,RPM!$A$2:$D$62,3,FALSE)</f>
        <v>15</v>
      </c>
      <c r="O368" s="16">
        <f>VLOOKUP(K368,RPM!$A$2:$D$62,4,FALSE)</f>
        <v>15.721323529411764</v>
      </c>
      <c r="P368" s="17">
        <f t="shared" si="57"/>
        <v>11.723390955882353</v>
      </c>
      <c r="Q368" s="16" cm="1">
        <f t="array" ref="Q368">_xlfn.XLOOKUP(O368,BSFC!$A$2:$A$24,_xlfn.XLOOKUP(K368,BSFC!$B$1:$O$1,BSFC!$B$2:$O$24,,-1),,-1)</f>
        <v>440</v>
      </c>
      <c r="R368" s="17">
        <f t="shared" si="58"/>
        <v>1.4328588946078433</v>
      </c>
      <c r="S368" s="16">
        <f t="shared" si="60"/>
        <v>2.6955348133305399E-4</v>
      </c>
      <c r="T368" s="17">
        <f t="shared" si="64"/>
        <v>0.11860353178654376</v>
      </c>
      <c r="U368" s="16">
        <f t="shared" si="65"/>
        <v>52.917011448687084</v>
      </c>
      <c r="V368" s="17">
        <f t="shared" si="66"/>
        <v>0.10983005526313758</v>
      </c>
      <c r="W368" s="16">
        <f t="shared" si="61"/>
        <v>395388.19894729531</v>
      </c>
      <c r="X368">
        <f>('Hybrid Info'!$A$2-Track!P368)*(L368-L367)*1000+X367</f>
        <v>-28883.398896499348</v>
      </c>
    </row>
    <row r="369" spans="1:24">
      <c r="A369" s="16">
        <f t="shared" si="62"/>
        <v>368</v>
      </c>
      <c r="B369" s="17">
        <f t="shared" si="63"/>
        <v>12.081081170387082</v>
      </c>
      <c r="C369" s="18">
        <f>Specification!$G$30</f>
        <v>109.96225200000001</v>
      </c>
      <c r="D369" s="17">
        <f>0.5*Specification!$K$4*Track!B369^2*Specification!$K$3*Specification!$K$2</f>
        <v>75.597088939043402</v>
      </c>
      <c r="E369" s="16">
        <v>0</v>
      </c>
      <c r="F369" s="17">
        <f>Specification!$C$23*9.81*SIN((E369*PI()/180))</f>
        <v>0</v>
      </c>
      <c r="G369" s="18">
        <f>IF(J369=1,VLOOKUP(K369,RPM!$E$2:$H$62,3,FALSE)-F369-E369-D369,IF(J369=2,VLOOKUP(K369,RPM!$H$2:$K$62,3,FALSE)-F369-E369-D369,IF(J369=3,VLOOKUP(K369,RPM!$K$2:$N$62,3,FALSE)-F369-E369-D369)))</f>
        <v>852.82752893960401</v>
      </c>
      <c r="H369" s="19">
        <f>IF(J369=1,Specification!$I$14,IF(J369=2,Specification!$I$15,IF(J369=3,Specification!$I$16)))</f>
        <v>582.50936296077191</v>
      </c>
      <c r="I369" s="16">
        <v>0</v>
      </c>
      <c r="J369" s="17">
        <v>2</v>
      </c>
      <c r="K369" s="16">
        <f>IF(J369=1,VLOOKUP(B369,RPM!$F$2:$H$62,3,TRUE),IF(J369=2,VLOOKUP(B369,RPM!$I$2:$K$62,3,TRUE),IF(J369=3,VLOOKUP(B369,RPM!$L$2:$N$62,3,TRUE))))</f>
        <v>6800</v>
      </c>
      <c r="L369" s="17">
        <f t="shared" si="59"/>
        <v>30.739395190474145</v>
      </c>
      <c r="M369" s="16">
        <f t="shared" si="56"/>
        <v>0</v>
      </c>
      <c r="N369" s="17">
        <f>VLOOKUP(K369,RPM!$A$2:$D$62,3,FALSE)</f>
        <v>15</v>
      </c>
      <c r="O369" s="16">
        <f>VLOOKUP(K369,RPM!$A$2:$D$62,4,FALSE)</f>
        <v>15.721323529411764</v>
      </c>
      <c r="P369" s="17">
        <f t="shared" si="57"/>
        <v>11.723390955882353</v>
      </c>
      <c r="Q369" s="16" cm="1">
        <f t="array" ref="Q369">_xlfn.XLOOKUP(O369,BSFC!$A$2:$A$24,_xlfn.XLOOKUP(K369,BSFC!$B$1:$O$1,BSFC!$B$2:$O$24,,-1),,-1)</f>
        <v>440</v>
      </c>
      <c r="R369" s="17">
        <f t="shared" si="58"/>
        <v>1.4328588946078433</v>
      </c>
      <c r="S369" s="16">
        <f t="shared" si="60"/>
        <v>2.6955348133305399E-4</v>
      </c>
      <c r="T369" s="17">
        <f t="shared" si="64"/>
        <v>0.11860353178654376</v>
      </c>
      <c r="U369" s="16">
        <f t="shared" si="65"/>
        <v>53.035614980473625</v>
      </c>
      <c r="V369" s="17">
        <f t="shared" si="66"/>
        <v>0.11009960874447063</v>
      </c>
      <c r="W369" s="16">
        <f t="shared" si="61"/>
        <v>396358.59148009424</v>
      </c>
      <c r="X369">
        <f>('Hybrid Info'!$A$2-Track!P369)*(L369-L368)*1000+X368</f>
        <v>-28850.532331470713</v>
      </c>
    </row>
    <row r="370" spans="1:24">
      <c r="A370" s="16">
        <f t="shared" si="62"/>
        <v>369</v>
      </c>
      <c r="B370" s="17">
        <f t="shared" si="63"/>
        <v>12.081081170387082</v>
      </c>
      <c r="C370" s="18">
        <f>Specification!$G$30</f>
        <v>109.96225200000001</v>
      </c>
      <c r="D370" s="17">
        <f>0.5*Specification!$K$4*Track!B370^2*Specification!$K$3*Specification!$K$2</f>
        <v>75.597088939043402</v>
      </c>
      <c r="E370" s="16">
        <v>0</v>
      </c>
      <c r="F370" s="17">
        <f>Specification!$C$23*9.81*SIN((E370*PI()/180))</f>
        <v>0</v>
      </c>
      <c r="G370" s="18">
        <f>IF(J370=1,VLOOKUP(K370,RPM!$E$2:$H$62,3,FALSE)-F370-E370-D370,IF(J370=2,VLOOKUP(K370,RPM!$H$2:$K$62,3,FALSE)-F370-E370-D370,IF(J370=3,VLOOKUP(K370,RPM!$K$2:$N$62,3,FALSE)-F370-E370-D370)))</f>
        <v>852.82752893960401</v>
      </c>
      <c r="H370" s="19">
        <f>IF(J370=1,Specification!$I$14,IF(J370=2,Specification!$I$15,IF(J370=3,Specification!$I$16)))</f>
        <v>582.50936296077191</v>
      </c>
      <c r="I370" s="16">
        <v>0</v>
      </c>
      <c r="J370" s="17">
        <v>2</v>
      </c>
      <c r="K370" s="16">
        <f>IF(J370=1,VLOOKUP(B370,RPM!$F$2:$H$62,3,TRUE),IF(J370=2,VLOOKUP(B370,RPM!$I$2:$K$62,3,TRUE),IF(J370=3,VLOOKUP(B370,RPM!$L$2:$N$62,3,TRUE))))</f>
        <v>6800</v>
      </c>
      <c r="L370" s="17">
        <f t="shared" si="59"/>
        <v>30.822169239079262</v>
      </c>
      <c r="M370" s="16">
        <f t="shared" si="56"/>
        <v>0</v>
      </c>
      <c r="N370" s="17">
        <f>VLOOKUP(K370,RPM!$A$2:$D$62,3,FALSE)</f>
        <v>15</v>
      </c>
      <c r="O370" s="16">
        <f>VLOOKUP(K370,RPM!$A$2:$D$62,4,FALSE)</f>
        <v>15.721323529411764</v>
      </c>
      <c r="P370" s="17">
        <f t="shared" si="57"/>
        <v>11.723390955882353</v>
      </c>
      <c r="Q370" s="16" cm="1">
        <f t="array" ref="Q370">_xlfn.XLOOKUP(O370,BSFC!$A$2:$A$24,_xlfn.XLOOKUP(K370,BSFC!$B$1:$O$1,BSFC!$B$2:$O$24,,-1),,-1)</f>
        <v>440</v>
      </c>
      <c r="R370" s="17">
        <f t="shared" si="58"/>
        <v>1.4328588946078433</v>
      </c>
      <c r="S370" s="16">
        <f t="shared" si="60"/>
        <v>2.6955348133305399E-4</v>
      </c>
      <c r="T370" s="17">
        <f t="shared" si="64"/>
        <v>0.11860353178654376</v>
      </c>
      <c r="U370" s="16">
        <f t="shared" si="65"/>
        <v>53.154218512260165</v>
      </c>
      <c r="V370" s="17">
        <f t="shared" si="66"/>
        <v>0.11036916222580367</v>
      </c>
      <c r="W370" s="16">
        <f t="shared" si="61"/>
        <v>397328.98401289323</v>
      </c>
      <c r="X370">
        <f>('Hybrid Info'!$A$2-Track!P370)*(L370-L369)*1000+X369</f>
        <v>-28817.665766442078</v>
      </c>
    </row>
    <row r="371" spans="1:24">
      <c r="A371" s="16">
        <f t="shared" si="62"/>
        <v>370</v>
      </c>
      <c r="B371" s="17">
        <f t="shared" si="63"/>
        <v>12.081081170387082</v>
      </c>
      <c r="C371" s="18">
        <f>Specification!$G$30</f>
        <v>109.96225200000001</v>
      </c>
      <c r="D371" s="17">
        <f>0.5*Specification!$K$4*Track!B371^2*Specification!$K$3*Specification!$K$2</f>
        <v>75.597088939043402</v>
      </c>
      <c r="E371" s="16">
        <v>0</v>
      </c>
      <c r="F371" s="17">
        <f>Specification!$C$23*9.81*SIN((E371*PI()/180))</f>
        <v>0</v>
      </c>
      <c r="G371" s="18">
        <f>IF(J371=1,VLOOKUP(K371,RPM!$E$2:$H$62,3,FALSE)-F371-E371-D371,IF(J371=2,VLOOKUP(K371,RPM!$H$2:$K$62,3,FALSE)-F371-E371-D371,IF(J371=3,VLOOKUP(K371,RPM!$K$2:$N$62,3,FALSE)-F371-E371-D371)))</f>
        <v>852.82752893960401</v>
      </c>
      <c r="H371" s="19">
        <f>IF(J371=1,Specification!$I$14,IF(J371=2,Specification!$I$15,IF(J371=3,Specification!$I$16)))</f>
        <v>582.50936296077191</v>
      </c>
      <c r="I371" s="16">
        <v>0</v>
      </c>
      <c r="J371" s="17">
        <v>2</v>
      </c>
      <c r="K371" s="16">
        <f>IF(J371=1,VLOOKUP(B371,RPM!$F$2:$H$62,3,TRUE),IF(J371=2,VLOOKUP(B371,RPM!$I$2:$K$62,3,TRUE),IF(J371=3,VLOOKUP(B371,RPM!$L$2:$N$62,3,TRUE))))</f>
        <v>6800</v>
      </c>
      <c r="L371" s="17">
        <f t="shared" si="59"/>
        <v>30.904943287684379</v>
      </c>
      <c r="M371" s="16">
        <f t="shared" si="56"/>
        <v>0</v>
      </c>
      <c r="N371" s="17">
        <f>VLOOKUP(K371,RPM!$A$2:$D$62,3,FALSE)</f>
        <v>15</v>
      </c>
      <c r="O371" s="16">
        <f>VLOOKUP(K371,RPM!$A$2:$D$62,4,FALSE)</f>
        <v>15.721323529411764</v>
      </c>
      <c r="P371" s="17">
        <f t="shared" si="57"/>
        <v>11.723390955882353</v>
      </c>
      <c r="Q371" s="16" cm="1">
        <f t="array" ref="Q371">_xlfn.XLOOKUP(O371,BSFC!$A$2:$A$24,_xlfn.XLOOKUP(K371,BSFC!$B$1:$O$1,BSFC!$B$2:$O$24,,-1),,-1)</f>
        <v>440</v>
      </c>
      <c r="R371" s="17">
        <f t="shared" si="58"/>
        <v>1.4328588946078433</v>
      </c>
      <c r="S371" s="16">
        <f t="shared" si="60"/>
        <v>2.6955348133305399E-4</v>
      </c>
      <c r="T371" s="17">
        <f t="shared" si="64"/>
        <v>0.11860353178654376</v>
      </c>
      <c r="U371" s="16">
        <f t="shared" si="65"/>
        <v>53.272822044046706</v>
      </c>
      <c r="V371" s="17">
        <f t="shared" si="66"/>
        <v>0.11063871570713672</v>
      </c>
      <c r="W371" s="16">
        <f t="shared" si="61"/>
        <v>398299.37654569221</v>
      </c>
      <c r="X371">
        <f>('Hybrid Info'!$A$2-Track!P371)*(L371-L370)*1000+X370</f>
        <v>-28784.799201413443</v>
      </c>
    </row>
    <row r="372" spans="1:24">
      <c r="A372" s="16">
        <f t="shared" si="62"/>
        <v>371</v>
      </c>
      <c r="B372" s="17">
        <f t="shared" si="63"/>
        <v>12.081081170387082</v>
      </c>
      <c r="C372" s="18">
        <f>Specification!$G$30</f>
        <v>109.96225200000001</v>
      </c>
      <c r="D372" s="17">
        <f>0.5*Specification!$K$4*Track!B372^2*Specification!$K$3*Specification!$K$2</f>
        <v>75.597088939043402</v>
      </c>
      <c r="E372" s="16">
        <v>0</v>
      </c>
      <c r="F372" s="17">
        <f>Specification!$C$23*9.81*SIN((E372*PI()/180))</f>
        <v>0</v>
      </c>
      <c r="G372" s="18">
        <f>IF(J372=1,VLOOKUP(K372,RPM!$E$2:$H$62,3,FALSE)-F372-E372-D372,IF(J372=2,VLOOKUP(K372,RPM!$H$2:$K$62,3,FALSE)-F372-E372-D372,IF(J372=3,VLOOKUP(K372,RPM!$K$2:$N$62,3,FALSE)-F372-E372-D372)))</f>
        <v>852.82752893960401</v>
      </c>
      <c r="H372" s="19">
        <f>IF(J372=1,Specification!$I$14,IF(J372=2,Specification!$I$15,IF(J372=3,Specification!$I$16)))</f>
        <v>582.50936296077191</v>
      </c>
      <c r="I372" s="16">
        <v>0</v>
      </c>
      <c r="J372" s="17">
        <v>2</v>
      </c>
      <c r="K372" s="16">
        <f>IF(J372=1,VLOOKUP(B372,RPM!$F$2:$H$62,3,TRUE),IF(J372=2,VLOOKUP(B372,RPM!$I$2:$K$62,3,TRUE),IF(J372=3,VLOOKUP(B372,RPM!$L$2:$N$62,3,TRUE))))</f>
        <v>6800</v>
      </c>
      <c r="L372" s="17">
        <f t="shared" si="59"/>
        <v>30.987717336289496</v>
      </c>
      <c r="M372" s="16">
        <f t="shared" si="56"/>
        <v>0</v>
      </c>
      <c r="N372" s="17">
        <f>VLOOKUP(K372,RPM!$A$2:$D$62,3,FALSE)</f>
        <v>15</v>
      </c>
      <c r="O372" s="16">
        <f>VLOOKUP(K372,RPM!$A$2:$D$62,4,FALSE)</f>
        <v>15.721323529411764</v>
      </c>
      <c r="P372" s="17">
        <f t="shared" si="57"/>
        <v>11.723390955882353</v>
      </c>
      <c r="Q372" s="16" cm="1">
        <f t="array" ref="Q372">_xlfn.XLOOKUP(O372,BSFC!$A$2:$A$24,_xlfn.XLOOKUP(K372,BSFC!$B$1:$O$1,BSFC!$B$2:$O$24,,-1),,-1)</f>
        <v>440</v>
      </c>
      <c r="R372" s="17">
        <f t="shared" si="58"/>
        <v>1.4328588946078433</v>
      </c>
      <c r="S372" s="16">
        <f t="shared" si="60"/>
        <v>2.6955348133305399E-4</v>
      </c>
      <c r="T372" s="17">
        <f t="shared" si="64"/>
        <v>0.11860353178654376</v>
      </c>
      <c r="U372" s="16">
        <f t="shared" si="65"/>
        <v>53.391425575833246</v>
      </c>
      <c r="V372" s="17">
        <f t="shared" si="66"/>
        <v>0.11090826918846977</v>
      </c>
      <c r="W372" s="16">
        <f t="shared" si="61"/>
        <v>399269.7690784912</v>
      </c>
      <c r="X372">
        <f>('Hybrid Info'!$A$2-Track!P372)*(L372-L371)*1000+X371</f>
        <v>-28751.932636384809</v>
      </c>
    </row>
    <row r="373" spans="1:24">
      <c r="A373" s="16">
        <f t="shared" si="62"/>
        <v>372</v>
      </c>
      <c r="B373" s="17">
        <f t="shared" si="63"/>
        <v>12.081081170387082</v>
      </c>
      <c r="C373" s="18">
        <f>Specification!$G$30</f>
        <v>109.96225200000001</v>
      </c>
      <c r="D373" s="17">
        <f>0.5*Specification!$K$4*Track!B373^2*Specification!$K$3*Specification!$K$2</f>
        <v>75.597088939043402</v>
      </c>
      <c r="E373" s="16">
        <v>0</v>
      </c>
      <c r="F373" s="17">
        <f>Specification!$C$23*9.81*SIN((E373*PI()/180))</f>
        <v>0</v>
      </c>
      <c r="G373" s="18">
        <f>IF(J373=1,VLOOKUP(K373,RPM!$E$2:$H$62,3,FALSE)-F373-E373-D373,IF(J373=2,VLOOKUP(K373,RPM!$H$2:$K$62,3,FALSE)-F373-E373-D373,IF(J373=3,VLOOKUP(K373,RPM!$K$2:$N$62,3,FALSE)-F373-E373-D373)))</f>
        <v>852.82752893960401</v>
      </c>
      <c r="H373" s="19">
        <f>IF(J373=1,Specification!$I$14,IF(J373=2,Specification!$I$15,IF(J373=3,Specification!$I$16)))</f>
        <v>582.50936296077191</v>
      </c>
      <c r="I373" s="16">
        <v>0</v>
      </c>
      <c r="J373" s="17">
        <v>2</v>
      </c>
      <c r="K373" s="16">
        <f>IF(J373=1,VLOOKUP(B373,RPM!$F$2:$H$62,3,TRUE),IF(J373=2,VLOOKUP(B373,RPM!$I$2:$K$62,3,TRUE),IF(J373=3,VLOOKUP(B373,RPM!$L$2:$N$62,3,TRUE))))</f>
        <v>6800</v>
      </c>
      <c r="L373" s="17">
        <f t="shared" si="59"/>
        <v>31.070491384894613</v>
      </c>
      <c r="M373" s="16">
        <f t="shared" si="56"/>
        <v>0</v>
      </c>
      <c r="N373" s="17">
        <f>VLOOKUP(K373,RPM!$A$2:$D$62,3,FALSE)</f>
        <v>15</v>
      </c>
      <c r="O373" s="16">
        <f>VLOOKUP(K373,RPM!$A$2:$D$62,4,FALSE)</f>
        <v>15.721323529411764</v>
      </c>
      <c r="P373" s="17">
        <f t="shared" si="57"/>
        <v>11.723390955882353</v>
      </c>
      <c r="Q373" s="16" cm="1">
        <f t="array" ref="Q373">_xlfn.XLOOKUP(O373,BSFC!$A$2:$A$24,_xlfn.XLOOKUP(K373,BSFC!$B$1:$O$1,BSFC!$B$2:$O$24,,-1),,-1)</f>
        <v>440</v>
      </c>
      <c r="R373" s="17">
        <f t="shared" si="58"/>
        <v>1.4328588946078433</v>
      </c>
      <c r="S373" s="16">
        <f t="shared" si="60"/>
        <v>2.6955348133305399E-4</v>
      </c>
      <c r="T373" s="17">
        <f t="shared" si="64"/>
        <v>0.11860353178654376</v>
      </c>
      <c r="U373" s="16">
        <f t="shared" si="65"/>
        <v>53.510029107619786</v>
      </c>
      <c r="V373" s="17">
        <f t="shared" si="66"/>
        <v>0.11117782266980282</v>
      </c>
      <c r="W373" s="16">
        <f t="shared" si="61"/>
        <v>400240.16161129018</v>
      </c>
      <c r="X373">
        <f>('Hybrid Info'!$A$2-Track!P373)*(L373-L372)*1000+X372</f>
        <v>-28719.066071356174</v>
      </c>
    </row>
    <row r="374" spans="1:24">
      <c r="A374" s="16">
        <f t="shared" si="62"/>
        <v>373</v>
      </c>
      <c r="B374" s="17">
        <f t="shared" si="63"/>
        <v>12.081081170387082</v>
      </c>
      <c r="C374" s="18">
        <f>Specification!$G$30</f>
        <v>109.96225200000001</v>
      </c>
      <c r="D374" s="17">
        <f>0.5*Specification!$K$4*Track!B374^2*Specification!$K$3*Specification!$K$2</f>
        <v>75.597088939043402</v>
      </c>
      <c r="E374" s="16">
        <v>0</v>
      </c>
      <c r="F374" s="17">
        <f>Specification!$C$23*9.81*SIN((E374*PI()/180))</f>
        <v>0</v>
      </c>
      <c r="G374" s="18">
        <f>IF(J374=1,VLOOKUP(K374,RPM!$E$2:$H$62,3,FALSE)-F374-E374-D374,IF(J374=2,VLOOKUP(K374,RPM!$H$2:$K$62,3,FALSE)-F374-E374-D374,IF(J374=3,VLOOKUP(K374,RPM!$K$2:$N$62,3,FALSE)-F374-E374-D374)))</f>
        <v>852.82752893960401</v>
      </c>
      <c r="H374" s="19">
        <f>IF(J374=1,Specification!$I$14,IF(J374=2,Specification!$I$15,IF(J374=3,Specification!$I$16)))</f>
        <v>582.50936296077191</v>
      </c>
      <c r="I374" s="16">
        <v>0</v>
      </c>
      <c r="J374" s="17">
        <v>2</v>
      </c>
      <c r="K374" s="16">
        <f>IF(J374=1,VLOOKUP(B374,RPM!$F$2:$H$62,3,TRUE),IF(J374=2,VLOOKUP(B374,RPM!$I$2:$K$62,3,TRUE),IF(J374=3,VLOOKUP(B374,RPM!$L$2:$N$62,3,TRUE))))</f>
        <v>6800</v>
      </c>
      <c r="L374" s="17">
        <f t="shared" si="59"/>
        <v>31.15326543349973</v>
      </c>
      <c r="M374" s="16">
        <f t="shared" si="56"/>
        <v>0</v>
      </c>
      <c r="N374" s="17">
        <f>VLOOKUP(K374,RPM!$A$2:$D$62,3,FALSE)</f>
        <v>15</v>
      </c>
      <c r="O374" s="16">
        <f>VLOOKUP(K374,RPM!$A$2:$D$62,4,FALSE)</f>
        <v>15.721323529411764</v>
      </c>
      <c r="P374" s="17">
        <f t="shared" si="57"/>
        <v>11.723390955882353</v>
      </c>
      <c r="Q374" s="16" cm="1">
        <f t="array" ref="Q374">_xlfn.XLOOKUP(O374,BSFC!$A$2:$A$24,_xlfn.XLOOKUP(K374,BSFC!$B$1:$O$1,BSFC!$B$2:$O$24,,-1),,-1)</f>
        <v>440</v>
      </c>
      <c r="R374" s="17">
        <f t="shared" si="58"/>
        <v>1.4328588946078433</v>
      </c>
      <c r="S374" s="16">
        <f t="shared" si="60"/>
        <v>2.6955348133305399E-4</v>
      </c>
      <c r="T374" s="17">
        <f t="shared" si="64"/>
        <v>0.11860353178654376</v>
      </c>
      <c r="U374" s="16">
        <f t="shared" si="65"/>
        <v>53.628632639406327</v>
      </c>
      <c r="V374" s="17">
        <f t="shared" si="66"/>
        <v>0.11144737615113587</v>
      </c>
      <c r="W374" s="16">
        <f t="shared" si="61"/>
        <v>401210.55414408911</v>
      </c>
      <c r="X374">
        <f>('Hybrid Info'!$A$2-Track!P374)*(L374-L373)*1000+X373</f>
        <v>-28686.199506327539</v>
      </c>
    </row>
    <row r="375" spans="1:24">
      <c r="A375" s="16">
        <f t="shared" si="62"/>
        <v>374</v>
      </c>
      <c r="B375" s="17">
        <f t="shared" si="63"/>
        <v>12.081081170387082</v>
      </c>
      <c r="C375" s="18">
        <f>Specification!$G$30</f>
        <v>109.96225200000001</v>
      </c>
      <c r="D375" s="17">
        <f>0.5*Specification!$K$4*Track!B375^2*Specification!$K$3*Specification!$K$2</f>
        <v>75.597088939043402</v>
      </c>
      <c r="E375" s="16">
        <v>0</v>
      </c>
      <c r="F375" s="17">
        <f>Specification!$C$23*9.81*SIN((E375*PI()/180))</f>
        <v>0</v>
      </c>
      <c r="G375" s="18">
        <f>IF(J375=1,VLOOKUP(K375,RPM!$E$2:$H$62,3,FALSE)-F375-E375-D375,IF(J375=2,VLOOKUP(K375,RPM!$H$2:$K$62,3,FALSE)-F375-E375-D375,IF(J375=3,VLOOKUP(K375,RPM!$K$2:$N$62,3,FALSE)-F375-E375-D375)))</f>
        <v>852.82752893960401</v>
      </c>
      <c r="H375" s="19">
        <f>IF(J375=1,Specification!$I$14,IF(J375=2,Specification!$I$15,IF(J375=3,Specification!$I$16)))</f>
        <v>582.50936296077191</v>
      </c>
      <c r="I375" s="16">
        <v>0</v>
      </c>
      <c r="J375" s="17">
        <v>2</v>
      </c>
      <c r="K375" s="16">
        <f>IF(J375=1,VLOOKUP(B375,RPM!$F$2:$H$62,3,TRUE),IF(J375=2,VLOOKUP(B375,RPM!$I$2:$K$62,3,TRUE),IF(J375=3,VLOOKUP(B375,RPM!$L$2:$N$62,3,TRUE))))</f>
        <v>6800</v>
      </c>
      <c r="L375" s="17">
        <f t="shared" si="59"/>
        <v>31.236039482104847</v>
      </c>
      <c r="M375" s="16">
        <f t="shared" si="56"/>
        <v>0</v>
      </c>
      <c r="N375" s="17">
        <f>VLOOKUP(K375,RPM!$A$2:$D$62,3,FALSE)</f>
        <v>15</v>
      </c>
      <c r="O375" s="16">
        <f>VLOOKUP(K375,RPM!$A$2:$D$62,4,FALSE)</f>
        <v>15.721323529411764</v>
      </c>
      <c r="P375" s="17">
        <f t="shared" si="57"/>
        <v>11.723390955882353</v>
      </c>
      <c r="Q375" s="16" cm="1">
        <f t="array" ref="Q375">_xlfn.XLOOKUP(O375,BSFC!$A$2:$A$24,_xlfn.XLOOKUP(K375,BSFC!$B$1:$O$1,BSFC!$B$2:$O$24,,-1),,-1)</f>
        <v>440</v>
      </c>
      <c r="R375" s="17">
        <f t="shared" si="58"/>
        <v>1.4328588946078433</v>
      </c>
      <c r="S375" s="16">
        <f t="shared" si="60"/>
        <v>2.6955348133305399E-4</v>
      </c>
      <c r="T375" s="17">
        <f t="shared" si="64"/>
        <v>0.11860353178654376</v>
      </c>
      <c r="U375" s="16">
        <f t="shared" si="65"/>
        <v>53.747236171192867</v>
      </c>
      <c r="V375" s="17">
        <f t="shared" si="66"/>
        <v>0.11171692963246892</v>
      </c>
      <c r="W375" s="16">
        <f t="shared" si="61"/>
        <v>402180.9466768881</v>
      </c>
      <c r="X375">
        <f>('Hybrid Info'!$A$2-Track!P375)*(L375-L374)*1000+X374</f>
        <v>-28653.332941298904</v>
      </c>
    </row>
    <row r="376" spans="1:24">
      <c r="A376" s="16">
        <f t="shared" si="62"/>
        <v>375</v>
      </c>
      <c r="B376" s="17">
        <f t="shared" si="63"/>
        <v>12.081081170387082</v>
      </c>
      <c r="C376" s="18">
        <f>Specification!$G$30</f>
        <v>109.96225200000001</v>
      </c>
      <c r="D376" s="17">
        <f>0.5*Specification!$K$4*Track!B376^2*Specification!$K$3*Specification!$K$2</f>
        <v>75.597088939043402</v>
      </c>
      <c r="E376" s="16">
        <v>0</v>
      </c>
      <c r="F376" s="17">
        <f>Specification!$C$23*9.81*SIN((E376*PI()/180))</f>
        <v>0</v>
      </c>
      <c r="G376" s="18">
        <f>IF(J376=1,VLOOKUP(K376,RPM!$E$2:$H$62,3,FALSE)-F376-E376-D376,IF(J376=2,VLOOKUP(K376,RPM!$H$2:$K$62,3,FALSE)-F376-E376-D376,IF(J376=3,VLOOKUP(K376,RPM!$K$2:$N$62,3,FALSE)-F376-E376-D376)))</f>
        <v>852.82752893960401</v>
      </c>
      <c r="H376" s="19">
        <f>IF(J376=1,Specification!$I$14,IF(J376=2,Specification!$I$15,IF(J376=3,Specification!$I$16)))</f>
        <v>582.50936296077191</v>
      </c>
      <c r="I376" s="16">
        <v>0</v>
      </c>
      <c r="J376" s="17">
        <v>2</v>
      </c>
      <c r="K376" s="16">
        <f>IF(J376=1,VLOOKUP(B376,RPM!$F$2:$H$62,3,TRUE),IF(J376=2,VLOOKUP(B376,RPM!$I$2:$K$62,3,TRUE),IF(J376=3,VLOOKUP(B376,RPM!$L$2:$N$62,3,TRUE))))</f>
        <v>6800</v>
      </c>
      <c r="L376" s="17">
        <f t="shared" si="59"/>
        <v>31.318813530709964</v>
      </c>
      <c r="M376" s="16">
        <f t="shared" si="56"/>
        <v>0</v>
      </c>
      <c r="N376" s="17">
        <f>VLOOKUP(K376,RPM!$A$2:$D$62,3,FALSE)</f>
        <v>15</v>
      </c>
      <c r="O376" s="16">
        <f>VLOOKUP(K376,RPM!$A$2:$D$62,4,FALSE)</f>
        <v>15.721323529411764</v>
      </c>
      <c r="P376" s="17">
        <f t="shared" si="57"/>
        <v>11.723390955882353</v>
      </c>
      <c r="Q376" s="16" cm="1">
        <f t="array" ref="Q376">_xlfn.XLOOKUP(O376,BSFC!$A$2:$A$24,_xlfn.XLOOKUP(K376,BSFC!$B$1:$O$1,BSFC!$B$2:$O$24,,-1),,-1)</f>
        <v>440</v>
      </c>
      <c r="R376" s="17">
        <f t="shared" si="58"/>
        <v>1.4328588946078433</v>
      </c>
      <c r="S376" s="16">
        <f t="shared" si="60"/>
        <v>2.6955348133305399E-4</v>
      </c>
      <c r="T376" s="17">
        <f t="shared" si="64"/>
        <v>0.11860353178654376</v>
      </c>
      <c r="U376" s="16">
        <f t="shared" si="65"/>
        <v>53.865839702979407</v>
      </c>
      <c r="V376" s="17">
        <f t="shared" si="66"/>
        <v>0.11198648311380197</v>
      </c>
      <c r="W376" s="16">
        <f t="shared" si="61"/>
        <v>403151.33920968708</v>
      </c>
      <c r="X376">
        <f>('Hybrid Info'!$A$2-Track!P376)*(L376-L375)*1000+X375</f>
        <v>-28620.466376270269</v>
      </c>
    </row>
    <row r="377" spans="1:24">
      <c r="A377" s="16">
        <f t="shared" si="62"/>
        <v>376</v>
      </c>
      <c r="B377" s="17">
        <f t="shared" si="63"/>
        <v>12.081081170387082</v>
      </c>
      <c r="C377" s="18">
        <f>Specification!$G$30</f>
        <v>109.96225200000001</v>
      </c>
      <c r="D377" s="17">
        <f>0.5*Specification!$K$4*Track!B377^2*Specification!$K$3*Specification!$K$2</f>
        <v>75.597088939043402</v>
      </c>
      <c r="E377" s="16">
        <v>0</v>
      </c>
      <c r="F377" s="17">
        <f>Specification!$C$23*9.81*SIN((E377*PI()/180))</f>
        <v>0</v>
      </c>
      <c r="G377" s="18">
        <f>IF(J377=1,VLOOKUP(K377,RPM!$E$2:$H$62,3,FALSE)-F377-E377-D377,IF(J377=2,VLOOKUP(K377,RPM!$H$2:$K$62,3,FALSE)-F377-E377-D377,IF(J377=3,VLOOKUP(K377,RPM!$K$2:$N$62,3,FALSE)-F377-E377-D377)))</f>
        <v>852.82752893960401</v>
      </c>
      <c r="H377" s="19">
        <f>IF(J377=1,Specification!$I$14,IF(J377=2,Specification!$I$15,IF(J377=3,Specification!$I$16)))</f>
        <v>582.50936296077191</v>
      </c>
      <c r="I377" s="16">
        <v>0</v>
      </c>
      <c r="J377" s="17">
        <v>2</v>
      </c>
      <c r="K377" s="16">
        <f>IF(J377=1,VLOOKUP(B377,RPM!$F$2:$H$62,3,TRUE),IF(J377=2,VLOOKUP(B377,RPM!$I$2:$K$62,3,TRUE),IF(J377=3,VLOOKUP(B377,RPM!$L$2:$N$62,3,TRUE))))</f>
        <v>6800</v>
      </c>
      <c r="L377" s="17">
        <f t="shared" si="59"/>
        <v>31.40158757931508</v>
      </c>
      <c r="M377" s="16">
        <f t="shared" si="56"/>
        <v>0</v>
      </c>
      <c r="N377" s="17">
        <f>VLOOKUP(K377,RPM!$A$2:$D$62,3,FALSE)</f>
        <v>15</v>
      </c>
      <c r="O377" s="16">
        <f>VLOOKUP(K377,RPM!$A$2:$D$62,4,FALSE)</f>
        <v>15.721323529411764</v>
      </c>
      <c r="P377" s="17">
        <f t="shared" si="57"/>
        <v>11.723390955882353</v>
      </c>
      <c r="Q377" s="16" cm="1">
        <f t="array" ref="Q377">_xlfn.XLOOKUP(O377,BSFC!$A$2:$A$24,_xlfn.XLOOKUP(K377,BSFC!$B$1:$O$1,BSFC!$B$2:$O$24,,-1),,-1)</f>
        <v>440</v>
      </c>
      <c r="R377" s="17">
        <f t="shared" si="58"/>
        <v>1.4328588946078433</v>
      </c>
      <c r="S377" s="16">
        <f t="shared" si="60"/>
        <v>2.6955348133305399E-4</v>
      </c>
      <c r="T377" s="17">
        <f t="shared" si="64"/>
        <v>0.11860353178654376</v>
      </c>
      <c r="U377" s="16">
        <f t="shared" si="65"/>
        <v>53.984443234765948</v>
      </c>
      <c r="V377" s="17">
        <f t="shared" si="66"/>
        <v>0.11225603659513501</v>
      </c>
      <c r="W377" s="16">
        <f t="shared" si="61"/>
        <v>404121.73174248607</v>
      </c>
      <c r="X377">
        <f>('Hybrid Info'!$A$2-Track!P377)*(L377-L376)*1000+X376</f>
        <v>-28587.599811241635</v>
      </c>
    </row>
    <row r="378" spans="1:24">
      <c r="A378" s="16">
        <f t="shared" si="62"/>
        <v>377</v>
      </c>
      <c r="B378" s="17">
        <f t="shared" si="63"/>
        <v>12.081081170387082</v>
      </c>
      <c r="C378" s="18">
        <f>Specification!$G$30</f>
        <v>109.96225200000001</v>
      </c>
      <c r="D378" s="17">
        <f>0.5*Specification!$K$4*Track!B378^2*Specification!$K$3*Specification!$K$2</f>
        <v>75.597088939043402</v>
      </c>
      <c r="E378" s="16">
        <v>0</v>
      </c>
      <c r="F378" s="17">
        <f>Specification!$C$23*9.81*SIN((E378*PI()/180))</f>
        <v>0</v>
      </c>
      <c r="G378" s="18">
        <f>IF(J378=1,VLOOKUP(K378,RPM!$E$2:$H$62,3,FALSE)-F378-E378-D378,IF(J378=2,VLOOKUP(K378,RPM!$H$2:$K$62,3,FALSE)-F378-E378-D378,IF(J378=3,VLOOKUP(K378,RPM!$K$2:$N$62,3,FALSE)-F378-E378-D378)))</f>
        <v>852.82752893960401</v>
      </c>
      <c r="H378" s="19">
        <f>IF(J378=1,Specification!$I$14,IF(J378=2,Specification!$I$15,IF(J378=3,Specification!$I$16)))</f>
        <v>582.50936296077191</v>
      </c>
      <c r="I378" s="16">
        <v>0</v>
      </c>
      <c r="J378" s="17">
        <v>2</v>
      </c>
      <c r="K378" s="16">
        <f>IF(J378=1,VLOOKUP(B378,RPM!$F$2:$H$62,3,TRUE),IF(J378=2,VLOOKUP(B378,RPM!$I$2:$K$62,3,TRUE),IF(J378=3,VLOOKUP(B378,RPM!$L$2:$N$62,3,TRUE))))</f>
        <v>6800</v>
      </c>
      <c r="L378" s="17">
        <f t="shared" si="59"/>
        <v>31.484361627920197</v>
      </c>
      <c r="M378" s="16">
        <f t="shared" si="56"/>
        <v>0</v>
      </c>
      <c r="N378" s="17">
        <f>VLOOKUP(K378,RPM!$A$2:$D$62,3,FALSE)</f>
        <v>15</v>
      </c>
      <c r="O378" s="16">
        <f>VLOOKUP(K378,RPM!$A$2:$D$62,4,FALSE)</f>
        <v>15.721323529411764</v>
      </c>
      <c r="P378" s="17">
        <f t="shared" si="57"/>
        <v>11.723390955882353</v>
      </c>
      <c r="Q378" s="16" cm="1">
        <f t="array" ref="Q378">_xlfn.XLOOKUP(O378,BSFC!$A$2:$A$24,_xlfn.XLOOKUP(K378,BSFC!$B$1:$O$1,BSFC!$B$2:$O$24,,-1),,-1)</f>
        <v>440</v>
      </c>
      <c r="R378" s="17">
        <f t="shared" si="58"/>
        <v>1.4328588946078433</v>
      </c>
      <c r="S378" s="16">
        <f t="shared" si="60"/>
        <v>2.6955348133305399E-4</v>
      </c>
      <c r="T378" s="17">
        <f t="shared" si="64"/>
        <v>0.11860353178654376</v>
      </c>
      <c r="U378" s="16">
        <f t="shared" si="65"/>
        <v>54.103046766552488</v>
      </c>
      <c r="V378" s="17">
        <f t="shared" si="66"/>
        <v>0.11252559007646806</v>
      </c>
      <c r="W378" s="16">
        <f t="shared" si="61"/>
        <v>405092.12427528505</v>
      </c>
      <c r="X378">
        <f>('Hybrid Info'!$A$2-Track!P378)*(L378-L377)*1000+X377</f>
        <v>-28554.733246213</v>
      </c>
    </row>
    <row r="379" spans="1:24">
      <c r="A379" s="16">
        <f t="shared" si="62"/>
        <v>378</v>
      </c>
      <c r="B379" s="17">
        <f t="shared" si="63"/>
        <v>12.081081170387082</v>
      </c>
      <c r="C379" s="18">
        <f>Specification!$G$30</f>
        <v>109.96225200000001</v>
      </c>
      <c r="D379" s="17">
        <f>0.5*Specification!$K$4*Track!B379^2*Specification!$K$3*Specification!$K$2</f>
        <v>75.597088939043402</v>
      </c>
      <c r="E379" s="16">
        <v>0</v>
      </c>
      <c r="F379" s="17">
        <f>Specification!$C$23*9.81*SIN((E379*PI()/180))</f>
        <v>0</v>
      </c>
      <c r="G379" s="18">
        <f>IF(J379=1,VLOOKUP(K379,RPM!$E$2:$H$62,3,FALSE)-F379-E379-D379,IF(J379=2,VLOOKUP(K379,RPM!$H$2:$K$62,3,FALSE)-F379-E379-D379,IF(J379=3,VLOOKUP(K379,RPM!$K$2:$N$62,3,FALSE)-F379-E379-D379)))</f>
        <v>852.82752893960401</v>
      </c>
      <c r="H379" s="19">
        <f>IF(J379=1,Specification!$I$14,IF(J379=2,Specification!$I$15,IF(J379=3,Specification!$I$16)))</f>
        <v>582.50936296077191</v>
      </c>
      <c r="I379" s="16">
        <v>0</v>
      </c>
      <c r="J379" s="17">
        <v>2</v>
      </c>
      <c r="K379" s="16">
        <f>IF(J379=1,VLOOKUP(B379,RPM!$F$2:$H$62,3,TRUE),IF(J379=2,VLOOKUP(B379,RPM!$I$2:$K$62,3,TRUE),IF(J379=3,VLOOKUP(B379,RPM!$L$2:$N$62,3,TRUE))))</f>
        <v>6800</v>
      </c>
      <c r="L379" s="17">
        <f t="shared" si="59"/>
        <v>31.567135676525314</v>
      </c>
      <c r="M379" s="16">
        <f t="shared" si="56"/>
        <v>0</v>
      </c>
      <c r="N379" s="17">
        <f>VLOOKUP(K379,RPM!$A$2:$D$62,3,FALSE)</f>
        <v>15</v>
      </c>
      <c r="O379" s="16">
        <f>VLOOKUP(K379,RPM!$A$2:$D$62,4,FALSE)</f>
        <v>15.721323529411764</v>
      </c>
      <c r="P379" s="17">
        <f t="shared" si="57"/>
        <v>11.723390955882353</v>
      </c>
      <c r="Q379" s="16" cm="1">
        <f t="array" ref="Q379">_xlfn.XLOOKUP(O379,BSFC!$A$2:$A$24,_xlfn.XLOOKUP(K379,BSFC!$B$1:$O$1,BSFC!$B$2:$O$24,,-1),,-1)</f>
        <v>440</v>
      </c>
      <c r="R379" s="17">
        <f t="shared" si="58"/>
        <v>1.4328588946078433</v>
      </c>
      <c r="S379" s="16">
        <f t="shared" si="60"/>
        <v>2.6955348133305399E-4</v>
      </c>
      <c r="T379" s="17">
        <f t="shared" si="64"/>
        <v>0.11860353178654376</v>
      </c>
      <c r="U379" s="16">
        <f t="shared" si="65"/>
        <v>54.221650298339028</v>
      </c>
      <c r="V379" s="17">
        <f t="shared" si="66"/>
        <v>0.11279514355780111</v>
      </c>
      <c r="W379" s="16">
        <f t="shared" si="61"/>
        <v>406062.51680808398</v>
      </c>
      <c r="X379">
        <f>('Hybrid Info'!$A$2-Track!P379)*(L379-L378)*1000+X378</f>
        <v>-28521.866681184365</v>
      </c>
    </row>
    <row r="380" spans="1:24">
      <c r="A380" s="16">
        <f t="shared" si="62"/>
        <v>379</v>
      </c>
      <c r="B380" s="17">
        <f t="shared" si="63"/>
        <v>12.081081170387082</v>
      </c>
      <c r="C380" s="18">
        <f>Specification!$G$30</f>
        <v>109.96225200000001</v>
      </c>
      <c r="D380" s="17">
        <f>0.5*Specification!$K$4*Track!B380^2*Specification!$K$3*Specification!$K$2</f>
        <v>75.597088939043402</v>
      </c>
      <c r="E380" s="16">
        <v>0</v>
      </c>
      <c r="F380" s="17">
        <f>Specification!$C$23*9.81*SIN((E380*PI()/180))</f>
        <v>0</v>
      </c>
      <c r="G380" s="18">
        <f>IF(J380=1,VLOOKUP(K380,RPM!$E$2:$H$62,3,FALSE)-F380-E380-D380,IF(J380=2,VLOOKUP(K380,RPM!$H$2:$K$62,3,FALSE)-F380-E380-D380,IF(J380=3,VLOOKUP(K380,RPM!$K$2:$N$62,3,FALSE)-F380-E380-D380)))</f>
        <v>852.82752893960401</v>
      </c>
      <c r="H380" s="19">
        <f>IF(J380=1,Specification!$I$14,IF(J380=2,Specification!$I$15,IF(J380=3,Specification!$I$16)))</f>
        <v>582.50936296077191</v>
      </c>
      <c r="I380" s="16">
        <v>0</v>
      </c>
      <c r="J380" s="17">
        <v>2</v>
      </c>
      <c r="K380" s="16">
        <f>IF(J380=1,VLOOKUP(B380,RPM!$F$2:$H$62,3,TRUE),IF(J380=2,VLOOKUP(B380,RPM!$I$2:$K$62,3,TRUE),IF(J380=3,VLOOKUP(B380,RPM!$L$2:$N$62,3,TRUE))))</f>
        <v>6800</v>
      </c>
      <c r="L380" s="17">
        <f t="shared" si="59"/>
        <v>31.649909725130431</v>
      </c>
      <c r="M380" s="16">
        <f t="shared" si="56"/>
        <v>0</v>
      </c>
      <c r="N380" s="17">
        <f>VLOOKUP(K380,RPM!$A$2:$D$62,3,FALSE)</f>
        <v>15</v>
      </c>
      <c r="O380" s="16">
        <f>VLOOKUP(K380,RPM!$A$2:$D$62,4,FALSE)</f>
        <v>15.721323529411764</v>
      </c>
      <c r="P380" s="17">
        <f t="shared" si="57"/>
        <v>11.723390955882353</v>
      </c>
      <c r="Q380" s="16" cm="1">
        <f t="array" ref="Q380">_xlfn.XLOOKUP(O380,BSFC!$A$2:$A$24,_xlfn.XLOOKUP(K380,BSFC!$B$1:$O$1,BSFC!$B$2:$O$24,,-1),,-1)</f>
        <v>440</v>
      </c>
      <c r="R380" s="17">
        <f t="shared" si="58"/>
        <v>1.4328588946078433</v>
      </c>
      <c r="S380" s="16">
        <f t="shared" si="60"/>
        <v>2.6955348133305399E-4</v>
      </c>
      <c r="T380" s="17">
        <f t="shared" si="64"/>
        <v>0.11860353178654376</v>
      </c>
      <c r="U380" s="16">
        <f t="shared" si="65"/>
        <v>54.340253830125569</v>
      </c>
      <c r="V380" s="17">
        <f t="shared" si="66"/>
        <v>0.11306469703913416</v>
      </c>
      <c r="W380" s="16">
        <f t="shared" si="61"/>
        <v>407032.90934088296</v>
      </c>
      <c r="X380">
        <f>('Hybrid Info'!$A$2-Track!P380)*(L380-L379)*1000+X379</f>
        <v>-28489.00011615573</v>
      </c>
    </row>
    <row r="381" spans="1:24">
      <c r="A381" s="16">
        <f t="shared" si="62"/>
        <v>380</v>
      </c>
      <c r="B381" s="17">
        <f t="shared" si="63"/>
        <v>12.081081170387082</v>
      </c>
      <c r="C381" s="18">
        <f>Specification!$G$30</f>
        <v>109.96225200000001</v>
      </c>
      <c r="D381" s="17">
        <f>0.5*Specification!$K$4*Track!B381^2*Specification!$K$3*Specification!$K$2</f>
        <v>75.597088939043402</v>
      </c>
      <c r="E381" s="16">
        <v>0</v>
      </c>
      <c r="F381" s="17">
        <f>Specification!$C$23*9.81*SIN((E381*PI()/180))</f>
        <v>0</v>
      </c>
      <c r="G381" s="18">
        <f>IF(J381=1,VLOOKUP(K381,RPM!$E$2:$H$62,3,FALSE)-F381-E381-D381,IF(J381=2,VLOOKUP(K381,RPM!$H$2:$K$62,3,FALSE)-F381-E381-D381,IF(J381=3,VLOOKUP(K381,RPM!$K$2:$N$62,3,FALSE)-F381-E381-D381)))</f>
        <v>852.82752893960401</v>
      </c>
      <c r="H381" s="19">
        <f>IF(J381=1,Specification!$I$14,IF(J381=2,Specification!$I$15,IF(J381=3,Specification!$I$16)))</f>
        <v>582.50936296077191</v>
      </c>
      <c r="I381" s="16">
        <v>0</v>
      </c>
      <c r="J381" s="17">
        <v>2</v>
      </c>
      <c r="K381" s="16">
        <f>IF(J381=1,VLOOKUP(B381,RPM!$F$2:$H$62,3,TRUE),IF(J381=2,VLOOKUP(B381,RPM!$I$2:$K$62,3,TRUE),IF(J381=3,VLOOKUP(B381,RPM!$L$2:$N$62,3,TRUE))))</f>
        <v>6800</v>
      </c>
      <c r="L381" s="17">
        <f t="shared" si="59"/>
        <v>31.732683773735548</v>
      </c>
      <c r="M381" s="16">
        <f t="shared" si="56"/>
        <v>0</v>
      </c>
      <c r="N381" s="17">
        <f>VLOOKUP(K381,RPM!$A$2:$D$62,3,FALSE)</f>
        <v>15</v>
      </c>
      <c r="O381" s="16">
        <f>VLOOKUP(K381,RPM!$A$2:$D$62,4,FALSE)</f>
        <v>15.721323529411764</v>
      </c>
      <c r="P381" s="17">
        <f t="shared" si="57"/>
        <v>11.723390955882353</v>
      </c>
      <c r="Q381" s="16" cm="1">
        <f t="array" ref="Q381">_xlfn.XLOOKUP(O381,BSFC!$A$2:$A$24,_xlfn.XLOOKUP(K381,BSFC!$B$1:$O$1,BSFC!$B$2:$O$24,,-1),,-1)</f>
        <v>440</v>
      </c>
      <c r="R381" s="17">
        <f t="shared" si="58"/>
        <v>1.4328588946078433</v>
      </c>
      <c r="S381" s="16">
        <f t="shared" si="60"/>
        <v>2.6955348133305399E-4</v>
      </c>
      <c r="T381" s="17">
        <f t="shared" si="64"/>
        <v>0.11860353178654376</v>
      </c>
      <c r="U381" s="16">
        <f t="shared" si="65"/>
        <v>54.458857361912109</v>
      </c>
      <c r="V381" s="17">
        <f t="shared" si="66"/>
        <v>0.11333425052046721</v>
      </c>
      <c r="W381" s="16">
        <f t="shared" si="61"/>
        <v>408003.30187368195</v>
      </c>
      <c r="X381">
        <f>('Hybrid Info'!$A$2-Track!P381)*(L381-L380)*1000+X380</f>
        <v>-28456.133551127095</v>
      </c>
    </row>
    <row r="382" spans="1:24">
      <c r="A382" s="16">
        <f t="shared" si="62"/>
        <v>381</v>
      </c>
      <c r="B382" s="17">
        <f t="shared" si="63"/>
        <v>12.081081170387082</v>
      </c>
      <c r="C382" s="18">
        <f>Specification!$G$30</f>
        <v>109.96225200000001</v>
      </c>
      <c r="D382" s="17">
        <f>0.5*Specification!$K$4*Track!B382^2*Specification!$K$3*Specification!$K$2</f>
        <v>75.597088939043402</v>
      </c>
      <c r="E382" s="16">
        <v>0</v>
      </c>
      <c r="F382" s="17">
        <f>Specification!$C$23*9.81*SIN((E382*PI()/180))</f>
        <v>0</v>
      </c>
      <c r="G382" s="18">
        <f>IF(J382=1,VLOOKUP(K382,RPM!$E$2:$H$62,3,FALSE)-F382-E382-D382,IF(J382=2,VLOOKUP(K382,RPM!$H$2:$K$62,3,FALSE)-F382-E382-D382,IF(J382=3,VLOOKUP(K382,RPM!$K$2:$N$62,3,FALSE)-F382-E382-D382)))</f>
        <v>852.82752893960401</v>
      </c>
      <c r="H382" s="19">
        <f>IF(J382=1,Specification!$I$14,IF(J382=2,Specification!$I$15,IF(J382=3,Specification!$I$16)))</f>
        <v>582.50936296077191</v>
      </c>
      <c r="I382" s="16">
        <v>0</v>
      </c>
      <c r="J382" s="17">
        <v>2</v>
      </c>
      <c r="K382" s="16">
        <f>IF(J382=1,VLOOKUP(B382,RPM!$F$2:$H$62,3,TRUE),IF(J382=2,VLOOKUP(B382,RPM!$I$2:$K$62,3,TRUE),IF(J382=3,VLOOKUP(B382,RPM!$L$2:$N$62,3,TRUE))))</f>
        <v>6800</v>
      </c>
      <c r="L382" s="17">
        <f t="shared" si="59"/>
        <v>31.815457822340665</v>
      </c>
      <c r="M382" s="16">
        <f t="shared" si="56"/>
        <v>0</v>
      </c>
      <c r="N382" s="17">
        <f>VLOOKUP(K382,RPM!$A$2:$D$62,3,FALSE)</f>
        <v>15</v>
      </c>
      <c r="O382" s="16">
        <f>VLOOKUP(K382,RPM!$A$2:$D$62,4,FALSE)</f>
        <v>15.721323529411764</v>
      </c>
      <c r="P382" s="17">
        <f t="shared" si="57"/>
        <v>11.723390955882353</v>
      </c>
      <c r="Q382" s="16" cm="1">
        <f t="array" ref="Q382">_xlfn.XLOOKUP(O382,BSFC!$A$2:$A$24,_xlfn.XLOOKUP(K382,BSFC!$B$1:$O$1,BSFC!$B$2:$O$24,,-1),,-1)</f>
        <v>440</v>
      </c>
      <c r="R382" s="17">
        <f t="shared" si="58"/>
        <v>1.4328588946078433</v>
      </c>
      <c r="S382" s="16">
        <f t="shared" si="60"/>
        <v>2.6955348133305399E-4</v>
      </c>
      <c r="T382" s="17">
        <f t="shared" si="64"/>
        <v>0.11860353178654376</v>
      </c>
      <c r="U382" s="16">
        <f t="shared" si="65"/>
        <v>54.57746089369865</v>
      </c>
      <c r="V382" s="17">
        <f t="shared" si="66"/>
        <v>0.11360380400180026</v>
      </c>
      <c r="W382" s="16">
        <f t="shared" si="61"/>
        <v>408973.69440648094</v>
      </c>
      <c r="X382">
        <f>('Hybrid Info'!$A$2-Track!P382)*(L382-L381)*1000+X381</f>
        <v>-28423.266986098461</v>
      </c>
    </row>
    <row r="383" spans="1:24">
      <c r="A383" s="16">
        <f t="shared" si="62"/>
        <v>382</v>
      </c>
      <c r="B383" s="17">
        <f t="shared" si="63"/>
        <v>12.081081170387082</v>
      </c>
      <c r="C383" s="18">
        <f>Specification!$G$30</f>
        <v>109.96225200000001</v>
      </c>
      <c r="D383" s="17">
        <f>0.5*Specification!$K$4*Track!B383^2*Specification!$K$3*Specification!$K$2</f>
        <v>75.597088939043402</v>
      </c>
      <c r="E383" s="16">
        <v>0</v>
      </c>
      <c r="F383" s="17">
        <f>Specification!$C$23*9.81*SIN((E383*PI()/180))</f>
        <v>0</v>
      </c>
      <c r="G383" s="18">
        <f>IF(J383=1,VLOOKUP(K383,RPM!$E$2:$H$62,3,FALSE)-F383-E383-D383,IF(J383=2,VLOOKUP(K383,RPM!$H$2:$K$62,3,FALSE)-F383-E383-D383,IF(J383=3,VLOOKUP(K383,RPM!$K$2:$N$62,3,FALSE)-F383-E383-D383)))</f>
        <v>852.82752893960401</v>
      </c>
      <c r="H383" s="19">
        <f>IF(J383=1,Specification!$I$14,IF(J383=2,Specification!$I$15,IF(J383=3,Specification!$I$16)))</f>
        <v>582.50936296077191</v>
      </c>
      <c r="I383" s="16">
        <v>0</v>
      </c>
      <c r="J383" s="17">
        <v>2</v>
      </c>
      <c r="K383" s="16">
        <f>IF(J383=1,VLOOKUP(B383,RPM!$F$2:$H$62,3,TRUE),IF(J383=2,VLOOKUP(B383,RPM!$I$2:$K$62,3,TRUE),IF(J383=3,VLOOKUP(B383,RPM!$L$2:$N$62,3,TRUE))))</f>
        <v>6800</v>
      </c>
      <c r="L383" s="17">
        <f t="shared" si="59"/>
        <v>31.898231870945782</v>
      </c>
      <c r="M383" s="16">
        <f t="shared" si="56"/>
        <v>0</v>
      </c>
      <c r="N383" s="17">
        <f>VLOOKUP(K383,RPM!$A$2:$D$62,3,FALSE)</f>
        <v>15</v>
      </c>
      <c r="O383" s="16">
        <f>VLOOKUP(K383,RPM!$A$2:$D$62,4,FALSE)</f>
        <v>15.721323529411764</v>
      </c>
      <c r="P383" s="17">
        <f t="shared" si="57"/>
        <v>11.723390955882353</v>
      </c>
      <c r="Q383" s="16" cm="1">
        <f t="array" ref="Q383">_xlfn.XLOOKUP(O383,BSFC!$A$2:$A$24,_xlfn.XLOOKUP(K383,BSFC!$B$1:$O$1,BSFC!$B$2:$O$24,,-1),,-1)</f>
        <v>440</v>
      </c>
      <c r="R383" s="17">
        <f t="shared" si="58"/>
        <v>1.4328588946078433</v>
      </c>
      <c r="S383" s="16">
        <f t="shared" si="60"/>
        <v>2.6955348133305399E-4</v>
      </c>
      <c r="T383" s="17">
        <f t="shared" si="64"/>
        <v>0.11860353178654376</v>
      </c>
      <c r="U383" s="16">
        <f t="shared" si="65"/>
        <v>54.69606442548519</v>
      </c>
      <c r="V383" s="17">
        <f t="shared" si="66"/>
        <v>0.11387335748313331</v>
      </c>
      <c r="W383" s="16">
        <f t="shared" si="61"/>
        <v>409944.08693927992</v>
      </c>
      <c r="X383">
        <f>('Hybrid Info'!$A$2-Track!P383)*(L383-L382)*1000+X382</f>
        <v>-28390.400421069826</v>
      </c>
    </row>
    <row r="384" spans="1:24">
      <c r="A384" s="16">
        <f t="shared" si="62"/>
        <v>383</v>
      </c>
      <c r="B384" s="17">
        <f t="shared" si="63"/>
        <v>12.081081170387082</v>
      </c>
      <c r="C384" s="18">
        <f>Specification!$G$30</f>
        <v>109.96225200000001</v>
      </c>
      <c r="D384" s="17">
        <f>0.5*Specification!$K$4*Track!B384^2*Specification!$K$3*Specification!$K$2</f>
        <v>75.597088939043402</v>
      </c>
      <c r="E384" s="16">
        <v>0</v>
      </c>
      <c r="F384" s="17">
        <f>Specification!$C$23*9.81*SIN((E384*PI()/180))</f>
        <v>0</v>
      </c>
      <c r="G384" s="18">
        <f>IF(J384=1,VLOOKUP(K384,RPM!$E$2:$H$62,3,FALSE)-F384-E384-D384,IF(J384=2,VLOOKUP(K384,RPM!$H$2:$K$62,3,FALSE)-F384-E384-D384,IF(J384=3,VLOOKUP(K384,RPM!$K$2:$N$62,3,FALSE)-F384-E384-D384)))</f>
        <v>852.82752893960401</v>
      </c>
      <c r="H384" s="19">
        <f>IF(J384=1,Specification!$I$14,IF(J384=2,Specification!$I$15,IF(J384=3,Specification!$I$16)))</f>
        <v>582.50936296077191</v>
      </c>
      <c r="I384" s="16">
        <v>0</v>
      </c>
      <c r="J384" s="17">
        <v>2</v>
      </c>
      <c r="K384" s="16">
        <f>IF(J384=1,VLOOKUP(B384,RPM!$F$2:$H$62,3,TRUE),IF(J384=2,VLOOKUP(B384,RPM!$I$2:$K$62,3,TRUE),IF(J384=3,VLOOKUP(B384,RPM!$L$2:$N$62,3,TRUE))))</f>
        <v>6800</v>
      </c>
      <c r="L384" s="17">
        <f t="shared" si="59"/>
        <v>31.981005919550899</v>
      </c>
      <c r="M384" s="16">
        <f t="shared" si="56"/>
        <v>0</v>
      </c>
      <c r="N384" s="17">
        <f>VLOOKUP(K384,RPM!$A$2:$D$62,3,FALSE)</f>
        <v>15</v>
      </c>
      <c r="O384" s="16">
        <f>VLOOKUP(K384,RPM!$A$2:$D$62,4,FALSE)</f>
        <v>15.721323529411764</v>
      </c>
      <c r="P384" s="17">
        <f t="shared" si="57"/>
        <v>11.723390955882353</v>
      </c>
      <c r="Q384" s="16" cm="1">
        <f t="array" ref="Q384">_xlfn.XLOOKUP(O384,BSFC!$A$2:$A$24,_xlfn.XLOOKUP(K384,BSFC!$B$1:$O$1,BSFC!$B$2:$O$24,,-1),,-1)</f>
        <v>440</v>
      </c>
      <c r="R384" s="17">
        <f t="shared" si="58"/>
        <v>1.4328588946078433</v>
      </c>
      <c r="S384" s="16">
        <f t="shared" si="60"/>
        <v>2.6955348133305399E-4</v>
      </c>
      <c r="T384" s="17">
        <f t="shared" si="64"/>
        <v>0.11860353178654376</v>
      </c>
      <c r="U384" s="16">
        <f t="shared" si="65"/>
        <v>54.81466795727173</v>
      </c>
      <c r="V384" s="17">
        <f t="shared" si="66"/>
        <v>0.11414291096446635</v>
      </c>
      <c r="W384" s="16">
        <f t="shared" si="61"/>
        <v>410914.47947207885</v>
      </c>
      <c r="X384">
        <f>('Hybrid Info'!$A$2-Track!P384)*(L384-L383)*1000+X383</f>
        <v>-28357.533856041191</v>
      </c>
    </row>
    <row r="385" spans="1:24">
      <c r="A385" s="16">
        <f t="shared" si="62"/>
        <v>384</v>
      </c>
      <c r="B385" s="17">
        <f t="shared" si="63"/>
        <v>12.081081170387082</v>
      </c>
      <c r="C385" s="18">
        <f>Specification!$G$30</f>
        <v>109.96225200000001</v>
      </c>
      <c r="D385" s="17">
        <f>0.5*Specification!$K$4*Track!B385^2*Specification!$K$3*Specification!$K$2</f>
        <v>75.597088939043402</v>
      </c>
      <c r="E385" s="16">
        <v>0</v>
      </c>
      <c r="F385" s="17">
        <f>Specification!$C$23*9.81*SIN((E385*PI()/180))</f>
        <v>0</v>
      </c>
      <c r="G385" s="18">
        <f>IF(J385=1,VLOOKUP(K385,RPM!$E$2:$H$62,3,FALSE)-F385-E385-D385,IF(J385=2,VLOOKUP(K385,RPM!$H$2:$K$62,3,FALSE)-F385-E385-D385,IF(J385=3,VLOOKUP(K385,RPM!$K$2:$N$62,3,FALSE)-F385-E385-D385)))</f>
        <v>852.82752893960401</v>
      </c>
      <c r="H385" s="19">
        <f>IF(J385=1,Specification!$I$14,IF(J385=2,Specification!$I$15,IF(J385=3,Specification!$I$16)))</f>
        <v>582.50936296077191</v>
      </c>
      <c r="I385" s="16">
        <v>0</v>
      </c>
      <c r="J385" s="17">
        <v>2</v>
      </c>
      <c r="K385" s="16">
        <f>IF(J385=1,VLOOKUP(B385,RPM!$F$2:$H$62,3,TRUE),IF(J385=2,VLOOKUP(B385,RPM!$I$2:$K$62,3,TRUE),IF(J385=3,VLOOKUP(B385,RPM!$L$2:$N$62,3,TRUE))))</f>
        <v>6800</v>
      </c>
      <c r="L385" s="17">
        <f t="shared" si="59"/>
        <v>32.06377996815602</v>
      </c>
      <c r="M385" s="16">
        <f t="shared" si="56"/>
        <v>0</v>
      </c>
      <c r="N385" s="17">
        <f>VLOOKUP(K385,RPM!$A$2:$D$62,3,FALSE)</f>
        <v>15</v>
      </c>
      <c r="O385" s="16">
        <f>VLOOKUP(K385,RPM!$A$2:$D$62,4,FALSE)</f>
        <v>15.721323529411764</v>
      </c>
      <c r="P385" s="17">
        <f t="shared" si="57"/>
        <v>11.723390955882353</v>
      </c>
      <c r="Q385" s="16" cm="1">
        <f t="array" ref="Q385">_xlfn.XLOOKUP(O385,BSFC!$A$2:$A$24,_xlfn.XLOOKUP(K385,BSFC!$B$1:$O$1,BSFC!$B$2:$O$24,,-1),,-1)</f>
        <v>440</v>
      </c>
      <c r="R385" s="17">
        <f t="shared" si="58"/>
        <v>1.4328588946078433</v>
      </c>
      <c r="S385" s="16">
        <f t="shared" si="60"/>
        <v>2.6955348133306554E-4</v>
      </c>
      <c r="T385" s="17">
        <f t="shared" si="64"/>
        <v>0.11860353178654884</v>
      </c>
      <c r="U385" s="16">
        <f t="shared" si="65"/>
        <v>54.933271489058278</v>
      </c>
      <c r="V385" s="17">
        <f t="shared" si="66"/>
        <v>0.11441246444579942</v>
      </c>
      <c r="W385" s="16">
        <f t="shared" si="61"/>
        <v>411884.87200487789</v>
      </c>
      <c r="X385">
        <f>('Hybrid Info'!$A$2-Track!P385)*(L385-L384)*1000+X384</f>
        <v>-28324.667291012553</v>
      </c>
    </row>
    <row r="386" spans="1:24">
      <c r="A386" s="16">
        <f t="shared" si="62"/>
        <v>385</v>
      </c>
      <c r="B386" s="17">
        <f t="shared" si="63"/>
        <v>12.081081170387082</v>
      </c>
      <c r="C386" s="18">
        <f>Specification!$G$30</f>
        <v>109.96225200000001</v>
      </c>
      <c r="D386" s="17">
        <f>0.5*Specification!$K$4*Track!B386^2*Specification!$K$3*Specification!$K$2</f>
        <v>75.597088939043402</v>
      </c>
      <c r="E386" s="16">
        <v>0</v>
      </c>
      <c r="F386" s="17">
        <f>Specification!$C$23*9.81*SIN((E386*PI()/180))</f>
        <v>0</v>
      </c>
      <c r="G386" s="18">
        <f>IF(J386=1,VLOOKUP(K386,RPM!$E$2:$H$62,3,FALSE)-F386-E386-D386,IF(J386=2,VLOOKUP(K386,RPM!$H$2:$K$62,3,FALSE)-F386-E386-D386,IF(J386=3,VLOOKUP(K386,RPM!$K$2:$N$62,3,FALSE)-F386-E386-D386)))</f>
        <v>852.82752893960401</v>
      </c>
      <c r="H386" s="19">
        <f>IF(J386=1,Specification!$I$14,IF(J386=2,Specification!$I$15,IF(J386=3,Specification!$I$16)))</f>
        <v>582.50936296077191</v>
      </c>
      <c r="I386" s="16">
        <v>0</v>
      </c>
      <c r="J386" s="17">
        <v>2</v>
      </c>
      <c r="K386" s="16">
        <f>IF(J386=1,VLOOKUP(B386,RPM!$F$2:$H$62,3,TRUE),IF(J386=2,VLOOKUP(B386,RPM!$I$2:$K$62,3,TRUE),IF(J386=3,VLOOKUP(B386,RPM!$L$2:$N$62,3,TRUE))))</f>
        <v>6800</v>
      </c>
      <c r="L386" s="17">
        <f t="shared" si="59"/>
        <v>32.146554016761137</v>
      </c>
      <c r="M386" s="16">
        <f t="shared" ref="M386:M449" si="67">TAN(E386*PI()/180)+M385</f>
        <v>0</v>
      </c>
      <c r="N386" s="17">
        <f>VLOOKUP(K386,RPM!$A$2:$D$62,3,FALSE)</f>
        <v>15</v>
      </c>
      <c r="O386" s="16">
        <f>VLOOKUP(K386,RPM!$A$2:$D$62,4,FALSE)</f>
        <v>15.721323529411764</v>
      </c>
      <c r="P386" s="17">
        <f t="shared" ref="P386:P449" si="68">O386*0.7457</f>
        <v>11.723390955882353</v>
      </c>
      <c r="Q386" s="16" cm="1">
        <f t="array" ref="Q386">_xlfn.XLOOKUP(O386,BSFC!$A$2:$A$24,_xlfn.XLOOKUP(K386,BSFC!$B$1:$O$1,BSFC!$B$2:$O$24,,-1),,-1)</f>
        <v>440</v>
      </c>
      <c r="R386" s="17">
        <f t="shared" ref="R386:R449" si="69">Q386*P386/3600</f>
        <v>1.4328588946078433</v>
      </c>
      <c r="S386" s="16">
        <f t="shared" si="60"/>
        <v>2.6955348133305399E-4</v>
      </c>
      <c r="T386" s="17">
        <f t="shared" si="64"/>
        <v>0.11860353178654376</v>
      </c>
      <c r="U386" s="16">
        <f t="shared" si="65"/>
        <v>55.051875020844818</v>
      </c>
      <c r="V386" s="17">
        <f t="shared" si="66"/>
        <v>0.11468201792713247</v>
      </c>
      <c r="W386" s="16">
        <f t="shared" si="61"/>
        <v>412855.26453767688</v>
      </c>
      <c r="X386">
        <f>('Hybrid Info'!$A$2-Track!P386)*(L386-L385)*1000+X385</f>
        <v>-28291.800725983918</v>
      </c>
    </row>
    <row r="387" spans="1:24">
      <c r="A387" s="16">
        <f t="shared" si="62"/>
        <v>386</v>
      </c>
      <c r="B387" s="17">
        <f t="shared" si="63"/>
        <v>12.081081170387082</v>
      </c>
      <c r="C387" s="18">
        <f>Specification!$G$30</f>
        <v>109.96225200000001</v>
      </c>
      <c r="D387" s="17">
        <f>0.5*Specification!$K$4*Track!B387^2*Specification!$K$3*Specification!$K$2</f>
        <v>75.597088939043402</v>
      </c>
      <c r="E387" s="16">
        <v>0</v>
      </c>
      <c r="F387" s="17">
        <f>Specification!$C$23*9.81*SIN((E387*PI()/180))</f>
        <v>0</v>
      </c>
      <c r="G387" s="18">
        <f>IF(J387=1,VLOOKUP(K387,RPM!$E$2:$H$62,3,FALSE)-F387-E387-D387,IF(J387=2,VLOOKUP(K387,RPM!$H$2:$K$62,3,FALSE)-F387-E387-D387,IF(J387=3,VLOOKUP(K387,RPM!$K$2:$N$62,3,FALSE)-F387-E387-D387)))</f>
        <v>852.82752893960401</v>
      </c>
      <c r="H387" s="19">
        <f>IF(J387=1,Specification!$I$14,IF(J387=2,Specification!$I$15,IF(J387=3,Specification!$I$16)))</f>
        <v>582.50936296077191</v>
      </c>
      <c r="I387" s="16">
        <v>0</v>
      </c>
      <c r="J387" s="17">
        <v>2</v>
      </c>
      <c r="K387" s="16">
        <f>IF(J387=1,VLOOKUP(B387,RPM!$F$2:$H$62,3,TRUE),IF(J387=2,VLOOKUP(B387,RPM!$I$2:$K$62,3,TRUE),IF(J387=3,VLOOKUP(B387,RPM!$L$2:$N$62,3,TRUE))))</f>
        <v>6800</v>
      </c>
      <c r="L387" s="17">
        <f t="shared" ref="L387:L450" si="70">IF(I387=0,ABS(1/B387)+L386,IF(ABS(B388-B387)=0,1/B387+L386,ABS((B388-B387)/I387)+L386))</f>
        <v>32.229328065366253</v>
      </c>
      <c r="M387" s="16">
        <f t="shared" si="67"/>
        <v>0</v>
      </c>
      <c r="N387" s="17">
        <f>VLOOKUP(K387,RPM!$A$2:$D$62,3,FALSE)</f>
        <v>15</v>
      </c>
      <c r="O387" s="16">
        <f>VLOOKUP(K387,RPM!$A$2:$D$62,4,FALSE)</f>
        <v>15.721323529411764</v>
      </c>
      <c r="P387" s="17">
        <f t="shared" si="68"/>
        <v>11.723390955882353</v>
      </c>
      <c r="Q387" s="16" cm="1">
        <f t="array" ref="Q387">_xlfn.XLOOKUP(O387,BSFC!$A$2:$A$24,_xlfn.XLOOKUP(K387,BSFC!$B$1:$O$1,BSFC!$B$2:$O$24,,-1),,-1)</f>
        <v>440</v>
      </c>
      <c r="R387" s="17">
        <f t="shared" si="69"/>
        <v>1.4328588946078433</v>
      </c>
      <c r="S387" s="16">
        <f t="shared" ref="S387:S450" si="71">(L387-L386)/3600*P387</f>
        <v>2.6955348133305399E-4</v>
      </c>
      <c r="T387" s="17">
        <f t="shared" si="64"/>
        <v>0.11860353178654376</v>
      </c>
      <c r="U387" s="16">
        <f t="shared" si="65"/>
        <v>55.170478552631359</v>
      </c>
      <c r="V387" s="17">
        <f t="shared" si="66"/>
        <v>0.11495157140846551</v>
      </c>
      <c r="W387" s="16">
        <f t="shared" ref="W387:W450" si="72">V387*1000*3600</f>
        <v>413825.65707047586</v>
      </c>
      <c r="X387">
        <f>('Hybrid Info'!$A$2-Track!P387)*(L387-L386)*1000+X386</f>
        <v>-28258.934160955283</v>
      </c>
    </row>
    <row r="388" spans="1:24">
      <c r="A388" s="16">
        <f t="shared" ref="A388:A451" si="73">A387+1</f>
        <v>387</v>
      </c>
      <c r="B388" s="17">
        <f t="shared" ref="B388:B451" si="74">IF(SQRT(B387^2+2*I387)&gt;13.4112,13.4112,SQRT(B387^2+2*I387))</f>
        <v>12.081081170387082</v>
      </c>
      <c r="C388" s="18">
        <f>Specification!$G$30</f>
        <v>109.96225200000001</v>
      </c>
      <c r="D388" s="17">
        <f>0.5*Specification!$K$4*Track!B388^2*Specification!$K$3*Specification!$K$2</f>
        <v>75.597088939043402</v>
      </c>
      <c r="E388" s="16">
        <v>0</v>
      </c>
      <c r="F388" s="17">
        <f>Specification!$C$23*9.81*SIN((E388*PI()/180))</f>
        <v>0</v>
      </c>
      <c r="G388" s="18">
        <f>IF(J388=1,VLOOKUP(K388,RPM!$E$2:$H$62,3,FALSE)-F388-E388-D388,IF(J388=2,VLOOKUP(K388,RPM!$H$2:$K$62,3,FALSE)-F388-E388-D388,IF(J388=3,VLOOKUP(K388,RPM!$K$2:$N$62,3,FALSE)-F388-E388-D388)))</f>
        <v>852.82752893960401</v>
      </c>
      <c r="H388" s="19">
        <f>IF(J388=1,Specification!$I$14,IF(J388=2,Specification!$I$15,IF(J388=3,Specification!$I$16)))</f>
        <v>582.50936296077191</v>
      </c>
      <c r="I388" s="16">
        <v>0</v>
      </c>
      <c r="J388" s="17">
        <v>2</v>
      </c>
      <c r="K388" s="16">
        <f>IF(J388=1,VLOOKUP(B388,RPM!$F$2:$H$62,3,TRUE),IF(J388=2,VLOOKUP(B388,RPM!$I$2:$K$62,3,TRUE),IF(J388=3,VLOOKUP(B388,RPM!$L$2:$N$62,3,TRUE))))</f>
        <v>6800</v>
      </c>
      <c r="L388" s="17">
        <f t="shared" si="70"/>
        <v>32.31210211397137</v>
      </c>
      <c r="M388" s="16">
        <f t="shared" si="67"/>
        <v>0</v>
      </c>
      <c r="N388" s="17">
        <f>VLOOKUP(K388,RPM!$A$2:$D$62,3,FALSE)</f>
        <v>15</v>
      </c>
      <c r="O388" s="16">
        <f>VLOOKUP(K388,RPM!$A$2:$D$62,4,FALSE)</f>
        <v>15.721323529411764</v>
      </c>
      <c r="P388" s="17">
        <f t="shared" si="68"/>
        <v>11.723390955882353</v>
      </c>
      <c r="Q388" s="16" cm="1">
        <f t="array" ref="Q388">_xlfn.XLOOKUP(O388,BSFC!$A$2:$A$24,_xlfn.XLOOKUP(K388,BSFC!$B$1:$O$1,BSFC!$B$2:$O$24,,-1),,-1)</f>
        <v>440</v>
      </c>
      <c r="R388" s="17">
        <f t="shared" si="69"/>
        <v>1.4328588946078433</v>
      </c>
      <c r="S388" s="16">
        <f t="shared" si="71"/>
        <v>2.6955348133305399E-4</v>
      </c>
      <c r="T388" s="17">
        <f t="shared" ref="T388:T451" si="75">S388*Q388</f>
        <v>0.11860353178654376</v>
      </c>
      <c r="U388" s="16">
        <f t="shared" ref="U388:U451" si="76">U387+T388</f>
        <v>55.289082084417899</v>
      </c>
      <c r="V388" s="17">
        <f t="shared" si="66"/>
        <v>0.11522112488979856</v>
      </c>
      <c r="W388" s="16">
        <f t="shared" si="72"/>
        <v>414796.04960327479</v>
      </c>
      <c r="X388">
        <f>('Hybrid Info'!$A$2-Track!P388)*(L388-L387)*1000+X387</f>
        <v>-28226.067595926648</v>
      </c>
    </row>
    <row r="389" spans="1:24">
      <c r="A389" s="16">
        <f t="shared" si="73"/>
        <v>388</v>
      </c>
      <c r="B389" s="17">
        <f t="shared" si="74"/>
        <v>12.081081170387082</v>
      </c>
      <c r="C389" s="18">
        <f>Specification!$G$30</f>
        <v>109.96225200000001</v>
      </c>
      <c r="D389" s="17">
        <f>0.5*Specification!$K$4*Track!B389^2*Specification!$K$3*Specification!$K$2</f>
        <v>75.597088939043402</v>
      </c>
      <c r="E389" s="16">
        <v>0</v>
      </c>
      <c r="F389" s="17">
        <f>Specification!$C$23*9.81*SIN((E389*PI()/180))</f>
        <v>0</v>
      </c>
      <c r="G389" s="18">
        <f>IF(J389=1,VLOOKUP(K389,RPM!$E$2:$H$62,3,FALSE)-F389-E389-D389,IF(J389=2,VLOOKUP(K389,RPM!$H$2:$K$62,3,FALSE)-F389-E389-D389,IF(J389=3,VLOOKUP(K389,RPM!$K$2:$N$62,3,FALSE)-F389-E389-D389)))</f>
        <v>852.82752893960401</v>
      </c>
      <c r="H389" s="19">
        <f>IF(J389=1,Specification!$I$14,IF(J389=2,Specification!$I$15,IF(J389=3,Specification!$I$16)))</f>
        <v>582.50936296077191</v>
      </c>
      <c r="I389" s="16">
        <v>0</v>
      </c>
      <c r="J389" s="17">
        <v>2</v>
      </c>
      <c r="K389" s="16">
        <f>IF(J389=1,VLOOKUP(B389,RPM!$F$2:$H$62,3,TRUE),IF(J389=2,VLOOKUP(B389,RPM!$I$2:$K$62,3,TRUE),IF(J389=3,VLOOKUP(B389,RPM!$L$2:$N$62,3,TRUE))))</f>
        <v>6800</v>
      </c>
      <c r="L389" s="17">
        <f t="shared" si="70"/>
        <v>32.394876162576487</v>
      </c>
      <c r="M389" s="16">
        <f t="shared" si="67"/>
        <v>0</v>
      </c>
      <c r="N389" s="17">
        <f>VLOOKUP(K389,RPM!$A$2:$D$62,3,FALSE)</f>
        <v>15</v>
      </c>
      <c r="O389" s="16">
        <f>VLOOKUP(K389,RPM!$A$2:$D$62,4,FALSE)</f>
        <v>15.721323529411764</v>
      </c>
      <c r="P389" s="17">
        <f t="shared" si="68"/>
        <v>11.723390955882353</v>
      </c>
      <c r="Q389" s="16" cm="1">
        <f t="array" ref="Q389">_xlfn.XLOOKUP(O389,BSFC!$A$2:$A$24,_xlfn.XLOOKUP(K389,BSFC!$B$1:$O$1,BSFC!$B$2:$O$24,,-1),,-1)</f>
        <v>440</v>
      </c>
      <c r="R389" s="17">
        <f t="shared" si="69"/>
        <v>1.4328588946078433</v>
      </c>
      <c r="S389" s="16">
        <f t="shared" si="71"/>
        <v>2.6955348133305399E-4</v>
      </c>
      <c r="T389" s="17">
        <f t="shared" si="75"/>
        <v>0.11860353178654376</v>
      </c>
      <c r="U389" s="16">
        <f t="shared" si="76"/>
        <v>55.407685616204439</v>
      </c>
      <c r="V389" s="17">
        <f t="shared" ref="V389:V452" si="77">V388+S389</f>
        <v>0.11549067837113161</v>
      </c>
      <c r="W389" s="16">
        <f t="shared" si="72"/>
        <v>415766.44213607378</v>
      </c>
      <c r="X389">
        <f>('Hybrid Info'!$A$2-Track!P389)*(L389-L388)*1000+X388</f>
        <v>-28193.201030898013</v>
      </c>
    </row>
    <row r="390" spans="1:24">
      <c r="A390" s="16">
        <f t="shared" si="73"/>
        <v>389</v>
      </c>
      <c r="B390" s="17">
        <f t="shared" si="74"/>
        <v>12.081081170387082</v>
      </c>
      <c r="C390" s="18">
        <f>Specification!$G$30</f>
        <v>109.96225200000001</v>
      </c>
      <c r="D390" s="17">
        <f>0.5*Specification!$K$4*Track!B390^2*Specification!$K$3*Specification!$K$2</f>
        <v>75.597088939043402</v>
      </c>
      <c r="E390" s="16">
        <v>0</v>
      </c>
      <c r="F390" s="17">
        <f>Specification!$C$23*9.81*SIN((E390*PI()/180))</f>
        <v>0</v>
      </c>
      <c r="G390" s="18">
        <f>IF(J390=1,VLOOKUP(K390,RPM!$E$2:$H$62,3,FALSE)-F390-E390-D390,IF(J390=2,VLOOKUP(K390,RPM!$H$2:$K$62,3,FALSE)-F390-E390-D390,IF(J390=3,VLOOKUP(K390,RPM!$K$2:$N$62,3,FALSE)-F390-E390-D390)))</f>
        <v>852.82752893960401</v>
      </c>
      <c r="H390" s="19">
        <f>IF(J390=1,Specification!$I$14,IF(J390=2,Specification!$I$15,IF(J390=3,Specification!$I$16)))</f>
        <v>582.50936296077191</v>
      </c>
      <c r="I390" s="16">
        <v>0</v>
      </c>
      <c r="J390" s="17">
        <v>2</v>
      </c>
      <c r="K390" s="16">
        <f>IF(J390=1,VLOOKUP(B390,RPM!$F$2:$H$62,3,TRUE),IF(J390=2,VLOOKUP(B390,RPM!$I$2:$K$62,3,TRUE),IF(J390=3,VLOOKUP(B390,RPM!$L$2:$N$62,3,TRUE))))</f>
        <v>6800</v>
      </c>
      <c r="L390" s="17">
        <f t="shared" si="70"/>
        <v>32.477650211181604</v>
      </c>
      <c r="M390" s="16">
        <f t="shared" si="67"/>
        <v>0</v>
      </c>
      <c r="N390" s="17">
        <f>VLOOKUP(K390,RPM!$A$2:$D$62,3,FALSE)</f>
        <v>15</v>
      </c>
      <c r="O390" s="16">
        <f>VLOOKUP(K390,RPM!$A$2:$D$62,4,FALSE)</f>
        <v>15.721323529411764</v>
      </c>
      <c r="P390" s="17">
        <f t="shared" si="68"/>
        <v>11.723390955882353</v>
      </c>
      <c r="Q390" s="16" cm="1">
        <f t="array" ref="Q390">_xlfn.XLOOKUP(O390,BSFC!$A$2:$A$24,_xlfn.XLOOKUP(K390,BSFC!$B$1:$O$1,BSFC!$B$2:$O$24,,-1),,-1)</f>
        <v>440</v>
      </c>
      <c r="R390" s="17">
        <f t="shared" si="69"/>
        <v>1.4328588946078433</v>
      </c>
      <c r="S390" s="16">
        <f t="shared" si="71"/>
        <v>2.6955348133305399E-4</v>
      </c>
      <c r="T390" s="17">
        <f t="shared" si="75"/>
        <v>0.11860353178654376</v>
      </c>
      <c r="U390" s="16">
        <f t="shared" si="76"/>
        <v>55.52628914799098</v>
      </c>
      <c r="V390" s="17">
        <f t="shared" si="77"/>
        <v>0.11576023185246466</v>
      </c>
      <c r="W390" s="16">
        <f t="shared" si="72"/>
        <v>416736.83466887276</v>
      </c>
      <c r="X390">
        <f>('Hybrid Info'!$A$2-Track!P390)*(L390-L389)*1000+X389</f>
        <v>-28160.334465869379</v>
      </c>
    </row>
    <row r="391" spans="1:24">
      <c r="A391" s="16">
        <f t="shared" si="73"/>
        <v>390</v>
      </c>
      <c r="B391" s="17">
        <f t="shared" si="74"/>
        <v>12.081081170387082</v>
      </c>
      <c r="C391" s="18">
        <f>Specification!$G$30</f>
        <v>109.96225200000001</v>
      </c>
      <c r="D391" s="17">
        <f>0.5*Specification!$K$4*Track!B391^2*Specification!$K$3*Specification!$K$2</f>
        <v>75.597088939043402</v>
      </c>
      <c r="E391" s="16">
        <v>0</v>
      </c>
      <c r="F391" s="17">
        <f>Specification!$C$23*9.81*SIN((E391*PI()/180))</f>
        <v>0</v>
      </c>
      <c r="G391" s="18">
        <f>IF(J391=1,VLOOKUP(K391,RPM!$E$2:$H$62,3,FALSE)-F391-E391-D391,IF(J391=2,VLOOKUP(K391,RPM!$H$2:$K$62,3,FALSE)-F391-E391-D391,IF(J391=3,VLOOKUP(K391,RPM!$K$2:$N$62,3,FALSE)-F391-E391-D391)))</f>
        <v>852.82752893960401</v>
      </c>
      <c r="H391" s="19">
        <f>IF(J391=1,Specification!$I$14,IF(J391=2,Specification!$I$15,IF(J391=3,Specification!$I$16)))</f>
        <v>582.50936296077191</v>
      </c>
      <c r="I391" s="16">
        <v>0</v>
      </c>
      <c r="J391" s="17">
        <v>2</v>
      </c>
      <c r="K391" s="16">
        <f>IF(J391=1,VLOOKUP(B391,RPM!$F$2:$H$62,3,TRUE),IF(J391=2,VLOOKUP(B391,RPM!$I$2:$K$62,3,TRUE),IF(J391=3,VLOOKUP(B391,RPM!$L$2:$N$62,3,TRUE))))</f>
        <v>6800</v>
      </c>
      <c r="L391" s="17">
        <f t="shared" si="70"/>
        <v>32.560424259786721</v>
      </c>
      <c r="M391" s="16">
        <f t="shared" si="67"/>
        <v>0</v>
      </c>
      <c r="N391" s="17">
        <f>VLOOKUP(K391,RPM!$A$2:$D$62,3,FALSE)</f>
        <v>15</v>
      </c>
      <c r="O391" s="16">
        <f>VLOOKUP(K391,RPM!$A$2:$D$62,4,FALSE)</f>
        <v>15.721323529411764</v>
      </c>
      <c r="P391" s="17">
        <f t="shared" si="68"/>
        <v>11.723390955882353</v>
      </c>
      <c r="Q391" s="16" cm="1">
        <f t="array" ref="Q391">_xlfn.XLOOKUP(O391,BSFC!$A$2:$A$24,_xlfn.XLOOKUP(K391,BSFC!$B$1:$O$1,BSFC!$B$2:$O$24,,-1),,-1)</f>
        <v>440</v>
      </c>
      <c r="R391" s="17">
        <f t="shared" si="69"/>
        <v>1.4328588946078433</v>
      </c>
      <c r="S391" s="16">
        <f t="shared" si="71"/>
        <v>2.6955348133305399E-4</v>
      </c>
      <c r="T391" s="17">
        <f t="shared" si="75"/>
        <v>0.11860353178654376</v>
      </c>
      <c r="U391" s="16">
        <f t="shared" si="76"/>
        <v>55.64489267977752</v>
      </c>
      <c r="V391" s="17">
        <f t="shared" si="77"/>
        <v>0.11602978533379771</v>
      </c>
      <c r="W391" s="16">
        <f t="shared" si="72"/>
        <v>417707.22720167175</v>
      </c>
      <c r="X391">
        <f>('Hybrid Info'!$A$2-Track!P391)*(L391-L390)*1000+X390</f>
        <v>-28127.467900840744</v>
      </c>
    </row>
    <row r="392" spans="1:24">
      <c r="A392" s="16">
        <f t="shared" si="73"/>
        <v>391</v>
      </c>
      <c r="B392" s="17">
        <f t="shared" si="74"/>
        <v>12.081081170387082</v>
      </c>
      <c r="C392" s="18">
        <f>Specification!$G$30</f>
        <v>109.96225200000001</v>
      </c>
      <c r="D392" s="17">
        <f>0.5*Specification!$K$4*Track!B392^2*Specification!$K$3*Specification!$K$2</f>
        <v>75.597088939043402</v>
      </c>
      <c r="E392" s="16">
        <v>0</v>
      </c>
      <c r="F392" s="17">
        <f>Specification!$C$23*9.81*SIN((E392*PI()/180))</f>
        <v>0</v>
      </c>
      <c r="G392" s="18">
        <f>IF(J392=1,VLOOKUP(K392,RPM!$E$2:$H$62,3,FALSE)-F392-E392-D392,IF(J392=2,VLOOKUP(K392,RPM!$H$2:$K$62,3,FALSE)-F392-E392-D392,IF(J392=3,VLOOKUP(K392,RPM!$K$2:$N$62,3,FALSE)-F392-E392-D392)))</f>
        <v>852.82752893960401</v>
      </c>
      <c r="H392" s="19">
        <f>IF(J392=1,Specification!$I$14,IF(J392=2,Specification!$I$15,IF(J392=3,Specification!$I$16)))</f>
        <v>582.50936296077191</v>
      </c>
      <c r="I392" s="16">
        <v>0</v>
      </c>
      <c r="J392" s="17">
        <v>2</v>
      </c>
      <c r="K392" s="16">
        <f>IF(J392=1,VLOOKUP(B392,RPM!$F$2:$H$62,3,TRUE),IF(J392=2,VLOOKUP(B392,RPM!$I$2:$K$62,3,TRUE),IF(J392=3,VLOOKUP(B392,RPM!$L$2:$N$62,3,TRUE))))</f>
        <v>6800</v>
      </c>
      <c r="L392" s="17">
        <f t="shared" si="70"/>
        <v>32.643198308391838</v>
      </c>
      <c r="M392" s="16">
        <f t="shared" si="67"/>
        <v>0</v>
      </c>
      <c r="N392" s="17">
        <f>VLOOKUP(K392,RPM!$A$2:$D$62,3,FALSE)</f>
        <v>15</v>
      </c>
      <c r="O392" s="16">
        <f>VLOOKUP(K392,RPM!$A$2:$D$62,4,FALSE)</f>
        <v>15.721323529411764</v>
      </c>
      <c r="P392" s="17">
        <f t="shared" si="68"/>
        <v>11.723390955882353</v>
      </c>
      <c r="Q392" s="16" cm="1">
        <f t="array" ref="Q392">_xlfn.XLOOKUP(O392,BSFC!$A$2:$A$24,_xlfn.XLOOKUP(K392,BSFC!$B$1:$O$1,BSFC!$B$2:$O$24,,-1),,-1)</f>
        <v>440</v>
      </c>
      <c r="R392" s="17">
        <f t="shared" si="69"/>
        <v>1.4328588946078433</v>
      </c>
      <c r="S392" s="16">
        <f t="shared" si="71"/>
        <v>2.6955348133305399E-4</v>
      </c>
      <c r="T392" s="17">
        <f t="shared" si="75"/>
        <v>0.11860353178654376</v>
      </c>
      <c r="U392" s="16">
        <f t="shared" si="76"/>
        <v>55.76349621156406</v>
      </c>
      <c r="V392" s="17">
        <f t="shared" si="77"/>
        <v>0.11629933881513076</v>
      </c>
      <c r="W392" s="16">
        <f t="shared" si="72"/>
        <v>418677.61973447073</v>
      </c>
      <c r="X392">
        <f>('Hybrid Info'!$A$2-Track!P392)*(L392-L391)*1000+X391</f>
        <v>-28094.601335812109</v>
      </c>
    </row>
    <row r="393" spans="1:24">
      <c r="A393" s="16">
        <f t="shared" si="73"/>
        <v>392</v>
      </c>
      <c r="B393" s="17">
        <f t="shared" si="74"/>
        <v>12.081081170387082</v>
      </c>
      <c r="C393" s="18">
        <f>Specification!$G$30</f>
        <v>109.96225200000001</v>
      </c>
      <c r="D393" s="17">
        <f>0.5*Specification!$K$4*Track!B393^2*Specification!$K$3*Specification!$K$2</f>
        <v>75.597088939043402</v>
      </c>
      <c r="E393" s="16">
        <v>0</v>
      </c>
      <c r="F393" s="17">
        <f>Specification!$C$23*9.81*SIN((E393*PI()/180))</f>
        <v>0</v>
      </c>
      <c r="G393" s="18">
        <f>IF(J393=1,VLOOKUP(K393,RPM!$E$2:$H$62,3,FALSE)-F393-E393-D393,IF(J393=2,VLOOKUP(K393,RPM!$H$2:$K$62,3,FALSE)-F393-E393-D393,IF(J393=3,VLOOKUP(K393,RPM!$K$2:$N$62,3,FALSE)-F393-E393-D393)))</f>
        <v>852.82752893960401</v>
      </c>
      <c r="H393" s="19">
        <f>IF(J393=1,Specification!$I$14,IF(J393=2,Specification!$I$15,IF(J393=3,Specification!$I$16)))</f>
        <v>582.50936296077191</v>
      </c>
      <c r="I393" s="16">
        <v>0</v>
      </c>
      <c r="J393" s="17">
        <v>2</v>
      </c>
      <c r="K393" s="16">
        <f>IF(J393=1,VLOOKUP(B393,RPM!$F$2:$H$62,3,TRUE),IF(J393=2,VLOOKUP(B393,RPM!$I$2:$K$62,3,TRUE),IF(J393=3,VLOOKUP(B393,RPM!$L$2:$N$62,3,TRUE))))</f>
        <v>6800</v>
      </c>
      <c r="L393" s="17">
        <f t="shared" si="70"/>
        <v>32.725972356996955</v>
      </c>
      <c r="M393" s="16">
        <f t="shared" si="67"/>
        <v>0</v>
      </c>
      <c r="N393" s="17">
        <f>VLOOKUP(K393,RPM!$A$2:$D$62,3,FALSE)</f>
        <v>15</v>
      </c>
      <c r="O393" s="16">
        <f>VLOOKUP(K393,RPM!$A$2:$D$62,4,FALSE)</f>
        <v>15.721323529411764</v>
      </c>
      <c r="P393" s="17">
        <f t="shared" si="68"/>
        <v>11.723390955882353</v>
      </c>
      <c r="Q393" s="16" cm="1">
        <f t="array" ref="Q393">_xlfn.XLOOKUP(O393,BSFC!$A$2:$A$24,_xlfn.XLOOKUP(K393,BSFC!$B$1:$O$1,BSFC!$B$2:$O$24,,-1),,-1)</f>
        <v>440</v>
      </c>
      <c r="R393" s="17">
        <f t="shared" si="69"/>
        <v>1.4328588946078433</v>
      </c>
      <c r="S393" s="16">
        <f t="shared" si="71"/>
        <v>2.6955348133305399E-4</v>
      </c>
      <c r="T393" s="17">
        <f t="shared" si="75"/>
        <v>0.11860353178654376</v>
      </c>
      <c r="U393" s="16">
        <f t="shared" si="76"/>
        <v>55.882099743350601</v>
      </c>
      <c r="V393" s="17">
        <f t="shared" si="77"/>
        <v>0.11656889229646381</v>
      </c>
      <c r="W393" s="16">
        <f t="shared" si="72"/>
        <v>419648.01226726966</v>
      </c>
      <c r="X393">
        <f>('Hybrid Info'!$A$2-Track!P393)*(L393-L392)*1000+X392</f>
        <v>-28061.734770783474</v>
      </c>
    </row>
    <row r="394" spans="1:24">
      <c r="A394" s="16">
        <f t="shared" si="73"/>
        <v>393</v>
      </c>
      <c r="B394" s="17">
        <f t="shared" si="74"/>
        <v>12.081081170387082</v>
      </c>
      <c r="C394" s="18">
        <f>Specification!$G$30</f>
        <v>109.96225200000001</v>
      </c>
      <c r="D394" s="17">
        <f>0.5*Specification!$K$4*Track!B394^2*Specification!$K$3*Specification!$K$2</f>
        <v>75.597088939043402</v>
      </c>
      <c r="E394" s="16">
        <v>0</v>
      </c>
      <c r="F394" s="17">
        <f>Specification!$C$23*9.81*SIN((E394*PI()/180))</f>
        <v>0</v>
      </c>
      <c r="G394" s="18">
        <f>IF(J394=1,VLOOKUP(K394,RPM!$E$2:$H$62,3,FALSE)-F394-E394-D394,IF(J394=2,VLOOKUP(K394,RPM!$H$2:$K$62,3,FALSE)-F394-E394-D394,IF(J394=3,VLOOKUP(K394,RPM!$K$2:$N$62,3,FALSE)-F394-E394-D394)))</f>
        <v>852.82752893960401</v>
      </c>
      <c r="H394" s="19">
        <f>IF(J394=1,Specification!$I$14,IF(J394=2,Specification!$I$15,IF(J394=3,Specification!$I$16)))</f>
        <v>582.50936296077191</v>
      </c>
      <c r="I394" s="16">
        <v>0</v>
      </c>
      <c r="J394" s="17">
        <v>2</v>
      </c>
      <c r="K394" s="16">
        <f>IF(J394=1,VLOOKUP(B394,RPM!$F$2:$H$62,3,TRUE),IF(J394=2,VLOOKUP(B394,RPM!$I$2:$K$62,3,TRUE),IF(J394=3,VLOOKUP(B394,RPM!$L$2:$N$62,3,TRUE))))</f>
        <v>6800</v>
      </c>
      <c r="L394" s="17">
        <f t="shared" si="70"/>
        <v>32.808746405602072</v>
      </c>
      <c r="M394" s="16">
        <f t="shared" si="67"/>
        <v>0</v>
      </c>
      <c r="N394" s="17">
        <f>VLOOKUP(K394,RPM!$A$2:$D$62,3,FALSE)</f>
        <v>15</v>
      </c>
      <c r="O394" s="16">
        <f>VLOOKUP(K394,RPM!$A$2:$D$62,4,FALSE)</f>
        <v>15.721323529411764</v>
      </c>
      <c r="P394" s="17">
        <f t="shared" si="68"/>
        <v>11.723390955882353</v>
      </c>
      <c r="Q394" s="16" cm="1">
        <f t="array" ref="Q394">_xlfn.XLOOKUP(O394,BSFC!$A$2:$A$24,_xlfn.XLOOKUP(K394,BSFC!$B$1:$O$1,BSFC!$B$2:$O$24,,-1),,-1)</f>
        <v>440</v>
      </c>
      <c r="R394" s="17">
        <f t="shared" si="69"/>
        <v>1.4328588946078433</v>
      </c>
      <c r="S394" s="16">
        <f t="shared" si="71"/>
        <v>2.6955348133305399E-4</v>
      </c>
      <c r="T394" s="17">
        <f t="shared" si="75"/>
        <v>0.11860353178654376</v>
      </c>
      <c r="U394" s="16">
        <f t="shared" si="76"/>
        <v>56.000703275137141</v>
      </c>
      <c r="V394" s="17">
        <f t="shared" si="77"/>
        <v>0.11683844577779685</v>
      </c>
      <c r="W394" s="16">
        <f t="shared" si="72"/>
        <v>420618.40480006865</v>
      </c>
      <c r="X394">
        <f>('Hybrid Info'!$A$2-Track!P394)*(L394-L393)*1000+X393</f>
        <v>-28028.868205754839</v>
      </c>
    </row>
    <row r="395" spans="1:24">
      <c r="A395" s="16">
        <f t="shared" si="73"/>
        <v>394</v>
      </c>
      <c r="B395" s="17">
        <f t="shared" si="74"/>
        <v>12.081081170387082</v>
      </c>
      <c r="C395" s="18">
        <f>Specification!$G$30</f>
        <v>109.96225200000001</v>
      </c>
      <c r="D395" s="17">
        <f>0.5*Specification!$K$4*Track!B395^2*Specification!$K$3*Specification!$K$2</f>
        <v>75.597088939043402</v>
      </c>
      <c r="E395" s="16">
        <v>0</v>
      </c>
      <c r="F395" s="17">
        <f>Specification!$C$23*9.81*SIN((E395*PI()/180))</f>
        <v>0</v>
      </c>
      <c r="G395" s="18">
        <f>IF(J395=1,VLOOKUP(K395,RPM!$E$2:$H$62,3,FALSE)-F395-E395-D395,IF(J395=2,VLOOKUP(K395,RPM!$H$2:$K$62,3,FALSE)-F395-E395-D395,IF(J395=3,VLOOKUP(K395,RPM!$K$2:$N$62,3,FALSE)-F395-E395-D395)))</f>
        <v>852.82752893960401</v>
      </c>
      <c r="H395" s="19">
        <f>IF(J395=1,Specification!$I$14,IF(J395=2,Specification!$I$15,IF(J395=3,Specification!$I$16)))</f>
        <v>582.50936296077191</v>
      </c>
      <c r="I395" s="16">
        <v>0</v>
      </c>
      <c r="J395" s="17">
        <v>2</v>
      </c>
      <c r="K395" s="16">
        <f>IF(J395=1,VLOOKUP(B395,RPM!$F$2:$H$62,3,TRUE),IF(J395=2,VLOOKUP(B395,RPM!$I$2:$K$62,3,TRUE),IF(J395=3,VLOOKUP(B395,RPM!$L$2:$N$62,3,TRUE))))</f>
        <v>6800</v>
      </c>
      <c r="L395" s="17">
        <f t="shared" si="70"/>
        <v>32.891520454207189</v>
      </c>
      <c r="M395" s="16">
        <f t="shared" si="67"/>
        <v>0</v>
      </c>
      <c r="N395" s="17">
        <f>VLOOKUP(K395,RPM!$A$2:$D$62,3,FALSE)</f>
        <v>15</v>
      </c>
      <c r="O395" s="16">
        <f>VLOOKUP(K395,RPM!$A$2:$D$62,4,FALSE)</f>
        <v>15.721323529411764</v>
      </c>
      <c r="P395" s="17">
        <f t="shared" si="68"/>
        <v>11.723390955882353</v>
      </c>
      <c r="Q395" s="16" cm="1">
        <f t="array" ref="Q395">_xlfn.XLOOKUP(O395,BSFC!$A$2:$A$24,_xlfn.XLOOKUP(K395,BSFC!$B$1:$O$1,BSFC!$B$2:$O$24,,-1),,-1)</f>
        <v>440</v>
      </c>
      <c r="R395" s="17">
        <f t="shared" si="69"/>
        <v>1.4328588946078433</v>
      </c>
      <c r="S395" s="16">
        <f t="shared" si="71"/>
        <v>2.6955348133305399E-4</v>
      </c>
      <c r="T395" s="17">
        <f t="shared" si="75"/>
        <v>0.11860353178654376</v>
      </c>
      <c r="U395" s="16">
        <f t="shared" si="76"/>
        <v>56.119306806923682</v>
      </c>
      <c r="V395" s="17">
        <f t="shared" si="77"/>
        <v>0.1171079992591299</v>
      </c>
      <c r="W395" s="16">
        <f t="shared" si="72"/>
        <v>421588.79733286763</v>
      </c>
      <c r="X395">
        <f>('Hybrid Info'!$A$2-Track!P395)*(L395-L394)*1000+X394</f>
        <v>-27996.001640726205</v>
      </c>
    </row>
    <row r="396" spans="1:24">
      <c r="A396" s="16">
        <f t="shared" si="73"/>
        <v>395</v>
      </c>
      <c r="B396" s="17">
        <f t="shared" si="74"/>
        <v>12.081081170387082</v>
      </c>
      <c r="C396" s="18">
        <f>Specification!$G$30</f>
        <v>109.96225200000001</v>
      </c>
      <c r="D396" s="17">
        <f>0.5*Specification!$K$4*Track!B396^2*Specification!$K$3*Specification!$K$2</f>
        <v>75.597088939043402</v>
      </c>
      <c r="E396" s="16">
        <v>0</v>
      </c>
      <c r="F396" s="17">
        <f>Specification!$C$23*9.81*SIN((E396*PI()/180))</f>
        <v>0</v>
      </c>
      <c r="G396" s="18">
        <f>IF(J396=1,VLOOKUP(K396,RPM!$E$2:$H$62,3,FALSE)-F396-E396-D396,IF(J396=2,VLOOKUP(K396,RPM!$H$2:$K$62,3,FALSE)-F396-E396-D396,IF(J396=3,VLOOKUP(K396,RPM!$K$2:$N$62,3,FALSE)-F396-E396-D396)))</f>
        <v>852.82752893960401</v>
      </c>
      <c r="H396" s="19">
        <f>IF(J396=1,Specification!$I$14,IF(J396=2,Specification!$I$15,IF(J396=3,Specification!$I$16)))</f>
        <v>582.50936296077191</v>
      </c>
      <c r="I396" s="16">
        <v>0</v>
      </c>
      <c r="J396" s="17">
        <v>2</v>
      </c>
      <c r="K396" s="16">
        <f>IF(J396=1,VLOOKUP(B396,RPM!$F$2:$H$62,3,TRUE),IF(J396=2,VLOOKUP(B396,RPM!$I$2:$K$62,3,TRUE),IF(J396=3,VLOOKUP(B396,RPM!$L$2:$N$62,3,TRUE))))</f>
        <v>6800</v>
      </c>
      <c r="L396" s="17">
        <f t="shared" si="70"/>
        <v>32.974294502812306</v>
      </c>
      <c r="M396" s="16">
        <f t="shared" si="67"/>
        <v>0</v>
      </c>
      <c r="N396" s="17">
        <f>VLOOKUP(K396,RPM!$A$2:$D$62,3,FALSE)</f>
        <v>15</v>
      </c>
      <c r="O396" s="16">
        <f>VLOOKUP(K396,RPM!$A$2:$D$62,4,FALSE)</f>
        <v>15.721323529411764</v>
      </c>
      <c r="P396" s="17">
        <f t="shared" si="68"/>
        <v>11.723390955882353</v>
      </c>
      <c r="Q396" s="16" cm="1">
        <f t="array" ref="Q396">_xlfn.XLOOKUP(O396,BSFC!$A$2:$A$24,_xlfn.XLOOKUP(K396,BSFC!$B$1:$O$1,BSFC!$B$2:$O$24,,-1),,-1)</f>
        <v>440</v>
      </c>
      <c r="R396" s="17">
        <f t="shared" si="69"/>
        <v>1.4328588946078433</v>
      </c>
      <c r="S396" s="16">
        <f t="shared" si="71"/>
        <v>2.6955348133305399E-4</v>
      </c>
      <c r="T396" s="17">
        <f t="shared" si="75"/>
        <v>0.11860353178654376</v>
      </c>
      <c r="U396" s="16">
        <f t="shared" si="76"/>
        <v>56.237910338710222</v>
      </c>
      <c r="V396" s="17">
        <f t="shared" si="77"/>
        <v>0.11737755274046295</v>
      </c>
      <c r="W396" s="16">
        <f t="shared" si="72"/>
        <v>422559.18986566662</v>
      </c>
      <c r="X396">
        <f>('Hybrid Info'!$A$2-Track!P396)*(L396-L395)*1000+X395</f>
        <v>-27963.13507569757</v>
      </c>
    </row>
    <row r="397" spans="1:24">
      <c r="A397" s="16">
        <f t="shared" si="73"/>
        <v>396</v>
      </c>
      <c r="B397" s="17">
        <f t="shared" si="74"/>
        <v>12.081081170387082</v>
      </c>
      <c r="C397" s="18">
        <f>Specification!$G$30</f>
        <v>109.96225200000001</v>
      </c>
      <c r="D397" s="17">
        <f>0.5*Specification!$K$4*Track!B397^2*Specification!$K$3*Specification!$K$2</f>
        <v>75.597088939043402</v>
      </c>
      <c r="E397" s="16">
        <v>0</v>
      </c>
      <c r="F397" s="17">
        <f>Specification!$C$23*9.81*SIN((E397*PI()/180))</f>
        <v>0</v>
      </c>
      <c r="G397" s="18">
        <f>IF(J397=1,VLOOKUP(K397,RPM!$E$2:$H$62,3,FALSE)-F397-E397-D397,IF(J397=2,VLOOKUP(K397,RPM!$H$2:$K$62,3,FALSE)-F397-E397-D397,IF(J397=3,VLOOKUP(K397,RPM!$K$2:$N$62,3,FALSE)-F397-E397-D397)))</f>
        <v>852.82752893960401</v>
      </c>
      <c r="H397" s="19">
        <f>IF(J397=1,Specification!$I$14,IF(J397=2,Specification!$I$15,IF(J397=3,Specification!$I$16)))</f>
        <v>582.50936296077191</v>
      </c>
      <c r="I397" s="16">
        <v>0</v>
      </c>
      <c r="J397" s="17">
        <v>2</v>
      </c>
      <c r="K397" s="16">
        <f>IF(J397=1,VLOOKUP(B397,RPM!$F$2:$H$62,3,TRUE),IF(J397=2,VLOOKUP(B397,RPM!$I$2:$K$62,3,TRUE),IF(J397=3,VLOOKUP(B397,RPM!$L$2:$N$62,3,TRUE))))</f>
        <v>6800</v>
      </c>
      <c r="L397" s="17">
        <f t="shared" si="70"/>
        <v>33.057068551417423</v>
      </c>
      <c r="M397" s="16">
        <f t="shared" si="67"/>
        <v>0</v>
      </c>
      <c r="N397" s="17">
        <f>VLOOKUP(K397,RPM!$A$2:$D$62,3,FALSE)</f>
        <v>15</v>
      </c>
      <c r="O397" s="16">
        <f>VLOOKUP(K397,RPM!$A$2:$D$62,4,FALSE)</f>
        <v>15.721323529411764</v>
      </c>
      <c r="P397" s="17">
        <f t="shared" si="68"/>
        <v>11.723390955882353</v>
      </c>
      <c r="Q397" s="16" cm="1">
        <f t="array" ref="Q397">_xlfn.XLOOKUP(O397,BSFC!$A$2:$A$24,_xlfn.XLOOKUP(K397,BSFC!$B$1:$O$1,BSFC!$B$2:$O$24,,-1),,-1)</f>
        <v>440</v>
      </c>
      <c r="R397" s="17">
        <f t="shared" si="69"/>
        <v>1.4328588946078433</v>
      </c>
      <c r="S397" s="16">
        <f t="shared" si="71"/>
        <v>2.6955348133305399E-4</v>
      </c>
      <c r="T397" s="17">
        <f t="shared" si="75"/>
        <v>0.11860353178654376</v>
      </c>
      <c r="U397" s="16">
        <f t="shared" si="76"/>
        <v>56.356513870496762</v>
      </c>
      <c r="V397" s="17">
        <f t="shared" si="77"/>
        <v>0.117647106221796</v>
      </c>
      <c r="W397" s="16">
        <f t="shared" si="72"/>
        <v>423529.5823984656</v>
      </c>
      <c r="X397">
        <f>('Hybrid Info'!$A$2-Track!P397)*(L397-L396)*1000+X396</f>
        <v>-27930.268510668935</v>
      </c>
    </row>
    <row r="398" spans="1:24">
      <c r="A398" s="16">
        <f t="shared" si="73"/>
        <v>397</v>
      </c>
      <c r="B398" s="17">
        <f t="shared" si="74"/>
        <v>12.081081170387082</v>
      </c>
      <c r="C398" s="18">
        <f>Specification!$G$30</f>
        <v>109.96225200000001</v>
      </c>
      <c r="D398" s="17">
        <f>0.5*Specification!$K$4*Track!B398^2*Specification!$K$3*Specification!$K$2</f>
        <v>75.597088939043402</v>
      </c>
      <c r="E398" s="16">
        <v>0</v>
      </c>
      <c r="F398" s="17">
        <f>Specification!$C$23*9.81*SIN((E398*PI()/180))</f>
        <v>0</v>
      </c>
      <c r="G398" s="18">
        <f>IF(J398=1,VLOOKUP(K398,RPM!$E$2:$H$62,3,FALSE)-F398-E398-D398,IF(J398=2,VLOOKUP(K398,RPM!$H$2:$K$62,3,FALSE)-F398-E398-D398,IF(J398=3,VLOOKUP(K398,RPM!$K$2:$N$62,3,FALSE)-F398-E398-D398)))</f>
        <v>852.82752893960401</v>
      </c>
      <c r="H398" s="19">
        <f>IF(J398=1,Specification!$I$14,IF(J398=2,Specification!$I$15,IF(J398=3,Specification!$I$16)))</f>
        <v>582.50936296077191</v>
      </c>
      <c r="I398" s="16">
        <v>0</v>
      </c>
      <c r="J398" s="17">
        <v>2</v>
      </c>
      <c r="K398" s="16">
        <f>IF(J398=1,VLOOKUP(B398,RPM!$F$2:$H$62,3,TRUE),IF(J398=2,VLOOKUP(B398,RPM!$I$2:$K$62,3,TRUE),IF(J398=3,VLOOKUP(B398,RPM!$L$2:$N$62,3,TRUE))))</f>
        <v>6800</v>
      </c>
      <c r="L398" s="17">
        <f t="shared" si="70"/>
        <v>33.13984260002254</v>
      </c>
      <c r="M398" s="16">
        <f t="shared" si="67"/>
        <v>0</v>
      </c>
      <c r="N398" s="17">
        <f>VLOOKUP(K398,RPM!$A$2:$D$62,3,FALSE)</f>
        <v>15</v>
      </c>
      <c r="O398" s="16">
        <f>VLOOKUP(K398,RPM!$A$2:$D$62,4,FALSE)</f>
        <v>15.721323529411764</v>
      </c>
      <c r="P398" s="17">
        <f t="shared" si="68"/>
        <v>11.723390955882353</v>
      </c>
      <c r="Q398" s="16" cm="1">
        <f t="array" ref="Q398">_xlfn.XLOOKUP(O398,BSFC!$A$2:$A$24,_xlfn.XLOOKUP(K398,BSFC!$B$1:$O$1,BSFC!$B$2:$O$24,,-1),,-1)</f>
        <v>440</v>
      </c>
      <c r="R398" s="17">
        <f t="shared" si="69"/>
        <v>1.4328588946078433</v>
      </c>
      <c r="S398" s="16">
        <f t="shared" si="71"/>
        <v>2.6955348133305399E-4</v>
      </c>
      <c r="T398" s="17">
        <f t="shared" si="75"/>
        <v>0.11860353178654376</v>
      </c>
      <c r="U398" s="16">
        <f t="shared" si="76"/>
        <v>56.475117402283303</v>
      </c>
      <c r="V398" s="17">
        <f t="shared" si="77"/>
        <v>0.11791665970312905</v>
      </c>
      <c r="W398" s="16">
        <f t="shared" si="72"/>
        <v>424499.97493126453</v>
      </c>
      <c r="X398">
        <f>('Hybrid Info'!$A$2-Track!P398)*(L398-L397)*1000+X397</f>
        <v>-27897.4019456403</v>
      </c>
    </row>
    <row r="399" spans="1:24">
      <c r="A399" s="16">
        <f t="shared" si="73"/>
        <v>398</v>
      </c>
      <c r="B399" s="17">
        <f t="shared" si="74"/>
        <v>12.081081170387082</v>
      </c>
      <c r="C399" s="18">
        <f>Specification!$G$30</f>
        <v>109.96225200000001</v>
      </c>
      <c r="D399" s="17">
        <f>0.5*Specification!$K$4*Track!B399^2*Specification!$K$3*Specification!$K$2</f>
        <v>75.597088939043402</v>
      </c>
      <c r="E399" s="16">
        <v>0</v>
      </c>
      <c r="F399" s="17">
        <f>Specification!$C$23*9.81*SIN((E399*PI()/180))</f>
        <v>0</v>
      </c>
      <c r="G399" s="18">
        <f>IF(J399=1,VLOOKUP(K399,RPM!$E$2:$H$62,3,FALSE)-F399-E399-D399,IF(J399=2,VLOOKUP(K399,RPM!$H$2:$K$62,3,FALSE)-F399-E399-D399,IF(J399=3,VLOOKUP(K399,RPM!$K$2:$N$62,3,FALSE)-F399-E399-D399)))</f>
        <v>852.82752893960401</v>
      </c>
      <c r="H399" s="19">
        <f>IF(J399=1,Specification!$I$14,IF(J399=2,Specification!$I$15,IF(J399=3,Specification!$I$16)))</f>
        <v>582.50936296077191</v>
      </c>
      <c r="I399" s="16">
        <v>0</v>
      </c>
      <c r="J399" s="17">
        <v>2</v>
      </c>
      <c r="K399" s="16">
        <f>IF(J399=1,VLOOKUP(B399,RPM!$F$2:$H$62,3,TRUE),IF(J399=2,VLOOKUP(B399,RPM!$I$2:$K$62,3,TRUE),IF(J399=3,VLOOKUP(B399,RPM!$L$2:$N$62,3,TRUE))))</f>
        <v>6800</v>
      </c>
      <c r="L399" s="17">
        <f t="shared" si="70"/>
        <v>33.222616648627657</v>
      </c>
      <c r="M399" s="16">
        <f t="shared" si="67"/>
        <v>0</v>
      </c>
      <c r="N399" s="17">
        <f>VLOOKUP(K399,RPM!$A$2:$D$62,3,FALSE)</f>
        <v>15</v>
      </c>
      <c r="O399" s="16">
        <f>VLOOKUP(K399,RPM!$A$2:$D$62,4,FALSE)</f>
        <v>15.721323529411764</v>
      </c>
      <c r="P399" s="17">
        <f t="shared" si="68"/>
        <v>11.723390955882353</v>
      </c>
      <c r="Q399" s="16" cm="1">
        <f t="array" ref="Q399">_xlfn.XLOOKUP(O399,BSFC!$A$2:$A$24,_xlfn.XLOOKUP(K399,BSFC!$B$1:$O$1,BSFC!$B$2:$O$24,,-1),,-1)</f>
        <v>440</v>
      </c>
      <c r="R399" s="17">
        <f t="shared" si="69"/>
        <v>1.4328588946078433</v>
      </c>
      <c r="S399" s="16">
        <f t="shared" si="71"/>
        <v>2.6955348133305399E-4</v>
      </c>
      <c r="T399" s="17">
        <f t="shared" si="75"/>
        <v>0.11860353178654376</v>
      </c>
      <c r="U399" s="16">
        <f t="shared" si="76"/>
        <v>56.593720934069843</v>
      </c>
      <c r="V399" s="17">
        <f t="shared" si="77"/>
        <v>0.1181862131844621</v>
      </c>
      <c r="W399" s="16">
        <f t="shared" si="72"/>
        <v>425470.36746406351</v>
      </c>
      <c r="X399">
        <f>('Hybrid Info'!$A$2-Track!P399)*(L399-L398)*1000+X398</f>
        <v>-27864.535380611665</v>
      </c>
    </row>
    <row r="400" spans="1:24">
      <c r="A400" s="16">
        <f t="shared" si="73"/>
        <v>399</v>
      </c>
      <c r="B400" s="17">
        <f t="shared" si="74"/>
        <v>12.081081170387082</v>
      </c>
      <c r="C400" s="18">
        <f>Specification!$G$30</f>
        <v>109.96225200000001</v>
      </c>
      <c r="D400" s="17">
        <f>0.5*Specification!$K$4*Track!B400^2*Specification!$K$3*Specification!$K$2</f>
        <v>75.597088939043402</v>
      </c>
      <c r="E400" s="16">
        <v>0</v>
      </c>
      <c r="F400" s="17">
        <f>Specification!$C$23*9.81*SIN((E400*PI()/180))</f>
        <v>0</v>
      </c>
      <c r="G400" s="18">
        <f>IF(J400=1,VLOOKUP(K400,RPM!$E$2:$H$62,3,FALSE)-F400-E400-D400,IF(J400=2,VLOOKUP(K400,RPM!$H$2:$K$62,3,FALSE)-F400-E400-D400,IF(J400=3,VLOOKUP(K400,RPM!$K$2:$N$62,3,FALSE)-F400-E400-D400)))</f>
        <v>852.82752893960401</v>
      </c>
      <c r="H400" s="19">
        <f>IF(J400=1,Specification!$I$14,IF(J400=2,Specification!$I$15,IF(J400=3,Specification!$I$16)))</f>
        <v>582.50936296077191</v>
      </c>
      <c r="I400" s="16">
        <v>0</v>
      </c>
      <c r="J400" s="17">
        <v>2</v>
      </c>
      <c r="K400" s="16">
        <f>IF(J400=1,VLOOKUP(B400,RPM!$F$2:$H$62,3,TRUE),IF(J400=2,VLOOKUP(B400,RPM!$I$2:$K$62,3,TRUE),IF(J400=3,VLOOKUP(B400,RPM!$L$2:$N$62,3,TRUE))))</f>
        <v>6800</v>
      </c>
      <c r="L400" s="17">
        <f t="shared" si="70"/>
        <v>33.305390697232774</v>
      </c>
      <c r="M400" s="16">
        <f t="shared" si="67"/>
        <v>0</v>
      </c>
      <c r="N400" s="17">
        <f>VLOOKUP(K400,RPM!$A$2:$D$62,3,FALSE)</f>
        <v>15</v>
      </c>
      <c r="O400" s="16">
        <f>VLOOKUP(K400,RPM!$A$2:$D$62,4,FALSE)</f>
        <v>15.721323529411764</v>
      </c>
      <c r="P400" s="17">
        <f t="shared" si="68"/>
        <v>11.723390955882353</v>
      </c>
      <c r="Q400" s="16" cm="1">
        <f t="array" ref="Q400">_xlfn.XLOOKUP(O400,BSFC!$A$2:$A$24,_xlfn.XLOOKUP(K400,BSFC!$B$1:$O$1,BSFC!$B$2:$O$24,,-1),,-1)</f>
        <v>440</v>
      </c>
      <c r="R400" s="17">
        <f t="shared" si="69"/>
        <v>1.4328588946078433</v>
      </c>
      <c r="S400" s="16">
        <f t="shared" si="71"/>
        <v>2.6955348133305399E-4</v>
      </c>
      <c r="T400" s="17">
        <f t="shared" si="75"/>
        <v>0.11860353178654376</v>
      </c>
      <c r="U400" s="16">
        <f t="shared" si="76"/>
        <v>56.712324465856383</v>
      </c>
      <c r="V400" s="17">
        <f t="shared" si="77"/>
        <v>0.11845576666579515</v>
      </c>
      <c r="W400" s="16">
        <f t="shared" si="72"/>
        <v>426440.7599968625</v>
      </c>
      <c r="X400">
        <f>('Hybrid Info'!$A$2-Track!P400)*(L400-L399)*1000+X399</f>
        <v>-27831.668815583031</v>
      </c>
    </row>
    <row r="401" spans="1:24">
      <c r="A401" s="16">
        <f t="shared" si="73"/>
        <v>400</v>
      </c>
      <c r="B401" s="17">
        <f t="shared" si="74"/>
        <v>12.081081170387082</v>
      </c>
      <c r="C401" s="18">
        <f>Specification!$G$30</f>
        <v>109.96225200000001</v>
      </c>
      <c r="D401" s="17">
        <f>0.5*Specification!$K$4*Track!B401^2*Specification!$K$3*Specification!$K$2</f>
        <v>75.597088939043402</v>
      </c>
      <c r="E401" s="16">
        <v>0</v>
      </c>
      <c r="F401" s="17">
        <f>Specification!$C$23*9.81*SIN((E401*PI()/180))</f>
        <v>0</v>
      </c>
      <c r="G401" s="18">
        <f>IF(J401=1,VLOOKUP(K401,RPM!$E$2:$H$62,3,FALSE)-F401-E401-D401,IF(J401=2,VLOOKUP(K401,RPM!$H$2:$K$62,3,FALSE)-F401-E401-D401,IF(J401=3,VLOOKUP(K401,RPM!$K$2:$N$62,3,FALSE)-F401-E401-D401)))</f>
        <v>852.82752893960401</v>
      </c>
      <c r="H401" s="19">
        <f>IF(J401=1,Specification!$I$14,IF(J401=2,Specification!$I$15,IF(J401=3,Specification!$I$16)))</f>
        <v>582.50936296077191</v>
      </c>
      <c r="I401" s="16">
        <v>0</v>
      </c>
      <c r="J401" s="17">
        <v>2</v>
      </c>
      <c r="K401" s="16">
        <f>IF(J401=1,VLOOKUP(B401,RPM!$F$2:$H$62,3,TRUE),IF(J401=2,VLOOKUP(B401,RPM!$I$2:$K$62,3,TRUE),IF(J401=3,VLOOKUP(B401,RPM!$L$2:$N$62,3,TRUE))))</f>
        <v>6800</v>
      </c>
      <c r="L401" s="17">
        <f t="shared" si="70"/>
        <v>33.388164745837891</v>
      </c>
      <c r="M401" s="16">
        <f t="shared" si="67"/>
        <v>0</v>
      </c>
      <c r="N401" s="17">
        <f>VLOOKUP(K401,RPM!$A$2:$D$62,3,FALSE)</f>
        <v>15</v>
      </c>
      <c r="O401" s="16">
        <f>VLOOKUP(K401,RPM!$A$2:$D$62,4,FALSE)</f>
        <v>15.721323529411764</v>
      </c>
      <c r="P401" s="17">
        <f t="shared" si="68"/>
        <v>11.723390955882353</v>
      </c>
      <c r="Q401" s="16" cm="1">
        <f t="array" ref="Q401">_xlfn.XLOOKUP(O401,BSFC!$A$2:$A$24,_xlfn.XLOOKUP(K401,BSFC!$B$1:$O$1,BSFC!$B$2:$O$24,,-1),,-1)</f>
        <v>440</v>
      </c>
      <c r="R401" s="17">
        <f t="shared" si="69"/>
        <v>1.4328588946078433</v>
      </c>
      <c r="S401" s="16">
        <f t="shared" si="71"/>
        <v>2.6955348133305399E-4</v>
      </c>
      <c r="T401" s="17">
        <f t="shared" si="75"/>
        <v>0.11860353178654376</v>
      </c>
      <c r="U401" s="16">
        <f t="shared" si="76"/>
        <v>56.830927997642924</v>
      </c>
      <c r="V401" s="17">
        <f t="shared" si="77"/>
        <v>0.11872532014712819</v>
      </c>
      <c r="W401" s="16">
        <f t="shared" si="72"/>
        <v>427411.15252966149</v>
      </c>
      <c r="X401">
        <f>('Hybrid Info'!$A$2-Track!P401)*(L401-L400)*1000+X400</f>
        <v>-27798.802250554396</v>
      </c>
    </row>
    <row r="402" spans="1:24">
      <c r="A402" s="16">
        <f t="shared" si="73"/>
        <v>401</v>
      </c>
      <c r="B402" s="17">
        <f t="shared" si="74"/>
        <v>12.081081170387082</v>
      </c>
      <c r="C402" s="18">
        <f>Specification!$G$30</f>
        <v>109.96225200000001</v>
      </c>
      <c r="D402" s="17">
        <f>0.5*Specification!$K$4*Track!B402^2*Specification!$K$3*Specification!$K$2</f>
        <v>75.597088939043402</v>
      </c>
      <c r="E402" s="16">
        <v>0</v>
      </c>
      <c r="F402" s="17">
        <f>Specification!$C$23*9.81*SIN((E402*PI()/180))</f>
        <v>0</v>
      </c>
      <c r="G402" s="18">
        <f>IF(J402=1,VLOOKUP(K402,RPM!$E$2:$H$62,3,FALSE)-F402-E402-D402,IF(J402=2,VLOOKUP(K402,RPM!$H$2:$K$62,3,FALSE)-F402-E402-D402,IF(J402=3,VLOOKUP(K402,RPM!$K$2:$N$62,3,FALSE)-F402-E402-D402)))</f>
        <v>852.82752893960401</v>
      </c>
      <c r="H402" s="19">
        <f>IF(J402=1,Specification!$I$14,IF(J402=2,Specification!$I$15,IF(J402=3,Specification!$I$16)))</f>
        <v>582.50936296077191</v>
      </c>
      <c r="I402" s="16">
        <v>0</v>
      </c>
      <c r="J402" s="17">
        <v>2</v>
      </c>
      <c r="K402" s="16">
        <f>IF(J402=1,VLOOKUP(B402,RPM!$F$2:$H$62,3,TRUE),IF(J402=2,VLOOKUP(B402,RPM!$I$2:$K$62,3,TRUE),IF(J402=3,VLOOKUP(B402,RPM!$L$2:$N$62,3,TRUE))))</f>
        <v>6800</v>
      </c>
      <c r="L402" s="17">
        <f t="shared" si="70"/>
        <v>33.470938794443008</v>
      </c>
      <c r="M402" s="16">
        <f t="shared" si="67"/>
        <v>0</v>
      </c>
      <c r="N402" s="17">
        <f>VLOOKUP(K402,RPM!$A$2:$D$62,3,FALSE)</f>
        <v>15</v>
      </c>
      <c r="O402" s="16">
        <f>VLOOKUP(K402,RPM!$A$2:$D$62,4,FALSE)</f>
        <v>15.721323529411764</v>
      </c>
      <c r="P402" s="17">
        <f t="shared" si="68"/>
        <v>11.723390955882353</v>
      </c>
      <c r="Q402" s="16" cm="1">
        <f t="array" ref="Q402">_xlfn.XLOOKUP(O402,BSFC!$A$2:$A$24,_xlfn.XLOOKUP(K402,BSFC!$B$1:$O$1,BSFC!$B$2:$O$24,,-1),,-1)</f>
        <v>440</v>
      </c>
      <c r="R402" s="17">
        <f t="shared" si="69"/>
        <v>1.4328588946078433</v>
      </c>
      <c r="S402" s="16">
        <f t="shared" si="71"/>
        <v>2.6955348133305399E-4</v>
      </c>
      <c r="T402" s="17">
        <f t="shared" si="75"/>
        <v>0.11860353178654376</v>
      </c>
      <c r="U402" s="16">
        <f t="shared" si="76"/>
        <v>56.949531529429464</v>
      </c>
      <c r="V402" s="17">
        <f t="shared" si="77"/>
        <v>0.11899487362846124</v>
      </c>
      <c r="W402" s="16">
        <f t="shared" si="72"/>
        <v>428381.54506246047</v>
      </c>
      <c r="X402">
        <f>('Hybrid Info'!$A$2-Track!P402)*(L402-L401)*1000+X401</f>
        <v>-27765.935685525761</v>
      </c>
    </row>
    <row r="403" spans="1:24">
      <c r="A403" s="16">
        <f t="shared" si="73"/>
        <v>402</v>
      </c>
      <c r="B403" s="17">
        <f t="shared" si="74"/>
        <v>12.081081170387082</v>
      </c>
      <c r="C403" s="18">
        <f>Specification!$G$30</f>
        <v>109.96225200000001</v>
      </c>
      <c r="D403" s="17">
        <f>0.5*Specification!$K$4*Track!B403^2*Specification!$K$3*Specification!$K$2</f>
        <v>75.597088939043402</v>
      </c>
      <c r="E403" s="16">
        <v>0</v>
      </c>
      <c r="F403" s="17">
        <f>Specification!$C$23*9.81*SIN((E403*PI()/180))</f>
        <v>0</v>
      </c>
      <c r="G403" s="18">
        <f>IF(J403=1,VLOOKUP(K403,RPM!$E$2:$H$62,3,FALSE)-F403-E403-D403,IF(J403=2,VLOOKUP(K403,RPM!$H$2:$K$62,3,FALSE)-F403-E403-D403,IF(J403=3,VLOOKUP(K403,RPM!$K$2:$N$62,3,FALSE)-F403-E403-D403)))</f>
        <v>852.82752893960401</v>
      </c>
      <c r="H403" s="19">
        <f>IF(J403=1,Specification!$I$14,IF(J403=2,Specification!$I$15,IF(J403=3,Specification!$I$16)))</f>
        <v>582.50936296077191</v>
      </c>
      <c r="I403" s="16">
        <v>0</v>
      </c>
      <c r="J403" s="17">
        <v>2</v>
      </c>
      <c r="K403" s="16">
        <f>IF(J403=1,VLOOKUP(B403,RPM!$F$2:$H$62,3,TRUE),IF(J403=2,VLOOKUP(B403,RPM!$I$2:$K$62,3,TRUE),IF(J403=3,VLOOKUP(B403,RPM!$L$2:$N$62,3,TRUE))))</f>
        <v>6800</v>
      </c>
      <c r="L403" s="17">
        <f t="shared" si="70"/>
        <v>33.553712843048125</v>
      </c>
      <c r="M403" s="16">
        <f t="shared" si="67"/>
        <v>0</v>
      </c>
      <c r="N403" s="17">
        <f>VLOOKUP(K403,RPM!$A$2:$D$62,3,FALSE)</f>
        <v>15</v>
      </c>
      <c r="O403" s="16">
        <f>VLOOKUP(K403,RPM!$A$2:$D$62,4,FALSE)</f>
        <v>15.721323529411764</v>
      </c>
      <c r="P403" s="17">
        <f t="shared" si="68"/>
        <v>11.723390955882353</v>
      </c>
      <c r="Q403" s="16" cm="1">
        <f t="array" ref="Q403">_xlfn.XLOOKUP(O403,BSFC!$A$2:$A$24,_xlfn.XLOOKUP(K403,BSFC!$B$1:$O$1,BSFC!$B$2:$O$24,,-1),,-1)</f>
        <v>440</v>
      </c>
      <c r="R403" s="17">
        <f t="shared" si="69"/>
        <v>1.4328588946078433</v>
      </c>
      <c r="S403" s="16">
        <f t="shared" si="71"/>
        <v>2.6955348133305399E-4</v>
      </c>
      <c r="T403" s="17">
        <f t="shared" si="75"/>
        <v>0.11860353178654376</v>
      </c>
      <c r="U403" s="16">
        <f t="shared" si="76"/>
        <v>57.068135061216005</v>
      </c>
      <c r="V403" s="17">
        <f t="shared" si="77"/>
        <v>0.11926442710979429</v>
      </c>
      <c r="W403" s="16">
        <f t="shared" si="72"/>
        <v>429351.93759525946</v>
      </c>
      <c r="X403">
        <f>('Hybrid Info'!$A$2-Track!P403)*(L403-L402)*1000+X402</f>
        <v>-27733.069120497126</v>
      </c>
    </row>
    <row r="404" spans="1:24">
      <c r="A404" s="16">
        <f t="shared" si="73"/>
        <v>403</v>
      </c>
      <c r="B404" s="17">
        <f t="shared" si="74"/>
        <v>12.081081170387082</v>
      </c>
      <c r="C404" s="18">
        <f>Specification!$G$30</f>
        <v>109.96225200000001</v>
      </c>
      <c r="D404" s="17">
        <f>0.5*Specification!$K$4*Track!B404^2*Specification!$K$3*Specification!$K$2</f>
        <v>75.597088939043402</v>
      </c>
      <c r="E404" s="16">
        <v>0</v>
      </c>
      <c r="F404" s="17">
        <f>Specification!$C$23*9.81*SIN((E404*PI()/180))</f>
        <v>0</v>
      </c>
      <c r="G404" s="18">
        <f>IF(J404=1,VLOOKUP(K404,RPM!$E$2:$H$62,3,FALSE)-F404-E404-D404,IF(J404=2,VLOOKUP(K404,RPM!$H$2:$K$62,3,FALSE)-F404-E404-D404,IF(J404=3,VLOOKUP(K404,RPM!$K$2:$N$62,3,FALSE)-F404-E404-D404)))</f>
        <v>852.82752893960401</v>
      </c>
      <c r="H404" s="19">
        <f>IF(J404=1,Specification!$I$14,IF(J404=2,Specification!$I$15,IF(J404=3,Specification!$I$16)))</f>
        <v>582.50936296077191</v>
      </c>
      <c r="I404" s="16">
        <v>0</v>
      </c>
      <c r="J404" s="17">
        <v>2</v>
      </c>
      <c r="K404" s="16">
        <f>IF(J404=1,VLOOKUP(B404,RPM!$F$2:$H$62,3,TRUE),IF(J404=2,VLOOKUP(B404,RPM!$I$2:$K$62,3,TRUE),IF(J404=3,VLOOKUP(B404,RPM!$L$2:$N$62,3,TRUE))))</f>
        <v>6800</v>
      </c>
      <c r="L404" s="17">
        <f t="shared" si="70"/>
        <v>33.636486891653242</v>
      </c>
      <c r="M404" s="16">
        <f t="shared" si="67"/>
        <v>0</v>
      </c>
      <c r="N404" s="17">
        <f>VLOOKUP(K404,RPM!$A$2:$D$62,3,FALSE)</f>
        <v>15</v>
      </c>
      <c r="O404" s="16">
        <f>VLOOKUP(K404,RPM!$A$2:$D$62,4,FALSE)</f>
        <v>15.721323529411764</v>
      </c>
      <c r="P404" s="17">
        <f t="shared" si="68"/>
        <v>11.723390955882353</v>
      </c>
      <c r="Q404" s="16" cm="1">
        <f t="array" ref="Q404">_xlfn.XLOOKUP(O404,BSFC!$A$2:$A$24,_xlfn.XLOOKUP(K404,BSFC!$B$1:$O$1,BSFC!$B$2:$O$24,,-1),,-1)</f>
        <v>440</v>
      </c>
      <c r="R404" s="17">
        <f t="shared" si="69"/>
        <v>1.4328588946078433</v>
      </c>
      <c r="S404" s="16">
        <f t="shared" si="71"/>
        <v>2.6955348133305399E-4</v>
      </c>
      <c r="T404" s="17">
        <f t="shared" si="75"/>
        <v>0.11860353178654376</v>
      </c>
      <c r="U404" s="16">
        <f t="shared" si="76"/>
        <v>57.186738593002545</v>
      </c>
      <c r="V404" s="17">
        <f t="shared" si="77"/>
        <v>0.11953398059112734</v>
      </c>
      <c r="W404" s="16">
        <f t="shared" si="72"/>
        <v>430322.33012805844</v>
      </c>
      <c r="X404">
        <f>('Hybrid Info'!$A$2-Track!P404)*(L404-L403)*1000+X403</f>
        <v>-27700.202555468491</v>
      </c>
    </row>
    <row r="405" spans="1:24">
      <c r="A405" s="16">
        <f t="shared" si="73"/>
        <v>404</v>
      </c>
      <c r="B405" s="17">
        <f t="shared" si="74"/>
        <v>12.081081170387082</v>
      </c>
      <c r="C405" s="18">
        <f>Specification!$G$30</f>
        <v>109.96225200000001</v>
      </c>
      <c r="D405" s="17">
        <f>0.5*Specification!$K$4*Track!B405^2*Specification!$K$3*Specification!$K$2</f>
        <v>75.597088939043402</v>
      </c>
      <c r="E405" s="16">
        <v>0</v>
      </c>
      <c r="F405" s="17">
        <f>Specification!$C$23*9.81*SIN((E405*PI()/180))</f>
        <v>0</v>
      </c>
      <c r="G405" s="18">
        <f>IF(J405=1,VLOOKUP(K405,RPM!$E$2:$H$62,3,FALSE)-F405-E405-D405,IF(J405=2,VLOOKUP(K405,RPM!$H$2:$K$62,3,FALSE)-F405-E405-D405,IF(J405=3,VLOOKUP(K405,RPM!$K$2:$N$62,3,FALSE)-F405-E405-D405)))</f>
        <v>852.82752893960401</v>
      </c>
      <c r="H405" s="19">
        <f>IF(J405=1,Specification!$I$14,IF(J405=2,Specification!$I$15,IF(J405=3,Specification!$I$16)))</f>
        <v>582.50936296077191</v>
      </c>
      <c r="I405" s="16">
        <v>0</v>
      </c>
      <c r="J405" s="17">
        <v>2</v>
      </c>
      <c r="K405" s="16">
        <f>IF(J405=1,VLOOKUP(B405,RPM!$F$2:$H$62,3,TRUE),IF(J405=2,VLOOKUP(B405,RPM!$I$2:$K$62,3,TRUE),IF(J405=3,VLOOKUP(B405,RPM!$L$2:$N$62,3,TRUE))))</f>
        <v>6800</v>
      </c>
      <c r="L405" s="17">
        <f t="shared" si="70"/>
        <v>33.719260940258359</v>
      </c>
      <c r="M405" s="16">
        <f t="shared" si="67"/>
        <v>0</v>
      </c>
      <c r="N405" s="17">
        <f>VLOOKUP(K405,RPM!$A$2:$D$62,3,FALSE)</f>
        <v>15</v>
      </c>
      <c r="O405" s="16">
        <f>VLOOKUP(K405,RPM!$A$2:$D$62,4,FALSE)</f>
        <v>15.721323529411764</v>
      </c>
      <c r="P405" s="17">
        <f t="shared" si="68"/>
        <v>11.723390955882353</v>
      </c>
      <c r="Q405" s="16" cm="1">
        <f t="array" ref="Q405">_xlfn.XLOOKUP(O405,BSFC!$A$2:$A$24,_xlfn.XLOOKUP(K405,BSFC!$B$1:$O$1,BSFC!$B$2:$O$24,,-1),,-1)</f>
        <v>440</v>
      </c>
      <c r="R405" s="17">
        <f t="shared" si="69"/>
        <v>1.4328588946078433</v>
      </c>
      <c r="S405" s="16">
        <f t="shared" si="71"/>
        <v>2.6955348133305399E-4</v>
      </c>
      <c r="T405" s="17">
        <f t="shared" si="75"/>
        <v>0.11860353178654376</v>
      </c>
      <c r="U405" s="16">
        <f t="shared" si="76"/>
        <v>57.305342124789085</v>
      </c>
      <c r="V405" s="17">
        <f t="shared" si="77"/>
        <v>0.11980353407246039</v>
      </c>
      <c r="W405" s="16">
        <f t="shared" si="72"/>
        <v>431292.72266085743</v>
      </c>
      <c r="X405">
        <f>('Hybrid Info'!$A$2-Track!P405)*(L405-L404)*1000+X404</f>
        <v>-27667.335990439857</v>
      </c>
    </row>
    <row r="406" spans="1:24">
      <c r="A406" s="16">
        <f t="shared" si="73"/>
        <v>405</v>
      </c>
      <c r="B406" s="17">
        <f t="shared" si="74"/>
        <v>12.081081170387082</v>
      </c>
      <c r="C406" s="18">
        <f>Specification!$G$30</f>
        <v>109.96225200000001</v>
      </c>
      <c r="D406" s="17">
        <f>0.5*Specification!$K$4*Track!B406^2*Specification!$K$3*Specification!$K$2</f>
        <v>75.597088939043402</v>
      </c>
      <c r="E406" s="16">
        <v>0</v>
      </c>
      <c r="F406" s="17">
        <f>Specification!$C$23*9.81*SIN((E406*PI()/180))</f>
        <v>0</v>
      </c>
      <c r="G406" s="18">
        <f>IF(J406=1,VLOOKUP(K406,RPM!$E$2:$H$62,3,FALSE)-F406-E406-D406,IF(J406=2,VLOOKUP(K406,RPM!$H$2:$K$62,3,FALSE)-F406-E406-D406,IF(J406=3,VLOOKUP(K406,RPM!$K$2:$N$62,3,FALSE)-F406-E406-D406)))</f>
        <v>852.82752893960401</v>
      </c>
      <c r="H406" s="19">
        <f>IF(J406=1,Specification!$I$14,IF(J406=2,Specification!$I$15,IF(J406=3,Specification!$I$16)))</f>
        <v>582.50936296077191</v>
      </c>
      <c r="I406" s="16">
        <v>0</v>
      </c>
      <c r="J406" s="17">
        <v>2</v>
      </c>
      <c r="K406" s="16">
        <f>IF(J406=1,VLOOKUP(B406,RPM!$F$2:$H$62,3,TRUE),IF(J406=2,VLOOKUP(B406,RPM!$I$2:$K$62,3,TRUE),IF(J406=3,VLOOKUP(B406,RPM!$L$2:$N$62,3,TRUE))))</f>
        <v>6800</v>
      </c>
      <c r="L406" s="17">
        <f t="shared" si="70"/>
        <v>33.802034988863475</v>
      </c>
      <c r="M406" s="16">
        <f t="shared" si="67"/>
        <v>0</v>
      </c>
      <c r="N406" s="17">
        <f>VLOOKUP(K406,RPM!$A$2:$D$62,3,FALSE)</f>
        <v>15</v>
      </c>
      <c r="O406" s="16">
        <f>VLOOKUP(K406,RPM!$A$2:$D$62,4,FALSE)</f>
        <v>15.721323529411764</v>
      </c>
      <c r="P406" s="17">
        <f t="shared" si="68"/>
        <v>11.723390955882353</v>
      </c>
      <c r="Q406" s="16" cm="1">
        <f t="array" ref="Q406">_xlfn.XLOOKUP(O406,BSFC!$A$2:$A$24,_xlfn.XLOOKUP(K406,BSFC!$B$1:$O$1,BSFC!$B$2:$O$24,,-1),,-1)</f>
        <v>440</v>
      </c>
      <c r="R406" s="17">
        <f t="shared" si="69"/>
        <v>1.4328588946078433</v>
      </c>
      <c r="S406" s="16">
        <f t="shared" si="71"/>
        <v>2.6955348133305399E-4</v>
      </c>
      <c r="T406" s="17">
        <f t="shared" si="75"/>
        <v>0.11860353178654376</v>
      </c>
      <c r="U406" s="16">
        <f t="shared" si="76"/>
        <v>57.423945656575626</v>
      </c>
      <c r="V406" s="17">
        <f t="shared" si="77"/>
        <v>0.12007308755379344</v>
      </c>
      <c r="W406" s="16">
        <f t="shared" si="72"/>
        <v>432263.11519365641</v>
      </c>
      <c r="X406">
        <f>('Hybrid Info'!$A$2-Track!P406)*(L406-L405)*1000+X405</f>
        <v>-27634.469425411222</v>
      </c>
    </row>
    <row r="407" spans="1:24">
      <c r="A407" s="16">
        <f t="shared" si="73"/>
        <v>406</v>
      </c>
      <c r="B407" s="17">
        <f t="shared" si="74"/>
        <v>12.081081170387082</v>
      </c>
      <c r="C407" s="18">
        <f>Specification!$G$30</f>
        <v>109.96225200000001</v>
      </c>
      <c r="D407" s="17">
        <f>0.5*Specification!$K$4*Track!B407^2*Specification!$K$3*Specification!$K$2</f>
        <v>75.597088939043402</v>
      </c>
      <c r="E407" s="16">
        <v>0</v>
      </c>
      <c r="F407" s="17">
        <f>Specification!$C$23*9.81*SIN((E407*PI()/180))</f>
        <v>0</v>
      </c>
      <c r="G407" s="18">
        <f>IF(J407=1,VLOOKUP(K407,RPM!$E$2:$H$62,3,FALSE)-F407-E407-D407,IF(J407=2,VLOOKUP(K407,RPM!$H$2:$K$62,3,FALSE)-F407-E407-D407,IF(J407=3,VLOOKUP(K407,RPM!$K$2:$N$62,3,FALSE)-F407-E407-D407)))</f>
        <v>852.82752893960401</v>
      </c>
      <c r="H407" s="19">
        <f>IF(J407=1,Specification!$I$14,IF(J407=2,Specification!$I$15,IF(J407=3,Specification!$I$16)))</f>
        <v>582.50936296077191</v>
      </c>
      <c r="I407" s="16">
        <v>0</v>
      </c>
      <c r="J407" s="17">
        <v>2</v>
      </c>
      <c r="K407" s="16">
        <f>IF(J407=1,VLOOKUP(B407,RPM!$F$2:$H$62,3,TRUE),IF(J407=2,VLOOKUP(B407,RPM!$I$2:$K$62,3,TRUE),IF(J407=3,VLOOKUP(B407,RPM!$L$2:$N$62,3,TRUE))))</f>
        <v>6800</v>
      </c>
      <c r="L407" s="17">
        <f t="shared" si="70"/>
        <v>33.884809037468592</v>
      </c>
      <c r="M407" s="16">
        <f t="shared" si="67"/>
        <v>0</v>
      </c>
      <c r="N407" s="17">
        <f>VLOOKUP(K407,RPM!$A$2:$D$62,3,FALSE)</f>
        <v>15</v>
      </c>
      <c r="O407" s="16">
        <f>VLOOKUP(K407,RPM!$A$2:$D$62,4,FALSE)</f>
        <v>15.721323529411764</v>
      </c>
      <c r="P407" s="17">
        <f t="shared" si="68"/>
        <v>11.723390955882353</v>
      </c>
      <c r="Q407" s="16" cm="1">
        <f t="array" ref="Q407">_xlfn.XLOOKUP(O407,BSFC!$A$2:$A$24,_xlfn.XLOOKUP(K407,BSFC!$B$1:$O$1,BSFC!$B$2:$O$24,,-1),,-1)</f>
        <v>440</v>
      </c>
      <c r="R407" s="17">
        <f t="shared" si="69"/>
        <v>1.4328588946078433</v>
      </c>
      <c r="S407" s="16">
        <f t="shared" si="71"/>
        <v>2.6955348133305399E-4</v>
      </c>
      <c r="T407" s="17">
        <f t="shared" si="75"/>
        <v>0.11860353178654376</v>
      </c>
      <c r="U407" s="16">
        <f t="shared" si="76"/>
        <v>57.542549188362166</v>
      </c>
      <c r="V407" s="17">
        <f t="shared" si="77"/>
        <v>0.12034264103512649</v>
      </c>
      <c r="W407" s="16">
        <f t="shared" si="72"/>
        <v>433233.50772645534</v>
      </c>
      <c r="X407">
        <f>('Hybrid Info'!$A$2-Track!P407)*(L407-L406)*1000+X406</f>
        <v>-27601.602860382587</v>
      </c>
    </row>
    <row r="408" spans="1:24">
      <c r="A408" s="16">
        <f t="shared" si="73"/>
        <v>407</v>
      </c>
      <c r="B408" s="17">
        <f t="shared" si="74"/>
        <v>12.081081170387082</v>
      </c>
      <c r="C408" s="18">
        <f>Specification!$G$30</f>
        <v>109.96225200000001</v>
      </c>
      <c r="D408" s="17">
        <f>0.5*Specification!$K$4*Track!B408^2*Specification!$K$3*Specification!$K$2</f>
        <v>75.597088939043402</v>
      </c>
      <c r="E408" s="16">
        <v>0</v>
      </c>
      <c r="F408" s="17">
        <f>Specification!$C$23*9.81*SIN((E408*PI()/180))</f>
        <v>0</v>
      </c>
      <c r="G408" s="18">
        <f>IF(J408=1,VLOOKUP(K408,RPM!$E$2:$H$62,3,FALSE)-F408-E408-D408,IF(J408=2,VLOOKUP(K408,RPM!$H$2:$K$62,3,FALSE)-F408-E408-D408,IF(J408=3,VLOOKUP(K408,RPM!$K$2:$N$62,3,FALSE)-F408-E408-D408)))</f>
        <v>852.82752893960401</v>
      </c>
      <c r="H408" s="19">
        <f>IF(J408=1,Specification!$I$14,IF(J408=2,Specification!$I$15,IF(J408=3,Specification!$I$16)))</f>
        <v>582.50936296077191</v>
      </c>
      <c r="I408" s="16">
        <v>0</v>
      </c>
      <c r="J408" s="17">
        <v>2</v>
      </c>
      <c r="K408" s="16">
        <f>IF(J408=1,VLOOKUP(B408,RPM!$F$2:$H$62,3,TRUE),IF(J408=2,VLOOKUP(B408,RPM!$I$2:$K$62,3,TRUE),IF(J408=3,VLOOKUP(B408,RPM!$L$2:$N$62,3,TRUE))))</f>
        <v>6800</v>
      </c>
      <c r="L408" s="17">
        <f t="shared" si="70"/>
        <v>33.967583086073709</v>
      </c>
      <c r="M408" s="16">
        <f t="shared" si="67"/>
        <v>0</v>
      </c>
      <c r="N408" s="17">
        <f>VLOOKUP(K408,RPM!$A$2:$D$62,3,FALSE)</f>
        <v>15</v>
      </c>
      <c r="O408" s="16">
        <f>VLOOKUP(K408,RPM!$A$2:$D$62,4,FALSE)</f>
        <v>15.721323529411764</v>
      </c>
      <c r="P408" s="17">
        <f t="shared" si="68"/>
        <v>11.723390955882353</v>
      </c>
      <c r="Q408" s="16" cm="1">
        <f t="array" ref="Q408">_xlfn.XLOOKUP(O408,BSFC!$A$2:$A$24,_xlfn.XLOOKUP(K408,BSFC!$B$1:$O$1,BSFC!$B$2:$O$24,,-1),,-1)</f>
        <v>440</v>
      </c>
      <c r="R408" s="17">
        <f t="shared" si="69"/>
        <v>1.4328588946078433</v>
      </c>
      <c r="S408" s="16">
        <f t="shared" si="71"/>
        <v>2.6955348133305399E-4</v>
      </c>
      <c r="T408" s="17">
        <f t="shared" si="75"/>
        <v>0.11860353178654376</v>
      </c>
      <c r="U408" s="16">
        <f t="shared" si="76"/>
        <v>57.661152720148706</v>
      </c>
      <c r="V408" s="17">
        <f t="shared" si="77"/>
        <v>0.12061219451645953</v>
      </c>
      <c r="W408" s="16">
        <f t="shared" si="72"/>
        <v>434203.90025925433</v>
      </c>
      <c r="X408">
        <f>('Hybrid Info'!$A$2-Track!P408)*(L408-L407)*1000+X407</f>
        <v>-27568.736295353952</v>
      </c>
    </row>
    <row r="409" spans="1:24">
      <c r="A409" s="16">
        <f t="shared" si="73"/>
        <v>408</v>
      </c>
      <c r="B409" s="17">
        <f t="shared" si="74"/>
        <v>12.081081170387082</v>
      </c>
      <c r="C409" s="18">
        <f>Specification!$G$30</f>
        <v>109.96225200000001</v>
      </c>
      <c r="D409" s="17">
        <f>0.5*Specification!$K$4*Track!B409^2*Specification!$K$3*Specification!$K$2</f>
        <v>75.597088939043402</v>
      </c>
      <c r="E409" s="16">
        <v>0</v>
      </c>
      <c r="F409" s="17">
        <f>Specification!$C$23*9.81*SIN((E409*PI()/180))</f>
        <v>0</v>
      </c>
      <c r="G409" s="18">
        <f>IF(J409=1,VLOOKUP(K409,RPM!$E$2:$H$62,3,FALSE)-F409-E409-D409,IF(J409=2,VLOOKUP(K409,RPM!$H$2:$K$62,3,FALSE)-F409-E409-D409,IF(J409=3,VLOOKUP(K409,RPM!$K$2:$N$62,3,FALSE)-F409-E409-D409)))</f>
        <v>852.82752893960401</v>
      </c>
      <c r="H409" s="19">
        <f>IF(J409=1,Specification!$I$14,IF(J409=2,Specification!$I$15,IF(J409=3,Specification!$I$16)))</f>
        <v>582.50936296077191</v>
      </c>
      <c r="I409" s="16">
        <v>0</v>
      </c>
      <c r="J409" s="17">
        <v>2</v>
      </c>
      <c r="K409" s="16">
        <f>IF(J409=1,VLOOKUP(B409,RPM!$F$2:$H$62,3,TRUE),IF(J409=2,VLOOKUP(B409,RPM!$I$2:$K$62,3,TRUE),IF(J409=3,VLOOKUP(B409,RPM!$L$2:$N$62,3,TRUE))))</f>
        <v>6800</v>
      </c>
      <c r="L409" s="17">
        <f t="shared" si="70"/>
        <v>34.050357134678826</v>
      </c>
      <c r="M409" s="16">
        <f t="shared" si="67"/>
        <v>0</v>
      </c>
      <c r="N409" s="17">
        <f>VLOOKUP(K409,RPM!$A$2:$D$62,3,FALSE)</f>
        <v>15</v>
      </c>
      <c r="O409" s="16">
        <f>VLOOKUP(K409,RPM!$A$2:$D$62,4,FALSE)</f>
        <v>15.721323529411764</v>
      </c>
      <c r="P409" s="17">
        <f t="shared" si="68"/>
        <v>11.723390955882353</v>
      </c>
      <c r="Q409" s="16" cm="1">
        <f t="array" ref="Q409">_xlfn.XLOOKUP(O409,BSFC!$A$2:$A$24,_xlfn.XLOOKUP(K409,BSFC!$B$1:$O$1,BSFC!$B$2:$O$24,,-1),,-1)</f>
        <v>440</v>
      </c>
      <c r="R409" s="17">
        <f t="shared" si="69"/>
        <v>1.4328588946078433</v>
      </c>
      <c r="S409" s="16">
        <f t="shared" si="71"/>
        <v>2.6955348133305399E-4</v>
      </c>
      <c r="T409" s="17">
        <f t="shared" si="75"/>
        <v>0.11860353178654376</v>
      </c>
      <c r="U409" s="16">
        <f t="shared" si="76"/>
        <v>57.779756251935247</v>
      </c>
      <c r="V409" s="17">
        <f t="shared" si="77"/>
        <v>0.12088174799779258</v>
      </c>
      <c r="W409" s="16">
        <f t="shared" si="72"/>
        <v>435174.29279205331</v>
      </c>
      <c r="X409">
        <f>('Hybrid Info'!$A$2-Track!P409)*(L409-L408)*1000+X408</f>
        <v>-27535.869730325318</v>
      </c>
    </row>
    <row r="410" spans="1:24">
      <c r="A410" s="16">
        <f t="shared" si="73"/>
        <v>409</v>
      </c>
      <c r="B410" s="17">
        <f t="shared" si="74"/>
        <v>12.081081170387082</v>
      </c>
      <c r="C410" s="18">
        <f>Specification!$G$30</f>
        <v>109.96225200000001</v>
      </c>
      <c r="D410" s="17">
        <f>0.5*Specification!$K$4*Track!B410^2*Specification!$K$3*Specification!$K$2</f>
        <v>75.597088939043402</v>
      </c>
      <c r="E410" s="16">
        <v>0</v>
      </c>
      <c r="F410" s="17">
        <f>Specification!$C$23*9.81*SIN((E410*PI()/180))</f>
        <v>0</v>
      </c>
      <c r="G410" s="18">
        <f>IF(J410=1,VLOOKUP(K410,RPM!$E$2:$H$62,3,FALSE)-F410-E410-D410,IF(J410=2,VLOOKUP(K410,RPM!$H$2:$K$62,3,FALSE)-F410-E410-D410,IF(J410=3,VLOOKUP(K410,RPM!$K$2:$N$62,3,FALSE)-F410-E410-D410)))</f>
        <v>852.82752893960401</v>
      </c>
      <c r="H410" s="19">
        <f>IF(J410=1,Specification!$I$14,IF(J410=2,Specification!$I$15,IF(J410=3,Specification!$I$16)))</f>
        <v>582.50936296077191</v>
      </c>
      <c r="I410" s="16">
        <v>0</v>
      </c>
      <c r="J410" s="17">
        <v>2</v>
      </c>
      <c r="K410" s="16">
        <f>IF(J410=1,VLOOKUP(B410,RPM!$F$2:$H$62,3,TRUE),IF(J410=2,VLOOKUP(B410,RPM!$I$2:$K$62,3,TRUE),IF(J410=3,VLOOKUP(B410,RPM!$L$2:$N$62,3,TRUE))))</f>
        <v>6800</v>
      </c>
      <c r="L410" s="17">
        <f t="shared" si="70"/>
        <v>34.133131183283943</v>
      </c>
      <c r="M410" s="16">
        <f t="shared" si="67"/>
        <v>0</v>
      </c>
      <c r="N410" s="17">
        <f>VLOOKUP(K410,RPM!$A$2:$D$62,3,FALSE)</f>
        <v>15</v>
      </c>
      <c r="O410" s="16">
        <f>VLOOKUP(K410,RPM!$A$2:$D$62,4,FALSE)</f>
        <v>15.721323529411764</v>
      </c>
      <c r="P410" s="17">
        <f t="shared" si="68"/>
        <v>11.723390955882353</v>
      </c>
      <c r="Q410" s="16" cm="1">
        <f t="array" ref="Q410">_xlfn.XLOOKUP(O410,BSFC!$A$2:$A$24,_xlfn.XLOOKUP(K410,BSFC!$B$1:$O$1,BSFC!$B$2:$O$24,,-1),,-1)</f>
        <v>440</v>
      </c>
      <c r="R410" s="17">
        <f t="shared" si="69"/>
        <v>1.4328588946078433</v>
      </c>
      <c r="S410" s="16">
        <f t="shared" si="71"/>
        <v>2.6955348133305399E-4</v>
      </c>
      <c r="T410" s="17">
        <f t="shared" si="75"/>
        <v>0.11860353178654376</v>
      </c>
      <c r="U410" s="16">
        <f t="shared" si="76"/>
        <v>57.898359783721787</v>
      </c>
      <c r="V410" s="17">
        <f t="shared" si="77"/>
        <v>0.12115130147912563</v>
      </c>
      <c r="W410" s="16">
        <f t="shared" si="72"/>
        <v>436144.6853248523</v>
      </c>
      <c r="X410">
        <f>('Hybrid Info'!$A$2-Track!P410)*(L410-L409)*1000+X409</f>
        <v>-27503.003165296683</v>
      </c>
    </row>
    <row r="411" spans="1:24">
      <c r="A411" s="16">
        <f t="shared" si="73"/>
        <v>410</v>
      </c>
      <c r="B411" s="17">
        <f t="shared" si="74"/>
        <v>12.081081170387082</v>
      </c>
      <c r="C411" s="18">
        <f>Specification!$G$30</f>
        <v>109.96225200000001</v>
      </c>
      <c r="D411" s="17">
        <f>0.5*Specification!$K$4*Track!B411^2*Specification!$K$3*Specification!$K$2</f>
        <v>75.597088939043402</v>
      </c>
      <c r="E411" s="16">
        <v>0</v>
      </c>
      <c r="F411" s="17">
        <f>Specification!$C$23*9.81*SIN((E411*PI()/180))</f>
        <v>0</v>
      </c>
      <c r="G411" s="18">
        <f>IF(J411=1,VLOOKUP(K411,RPM!$E$2:$H$62,3,FALSE)-F411-E411-D411,IF(J411=2,VLOOKUP(K411,RPM!$H$2:$K$62,3,FALSE)-F411-E411-D411,IF(J411=3,VLOOKUP(K411,RPM!$K$2:$N$62,3,FALSE)-F411-E411-D411)))</f>
        <v>852.82752893960401</v>
      </c>
      <c r="H411" s="19">
        <f>IF(J411=1,Specification!$I$14,IF(J411=2,Specification!$I$15,IF(J411=3,Specification!$I$16)))</f>
        <v>582.50936296077191</v>
      </c>
      <c r="I411" s="16">
        <v>0</v>
      </c>
      <c r="J411" s="17">
        <v>2</v>
      </c>
      <c r="K411" s="16">
        <f>IF(J411=1,VLOOKUP(B411,RPM!$F$2:$H$62,3,TRUE),IF(J411=2,VLOOKUP(B411,RPM!$I$2:$K$62,3,TRUE),IF(J411=3,VLOOKUP(B411,RPM!$L$2:$N$62,3,TRUE))))</f>
        <v>6800</v>
      </c>
      <c r="L411" s="17">
        <f t="shared" si="70"/>
        <v>34.21590523188906</v>
      </c>
      <c r="M411" s="16">
        <f t="shared" si="67"/>
        <v>0</v>
      </c>
      <c r="N411" s="17">
        <f>VLOOKUP(K411,RPM!$A$2:$D$62,3,FALSE)</f>
        <v>15</v>
      </c>
      <c r="O411" s="16">
        <f>VLOOKUP(K411,RPM!$A$2:$D$62,4,FALSE)</f>
        <v>15.721323529411764</v>
      </c>
      <c r="P411" s="17">
        <f t="shared" si="68"/>
        <v>11.723390955882353</v>
      </c>
      <c r="Q411" s="16" cm="1">
        <f t="array" ref="Q411">_xlfn.XLOOKUP(O411,BSFC!$A$2:$A$24,_xlfn.XLOOKUP(K411,BSFC!$B$1:$O$1,BSFC!$B$2:$O$24,,-1),,-1)</f>
        <v>440</v>
      </c>
      <c r="R411" s="17">
        <f t="shared" si="69"/>
        <v>1.4328588946078433</v>
      </c>
      <c r="S411" s="16">
        <f t="shared" si="71"/>
        <v>2.6955348133305399E-4</v>
      </c>
      <c r="T411" s="17">
        <f t="shared" si="75"/>
        <v>0.11860353178654376</v>
      </c>
      <c r="U411" s="16">
        <f t="shared" si="76"/>
        <v>58.016963315508328</v>
      </c>
      <c r="V411" s="17">
        <f t="shared" si="77"/>
        <v>0.12142085496045868</v>
      </c>
      <c r="W411" s="16">
        <f t="shared" si="72"/>
        <v>437115.07785765128</v>
      </c>
      <c r="X411">
        <f>('Hybrid Info'!$A$2-Track!P411)*(L411-L410)*1000+X410</f>
        <v>-27470.136600268048</v>
      </c>
    </row>
    <row r="412" spans="1:24">
      <c r="A412" s="16">
        <f t="shared" si="73"/>
        <v>411</v>
      </c>
      <c r="B412" s="17">
        <f t="shared" si="74"/>
        <v>12.081081170387082</v>
      </c>
      <c r="C412" s="18">
        <f>Specification!$G$30</f>
        <v>109.96225200000001</v>
      </c>
      <c r="D412" s="17">
        <f>0.5*Specification!$K$4*Track!B412^2*Specification!$K$3*Specification!$K$2</f>
        <v>75.597088939043402</v>
      </c>
      <c r="E412" s="16">
        <v>0</v>
      </c>
      <c r="F412" s="17">
        <f>Specification!$C$23*9.81*SIN((E412*PI()/180))</f>
        <v>0</v>
      </c>
      <c r="G412" s="18">
        <f>IF(J412=1,VLOOKUP(K412,RPM!$E$2:$H$62,3,FALSE)-F412-E412-D412,IF(J412=2,VLOOKUP(K412,RPM!$H$2:$K$62,3,FALSE)-F412-E412-D412,IF(J412=3,VLOOKUP(K412,RPM!$K$2:$N$62,3,FALSE)-F412-E412-D412)))</f>
        <v>852.82752893960401</v>
      </c>
      <c r="H412" s="19">
        <f>IF(J412=1,Specification!$I$14,IF(J412=2,Specification!$I$15,IF(J412=3,Specification!$I$16)))</f>
        <v>582.50936296077191</v>
      </c>
      <c r="I412" s="16">
        <v>0</v>
      </c>
      <c r="J412" s="17">
        <v>2</v>
      </c>
      <c r="K412" s="16">
        <f>IF(J412=1,VLOOKUP(B412,RPM!$F$2:$H$62,3,TRUE),IF(J412=2,VLOOKUP(B412,RPM!$I$2:$K$62,3,TRUE),IF(J412=3,VLOOKUP(B412,RPM!$L$2:$N$62,3,TRUE))))</f>
        <v>6800</v>
      </c>
      <c r="L412" s="17">
        <f t="shared" si="70"/>
        <v>34.298679280494177</v>
      </c>
      <c r="M412" s="16">
        <f t="shared" si="67"/>
        <v>0</v>
      </c>
      <c r="N412" s="17">
        <f>VLOOKUP(K412,RPM!$A$2:$D$62,3,FALSE)</f>
        <v>15</v>
      </c>
      <c r="O412" s="16">
        <f>VLOOKUP(K412,RPM!$A$2:$D$62,4,FALSE)</f>
        <v>15.721323529411764</v>
      </c>
      <c r="P412" s="17">
        <f t="shared" si="68"/>
        <v>11.723390955882353</v>
      </c>
      <c r="Q412" s="16" cm="1">
        <f t="array" ref="Q412">_xlfn.XLOOKUP(O412,BSFC!$A$2:$A$24,_xlfn.XLOOKUP(K412,BSFC!$B$1:$O$1,BSFC!$B$2:$O$24,,-1),,-1)</f>
        <v>440</v>
      </c>
      <c r="R412" s="17">
        <f t="shared" si="69"/>
        <v>1.4328588946078433</v>
      </c>
      <c r="S412" s="16">
        <f t="shared" si="71"/>
        <v>2.6955348133305399E-4</v>
      </c>
      <c r="T412" s="17">
        <f t="shared" si="75"/>
        <v>0.11860353178654376</v>
      </c>
      <c r="U412" s="16">
        <f t="shared" si="76"/>
        <v>58.135566847294868</v>
      </c>
      <c r="V412" s="17">
        <f t="shared" si="77"/>
        <v>0.12169040844179173</v>
      </c>
      <c r="W412" s="16">
        <f t="shared" si="72"/>
        <v>438085.47039045021</v>
      </c>
      <c r="X412">
        <f>('Hybrid Info'!$A$2-Track!P412)*(L412-L411)*1000+X411</f>
        <v>-27437.270035239413</v>
      </c>
    </row>
    <row r="413" spans="1:24">
      <c r="A413" s="16">
        <f t="shared" si="73"/>
        <v>412</v>
      </c>
      <c r="B413" s="17">
        <f t="shared" si="74"/>
        <v>12.081081170387082</v>
      </c>
      <c r="C413" s="18">
        <f>Specification!$G$30</f>
        <v>109.96225200000001</v>
      </c>
      <c r="D413" s="17">
        <f>0.5*Specification!$K$4*Track!B413^2*Specification!$K$3*Specification!$K$2</f>
        <v>75.597088939043402</v>
      </c>
      <c r="E413" s="16">
        <v>0</v>
      </c>
      <c r="F413" s="17">
        <f>Specification!$C$23*9.81*SIN((E413*PI()/180))</f>
        <v>0</v>
      </c>
      <c r="G413" s="18">
        <f>IF(J413=1,VLOOKUP(K413,RPM!$E$2:$H$62,3,FALSE)-F413-E413-D413,IF(J413=2,VLOOKUP(K413,RPM!$H$2:$K$62,3,FALSE)-F413-E413-D413,IF(J413=3,VLOOKUP(K413,RPM!$K$2:$N$62,3,FALSE)-F413-E413-D413)))</f>
        <v>852.82752893960401</v>
      </c>
      <c r="H413" s="19">
        <f>IF(J413=1,Specification!$I$14,IF(J413=2,Specification!$I$15,IF(J413=3,Specification!$I$16)))</f>
        <v>582.50936296077191</v>
      </c>
      <c r="I413" s="16">
        <v>0</v>
      </c>
      <c r="J413" s="17">
        <v>2</v>
      </c>
      <c r="K413" s="16">
        <f>IF(J413=1,VLOOKUP(B413,RPM!$F$2:$H$62,3,TRUE),IF(J413=2,VLOOKUP(B413,RPM!$I$2:$K$62,3,TRUE),IF(J413=3,VLOOKUP(B413,RPM!$L$2:$N$62,3,TRUE))))</f>
        <v>6800</v>
      </c>
      <c r="L413" s="17">
        <f t="shared" si="70"/>
        <v>34.381453329099294</v>
      </c>
      <c r="M413" s="16">
        <f t="shared" si="67"/>
        <v>0</v>
      </c>
      <c r="N413" s="17">
        <f>VLOOKUP(K413,RPM!$A$2:$D$62,3,FALSE)</f>
        <v>15</v>
      </c>
      <c r="O413" s="16">
        <f>VLOOKUP(K413,RPM!$A$2:$D$62,4,FALSE)</f>
        <v>15.721323529411764</v>
      </c>
      <c r="P413" s="17">
        <f t="shared" si="68"/>
        <v>11.723390955882353</v>
      </c>
      <c r="Q413" s="16" cm="1">
        <f t="array" ref="Q413">_xlfn.XLOOKUP(O413,BSFC!$A$2:$A$24,_xlfn.XLOOKUP(K413,BSFC!$B$1:$O$1,BSFC!$B$2:$O$24,,-1),,-1)</f>
        <v>440</v>
      </c>
      <c r="R413" s="17">
        <f t="shared" si="69"/>
        <v>1.4328588946078433</v>
      </c>
      <c r="S413" s="16">
        <f t="shared" si="71"/>
        <v>2.6955348133305399E-4</v>
      </c>
      <c r="T413" s="17">
        <f t="shared" si="75"/>
        <v>0.11860353178654376</v>
      </c>
      <c r="U413" s="16">
        <f t="shared" si="76"/>
        <v>58.254170379081408</v>
      </c>
      <c r="V413" s="17">
        <f t="shared" si="77"/>
        <v>0.12195996192312478</v>
      </c>
      <c r="W413" s="16">
        <f t="shared" si="72"/>
        <v>439055.86292324919</v>
      </c>
      <c r="X413">
        <f>('Hybrid Info'!$A$2-Track!P413)*(L413-L412)*1000+X412</f>
        <v>-27404.403470210778</v>
      </c>
    </row>
    <row r="414" spans="1:24">
      <c r="A414" s="16">
        <f t="shared" si="73"/>
        <v>413</v>
      </c>
      <c r="B414" s="17">
        <f t="shared" si="74"/>
        <v>12.081081170387082</v>
      </c>
      <c r="C414" s="18">
        <f>Specification!$G$30</f>
        <v>109.96225200000001</v>
      </c>
      <c r="D414" s="17">
        <f>0.5*Specification!$K$4*Track!B414^2*Specification!$K$3*Specification!$K$2</f>
        <v>75.597088939043402</v>
      </c>
      <c r="E414" s="16">
        <v>0</v>
      </c>
      <c r="F414" s="17">
        <f>Specification!$C$23*9.81*SIN((E414*PI()/180))</f>
        <v>0</v>
      </c>
      <c r="G414" s="18">
        <f>IF(J414=1,VLOOKUP(K414,RPM!$E$2:$H$62,3,FALSE)-F414-E414-D414,IF(J414=2,VLOOKUP(K414,RPM!$H$2:$K$62,3,FALSE)-F414-E414-D414,IF(J414=3,VLOOKUP(K414,RPM!$K$2:$N$62,3,FALSE)-F414-E414-D414)))</f>
        <v>852.82752893960401</v>
      </c>
      <c r="H414" s="19">
        <f>IF(J414=1,Specification!$I$14,IF(J414=2,Specification!$I$15,IF(J414=3,Specification!$I$16)))</f>
        <v>582.50936296077191</v>
      </c>
      <c r="I414" s="16">
        <v>0</v>
      </c>
      <c r="J414" s="17">
        <v>2</v>
      </c>
      <c r="K414" s="16">
        <f>IF(J414=1,VLOOKUP(B414,RPM!$F$2:$H$62,3,TRUE),IF(J414=2,VLOOKUP(B414,RPM!$I$2:$K$62,3,TRUE),IF(J414=3,VLOOKUP(B414,RPM!$L$2:$N$62,3,TRUE))))</f>
        <v>6800</v>
      </c>
      <c r="L414" s="17">
        <f t="shared" si="70"/>
        <v>34.464227377704411</v>
      </c>
      <c r="M414" s="16">
        <f t="shared" si="67"/>
        <v>0</v>
      </c>
      <c r="N414" s="17">
        <f>VLOOKUP(K414,RPM!$A$2:$D$62,3,FALSE)</f>
        <v>15</v>
      </c>
      <c r="O414" s="16">
        <f>VLOOKUP(K414,RPM!$A$2:$D$62,4,FALSE)</f>
        <v>15.721323529411764</v>
      </c>
      <c r="P414" s="17">
        <f t="shared" si="68"/>
        <v>11.723390955882353</v>
      </c>
      <c r="Q414" s="16" cm="1">
        <f t="array" ref="Q414">_xlfn.XLOOKUP(O414,BSFC!$A$2:$A$24,_xlfn.XLOOKUP(K414,BSFC!$B$1:$O$1,BSFC!$B$2:$O$24,,-1),,-1)</f>
        <v>440</v>
      </c>
      <c r="R414" s="17">
        <f t="shared" si="69"/>
        <v>1.4328588946078433</v>
      </c>
      <c r="S414" s="16">
        <f t="shared" si="71"/>
        <v>2.6955348133305399E-4</v>
      </c>
      <c r="T414" s="17">
        <f t="shared" si="75"/>
        <v>0.11860353178654376</v>
      </c>
      <c r="U414" s="16">
        <f t="shared" si="76"/>
        <v>58.372773910867949</v>
      </c>
      <c r="V414" s="17">
        <f t="shared" si="77"/>
        <v>0.12222951540445783</v>
      </c>
      <c r="W414" s="16">
        <f t="shared" si="72"/>
        <v>440026.25545604818</v>
      </c>
      <c r="X414">
        <f>('Hybrid Info'!$A$2-Track!P414)*(L414-L413)*1000+X413</f>
        <v>-27371.536905182144</v>
      </c>
    </row>
    <row r="415" spans="1:24">
      <c r="A415" s="16">
        <f t="shared" si="73"/>
        <v>414</v>
      </c>
      <c r="B415" s="17">
        <f t="shared" si="74"/>
        <v>12.081081170387082</v>
      </c>
      <c r="C415" s="18">
        <f>Specification!$G$30</f>
        <v>109.96225200000001</v>
      </c>
      <c r="D415" s="17">
        <f>0.5*Specification!$K$4*Track!B415^2*Specification!$K$3*Specification!$K$2</f>
        <v>75.597088939043402</v>
      </c>
      <c r="E415" s="16">
        <v>0</v>
      </c>
      <c r="F415" s="17">
        <f>Specification!$C$23*9.81*SIN((E415*PI()/180))</f>
        <v>0</v>
      </c>
      <c r="G415" s="18">
        <f>IF(J415=1,VLOOKUP(K415,RPM!$E$2:$H$62,3,FALSE)-F415-E415-D415,IF(J415=2,VLOOKUP(K415,RPM!$H$2:$K$62,3,FALSE)-F415-E415-D415,IF(J415=3,VLOOKUP(K415,RPM!$K$2:$N$62,3,FALSE)-F415-E415-D415)))</f>
        <v>852.82752893960401</v>
      </c>
      <c r="H415" s="19">
        <f>IF(J415=1,Specification!$I$14,IF(J415=2,Specification!$I$15,IF(J415=3,Specification!$I$16)))</f>
        <v>582.50936296077191</v>
      </c>
      <c r="I415" s="16">
        <v>0</v>
      </c>
      <c r="J415" s="17">
        <v>2</v>
      </c>
      <c r="K415" s="16">
        <f>IF(J415=1,VLOOKUP(B415,RPM!$F$2:$H$62,3,TRUE),IF(J415=2,VLOOKUP(B415,RPM!$I$2:$K$62,3,TRUE),IF(J415=3,VLOOKUP(B415,RPM!$L$2:$N$62,3,TRUE))))</f>
        <v>6800</v>
      </c>
      <c r="L415" s="17">
        <f t="shared" si="70"/>
        <v>34.547001426309528</v>
      </c>
      <c r="M415" s="16">
        <f t="shared" si="67"/>
        <v>0</v>
      </c>
      <c r="N415" s="17">
        <f>VLOOKUP(K415,RPM!$A$2:$D$62,3,FALSE)</f>
        <v>15</v>
      </c>
      <c r="O415" s="16">
        <f>VLOOKUP(K415,RPM!$A$2:$D$62,4,FALSE)</f>
        <v>15.721323529411764</v>
      </c>
      <c r="P415" s="17">
        <f t="shared" si="68"/>
        <v>11.723390955882353</v>
      </c>
      <c r="Q415" s="16" cm="1">
        <f t="array" ref="Q415">_xlfn.XLOOKUP(O415,BSFC!$A$2:$A$24,_xlfn.XLOOKUP(K415,BSFC!$B$1:$O$1,BSFC!$B$2:$O$24,,-1),,-1)</f>
        <v>440</v>
      </c>
      <c r="R415" s="17">
        <f t="shared" si="69"/>
        <v>1.4328588946078433</v>
      </c>
      <c r="S415" s="16">
        <f t="shared" si="71"/>
        <v>2.6955348133305399E-4</v>
      </c>
      <c r="T415" s="17">
        <f t="shared" si="75"/>
        <v>0.11860353178654376</v>
      </c>
      <c r="U415" s="16">
        <f t="shared" si="76"/>
        <v>58.491377442654489</v>
      </c>
      <c r="V415" s="17">
        <f t="shared" si="77"/>
        <v>0.12249906888579087</v>
      </c>
      <c r="W415" s="16">
        <f t="shared" si="72"/>
        <v>440996.64798884717</v>
      </c>
      <c r="X415">
        <f>('Hybrid Info'!$A$2-Track!P415)*(L415-L414)*1000+X414</f>
        <v>-27338.670340153509</v>
      </c>
    </row>
    <row r="416" spans="1:24">
      <c r="A416" s="16">
        <f t="shared" si="73"/>
        <v>415</v>
      </c>
      <c r="B416" s="17">
        <f t="shared" si="74"/>
        <v>12.081081170387082</v>
      </c>
      <c r="C416" s="18">
        <f>Specification!$G$30</f>
        <v>109.96225200000001</v>
      </c>
      <c r="D416" s="17">
        <f>0.5*Specification!$K$4*Track!B416^2*Specification!$K$3*Specification!$K$2</f>
        <v>75.597088939043402</v>
      </c>
      <c r="E416" s="16">
        <v>0</v>
      </c>
      <c r="F416" s="17">
        <f>Specification!$C$23*9.81*SIN((E416*PI()/180))</f>
        <v>0</v>
      </c>
      <c r="G416" s="18">
        <f>IF(J416=1,VLOOKUP(K416,RPM!$E$2:$H$62,3,FALSE)-F416-E416-D416,IF(J416=2,VLOOKUP(K416,RPM!$H$2:$K$62,3,FALSE)-F416-E416-D416,IF(J416=3,VLOOKUP(K416,RPM!$K$2:$N$62,3,FALSE)-F416-E416-D416)))</f>
        <v>852.82752893960401</v>
      </c>
      <c r="H416" s="19">
        <f>IF(J416=1,Specification!$I$14,IF(J416=2,Specification!$I$15,IF(J416=3,Specification!$I$16)))</f>
        <v>582.50936296077191</v>
      </c>
      <c r="I416" s="16">
        <v>0</v>
      </c>
      <c r="J416" s="17">
        <v>2</v>
      </c>
      <c r="K416" s="16">
        <f>IF(J416=1,VLOOKUP(B416,RPM!$F$2:$H$62,3,TRUE),IF(J416=2,VLOOKUP(B416,RPM!$I$2:$K$62,3,TRUE),IF(J416=3,VLOOKUP(B416,RPM!$L$2:$N$62,3,TRUE))))</f>
        <v>6800</v>
      </c>
      <c r="L416" s="17">
        <f t="shared" si="70"/>
        <v>34.629775474914645</v>
      </c>
      <c r="M416" s="16">
        <f t="shared" si="67"/>
        <v>0</v>
      </c>
      <c r="N416" s="17">
        <f>VLOOKUP(K416,RPM!$A$2:$D$62,3,FALSE)</f>
        <v>15</v>
      </c>
      <c r="O416" s="16">
        <f>VLOOKUP(K416,RPM!$A$2:$D$62,4,FALSE)</f>
        <v>15.721323529411764</v>
      </c>
      <c r="P416" s="17">
        <f t="shared" si="68"/>
        <v>11.723390955882353</v>
      </c>
      <c r="Q416" s="16" cm="1">
        <f t="array" ref="Q416">_xlfn.XLOOKUP(O416,BSFC!$A$2:$A$24,_xlfn.XLOOKUP(K416,BSFC!$B$1:$O$1,BSFC!$B$2:$O$24,,-1),,-1)</f>
        <v>440</v>
      </c>
      <c r="R416" s="17">
        <f t="shared" si="69"/>
        <v>1.4328588946078433</v>
      </c>
      <c r="S416" s="16">
        <f t="shared" si="71"/>
        <v>2.6955348133305399E-4</v>
      </c>
      <c r="T416" s="17">
        <f t="shared" si="75"/>
        <v>0.11860353178654376</v>
      </c>
      <c r="U416" s="16">
        <f t="shared" si="76"/>
        <v>58.609980974441029</v>
      </c>
      <c r="V416" s="17">
        <f t="shared" si="77"/>
        <v>0.12276862236712392</v>
      </c>
      <c r="W416" s="16">
        <f t="shared" si="72"/>
        <v>441967.04052164615</v>
      </c>
      <c r="X416">
        <f>('Hybrid Info'!$A$2-Track!P416)*(L416-L415)*1000+X415</f>
        <v>-27305.803775124874</v>
      </c>
    </row>
    <row r="417" spans="1:24">
      <c r="A417" s="16">
        <f t="shared" si="73"/>
        <v>416</v>
      </c>
      <c r="B417" s="17">
        <f t="shared" si="74"/>
        <v>12.081081170387082</v>
      </c>
      <c r="C417" s="18">
        <f>Specification!$G$30</f>
        <v>109.96225200000001</v>
      </c>
      <c r="D417" s="17">
        <f>0.5*Specification!$K$4*Track!B417^2*Specification!$K$3*Specification!$K$2</f>
        <v>75.597088939043402</v>
      </c>
      <c r="E417" s="16">
        <v>0</v>
      </c>
      <c r="F417" s="17">
        <f>Specification!$C$23*9.81*SIN((E417*PI()/180))</f>
        <v>0</v>
      </c>
      <c r="G417" s="18">
        <f>IF(J417=1,VLOOKUP(K417,RPM!$E$2:$H$62,3,FALSE)-F417-E417-D417,IF(J417=2,VLOOKUP(K417,RPM!$H$2:$K$62,3,FALSE)-F417-E417-D417,IF(J417=3,VLOOKUP(K417,RPM!$K$2:$N$62,3,FALSE)-F417-E417-D417)))</f>
        <v>852.82752893960401</v>
      </c>
      <c r="H417" s="19">
        <f>IF(J417=1,Specification!$I$14,IF(J417=2,Specification!$I$15,IF(J417=3,Specification!$I$16)))</f>
        <v>582.50936296077191</v>
      </c>
      <c r="I417" s="16">
        <v>0</v>
      </c>
      <c r="J417" s="17">
        <v>2</v>
      </c>
      <c r="K417" s="16">
        <f>IF(J417=1,VLOOKUP(B417,RPM!$F$2:$H$62,3,TRUE),IF(J417=2,VLOOKUP(B417,RPM!$I$2:$K$62,3,TRUE),IF(J417=3,VLOOKUP(B417,RPM!$L$2:$N$62,3,TRUE))))</f>
        <v>6800</v>
      </c>
      <c r="L417" s="17">
        <f t="shared" si="70"/>
        <v>34.712549523519762</v>
      </c>
      <c r="M417" s="16">
        <f t="shared" si="67"/>
        <v>0</v>
      </c>
      <c r="N417" s="17">
        <f>VLOOKUP(K417,RPM!$A$2:$D$62,3,FALSE)</f>
        <v>15</v>
      </c>
      <c r="O417" s="16">
        <f>VLOOKUP(K417,RPM!$A$2:$D$62,4,FALSE)</f>
        <v>15.721323529411764</v>
      </c>
      <c r="P417" s="17">
        <f t="shared" si="68"/>
        <v>11.723390955882353</v>
      </c>
      <c r="Q417" s="16" cm="1">
        <f t="array" ref="Q417">_xlfn.XLOOKUP(O417,BSFC!$A$2:$A$24,_xlfn.XLOOKUP(K417,BSFC!$B$1:$O$1,BSFC!$B$2:$O$24,,-1),,-1)</f>
        <v>440</v>
      </c>
      <c r="R417" s="17">
        <f t="shared" si="69"/>
        <v>1.4328588946078433</v>
      </c>
      <c r="S417" s="16">
        <f t="shared" si="71"/>
        <v>2.6955348133305399E-4</v>
      </c>
      <c r="T417" s="17">
        <f t="shared" si="75"/>
        <v>0.11860353178654376</v>
      </c>
      <c r="U417" s="16">
        <f t="shared" si="76"/>
        <v>58.72858450622757</v>
      </c>
      <c r="V417" s="17">
        <f t="shared" si="77"/>
        <v>0.12303817584845697</v>
      </c>
      <c r="W417" s="16">
        <f t="shared" si="72"/>
        <v>442937.43305444508</v>
      </c>
      <c r="X417">
        <f>('Hybrid Info'!$A$2-Track!P417)*(L417-L416)*1000+X416</f>
        <v>-27272.937210096239</v>
      </c>
    </row>
    <row r="418" spans="1:24">
      <c r="A418" s="16">
        <f t="shared" si="73"/>
        <v>417</v>
      </c>
      <c r="B418" s="17">
        <f t="shared" si="74"/>
        <v>12.081081170387082</v>
      </c>
      <c r="C418" s="18">
        <f>Specification!$G$30</f>
        <v>109.96225200000001</v>
      </c>
      <c r="D418" s="17">
        <f>0.5*Specification!$K$4*Track!B418^2*Specification!$K$3*Specification!$K$2</f>
        <v>75.597088939043402</v>
      </c>
      <c r="E418" s="16">
        <v>0</v>
      </c>
      <c r="F418" s="17">
        <f>Specification!$C$23*9.81*SIN((E418*PI()/180))</f>
        <v>0</v>
      </c>
      <c r="G418" s="18">
        <f>IF(J418=1,VLOOKUP(K418,RPM!$E$2:$H$62,3,FALSE)-F418-E418-D418,IF(J418=2,VLOOKUP(K418,RPM!$H$2:$K$62,3,FALSE)-F418-E418-D418,IF(J418=3,VLOOKUP(K418,RPM!$K$2:$N$62,3,FALSE)-F418-E418-D418)))</f>
        <v>852.82752893960401</v>
      </c>
      <c r="H418" s="19">
        <f>IF(J418=1,Specification!$I$14,IF(J418=2,Specification!$I$15,IF(J418=3,Specification!$I$16)))</f>
        <v>582.50936296077191</v>
      </c>
      <c r="I418" s="16">
        <v>0</v>
      </c>
      <c r="J418" s="17">
        <v>2</v>
      </c>
      <c r="K418" s="16">
        <f>IF(J418=1,VLOOKUP(B418,RPM!$F$2:$H$62,3,TRUE),IF(J418=2,VLOOKUP(B418,RPM!$I$2:$K$62,3,TRUE),IF(J418=3,VLOOKUP(B418,RPM!$L$2:$N$62,3,TRUE))))</f>
        <v>6800</v>
      </c>
      <c r="L418" s="17">
        <f t="shared" si="70"/>
        <v>34.795323572124879</v>
      </c>
      <c r="M418" s="16">
        <f t="shared" si="67"/>
        <v>0</v>
      </c>
      <c r="N418" s="17">
        <f>VLOOKUP(K418,RPM!$A$2:$D$62,3,FALSE)</f>
        <v>15</v>
      </c>
      <c r="O418" s="16">
        <f>VLOOKUP(K418,RPM!$A$2:$D$62,4,FALSE)</f>
        <v>15.721323529411764</v>
      </c>
      <c r="P418" s="17">
        <f t="shared" si="68"/>
        <v>11.723390955882353</v>
      </c>
      <c r="Q418" s="16" cm="1">
        <f t="array" ref="Q418">_xlfn.XLOOKUP(O418,BSFC!$A$2:$A$24,_xlfn.XLOOKUP(K418,BSFC!$B$1:$O$1,BSFC!$B$2:$O$24,,-1),,-1)</f>
        <v>440</v>
      </c>
      <c r="R418" s="17">
        <f t="shared" si="69"/>
        <v>1.4328588946078433</v>
      </c>
      <c r="S418" s="16">
        <f t="shared" si="71"/>
        <v>2.6955348133305399E-4</v>
      </c>
      <c r="T418" s="17">
        <f t="shared" si="75"/>
        <v>0.11860353178654376</v>
      </c>
      <c r="U418" s="16">
        <f t="shared" si="76"/>
        <v>58.84718803801411</v>
      </c>
      <c r="V418" s="17">
        <f t="shared" si="77"/>
        <v>0.12330772932979002</v>
      </c>
      <c r="W418" s="16">
        <f t="shared" si="72"/>
        <v>443907.82558724406</v>
      </c>
      <c r="X418">
        <f>('Hybrid Info'!$A$2-Track!P418)*(L418-L417)*1000+X417</f>
        <v>-27240.070645067604</v>
      </c>
    </row>
    <row r="419" spans="1:24">
      <c r="A419" s="16">
        <f t="shared" si="73"/>
        <v>418</v>
      </c>
      <c r="B419" s="17">
        <f t="shared" si="74"/>
        <v>12.081081170387082</v>
      </c>
      <c r="C419" s="18">
        <f>Specification!$G$30</f>
        <v>109.96225200000001</v>
      </c>
      <c r="D419" s="17">
        <f>0.5*Specification!$K$4*Track!B419^2*Specification!$K$3*Specification!$K$2</f>
        <v>75.597088939043402</v>
      </c>
      <c r="E419" s="16">
        <v>0</v>
      </c>
      <c r="F419" s="17">
        <f>Specification!$C$23*9.81*SIN((E419*PI()/180))</f>
        <v>0</v>
      </c>
      <c r="G419" s="18">
        <f>IF(J419=1,VLOOKUP(K419,RPM!$E$2:$H$62,3,FALSE)-F419-E419-D419,IF(J419=2,VLOOKUP(K419,RPM!$H$2:$K$62,3,FALSE)-F419-E419-D419,IF(J419=3,VLOOKUP(K419,RPM!$K$2:$N$62,3,FALSE)-F419-E419-D419)))</f>
        <v>852.82752893960401</v>
      </c>
      <c r="H419" s="19">
        <f>IF(J419=1,Specification!$I$14,IF(J419=2,Specification!$I$15,IF(J419=3,Specification!$I$16)))</f>
        <v>582.50936296077191</v>
      </c>
      <c r="I419" s="16">
        <v>0</v>
      </c>
      <c r="J419" s="17">
        <v>2</v>
      </c>
      <c r="K419" s="16">
        <f>IF(J419=1,VLOOKUP(B419,RPM!$F$2:$H$62,3,TRUE),IF(J419=2,VLOOKUP(B419,RPM!$I$2:$K$62,3,TRUE),IF(J419=3,VLOOKUP(B419,RPM!$L$2:$N$62,3,TRUE))))</f>
        <v>6800</v>
      </c>
      <c r="L419" s="17">
        <f t="shared" si="70"/>
        <v>34.878097620729996</v>
      </c>
      <c r="M419" s="16">
        <f t="shared" si="67"/>
        <v>0</v>
      </c>
      <c r="N419" s="17">
        <f>VLOOKUP(K419,RPM!$A$2:$D$62,3,FALSE)</f>
        <v>15</v>
      </c>
      <c r="O419" s="16">
        <f>VLOOKUP(K419,RPM!$A$2:$D$62,4,FALSE)</f>
        <v>15.721323529411764</v>
      </c>
      <c r="P419" s="17">
        <f t="shared" si="68"/>
        <v>11.723390955882353</v>
      </c>
      <c r="Q419" s="16" cm="1">
        <f t="array" ref="Q419">_xlfn.XLOOKUP(O419,BSFC!$A$2:$A$24,_xlfn.XLOOKUP(K419,BSFC!$B$1:$O$1,BSFC!$B$2:$O$24,,-1),,-1)</f>
        <v>440</v>
      </c>
      <c r="R419" s="17">
        <f t="shared" si="69"/>
        <v>1.4328588946078433</v>
      </c>
      <c r="S419" s="16">
        <f t="shared" si="71"/>
        <v>2.6955348133305399E-4</v>
      </c>
      <c r="T419" s="17">
        <f t="shared" si="75"/>
        <v>0.11860353178654376</v>
      </c>
      <c r="U419" s="16">
        <f t="shared" si="76"/>
        <v>58.965791569800651</v>
      </c>
      <c r="V419" s="17">
        <f t="shared" si="77"/>
        <v>0.12357728281112307</v>
      </c>
      <c r="W419" s="16">
        <f t="shared" si="72"/>
        <v>444878.21812004305</v>
      </c>
      <c r="X419">
        <f>('Hybrid Info'!$A$2-Track!P419)*(L419-L418)*1000+X418</f>
        <v>-27207.20408003897</v>
      </c>
    </row>
    <row r="420" spans="1:24">
      <c r="A420" s="16">
        <f t="shared" si="73"/>
        <v>419</v>
      </c>
      <c r="B420" s="17">
        <f t="shared" si="74"/>
        <v>12.081081170387082</v>
      </c>
      <c r="C420" s="18">
        <f>Specification!$G$30</f>
        <v>109.96225200000001</v>
      </c>
      <c r="D420" s="17">
        <f>0.5*Specification!$K$4*Track!B420^2*Specification!$K$3*Specification!$K$2</f>
        <v>75.597088939043402</v>
      </c>
      <c r="E420" s="16">
        <v>0</v>
      </c>
      <c r="F420" s="17">
        <f>Specification!$C$23*9.81*SIN((E420*PI()/180))</f>
        <v>0</v>
      </c>
      <c r="G420" s="18">
        <f>IF(J420=1,VLOOKUP(K420,RPM!$E$2:$H$62,3,FALSE)-F420-E420-D420,IF(J420=2,VLOOKUP(K420,RPM!$H$2:$K$62,3,FALSE)-F420-E420-D420,IF(J420=3,VLOOKUP(K420,RPM!$K$2:$N$62,3,FALSE)-F420-E420-D420)))</f>
        <v>852.82752893960401</v>
      </c>
      <c r="H420" s="19">
        <f>IF(J420=1,Specification!$I$14,IF(J420=2,Specification!$I$15,IF(J420=3,Specification!$I$16)))</f>
        <v>582.50936296077191</v>
      </c>
      <c r="I420" s="16">
        <v>0</v>
      </c>
      <c r="J420" s="17">
        <v>2</v>
      </c>
      <c r="K420" s="16">
        <f>IF(J420=1,VLOOKUP(B420,RPM!$F$2:$H$62,3,TRUE),IF(J420=2,VLOOKUP(B420,RPM!$I$2:$K$62,3,TRUE),IF(J420=3,VLOOKUP(B420,RPM!$L$2:$N$62,3,TRUE))))</f>
        <v>6800</v>
      </c>
      <c r="L420" s="17">
        <f t="shared" si="70"/>
        <v>34.960871669335113</v>
      </c>
      <c r="M420" s="16">
        <f t="shared" si="67"/>
        <v>0</v>
      </c>
      <c r="N420" s="17">
        <f>VLOOKUP(K420,RPM!$A$2:$D$62,3,FALSE)</f>
        <v>15</v>
      </c>
      <c r="O420" s="16">
        <f>VLOOKUP(K420,RPM!$A$2:$D$62,4,FALSE)</f>
        <v>15.721323529411764</v>
      </c>
      <c r="P420" s="17">
        <f t="shared" si="68"/>
        <v>11.723390955882353</v>
      </c>
      <c r="Q420" s="16" cm="1">
        <f t="array" ref="Q420">_xlfn.XLOOKUP(O420,BSFC!$A$2:$A$24,_xlfn.XLOOKUP(K420,BSFC!$B$1:$O$1,BSFC!$B$2:$O$24,,-1),,-1)</f>
        <v>440</v>
      </c>
      <c r="R420" s="17">
        <f t="shared" si="69"/>
        <v>1.4328588946078433</v>
      </c>
      <c r="S420" s="16">
        <f t="shared" si="71"/>
        <v>2.6955348133305399E-4</v>
      </c>
      <c r="T420" s="17">
        <f t="shared" si="75"/>
        <v>0.11860353178654376</v>
      </c>
      <c r="U420" s="16">
        <f t="shared" si="76"/>
        <v>59.084395101587191</v>
      </c>
      <c r="V420" s="17">
        <f t="shared" si="77"/>
        <v>0.12384683629245612</v>
      </c>
      <c r="W420" s="16">
        <f t="shared" si="72"/>
        <v>445848.61065284204</v>
      </c>
      <c r="X420">
        <f>('Hybrid Info'!$A$2-Track!P420)*(L420-L419)*1000+X419</f>
        <v>-27174.337515010335</v>
      </c>
    </row>
    <row r="421" spans="1:24">
      <c r="A421" s="16">
        <f t="shared" si="73"/>
        <v>420</v>
      </c>
      <c r="B421" s="17">
        <f t="shared" si="74"/>
        <v>12.081081170387082</v>
      </c>
      <c r="C421" s="18">
        <f>Specification!$G$30</f>
        <v>109.96225200000001</v>
      </c>
      <c r="D421" s="17">
        <f>0.5*Specification!$K$4*Track!B421^2*Specification!$K$3*Specification!$K$2</f>
        <v>75.597088939043402</v>
      </c>
      <c r="E421" s="16">
        <v>0</v>
      </c>
      <c r="F421" s="17">
        <f>Specification!$C$23*9.81*SIN((E421*PI()/180))</f>
        <v>0</v>
      </c>
      <c r="G421" s="18">
        <f>IF(J421=1,VLOOKUP(K421,RPM!$E$2:$H$62,3,FALSE)-F421-E421-D421,IF(J421=2,VLOOKUP(K421,RPM!$H$2:$K$62,3,FALSE)-F421-E421-D421,IF(J421=3,VLOOKUP(K421,RPM!$K$2:$N$62,3,FALSE)-F421-E421-D421)))</f>
        <v>852.82752893960401</v>
      </c>
      <c r="H421" s="19">
        <f>IF(J421=1,Specification!$I$14,IF(J421=2,Specification!$I$15,IF(J421=3,Specification!$I$16)))</f>
        <v>582.50936296077191</v>
      </c>
      <c r="I421" s="16">
        <v>0</v>
      </c>
      <c r="J421" s="17">
        <v>2</v>
      </c>
      <c r="K421" s="16">
        <f>IF(J421=1,VLOOKUP(B421,RPM!$F$2:$H$62,3,TRUE),IF(J421=2,VLOOKUP(B421,RPM!$I$2:$K$62,3,TRUE),IF(J421=3,VLOOKUP(B421,RPM!$L$2:$N$62,3,TRUE))))</f>
        <v>6800</v>
      </c>
      <c r="L421" s="17">
        <f t="shared" si="70"/>
        <v>35.04364571794023</v>
      </c>
      <c r="M421" s="16">
        <f t="shared" si="67"/>
        <v>0</v>
      </c>
      <c r="N421" s="17">
        <f>VLOOKUP(K421,RPM!$A$2:$D$62,3,FALSE)</f>
        <v>15</v>
      </c>
      <c r="O421" s="16">
        <f>VLOOKUP(K421,RPM!$A$2:$D$62,4,FALSE)</f>
        <v>15.721323529411764</v>
      </c>
      <c r="P421" s="17">
        <f t="shared" si="68"/>
        <v>11.723390955882353</v>
      </c>
      <c r="Q421" s="16" cm="1">
        <f t="array" ref="Q421">_xlfn.XLOOKUP(O421,BSFC!$A$2:$A$24,_xlfn.XLOOKUP(K421,BSFC!$B$1:$O$1,BSFC!$B$2:$O$24,,-1),,-1)</f>
        <v>440</v>
      </c>
      <c r="R421" s="17">
        <f t="shared" si="69"/>
        <v>1.4328588946078433</v>
      </c>
      <c r="S421" s="16">
        <f t="shared" si="71"/>
        <v>2.6955348133305399E-4</v>
      </c>
      <c r="T421" s="17">
        <f t="shared" si="75"/>
        <v>0.11860353178654376</v>
      </c>
      <c r="U421" s="16">
        <f t="shared" si="76"/>
        <v>59.202998633373731</v>
      </c>
      <c r="V421" s="17">
        <f t="shared" si="77"/>
        <v>0.12411638977378917</v>
      </c>
      <c r="W421" s="16">
        <f t="shared" si="72"/>
        <v>446819.00318564102</v>
      </c>
      <c r="X421">
        <f>('Hybrid Info'!$A$2-Track!P421)*(L421-L420)*1000+X420</f>
        <v>-27141.4709499817</v>
      </c>
    </row>
    <row r="422" spans="1:24">
      <c r="A422" s="16">
        <f t="shared" si="73"/>
        <v>421</v>
      </c>
      <c r="B422" s="17">
        <f t="shared" si="74"/>
        <v>12.081081170387082</v>
      </c>
      <c r="C422" s="18">
        <f>Specification!$G$30</f>
        <v>109.96225200000001</v>
      </c>
      <c r="D422" s="17">
        <f>0.5*Specification!$K$4*Track!B422^2*Specification!$K$3*Specification!$K$2</f>
        <v>75.597088939043402</v>
      </c>
      <c r="E422" s="16">
        <v>0</v>
      </c>
      <c r="F422" s="17">
        <f>Specification!$C$23*9.81*SIN((E422*PI()/180))</f>
        <v>0</v>
      </c>
      <c r="G422" s="18">
        <f>IF(J422=1,VLOOKUP(K422,RPM!$E$2:$H$62,3,FALSE)-F422-E422-D422,IF(J422=2,VLOOKUP(K422,RPM!$H$2:$K$62,3,FALSE)-F422-E422-D422,IF(J422=3,VLOOKUP(K422,RPM!$K$2:$N$62,3,FALSE)-F422-E422-D422)))</f>
        <v>852.82752893960401</v>
      </c>
      <c r="H422" s="19">
        <f>IF(J422=1,Specification!$I$14,IF(J422=2,Specification!$I$15,IF(J422=3,Specification!$I$16)))</f>
        <v>582.50936296077191</v>
      </c>
      <c r="I422" s="16">
        <v>0</v>
      </c>
      <c r="J422" s="17">
        <v>2</v>
      </c>
      <c r="K422" s="16">
        <f>IF(J422=1,VLOOKUP(B422,RPM!$F$2:$H$62,3,TRUE),IF(J422=2,VLOOKUP(B422,RPM!$I$2:$K$62,3,TRUE),IF(J422=3,VLOOKUP(B422,RPM!$L$2:$N$62,3,TRUE))))</f>
        <v>6800</v>
      </c>
      <c r="L422" s="17">
        <f t="shared" si="70"/>
        <v>35.126419766545347</v>
      </c>
      <c r="M422" s="16">
        <f t="shared" si="67"/>
        <v>0</v>
      </c>
      <c r="N422" s="17">
        <f>VLOOKUP(K422,RPM!$A$2:$D$62,3,FALSE)</f>
        <v>15</v>
      </c>
      <c r="O422" s="16">
        <f>VLOOKUP(K422,RPM!$A$2:$D$62,4,FALSE)</f>
        <v>15.721323529411764</v>
      </c>
      <c r="P422" s="17">
        <f t="shared" si="68"/>
        <v>11.723390955882353</v>
      </c>
      <c r="Q422" s="16" cm="1">
        <f t="array" ref="Q422">_xlfn.XLOOKUP(O422,BSFC!$A$2:$A$24,_xlfn.XLOOKUP(K422,BSFC!$B$1:$O$1,BSFC!$B$2:$O$24,,-1),,-1)</f>
        <v>440</v>
      </c>
      <c r="R422" s="17">
        <f t="shared" si="69"/>
        <v>1.4328588946078433</v>
      </c>
      <c r="S422" s="16">
        <f t="shared" si="71"/>
        <v>2.6955348133305399E-4</v>
      </c>
      <c r="T422" s="17">
        <f t="shared" si="75"/>
        <v>0.11860353178654376</v>
      </c>
      <c r="U422" s="16">
        <f t="shared" si="76"/>
        <v>59.321602165160272</v>
      </c>
      <c r="V422" s="17">
        <f t="shared" si="77"/>
        <v>0.12438594325512221</v>
      </c>
      <c r="W422" s="16">
        <f t="shared" si="72"/>
        <v>447789.39571843995</v>
      </c>
      <c r="X422">
        <f>('Hybrid Info'!$A$2-Track!P422)*(L422-L421)*1000+X421</f>
        <v>-27108.604384953065</v>
      </c>
    </row>
    <row r="423" spans="1:24">
      <c r="A423" s="16">
        <f t="shared" si="73"/>
        <v>422</v>
      </c>
      <c r="B423" s="17">
        <f t="shared" si="74"/>
        <v>12.081081170387082</v>
      </c>
      <c r="C423" s="18">
        <f>Specification!$G$30</f>
        <v>109.96225200000001</v>
      </c>
      <c r="D423" s="17">
        <f>0.5*Specification!$K$4*Track!B423^2*Specification!$K$3*Specification!$K$2</f>
        <v>75.597088939043402</v>
      </c>
      <c r="E423" s="16">
        <v>0</v>
      </c>
      <c r="F423" s="17">
        <f>Specification!$C$23*9.81*SIN((E423*PI()/180))</f>
        <v>0</v>
      </c>
      <c r="G423" s="18">
        <f>IF(J423=1,VLOOKUP(K423,RPM!$E$2:$H$62,3,FALSE)-F423-E423-D423,IF(J423=2,VLOOKUP(K423,RPM!$H$2:$K$62,3,FALSE)-F423-E423-D423,IF(J423=3,VLOOKUP(K423,RPM!$K$2:$N$62,3,FALSE)-F423-E423-D423)))</f>
        <v>852.82752893960401</v>
      </c>
      <c r="H423" s="19">
        <f>IF(J423=1,Specification!$I$14,IF(J423=2,Specification!$I$15,IF(J423=3,Specification!$I$16)))</f>
        <v>582.50936296077191</v>
      </c>
      <c r="I423" s="16">
        <v>0</v>
      </c>
      <c r="J423" s="17">
        <v>2</v>
      </c>
      <c r="K423" s="16">
        <f>IF(J423=1,VLOOKUP(B423,RPM!$F$2:$H$62,3,TRUE),IF(J423=2,VLOOKUP(B423,RPM!$I$2:$K$62,3,TRUE),IF(J423=3,VLOOKUP(B423,RPM!$L$2:$N$62,3,TRUE))))</f>
        <v>6800</v>
      </c>
      <c r="L423" s="17">
        <f t="shared" si="70"/>
        <v>35.209193815150464</v>
      </c>
      <c r="M423" s="16">
        <f t="shared" si="67"/>
        <v>0</v>
      </c>
      <c r="N423" s="17">
        <f>VLOOKUP(K423,RPM!$A$2:$D$62,3,FALSE)</f>
        <v>15</v>
      </c>
      <c r="O423" s="16">
        <f>VLOOKUP(K423,RPM!$A$2:$D$62,4,FALSE)</f>
        <v>15.721323529411764</v>
      </c>
      <c r="P423" s="17">
        <f t="shared" si="68"/>
        <v>11.723390955882353</v>
      </c>
      <c r="Q423" s="16" cm="1">
        <f t="array" ref="Q423">_xlfn.XLOOKUP(O423,BSFC!$A$2:$A$24,_xlfn.XLOOKUP(K423,BSFC!$B$1:$O$1,BSFC!$B$2:$O$24,,-1),,-1)</f>
        <v>440</v>
      </c>
      <c r="R423" s="17">
        <f t="shared" si="69"/>
        <v>1.4328588946078433</v>
      </c>
      <c r="S423" s="16">
        <f t="shared" si="71"/>
        <v>2.6955348133305399E-4</v>
      </c>
      <c r="T423" s="17">
        <f t="shared" si="75"/>
        <v>0.11860353178654376</v>
      </c>
      <c r="U423" s="16">
        <f t="shared" si="76"/>
        <v>59.440205696946812</v>
      </c>
      <c r="V423" s="17">
        <f t="shared" si="77"/>
        <v>0.12465549673645526</v>
      </c>
      <c r="W423" s="16">
        <f t="shared" si="72"/>
        <v>448759.78825123893</v>
      </c>
      <c r="X423">
        <f>('Hybrid Info'!$A$2-Track!P423)*(L423-L422)*1000+X422</f>
        <v>-27075.73781992443</v>
      </c>
    </row>
    <row r="424" spans="1:24">
      <c r="A424" s="16">
        <f t="shared" si="73"/>
        <v>423</v>
      </c>
      <c r="B424" s="17">
        <f t="shared" si="74"/>
        <v>12.081081170387082</v>
      </c>
      <c r="C424" s="18">
        <f>Specification!$G$30</f>
        <v>109.96225200000001</v>
      </c>
      <c r="D424" s="17">
        <f>0.5*Specification!$K$4*Track!B424^2*Specification!$K$3*Specification!$K$2</f>
        <v>75.597088939043402</v>
      </c>
      <c r="E424" s="16">
        <v>0</v>
      </c>
      <c r="F424" s="17">
        <f>Specification!$C$23*9.81*SIN((E424*PI()/180))</f>
        <v>0</v>
      </c>
      <c r="G424" s="18">
        <f>IF(J424=1,VLOOKUP(K424,RPM!$E$2:$H$62,3,FALSE)-F424-E424-D424,IF(J424=2,VLOOKUP(K424,RPM!$H$2:$K$62,3,FALSE)-F424-E424-D424,IF(J424=3,VLOOKUP(K424,RPM!$K$2:$N$62,3,FALSE)-F424-E424-D424)))</f>
        <v>852.82752893960401</v>
      </c>
      <c r="H424" s="19">
        <f>IF(J424=1,Specification!$I$14,IF(J424=2,Specification!$I$15,IF(J424=3,Specification!$I$16)))</f>
        <v>582.50936296077191</v>
      </c>
      <c r="I424" s="16">
        <v>0</v>
      </c>
      <c r="J424" s="17">
        <v>2</v>
      </c>
      <c r="K424" s="16">
        <f>IF(J424=1,VLOOKUP(B424,RPM!$F$2:$H$62,3,TRUE),IF(J424=2,VLOOKUP(B424,RPM!$I$2:$K$62,3,TRUE),IF(J424=3,VLOOKUP(B424,RPM!$L$2:$N$62,3,TRUE))))</f>
        <v>6800</v>
      </c>
      <c r="L424" s="17">
        <f t="shared" si="70"/>
        <v>35.29196786375558</v>
      </c>
      <c r="M424" s="16">
        <f t="shared" si="67"/>
        <v>0</v>
      </c>
      <c r="N424" s="17">
        <f>VLOOKUP(K424,RPM!$A$2:$D$62,3,FALSE)</f>
        <v>15</v>
      </c>
      <c r="O424" s="16">
        <f>VLOOKUP(K424,RPM!$A$2:$D$62,4,FALSE)</f>
        <v>15.721323529411764</v>
      </c>
      <c r="P424" s="17">
        <f t="shared" si="68"/>
        <v>11.723390955882353</v>
      </c>
      <c r="Q424" s="16" cm="1">
        <f t="array" ref="Q424">_xlfn.XLOOKUP(O424,BSFC!$A$2:$A$24,_xlfn.XLOOKUP(K424,BSFC!$B$1:$O$1,BSFC!$B$2:$O$24,,-1),,-1)</f>
        <v>440</v>
      </c>
      <c r="R424" s="17">
        <f t="shared" si="69"/>
        <v>1.4328588946078433</v>
      </c>
      <c r="S424" s="16">
        <f t="shared" si="71"/>
        <v>2.6955348133305399E-4</v>
      </c>
      <c r="T424" s="17">
        <f t="shared" si="75"/>
        <v>0.11860353178654376</v>
      </c>
      <c r="U424" s="16">
        <f t="shared" si="76"/>
        <v>59.558809228733352</v>
      </c>
      <c r="V424" s="17">
        <f t="shared" si="77"/>
        <v>0.12492505021778831</v>
      </c>
      <c r="W424" s="16">
        <f t="shared" si="72"/>
        <v>449730.18078403792</v>
      </c>
      <c r="X424">
        <f>('Hybrid Info'!$A$2-Track!P424)*(L424-L423)*1000+X423</f>
        <v>-27042.871254895796</v>
      </c>
    </row>
    <row r="425" spans="1:24">
      <c r="A425" s="16">
        <f t="shared" si="73"/>
        <v>424</v>
      </c>
      <c r="B425" s="17">
        <f t="shared" si="74"/>
        <v>12.081081170387082</v>
      </c>
      <c r="C425" s="18">
        <f>Specification!$G$30</f>
        <v>109.96225200000001</v>
      </c>
      <c r="D425" s="17">
        <f>0.5*Specification!$K$4*Track!B425^2*Specification!$K$3*Specification!$K$2</f>
        <v>75.597088939043402</v>
      </c>
      <c r="E425" s="16">
        <v>0</v>
      </c>
      <c r="F425" s="17">
        <f>Specification!$C$23*9.81*SIN((E425*PI()/180))</f>
        <v>0</v>
      </c>
      <c r="G425" s="18">
        <f>IF(J425=1,VLOOKUP(K425,RPM!$E$2:$H$62,3,FALSE)-F425-E425-D425,IF(J425=2,VLOOKUP(K425,RPM!$H$2:$K$62,3,FALSE)-F425-E425-D425,IF(J425=3,VLOOKUP(K425,RPM!$K$2:$N$62,3,FALSE)-F425-E425-D425)))</f>
        <v>852.82752893960401</v>
      </c>
      <c r="H425" s="19">
        <f>IF(J425=1,Specification!$I$14,IF(J425=2,Specification!$I$15,IF(J425=3,Specification!$I$16)))</f>
        <v>582.50936296077191</v>
      </c>
      <c r="I425" s="16">
        <v>0</v>
      </c>
      <c r="J425" s="17">
        <v>2</v>
      </c>
      <c r="K425" s="16">
        <f>IF(J425=1,VLOOKUP(B425,RPM!$F$2:$H$62,3,TRUE),IF(J425=2,VLOOKUP(B425,RPM!$I$2:$K$62,3,TRUE),IF(J425=3,VLOOKUP(B425,RPM!$L$2:$N$62,3,TRUE))))</f>
        <v>6800</v>
      </c>
      <c r="L425" s="17">
        <f t="shared" si="70"/>
        <v>35.374741912360697</v>
      </c>
      <c r="M425" s="16">
        <f t="shared" si="67"/>
        <v>0</v>
      </c>
      <c r="N425" s="17">
        <f>VLOOKUP(K425,RPM!$A$2:$D$62,3,FALSE)</f>
        <v>15</v>
      </c>
      <c r="O425" s="16">
        <f>VLOOKUP(K425,RPM!$A$2:$D$62,4,FALSE)</f>
        <v>15.721323529411764</v>
      </c>
      <c r="P425" s="17">
        <f t="shared" si="68"/>
        <v>11.723390955882353</v>
      </c>
      <c r="Q425" s="16" cm="1">
        <f t="array" ref="Q425">_xlfn.XLOOKUP(O425,BSFC!$A$2:$A$24,_xlfn.XLOOKUP(K425,BSFC!$B$1:$O$1,BSFC!$B$2:$O$24,,-1),,-1)</f>
        <v>440</v>
      </c>
      <c r="R425" s="17">
        <f t="shared" si="69"/>
        <v>1.4328588946078433</v>
      </c>
      <c r="S425" s="16">
        <f t="shared" si="71"/>
        <v>2.6955348133305399E-4</v>
      </c>
      <c r="T425" s="17">
        <f t="shared" si="75"/>
        <v>0.11860353178654376</v>
      </c>
      <c r="U425" s="16">
        <f t="shared" si="76"/>
        <v>59.677412760519893</v>
      </c>
      <c r="V425" s="17">
        <f t="shared" si="77"/>
        <v>0.12519460369912136</v>
      </c>
      <c r="W425" s="16">
        <f t="shared" si="72"/>
        <v>450700.5733168369</v>
      </c>
      <c r="X425">
        <f>('Hybrid Info'!$A$2-Track!P425)*(L425-L424)*1000+X424</f>
        <v>-27010.004689867161</v>
      </c>
    </row>
    <row r="426" spans="1:24">
      <c r="A426" s="16">
        <f t="shared" si="73"/>
        <v>425</v>
      </c>
      <c r="B426" s="17">
        <f t="shared" si="74"/>
        <v>12.081081170387082</v>
      </c>
      <c r="C426" s="18">
        <f>Specification!$G$30</f>
        <v>109.96225200000001</v>
      </c>
      <c r="D426" s="17">
        <f>0.5*Specification!$K$4*Track!B426^2*Specification!$K$3*Specification!$K$2</f>
        <v>75.597088939043402</v>
      </c>
      <c r="E426" s="16">
        <v>0</v>
      </c>
      <c r="F426" s="17">
        <f>Specification!$C$23*9.81*SIN((E426*PI()/180))</f>
        <v>0</v>
      </c>
      <c r="G426" s="18">
        <f>IF(J426=1,VLOOKUP(K426,RPM!$E$2:$H$62,3,FALSE)-F426-E426-D426,IF(J426=2,VLOOKUP(K426,RPM!$H$2:$K$62,3,FALSE)-F426-E426-D426,IF(J426=3,VLOOKUP(K426,RPM!$K$2:$N$62,3,FALSE)-F426-E426-D426)))</f>
        <v>852.82752893960401</v>
      </c>
      <c r="H426" s="19">
        <f>IF(J426=1,Specification!$I$14,IF(J426=2,Specification!$I$15,IF(J426=3,Specification!$I$16)))</f>
        <v>582.50936296077191</v>
      </c>
      <c r="I426" s="16">
        <v>0</v>
      </c>
      <c r="J426" s="17">
        <v>2</v>
      </c>
      <c r="K426" s="16">
        <f>IF(J426=1,VLOOKUP(B426,RPM!$F$2:$H$62,3,TRUE),IF(J426=2,VLOOKUP(B426,RPM!$I$2:$K$62,3,TRUE),IF(J426=3,VLOOKUP(B426,RPM!$L$2:$N$62,3,TRUE))))</f>
        <v>6800</v>
      </c>
      <c r="L426" s="17">
        <f t="shared" si="70"/>
        <v>35.457515960965814</v>
      </c>
      <c r="M426" s="16">
        <f t="shared" si="67"/>
        <v>0</v>
      </c>
      <c r="N426" s="17">
        <f>VLOOKUP(K426,RPM!$A$2:$D$62,3,FALSE)</f>
        <v>15</v>
      </c>
      <c r="O426" s="16">
        <f>VLOOKUP(K426,RPM!$A$2:$D$62,4,FALSE)</f>
        <v>15.721323529411764</v>
      </c>
      <c r="P426" s="17">
        <f t="shared" si="68"/>
        <v>11.723390955882353</v>
      </c>
      <c r="Q426" s="16" cm="1">
        <f t="array" ref="Q426">_xlfn.XLOOKUP(O426,BSFC!$A$2:$A$24,_xlfn.XLOOKUP(K426,BSFC!$B$1:$O$1,BSFC!$B$2:$O$24,,-1),,-1)</f>
        <v>440</v>
      </c>
      <c r="R426" s="17">
        <f t="shared" si="69"/>
        <v>1.4328588946078433</v>
      </c>
      <c r="S426" s="16">
        <f t="shared" si="71"/>
        <v>2.6955348133305399E-4</v>
      </c>
      <c r="T426" s="17">
        <f t="shared" si="75"/>
        <v>0.11860353178654376</v>
      </c>
      <c r="U426" s="16">
        <f t="shared" si="76"/>
        <v>59.796016292306433</v>
      </c>
      <c r="V426" s="17">
        <f t="shared" si="77"/>
        <v>0.12546415718045442</v>
      </c>
      <c r="W426" s="16">
        <f t="shared" si="72"/>
        <v>451670.96584963589</v>
      </c>
      <c r="X426">
        <f>('Hybrid Info'!$A$2-Track!P426)*(L426-L425)*1000+X425</f>
        <v>-26977.138124838526</v>
      </c>
    </row>
    <row r="427" spans="1:24">
      <c r="A427" s="16">
        <f t="shared" si="73"/>
        <v>426</v>
      </c>
      <c r="B427" s="17">
        <f t="shared" si="74"/>
        <v>12.081081170387082</v>
      </c>
      <c r="C427" s="18">
        <f>Specification!$G$30</f>
        <v>109.96225200000001</v>
      </c>
      <c r="D427" s="17">
        <f>0.5*Specification!$K$4*Track!B427^2*Specification!$K$3*Specification!$K$2</f>
        <v>75.597088939043402</v>
      </c>
      <c r="E427" s="16">
        <v>0</v>
      </c>
      <c r="F427" s="17">
        <f>Specification!$C$23*9.81*SIN((E427*PI()/180))</f>
        <v>0</v>
      </c>
      <c r="G427" s="18">
        <f>IF(J427=1,VLOOKUP(K427,RPM!$E$2:$H$62,3,FALSE)-F427-E427-D427,IF(J427=2,VLOOKUP(K427,RPM!$H$2:$K$62,3,FALSE)-F427-E427-D427,IF(J427=3,VLOOKUP(K427,RPM!$K$2:$N$62,3,FALSE)-F427-E427-D427)))</f>
        <v>852.82752893960401</v>
      </c>
      <c r="H427" s="19">
        <f>IF(J427=1,Specification!$I$14,IF(J427=2,Specification!$I$15,IF(J427=3,Specification!$I$16)))</f>
        <v>582.50936296077191</v>
      </c>
      <c r="I427" s="16">
        <v>0</v>
      </c>
      <c r="J427" s="17">
        <v>2</v>
      </c>
      <c r="K427" s="16">
        <f>IF(J427=1,VLOOKUP(B427,RPM!$F$2:$H$62,3,TRUE),IF(J427=2,VLOOKUP(B427,RPM!$I$2:$K$62,3,TRUE),IF(J427=3,VLOOKUP(B427,RPM!$L$2:$N$62,3,TRUE))))</f>
        <v>6800</v>
      </c>
      <c r="L427" s="17">
        <f t="shared" si="70"/>
        <v>35.540290009570931</v>
      </c>
      <c r="M427" s="16">
        <f t="shared" si="67"/>
        <v>0</v>
      </c>
      <c r="N427" s="17">
        <f>VLOOKUP(K427,RPM!$A$2:$D$62,3,FALSE)</f>
        <v>15</v>
      </c>
      <c r="O427" s="16">
        <f>VLOOKUP(K427,RPM!$A$2:$D$62,4,FALSE)</f>
        <v>15.721323529411764</v>
      </c>
      <c r="P427" s="17">
        <f t="shared" si="68"/>
        <v>11.723390955882353</v>
      </c>
      <c r="Q427" s="16" cm="1">
        <f t="array" ref="Q427">_xlfn.XLOOKUP(O427,BSFC!$A$2:$A$24,_xlfn.XLOOKUP(K427,BSFC!$B$1:$O$1,BSFC!$B$2:$O$24,,-1),,-1)</f>
        <v>440</v>
      </c>
      <c r="R427" s="17">
        <f t="shared" si="69"/>
        <v>1.4328588946078433</v>
      </c>
      <c r="S427" s="16">
        <f t="shared" si="71"/>
        <v>2.6955348133305399E-4</v>
      </c>
      <c r="T427" s="17">
        <f t="shared" si="75"/>
        <v>0.11860353178654376</v>
      </c>
      <c r="U427" s="16">
        <f t="shared" si="76"/>
        <v>59.914619824092973</v>
      </c>
      <c r="V427" s="17">
        <f t="shared" si="77"/>
        <v>0.12573371066178748</v>
      </c>
      <c r="W427" s="16">
        <f t="shared" si="72"/>
        <v>452641.35838243493</v>
      </c>
      <c r="X427">
        <f>('Hybrid Info'!$A$2-Track!P427)*(L427-L426)*1000+X426</f>
        <v>-26944.271559809891</v>
      </c>
    </row>
    <row r="428" spans="1:24">
      <c r="A428" s="16">
        <f t="shared" si="73"/>
        <v>427</v>
      </c>
      <c r="B428" s="17">
        <f t="shared" si="74"/>
        <v>12.081081170387082</v>
      </c>
      <c r="C428" s="18">
        <f>Specification!$G$30</f>
        <v>109.96225200000001</v>
      </c>
      <c r="D428" s="17">
        <f>0.5*Specification!$K$4*Track!B428^2*Specification!$K$3*Specification!$K$2</f>
        <v>75.597088939043402</v>
      </c>
      <c r="E428" s="16">
        <v>0</v>
      </c>
      <c r="F428" s="17">
        <f>Specification!$C$23*9.81*SIN((E428*PI()/180))</f>
        <v>0</v>
      </c>
      <c r="G428" s="18">
        <f>IF(J428=1,VLOOKUP(K428,RPM!$E$2:$H$62,3,FALSE)-F428-E428-D428,IF(J428=2,VLOOKUP(K428,RPM!$H$2:$K$62,3,FALSE)-F428-E428-D428,IF(J428=3,VLOOKUP(K428,RPM!$K$2:$N$62,3,FALSE)-F428-E428-D428)))</f>
        <v>852.82752893960401</v>
      </c>
      <c r="H428" s="19">
        <f>IF(J428=1,Specification!$I$14,IF(J428=2,Specification!$I$15,IF(J428=3,Specification!$I$16)))</f>
        <v>582.50936296077191</v>
      </c>
      <c r="I428" s="16">
        <v>0</v>
      </c>
      <c r="J428" s="17">
        <v>2</v>
      </c>
      <c r="K428" s="16">
        <f>IF(J428=1,VLOOKUP(B428,RPM!$F$2:$H$62,3,TRUE),IF(J428=2,VLOOKUP(B428,RPM!$I$2:$K$62,3,TRUE),IF(J428=3,VLOOKUP(B428,RPM!$L$2:$N$62,3,TRUE))))</f>
        <v>6800</v>
      </c>
      <c r="L428" s="17">
        <f t="shared" si="70"/>
        <v>35.623064058176048</v>
      </c>
      <c r="M428" s="16">
        <f t="shared" si="67"/>
        <v>0</v>
      </c>
      <c r="N428" s="17">
        <f>VLOOKUP(K428,RPM!$A$2:$D$62,3,FALSE)</f>
        <v>15</v>
      </c>
      <c r="O428" s="16">
        <f>VLOOKUP(K428,RPM!$A$2:$D$62,4,FALSE)</f>
        <v>15.721323529411764</v>
      </c>
      <c r="P428" s="17">
        <f t="shared" si="68"/>
        <v>11.723390955882353</v>
      </c>
      <c r="Q428" s="16" cm="1">
        <f t="array" ref="Q428">_xlfn.XLOOKUP(O428,BSFC!$A$2:$A$24,_xlfn.XLOOKUP(K428,BSFC!$B$1:$O$1,BSFC!$B$2:$O$24,,-1),,-1)</f>
        <v>440</v>
      </c>
      <c r="R428" s="17">
        <f t="shared" si="69"/>
        <v>1.4328588946078433</v>
      </c>
      <c r="S428" s="16">
        <f t="shared" si="71"/>
        <v>2.6955348133305399E-4</v>
      </c>
      <c r="T428" s="17">
        <f t="shared" si="75"/>
        <v>0.11860353178654376</v>
      </c>
      <c r="U428" s="16">
        <f t="shared" si="76"/>
        <v>60.033223355879514</v>
      </c>
      <c r="V428" s="17">
        <f t="shared" si="77"/>
        <v>0.12600326414312055</v>
      </c>
      <c r="W428" s="16">
        <f t="shared" si="72"/>
        <v>453611.75091523398</v>
      </c>
      <c r="X428">
        <f>('Hybrid Info'!$A$2-Track!P428)*(L428-L427)*1000+X427</f>
        <v>-26911.404994781256</v>
      </c>
    </row>
    <row r="429" spans="1:24">
      <c r="A429" s="16">
        <f t="shared" si="73"/>
        <v>428</v>
      </c>
      <c r="B429" s="17">
        <f t="shared" si="74"/>
        <v>12.081081170387082</v>
      </c>
      <c r="C429" s="18">
        <f>Specification!$G$30</f>
        <v>109.96225200000001</v>
      </c>
      <c r="D429" s="17">
        <f>0.5*Specification!$K$4*Track!B429^2*Specification!$K$3*Specification!$K$2</f>
        <v>75.597088939043402</v>
      </c>
      <c r="E429" s="16">
        <v>0</v>
      </c>
      <c r="F429" s="17">
        <f>Specification!$C$23*9.81*SIN((E429*PI()/180))</f>
        <v>0</v>
      </c>
      <c r="G429" s="18">
        <f>IF(J429=1,VLOOKUP(K429,RPM!$E$2:$H$62,3,FALSE)-F429-E429-D429,IF(J429=2,VLOOKUP(K429,RPM!$H$2:$K$62,3,FALSE)-F429-E429-D429,IF(J429=3,VLOOKUP(K429,RPM!$K$2:$N$62,3,FALSE)-F429-E429-D429)))</f>
        <v>852.82752893960401</v>
      </c>
      <c r="H429" s="19">
        <f>IF(J429=1,Specification!$I$14,IF(J429=2,Specification!$I$15,IF(J429=3,Specification!$I$16)))</f>
        <v>582.50936296077191</v>
      </c>
      <c r="I429" s="16">
        <v>0</v>
      </c>
      <c r="J429" s="17">
        <v>2</v>
      </c>
      <c r="K429" s="16">
        <f>IF(J429=1,VLOOKUP(B429,RPM!$F$2:$H$62,3,TRUE),IF(J429=2,VLOOKUP(B429,RPM!$I$2:$K$62,3,TRUE),IF(J429=3,VLOOKUP(B429,RPM!$L$2:$N$62,3,TRUE))))</f>
        <v>6800</v>
      </c>
      <c r="L429" s="17">
        <f t="shared" si="70"/>
        <v>35.705838106781165</v>
      </c>
      <c r="M429" s="16">
        <f t="shared" si="67"/>
        <v>0</v>
      </c>
      <c r="N429" s="17">
        <f>VLOOKUP(K429,RPM!$A$2:$D$62,3,FALSE)</f>
        <v>15</v>
      </c>
      <c r="O429" s="16">
        <f>VLOOKUP(K429,RPM!$A$2:$D$62,4,FALSE)</f>
        <v>15.721323529411764</v>
      </c>
      <c r="P429" s="17">
        <f t="shared" si="68"/>
        <v>11.723390955882353</v>
      </c>
      <c r="Q429" s="16" cm="1">
        <f t="array" ref="Q429">_xlfn.XLOOKUP(O429,BSFC!$A$2:$A$24,_xlfn.XLOOKUP(K429,BSFC!$B$1:$O$1,BSFC!$B$2:$O$24,,-1),,-1)</f>
        <v>440</v>
      </c>
      <c r="R429" s="17">
        <f t="shared" si="69"/>
        <v>1.4328588946078433</v>
      </c>
      <c r="S429" s="16">
        <f t="shared" si="71"/>
        <v>2.6955348133305399E-4</v>
      </c>
      <c r="T429" s="17">
        <f t="shared" si="75"/>
        <v>0.11860353178654376</v>
      </c>
      <c r="U429" s="16">
        <f t="shared" si="76"/>
        <v>60.151826887666054</v>
      </c>
      <c r="V429" s="17">
        <f t="shared" si="77"/>
        <v>0.12627281762445361</v>
      </c>
      <c r="W429" s="16">
        <f t="shared" si="72"/>
        <v>454582.14344803296</v>
      </c>
      <c r="X429">
        <f>('Hybrid Info'!$A$2-Track!P429)*(L429-L428)*1000+X428</f>
        <v>-26878.538429752622</v>
      </c>
    </row>
    <row r="430" spans="1:24">
      <c r="A430" s="16">
        <f t="shared" si="73"/>
        <v>429</v>
      </c>
      <c r="B430" s="17">
        <f t="shared" si="74"/>
        <v>12.081081170387082</v>
      </c>
      <c r="C430" s="18">
        <f>Specification!$G$30</f>
        <v>109.96225200000001</v>
      </c>
      <c r="D430" s="17">
        <f>0.5*Specification!$K$4*Track!B430^2*Specification!$K$3*Specification!$K$2</f>
        <v>75.597088939043402</v>
      </c>
      <c r="E430" s="16">
        <v>0</v>
      </c>
      <c r="F430" s="17">
        <f>Specification!$C$23*9.81*SIN((E430*PI()/180))</f>
        <v>0</v>
      </c>
      <c r="G430" s="18">
        <f>IF(J430=1,VLOOKUP(K430,RPM!$E$2:$H$62,3,FALSE)-F430-E430-D430,IF(J430=2,VLOOKUP(K430,RPM!$H$2:$K$62,3,FALSE)-F430-E430-D430,IF(J430=3,VLOOKUP(K430,RPM!$K$2:$N$62,3,FALSE)-F430-E430-D430)))</f>
        <v>852.82752893960401</v>
      </c>
      <c r="H430" s="19">
        <f>IF(J430=1,Specification!$I$14,IF(J430=2,Specification!$I$15,IF(J430=3,Specification!$I$16)))</f>
        <v>582.50936296077191</v>
      </c>
      <c r="I430" s="16">
        <v>0</v>
      </c>
      <c r="J430" s="17">
        <v>2</v>
      </c>
      <c r="K430" s="16">
        <f>IF(J430=1,VLOOKUP(B430,RPM!$F$2:$H$62,3,TRUE),IF(J430=2,VLOOKUP(B430,RPM!$I$2:$K$62,3,TRUE),IF(J430=3,VLOOKUP(B430,RPM!$L$2:$N$62,3,TRUE))))</f>
        <v>6800</v>
      </c>
      <c r="L430" s="17">
        <f t="shared" si="70"/>
        <v>35.788612155386282</v>
      </c>
      <c r="M430" s="16">
        <f t="shared" si="67"/>
        <v>0</v>
      </c>
      <c r="N430" s="17">
        <f>VLOOKUP(K430,RPM!$A$2:$D$62,3,FALSE)</f>
        <v>15</v>
      </c>
      <c r="O430" s="16">
        <f>VLOOKUP(K430,RPM!$A$2:$D$62,4,FALSE)</f>
        <v>15.721323529411764</v>
      </c>
      <c r="P430" s="17">
        <f t="shared" si="68"/>
        <v>11.723390955882353</v>
      </c>
      <c r="Q430" s="16" cm="1">
        <f t="array" ref="Q430">_xlfn.XLOOKUP(O430,BSFC!$A$2:$A$24,_xlfn.XLOOKUP(K430,BSFC!$B$1:$O$1,BSFC!$B$2:$O$24,,-1),,-1)</f>
        <v>440</v>
      </c>
      <c r="R430" s="17">
        <f t="shared" si="69"/>
        <v>1.4328588946078433</v>
      </c>
      <c r="S430" s="16">
        <f t="shared" si="71"/>
        <v>2.6955348133305399E-4</v>
      </c>
      <c r="T430" s="17">
        <f t="shared" si="75"/>
        <v>0.11860353178654376</v>
      </c>
      <c r="U430" s="16">
        <f t="shared" si="76"/>
        <v>60.270430419452595</v>
      </c>
      <c r="V430" s="17">
        <f t="shared" si="77"/>
        <v>0.12654237110578667</v>
      </c>
      <c r="W430" s="16">
        <f t="shared" si="72"/>
        <v>455552.53598083201</v>
      </c>
      <c r="X430">
        <f>('Hybrid Info'!$A$2-Track!P430)*(L430-L429)*1000+X429</f>
        <v>-26845.671864723987</v>
      </c>
    </row>
    <row r="431" spans="1:24">
      <c r="A431" s="16">
        <f t="shared" si="73"/>
        <v>430</v>
      </c>
      <c r="B431" s="17">
        <f t="shared" si="74"/>
        <v>12.081081170387082</v>
      </c>
      <c r="C431" s="18">
        <f>Specification!$G$30</f>
        <v>109.96225200000001</v>
      </c>
      <c r="D431" s="17">
        <f>0.5*Specification!$K$4*Track!B431^2*Specification!$K$3*Specification!$K$2</f>
        <v>75.597088939043402</v>
      </c>
      <c r="E431" s="16">
        <v>0</v>
      </c>
      <c r="F431" s="17">
        <f>Specification!$C$23*9.81*SIN((E431*PI()/180))</f>
        <v>0</v>
      </c>
      <c r="G431" s="18">
        <f>IF(J431=1,VLOOKUP(K431,RPM!$E$2:$H$62,3,FALSE)-F431-E431-D431,IF(J431=2,VLOOKUP(K431,RPM!$H$2:$K$62,3,FALSE)-F431-E431-D431,IF(J431=3,VLOOKUP(K431,RPM!$K$2:$N$62,3,FALSE)-F431-E431-D431)))</f>
        <v>852.82752893960401</v>
      </c>
      <c r="H431" s="19">
        <f>IF(J431=1,Specification!$I$14,IF(J431=2,Specification!$I$15,IF(J431=3,Specification!$I$16)))</f>
        <v>582.50936296077191</v>
      </c>
      <c r="I431" s="16">
        <v>0</v>
      </c>
      <c r="J431" s="17">
        <v>2</v>
      </c>
      <c r="K431" s="16">
        <f>IF(J431=1,VLOOKUP(B431,RPM!$F$2:$H$62,3,TRUE),IF(J431=2,VLOOKUP(B431,RPM!$I$2:$K$62,3,TRUE),IF(J431=3,VLOOKUP(B431,RPM!$L$2:$N$62,3,TRUE))))</f>
        <v>6800</v>
      </c>
      <c r="L431" s="17">
        <f t="shared" si="70"/>
        <v>35.871386203991399</v>
      </c>
      <c r="M431" s="16">
        <f t="shared" si="67"/>
        <v>0</v>
      </c>
      <c r="N431" s="17">
        <f>VLOOKUP(K431,RPM!$A$2:$D$62,3,FALSE)</f>
        <v>15</v>
      </c>
      <c r="O431" s="16">
        <f>VLOOKUP(K431,RPM!$A$2:$D$62,4,FALSE)</f>
        <v>15.721323529411764</v>
      </c>
      <c r="P431" s="17">
        <f t="shared" si="68"/>
        <v>11.723390955882353</v>
      </c>
      <c r="Q431" s="16" cm="1">
        <f t="array" ref="Q431">_xlfn.XLOOKUP(O431,BSFC!$A$2:$A$24,_xlfn.XLOOKUP(K431,BSFC!$B$1:$O$1,BSFC!$B$2:$O$24,,-1),,-1)</f>
        <v>440</v>
      </c>
      <c r="R431" s="17">
        <f t="shared" si="69"/>
        <v>1.4328588946078433</v>
      </c>
      <c r="S431" s="16">
        <f t="shared" si="71"/>
        <v>2.6955348133305399E-4</v>
      </c>
      <c r="T431" s="17">
        <f t="shared" si="75"/>
        <v>0.11860353178654376</v>
      </c>
      <c r="U431" s="16">
        <f t="shared" si="76"/>
        <v>60.389033951239135</v>
      </c>
      <c r="V431" s="17">
        <f t="shared" si="77"/>
        <v>0.12681192458711973</v>
      </c>
      <c r="W431" s="16">
        <f t="shared" si="72"/>
        <v>456522.92851363105</v>
      </c>
      <c r="X431">
        <f>('Hybrid Info'!$A$2-Track!P431)*(L431-L430)*1000+X430</f>
        <v>-26812.805299695352</v>
      </c>
    </row>
    <row r="432" spans="1:24">
      <c r="A432" s="16">
        <f t="shared" si="73"/>
        <v>431</v>
      </c>
      <c r="B432" s="17">
        <f t="shared" si="74"/>
        <v>12.081081170387082</v>
      </c>
      <c r="C432" s="18">
        <f>Specification!$G$30</f>
        <v>109.96225200000001</v>
      </c>
      <c r="D432" s="17">
        <f>0.5*Specification!$K$4*Track!B432^2*Specification!$K$3*Specification!$K$2</f>
        <v>75.597088939043402</v>
      </c>
      <c r="E432" s="16">
        <v>0</v>
      </c>
      <c r="F432" s="17">
        <f>Specification!$C$23*9.81*SIN((E432*PI()/180))</f>
        <v>0</v>
      </c>
      <c r="G432" s="18">
        <f>IF(J432=1,VLOOKUP(K432,RPM!$E$2:$H$62,3,FALSE)-F432-E432-D432,IF(J432=2,VLOOKUP(K432,RPM!$H$2:$K$62,3,FALSE)-F432-E432-D432,IF(J432=3,VLOOKUP(K432,RPM!$K$2:$N$62,3,FALSE)-F432-E432-D432)))</f>
        <v>852.82752893960401</v>
      </c>
      <c r="H432" s="19">
        <f>IF(J432=1,Specification!$I$14,IF(J432=2,Specification!$I$15,IF(J432=3,Specification!$I$16)))</f>
        <v>582.50936296077191</v>
      </c>
      <c r="I432" s="16">
        <v>0</v>
      </c>
      <c r="J432" s="17">
        <v>2</v>
      </c>
      <c r="K432" s="16">
        <f>IF(J432=1,VLOOKUP(B432,RPM!$F$2:$H$62,3,TRUE),IF(J432=2,VLOOKUP(B432,RPM!$I$2:$K$62,3,TRUE),IF(J432=3,VLOOKUP(B432,RPM!$L$2:$N$62,3,TRUE))))</f>
        <v>6800</v>
      </c>
      <c r="L432" s="17">
        <f t="shared" si="70"/>
        <v>35.954160252596516</v>
      </c>
      <c r="M432" s="16">
        <f t="shared" si="67"/>
        <v>0</v>
      </c>
      <c r="N432" s="17">
        <f>VLOOKUP(K432,RPM!$A$2:$D$62,3,FALSE)</f>
        <v>15</v>
      </c>
      <c r="O432" s="16">
        <f>VLOOKUP(K432,RPM!$A$2:$D$62,4,FALSE)</f>
        <v>15.721323529411764</v>
      </c>
      <c r="P432" s="17">
        <f t="shared" si="68"/>
        <v>11.723390955882353</v>
      </c>
      <c r="Q432" s="16" cm="1">
        <f t="array" ref="Q432">_xlfn.XLOOKUP(O432,BSFC!$A$2:$A$24,_xlfn.XLOOKUP(K432,BSFC!$B$1:$O$1,BSFC!$B$2:$O$24,,-1),,-1)</f>
        <v>440</v>
      </c>
      <c r="R432" s="17">
        <f t="shared" si="69"/>
        <v>1.4328588946078433</v>
      </c>
      <c r="S432" s="16">
        <f t="shared" si="71"/>
        <v>2.6955348133305399E-4</v>
      </c>
      <c r="T432" s="17">
        <f t="shared" si="75"/>
        <v>0.11860353178654376</v>
      </c>
      <c r="U432" s="16">
        <f t="shared" si="76"/>
        <v>60.507637483025675</v>
      </c>
      <c r="V432" s="17">
        <f t="shared" si="77"/>
        <v>0.1270814780684528</v>
      </c>
      <c r="W432" s="16">
        <f t="shared" si="72"/>
        <v>457493.32104643009</v>
      </c>
      <c r="X432">
        <f>('Hybrid Info'!$A$2-Track!P432)*(L432-L431)*1000+X431</f>
        <v>-26779.938734666717</v>
      </c>
    </row>
    <row r="433" spans="1:24">
      <c r="A433" s="16">
        <f t="shared" si="73"/>
        <v>432</v>
      </c>
      <c r="B433" s="17">
        <f t="shared" si="74"/>
        <v>12.081081170387082</v>
      </c>
      <c r="C433" s="18">
        <f>Specification!$G$30</f>
        <v>109.96225200000001</v>
      </c>
      <c r="D433" s="17">
        <f>0.5*Specification!$K$4*Track!B433^2*Specification!$K$3*Specification!$K$2</f>
        <v>75.597088939043402</v>
      </c>
      <c r="E433" s="16">
        <v>0</v>
      </c>
      <c r="F433" s="17">
        <f>Specification!$C$23*9.81*SIN((E433*PI()/180))</f>
        <v>0</v>
      </c>
      <c r="G433" s="18">
        <f>IF(J433=1,VLOOKUP(K433,RPM!$E$2:$H$62,3,FALSE)-F433-E433-D433,IF(J433=2,VLOOKUP(K433,RPM!$H$2:$K$62,3,FALSE)-F433-E433-D433,IF(J433=3,VLOOKUP(K433,RPM!$K$2:$N$62,3,FALSE)-F433-E433-D433)))</f>
        <v>852.82752893960401</v>
      </c>
      <c r="H433" s="19">
        <f>IF(J433=1,Specification!$I$14,IF(J433=2,Specification!$I$15,IF(J433=3,Specification!$I$16)))</f>
        <v>582.50936296077191</v>
      </c>
      <c r="I433" s="16">
        <v>0</v>
      </c>
      <c r="J433" s="17">
        <v>2</v>
      </c>
      <c r="K433" s="16">
        <f>IF(J433=1,VLOOKUP(B433,RPM!$F$2:$H$62,3,TRUE),IF(J433=2,VLOOKUP(B433,RPM!$I$2:$K$62,3,TRUE),IF(J433=3,VLOOKUP(B433,RPM!$L$2:$N$62,3,TRUE))))</f>
        <v>6800</v>
      </c>
      <c r="L433" s="17">
        <f t="shared" si="70"/>
        <v>36.036934301201633</v>
      </c>
      <c r="M433" s="16">
        <f t="shared" si="67"/>
        <v>0</v>
      </c>
      <c r="N433" s="17">
        <f>VLOOKUP(K433,RPM!$A$2:$D$62,3,FALSE)</f>
        <v>15</v>
      </c>
      <c r="O433" s="16">
        <f>VLOOKUP(K433,RPM!$A$2:$D$62,4,FALSE)</f>
        <v>15.721323529411764</v>
      </c>
      <c r="P433" s="17">
        <f t="shared" si="68"/>
        <v>11.723390955882353</v>
      </c>
      <c r="Q433" s="16" cm="1">
        <f t="array" ref="Q433">_xlfn.XLOOKUP(O433,BSFC!$A$2:$A$24,_xlfn.XLOOKUP(K433,BSFC!$B$1:$O$1,BSFC!$B$2:$O$24,,-1),,-1)</f>
        <v>440</v>
      </c>
      <c r="R433" s="17">
        <f t="shared" si="69"/>
        <v>1.4328588946078433</v>
      </c>
      <c r="S433" s="16">
        <f t="shared" si="71"/>
        <v>2.6955348133305399E-4</v>
      </c>
      <c r="T433" s="17">
        <f t="shared" si="75"/>
        <v>0.11860353178654376</v>
      </c>
      <c r="U433" s="16">
        <f t="shared" si="76"/>
        <v>60.626241014812216</v>
      </c>
      <c r="V433" s="17">
        <f t="shared" si="77"/>
        <v>0.12735103154978586</v>
      </c>
      <c r="W433" s="16">
        <f t="shared" si="72"/>
        <v>458463.71357922908</v>
      </c>
      <c r="X433">
        <f>('Hybrid Info'!$A$2-Track!P433)*(L433-L432)*1000+X432</f>
        <v>-26747.072169638082</v>
      </c>
    </row>
    <row r="434" spans="1:24">
      <c r="A434" s="16">
        <f t="shared" si="73"/>
        <v>433</v>
      </c>
      <c r="B434" s="17">
        <f t="shared" si="74"/>
        <v>12.081081170387082</v>
      </c>
      <c r="C434" s="18">
        <f>Specification!$G$30</f>
        <v>109.96225200000001</v>
      </c>
      <c r="D434" s="17">
        <f>0.5*Specification!$K$4*Track!B434^2*Specification!$K$3*Specification!$K$2</f>
        <v>75.597088939043402</v>
      </c>
      <c r="E434" s="16">
        <v>0</v>
      </c>
      <c r="F434" s="17">
        <f>Specification!$C$23*9.81*SIN((E434*PI()/180))</f>
        <v>0</v>
      </c>
      <c r="G434" s="18">
        <f>IF(J434=1,VLOOKUP(K434,RPM!$E$2:$H$62,3,FALSE)-F434-E434-D434,IF(J434=2,VLOOKUP(K434,RPM!$H$2:$K$62,3,FALSE)-F434-E434-D434,IF(J434=3,VLOOKUP(K434,RPM!$K$2:$N$62,3,FALSE)-F434-E434-D434)))</f>
        <v>852.82752893960401</v>
      </c>
      <c r="H434" s="19">
        <f>IF(J434=1,Specification!$I$14,IF(J434=2,Specification!$I$15,IF(J434=3,Specification!$I$16)))</f>
        <v>582.50936296077191</v>
      </c>
      <c r="I434" s="16">
        <v>0</v>
      </c>
      <c r="J434" s="17">
        <v>2</v>
      </c>
      <c r="K434" s="16">
        <f>IF(J434=1,VLOOKUP(B434,RPM!$F$2:$H$62,3,TRUE),IF(J434=2,VLOOKUP(B434,RPM!$I$2:$K$62,3,TRUE),IF(J434=3,VLOOKUP(B434,RPM!$L$2:$N$62,3,TRUE))))</f>
        <v>6800</v>
      </c>
      <c r="L434" s="17">
        <f t="shared" si="70"/>
        <v>36.11970834980675</v>
      </c>
      <c r="M434" s="16">
        <f t="shared" si="67"/>
        <v>0</v>
      </c>
      <c r="N434" s="17">
        <f>VLOOKUP(K434,RPM!$A$2:$D$62,3,FALSE)</f>
        <v>15</v>
      </c>
      <c r="O434" s="16">
        <f>VLOOKUP(K434,RPM!$A$2:$D$62,4,FALSE)</f>
        <v>15.721323529411764</v>
      </c>
      <c r="P434" s="17">
        <f t="shared" si="68"/>
        <v>11.723390955882353</v>
      </c>
      <c r="Q434" s="16" cm="1">
        <f t="array" ref="Q434">_xlfn.XLOOKUP(O434,BSFC!$A$2:$A$24,_xlfn.XLOOKUP(K434,BSFC!$B$1:$O$1,BSFC!$B$2:$O$24,,-1),,-1)</f>
        <v>440</v>
      </c>
      <c r="R434" s="17">
        <f t="shared" si="69"/>
        <v>1.4328588946078433</v>
      </c>
      <c r="S434" s="16">
        <f t="shared" si="71"/>
        <v>2.6955348133305399E-4</v>
      </c>
      <c r="T434" s="17">
        <f t="shared" si="75"/>
        <v>0.11860353178654376</v>
      </c>
      <c r="U434" s="16">
        <f t="shared" si="76"/>
        <v>60.744844546598756</v>
      </c>
      <c r="V434" s="17">
        <f t="shared" si="77"/>
        <v>0.12762058503111892</v>
      </c>
      <c r="W434" s="16">
        <f t="shared" si="72"/>
        <v>459434.10611202812</v>
      </c>
      <c r="X434">
        <f>('Hybrid Info'!$A$2-Track!P434)*(L434-L433)*1000+X433</f>
        <v>-26714.205604609448</v>
      </c>
    </row>
    <row r="435" spans="1:24">
      <c r="A435" s="16">
        <f t="shared" si="73"/>
        <v>434</v>
      </c>
      <c r="B435" s="17">
        <f t="shared" si="74"/>
        <v>12.081081170387082</v>
      </c>
      <c r="C435" s="18">
        <f>Specification!$G$30</f>
        <v>109.96225200000001</v>
      </c>
      <c r="D435" s="17">
        <f>0.5*Specification!$K$4*Track!B435^2*Specification!$K$3*Specification!$K$2</f>
        <v>75.597088939043402</v>
      </c>
      <c r="E435" s="16">
        <v>0</v>
      </c>
      <c r="F435" s="17">
        <f>Specification!$C$23*9.81*SIN((E435*PI()/180))</f>
        <v>0</v>
      </c>
      <c r="G435" s="18">
        <f>IF(J435=1,VLOOKUP(K435,RPM!$E$2:$H$62,3,FALSE)-F435-E435-D435,IF(J435=2,VLOOKUP(K435,RPM!$H$2:$K$62,3,FALSE)-F435-E435-D435,IF(J435=3,VLOOKUP(K435,RPM!$K$2:$N$62,3,FALSE)-F435-E435-D435)))</f>
        <v>852.82752893960401</v>
      </c>
      <c r="H435" s="19">
        <f>IF(J435=1,Specification!$I$14,IF(J435=2,Specification!$I$15,IF(J435=3,Specification!$I$16)))</f>
        <v>582.50936296077191</v>
      </c>
      <c r="I435" s="16">
        <v>0</v>
      </c>
      <c r="J435" s="17">
        <v>2</v>
      </c>
      <c r="K435" s="16">
        <f>IF(J435=1,VLOOKUP(B435,RPM!$F$2:$H$62,3,TRUE),IF(J435=2,VLOOKUP(B435,RPM!$I$2:$K$62,3,TRUE),IF(J435=3,VLOOKUP(B435,RPM!$L$2:$N$62,3,TRUE))))</f>
        <v>6800</v>
      </c>
      <c r="L435" s="17">
        <f t="shared" si="70"/>
        <v>36.202482398411867</v>
      </c>
      <c r="M435" s="16">
        <f t="shared" si="67"/>
        <v>0</v>
      </c>
      <c r="N435" s="17">
        <f>VLOOKUP(K435,RPM!$A$2:$D$62,3,FALSE)</f>
        <v>15</v>
      </c>
      <c r="O435" s="16">
        <f>VLOOKUP(K435,RPM!$A$2:$D$62,4,FALSE)</f>
        <v>15.721323529411764</v>
      </c>
      <c r="P435" s="17">
        <f t="shared" si="68"/>
        <v>11.723390955882353</v>
      </c>
      <c r="Q435" s="16" cm="1">
        <f t="array" ref="Q435">_xlfn.XLOOKUP(O435,BSFC!$A$2:$A$24,_xlfn.XLOOKUP(K435,BSFC!$B$1:$O$1,BSFC!$B$2:$O$24,,-1),,-1)</f>
        <v>440</v>
      </c>
      <c r="R435" s="17">
        <f t="shared" si="69"/>
        <v>1.4328588946078433</v>
      </c>
      <c r="S435" s="16">
        <f t="shared" si="71"/>
        <v>2.6955348133305399E-4</v>
      </c>
      <c r="T435" s="17">
        <f t="shared" si="75"/>
        <v>0.11860353178654376</v>
      </c>
      <c r="U435" s="16">
        <f t="shared" si="76"/>
        <v>60.863448078385296</v>
      </c>
      <c r="V435" s="17">
        <f t="shared" si="77"/>
        <v>0.12789013851245198</v>
      </c>
      <c r="W435" s="16">
        <f t="shared" si="72"/>
        <v>460404.49864482717</v>
      </c>
      <c r="X435">
        <f>('Hybrid Info'!$A$2-Track!P435)*(L435-L434)*1000+X434</f>
        <v>-26681.339039580813</v>
      </c>
    </row>
    <row r="436" spans="1:24">
      <c r="A436" s="16">
        <f t="shared" si="73"/>
        <v>435</v>
      </c>
      <c r="B436" s="17">
        <f t="shared" si="74"/>
        <v>12.081081170387082</v>
      </c>
      <c r="C436" s="18">
        <f>Specification!$G$30</f>
        <v>109.96225200000001</v>
      </c>
      <c r="D436" s="17">
        <f>0.5*Specification!$K$4*Track!B436^2*Specification!$K$3*Specification!$K$2</f>
        <v>75.597088939043402</v>
      </c>
      <c r="E436" s="16">
        <v>0</v>
      </c>
      <c r="F436" s="17">
        <f>Specification!$C$23*9.81*SIN((E436*PI()/180))</f>
        <v>0</v>
      </c>
      <c r="G436" s="18">
        <f>IF(J436=1,VLOOKUP(K436,RPM!$E$2:$H$62,3,FALSE)-F436-E436-D436,IF(J436=2,VLOOKUP(K436,RPM!$H$2:$K$62,3,FALSE)-F436-E436-D436,IF(J436=3,VLOOKUP(K436,RPM!$K$2:$N$62,3,FALSE)-F436-E436-D436)))</f>
        <v>852.82752893960401</v>
      </c>
      <c r="H436" s="19">
        <f>IF(J436=1,Specification!$I$14,IF(J436=2,Specification!$I$15,IF(J436=3,Specification!$I$16)))</f>
        <v>582.50936296077191</v>
      </c>
      <c r="I436" s="16">
        <v>0</v>
      </c>
      <c r="J436" s="17">
        <v>2</v>
      </c>
      <c r="K436" s="16">
        <f>IF(J436=1,VLOOKUP(B436,RPM!$F$2:$H$62,3,TRUE),IF(J436=2,VLOOKUP(B436,RPM!$I$2:$K$62,3,TRUE),IF(J436=3,VLOOKUP(B436,RPM!$L$2:$N$62,3,TRUE))))</f>
        <v>6800</v>
      </c>
      <c r="L436" s="17">
        <f t="shared" si="70"/>
        <v>36.285256447016984</v>
      </c>
      <c r="M436" s="16">
        <f t="shared" si="67"/>
        <v>0</v>
      </c>
      <c r="N436" s="17">
        <f>VLOOKUP(K436,RPM!$A$2:$D$62,3,FALSE)</f>
        <v>15</v>
      </c>
      <c r="O436" s="16">
        <f>VLOOKUP(K436,RPM!$A$2:$D$62,4,FALSE)</f>
        <v>15.721323529411764</v>
      </c>
      <c r="P436" s="17">
        <f t="shared" si="68"/>
        <v>11.723390955882353</v>
      </c>
      <c r="Q436" s="16" cm="1">
        <f t="array" ref="Q436">_xlfn.XLOOKUP(O436,BSFC!$A$2:$A$24,_xlfn.XLOOKUP(K436,BSFC!$B$1:$O$1,BSFC!$B$2:$O$24,,-1),,-1)</f>
        <v>440</v>
      </c>
      <c r="R436" s="17">
        <f t="shared" si="69"/>
        <v>1.4328588946078433</v>
      </c>
      <c r="S436" s="16">
        <f t="shared" si="71"/>
        <v>2.6955348133305399E-4</v>
      </c>
      <c r="T436" s="17">
        <f t="shared" si="75"/>
        <v>0.11860353178654376</v>
      </c>
      <c r="U436" s="16">
        <f t="shared" si="76"/>
        <v>60.982051610171837</v>
      </c>
      <c r="V436" s="17">
        <f t="shared" si="77"/>
        <v>0.12815969199378505</v>
      </c>
      <c r="W436" s="16">
        <f t="shared" si="72"/>
        <v>461374.89117762621</v>
      </c>
      <c r="X436">
        <f>('Hybrid Info'!$A$2-Track!P436)*(L436-L435)*1000+X435</f>
        <v>-26648.472474552178</v>
      </c>
    </row>
    <row r="437" spans="1:24">
      <c r="A437" s="16">
        <f t="shared" si="73"/>
        <v>436</v>
      </c>
      <c r="B437" s="17">
        <f t="shared" si="74"/>
        <v>12.081081170387082</v>
      </c>
      <c r="C437" s="18">
        <f>Specification!$G$30</f>
        <v>109.96225200000001</v>
      </c>
      <c r="D437" s="17">
        <f>0.5*Specification!$K$4*Track!B437^2*Specification!$K$3*Specification!$K$2</f>
        <v>75.597088939043402</v>
      </c>
      <c r="E437" s="16">
        <v>0</v>
      </c>
      <c r="F437" s="17">
        <f>Specification!$C$23*9.81*SIN((E437*PI()/180))</f>
        <v>0</v>
      </c>
      <c r="G437" s="18">
        <f>IF(J437=1,VLOOKUP(K437,RPM!$E$2:$H$62,3,FALSE)-F437-E437-D437,IF(J437=2,VLOOKUP(K437,RPM!$H$2:$K$62,3,FALSE)-F437-E437-D437,IF(J437=3,VLOOKUP(K437,RPM!$K$2:$N$62,3,FALSE)-F437-E437-D437)))</f>
        <v>852.82752893960401</v>
      </c>
      <c r="H437" s="19">
        <f>IF(J437=1,Specification!$I$14,IF(J437=2,Specification!$I$15,IF(J437=3,Specification!$I$16)))</f>
        <v>582.50936296077191</v>
      </c>
      <c r="I437" s="16">
        <v>0</v>
      </c>
      <c r="J437" s="17">
        <v>2</v>
      </c>
      <c r="K437" s="16">
        <f>IF(J437=1,VLOOKUP(B437,RPM!$F$2:$H$62,3,TRUE),IF(J437=2,VLOOKUP(B437,RPM!$I$2:$K$62,3,TRUE),IF(J437=3,VLOOKUP(B437,RPM!$L$2:$N$62,3,TRUE))))</f>
        <v>6800</v>
      </c>
      <c r="L437" s="17">
        <f t="shared" si="70"/>
        <v>36.368030495622101</v>
      </c>
      <c r="M437" s="16">
        <f t="shared" si="67"/>
        <v>0</v>
      </c>
      <c r="N437" s="17">
        <f>VLOOKUP(K437,RPM!$A$2:$D$62,3,FALSE)</f>
        <v>15</v>
      </c>
      <c r="O437" s="16">
        <f>VLOOKUP(K437,RPM!$A$2:$D$62,4,FALSE)</f>
        <v>15.721323529411764</v>
      </c>
      <c r="P437" s="17">
        <f t="shared" si="68"/>
        <v>11.723390955882353</v>
      </c>
      <c r="Q437" s="16" cm="1">
        <f t="array" ref="Q437">_xlfn.XLOOKUP(O437,BSFC!$A$2:$A$24,_xlfn.XLOOKUP(K437,BSFC!$B$1:$O$1,BSFC!$B$2:$O$24,,-1),,-1)</f>
        <v>440</v>
      </c>
      <c r="R437" s="17">
        <f t="shared" si="69"/>
        <v>1.4328588946078433</v>
      </c>
      <c r="S437" s="16">
        <f t="shared" si="71"/>
        <v>2.6955348133305399E-4</v>
      </c>
      <c r="T437" s="17">
        <f t="shared" si="75"/>
        <v>0.11860353178654376</v>
      </c>
      <c r="U437" s="16">
        <f t="shared" si="76"/>
        <v>61.100655141958377</v>
      </c>
      <c r="V437" s="17">
        <f t="shared" si="77"/>
        <v>0.12842924547511811</v>
      </c>
      <c r="W437" s="16">
        <f t="shared" si="72"/>
        <v>462345.2837104252</v>
      </c>
      <c r="X437">
        <f>('Hybrid Info'!$A$2-Track!P437)*(L437-L436)*1000+X436</f>
        <v>-26615.605909523543</v>
      </c>
    </row>
    <row r="438" spans="1:24">
      <c r="A438" s="16">
        <f t="shared" si="73"/>
        <v>437</v>
      </c>
      <c r="B438" s="17">
        <f t="shared" si="74"/>
        <v>12.081081170387082</v>
      </c>
      <c r="C438" s="18">
        <f>Specification!$G$30</f>
        <v>109.96225200000001</v>
      </c>
      <c r="D438" s="17">
        <f>0.5*Specification!$K$4*Track!B438^2*Specification!$K$3*Specification!$K$2</f>
        <v>75.597088939043402</v>
      </c>
      <c r="E438" s="16">
        <v>0</v>
      </c>
      <c r="F438" s="17">
        <f>Specification!$C$23*9.81*SIN((E438*PI()/180))</f>
        <v>0</v>
      </c>
      <c r="G438" s="18">
        <f>IF(J438=1,VLOOKUP(K438,RPM!$E$2:$H$62,3,FALSE)-F438-E438-D438,IF(J438=2,VLOOKUP(K438,RPM!$H$2:$K$62,3,FALSE)-F438-E438-D438,IF(J438=3,VLOOKUP(K438,RPM!$K$2:$N$62,3,FALSE)-F438-E438-D438)))</f>
        <v>852.82752893960401</v>
      </c>
      <c r="H438" s="19">
        <f>IF(J438=1,Specification!$I$14,IF(J438=2,Specification!$I$15,IF(J438=3,Specification!$I$16)))</f>
        <v>582.50936296077191</v>
      </c>
      <c r="I438" s="16">
        <v>0</v>
      </c>
      <c r="J438" s="17">
        <v>2</v>
      </c>
      <c r="K438" s="16">
        <f>IF(J438=1,VLOOKUP(B438,RPM!$F$2:$H$62,3,TRUE),IF(J438=2,VLOOKUP(B438,RPM!$I$2:$K$62,3,TRUE),IF(J438=3,VLOOKUP(B438,RPM!$L$2:$N$62,3,TRUE))))</f>
        <v>6800</v>
      </c>
      <c r="L438" s="17">
        <f t="shared" si="70"/>
        <v>36.450804544227218</v>
      </c>
      <c r="M438" s="16">
        <f t="shared" si="67"/>
        <v>0</v>
      </c>
      <c r="N438" s="17">
        <f>VLOOKUP(K438,RPM!$A$2:$D$62,3,FALSE)</f>
        <v>15</v>
      </c>
      <c r="O438" s="16">
        <f>VLOOKUP(K438,RPM!$A$2:$D$62,4,FALSE)</f>
        <v>15.721323529411764</v>
      </c>
      <c r="P438" s="17">
        <f t="shared" si="68"/>
        <v>11.723390955882353</v>
      </c>
      <c r="Q438" s="16" cm="1">
        <f t="array" ref="Q438">_xlfn.XLOOKUP(O438,BSFC!$A$2:$A$24,_xlfn.XLOOKUP(K438,BSFC!$B$1:$O$1,BSFC!$B$2:$O$24,,-1),,-1)</f>
        <v>440</v>
      </c>
      <c r="R438" s="17">
        <f t="shared" si="69"/>
        <v>1.4328588946078433</v>
      </c>
      <c r="S438" s="16">
        <f t="shared" si="71"/>
        <v>2.6955348133305399E-4</v>
      </c>
      <c r="T438" s="17">
        <f t="shared" si="75"/>
        <v>0.11860353178654376</v>
      </c>
      <c r="U438" s="16">
        <f t="shared" si="76"/>
        <v>61.219258673744918</v>
      </c>
      <c r="V438" s="17">
        <f t="shared" si="77"/>
        <v>0.12869879895645117</v>
      </c>
      <c r="W438" s="16">
        <f t="shared" si="72"/>
        <v>463315.67624322424</v>
      </c>
      <c r="X438">
        <f>('Hybrid Info'!$A$2-Track!P438)*(L438-L437)*1000+X437</f>
        <v>-26582.739344494908</v>
      </c>
    </row>
    <row r="439" spans="1:24">
      <c r="A439" s="16">
        <f t="shared" si="73"/>
        <v>438</v>
      </c>
      <c r="B439" s="17">
        <f t="shared" si="74"/>
        <v>12.081081170387082</v>
      </c>
      <c r="C439" s="18">
        <f>Specification!$G$30</f>
        <v>109.96225200000001</v>
      </c>
      <c r="D439" s="17">
        <f>0.5*Specification!$K$4*Track!B439^2*Specification!$K$3*Specification!$K$2</f>
        <v>75.597088939043402</v>
      </c>
      <c r="E439" s="16">
        <v>0</v>
      </c>
      <c r="F439" s="17">
        <f>Specification!$C$23*9.81*SIN((E439*PI()/180))</f>
        <v>0</v>
      </c>
      <c r="G439" s="18">
        <f>IF(J439=1,VLOOKUP(K439,RPM!$E$2:$H$62,3,FALSE)-F439-E439-D439,IF(J439=2,VLOOKUP(K439,RPM!$H$2:$K$62,3,FALSE)-F439-E439-D439,IF(J439=3,VLOOKUP(K439,RPM!$K$2:$N$62,3,FALSE)-F439-E439-D439)))</f>
        <v>852.82752893960401</v>
      </c>
      <c r="H439" s="19">
        <f>IF(J439=1,Specification!$I$14,IF(J439=2,Specification!$I$15,IF(J439=3,Specification!$I$16)))</f>
        <v>582.50936296077191</v>
      </c>
      <c r="I439" s="16">
        <v>0</v>
      </c>
      <c r="J439" s="17">
        <v>2</v>
      </c>
      <c r="K439" s="16">
        <f>IF(J439=1,VLOOKUP(B439,RPM!$F$2:$H$62,3,TRUE),IF(J439=2,VLOOKUP(B439,RPM!$I$2:$K$62,3,TRUE),IF(J439=3,VLOOKUP(B439,RPM!$L$2:$N$62,3,TRUE))))</f>
        <v>6800</v>
      </c>
      <c r="L439" s="17">
        <f t="shared" si="70"/>
        <v>36.533578592832335</v>
      </c>
      <c r="M439" s="16">
        <f t="shared" si="67"/>
        <v>0</v>
      </c>
      <c r="N439" s="17">
        <f>VLOOKUP(K439,RPM!$A$2:$D$62,3,FALSE)</f>
        <v>15</v>
      </c>
      <c r="O439" s="16">
        <f>VLOOKUP(K439,RPM!$A$2:$D$62,4,FALSE)</f>
        <v>15.721323529411764</v>
      </c>
      <c r="P439" s="17">
        <f t="shared" si="68"/>
        <v>11.723390955882353</v>
      </c>
      <c r="Q439" s="16" cm="1">
        <f t="array" ref="Q439">_xlfn.XLOOKUP(O439,BSFC!$A$2:$A$24,_xlfn.XLOOKUP(K439,BSFC!$B$1:$O$1,BSFC!$B$2:$O$24,,-1),,-1)</f>
        <v>440</v>
      </c>
      <c r="R439" s="17">
        <f t="shared" si="69"/>
        <v>1.4328588946078433</v>
      </c>
      <c r="S439" s="16">
        <f t="shared" si="71"/>
        <v>2.6955348133305399E-4</v>
      </c>
      <c r="T439" s="17">
        <f t="shared" si="75"/>
        <v>0.11860353178654376</v>
      </c>
      <c r="U439" s="16">
        <f t="shared" si="76"/>
        <v>61.337862205531458</v>
      </c>
      <c r="V439" s="17">
        <f t="shared" si="77"/>
        <v>0.12896835243778423</v>
      </c>
      <c r="W439" s="16">
        <f t="shared" si="72"/>
        <v>464286.06877602322</v>
      </c>
      <c r="X439">
        <f>('Hybrid Info'!$A$2-Track!P439)*(L439-L438)*1000+X438</f>
        <v>-26549.872779466274</v>
      </c>
    </row>
    <row r="440" spans="1:24">
      <c r="A440" s="16">
        <f t="shared" si="73"/>
        <v>439</v>
      </c>
      <c r="B440" s="17">
        <f t="shared" si="74"/>
        <v>12.081081170387082</v>
      </c>
      <c r="C440" s="18">
        <f>Specification!$G$30</f>
        <v>109.96225200000001</v>
      </c>
      <c r="D440" s="17">
        <f>0.5*Specification!$K$4*Track!B440^2*Specification!$K$3*Specification!$K$2</f>
        <v>75.597088939043402</v>
      </c>
      <c r="E440" s="16">
        <v>0</v>
      </c>
      <c r="F440" s="17">
        <f>Specification!$C$23*9.81*SIN((E440*PI()/180))</f>
        <v>0</v>
      </c>
      <c r="G440" s="18">
        <f>IF(J440=1,VLOOKUP(K440,RPM!$E$2:$H$62,3,FALSE)-F440-E440-D440,IF(J440=2,VLOOKUP(K440,RPM!$H$2:$K$62,3,FALSE)-F440-E440-D440,IF(J440=3,VLOOKUP(K440,RPM!$K$2:$N$62,3,FALSE)-F440-E440-D440)))</f>
        <v>852.82752893960401</v>
      </c>
      <c r="H440" s="19">
        <f>IF(J440=1,Specification!$I$14,IF(J440=2,Specification!$I$15,IF(J440=3,Specification!$I$16)))</f>
        <v>582.50936296077191</v>
      </c>
      <c r="I440" s="16">
        <v>0</v>
      </c>
      <c r="J440" s="17">
        <v>2</v>
      </c>
      <c r="K440" s="16">
        <f>IF(J440=1,VLOOKUP(B440,RPM!$F$2:$H$62,3,TRUE),IF(J440=2,VLOOKUP(B440,RPM!$I$2:$K$62,3,TRUE),IF(J440=3,VLOOKUP(B440,RPM!$L$2:$N$62,3,TRUE))))</f>
        <v>6800</v>
      </c>
      <c r="L440" s="17">
        <f t="shared" si="70"/>
        <v>36.616352641437452</v>
      </c>
      <c r="M440" s="16">
        <f t="shared" si="67"/>
        <v>0</v>
      </c>
      <c r="N440" s="17">
        <f>VLOOKUP(K440,RPM!$A$2:$D$62,3,FALSE)</f>
        <v>15</v>
      </c>
      <c r="O440" s="16">
        <f>VLOOKUP(K440,RPM!$A$2:$D$62,4,FALSE)</f>
        <v>15.721323529411764</v>
      </c>
      <c r="P440" s="17">
        <f t="shared" si="68"/>
        <v>11.723390955882353</v>
      </c>
      <c r="Q440" s="16" cm="1">
        <f t="array" ref="Q440">_xlfn.XLOOKUP(O440,BSFC!$A$2:$A$24,_xlfn.XLOOKUP(K440,BSFC!$B$1:$O$1,BSFC!$B$2:$O$24,,-1),,-1)</f>
        <v>440</v>
      </c>
      <c r="R440" s="17">
        <f t="shared" si="69"/>
        <v>1.4328588946078433</v>
      </c>
      <c r="S440" s="16">
        <f t="shared" si="71"/>
        <v>2.6955348133305399E-4</v>
      </c>
      <c r="T440" s="17">
        <f t="shared" si="75"/>
        <v>0.11860353178654376</v>
      </c>
      <c r="U440" s="16">
        <f t="shared" si="76"/>
        <v>61.456465737317998</v>
      </c>
      <c r="V440" s="17">
        <f t="shared" si="77"/>
        <v>0.1292379059191173</v>
      </c>
      <c r="W440" s="16">
        <f t="shared" si="72"/>
        <v>465256.46130882233</v>
      </c>
      <c r="X440">
        <f>('Hybrid Info'!$A$2-Track!P440)*(L440-L439)*1000+X439</f>
        <v>-26517.006214437639</v>
      </c>
    </row>
    <row r="441" spans="1:24">
      <c r="A441" s="16">
        <f t="shared" si="73"/>
        <v>440</v>
      </c>
      <c r="B441" s="17">
        <f t="shared" si="74"/>
        <v>12.081081170387082</v>
      </c>
      <c r="C441" s="18">
        <f>Specification!$G$30</f>
        <v>109.96225200000001</v>
      </c>
      <c r="D441" s="17">
        <f>0.5*Specification!$K$4*Track!B441^2*Specification!$K$3*Specification!$K$2</f>
        <v>75.597088939043402</v>
      </c>
      <c r="E441" s="16">
        <v>0</v>
      </c>
      <c r="F441" s="17">
        <f>Specification!$C$23*9.81*SIN((E441*PI()/180))</f>
        <v>0</v>
      </c>
      <c r="G441" s="18">
        <f>IF(J441=1,VLOOKUP(K441,RPM!$E$2:$H$62,3,FALSE)-F441-E441-D441,IF(J441=2,VLOOKUP(K441,RPM!$H$2:$K$62,3,FALSE)-F441-E441-D441,IF(J441=3,VLOOKUP(K441,RPM!$K$2:$N$62,3,FALSE)-F441-E441-D441)))</f>
        <v>852.82752893960401</v>
      </c>
      <c r="H441" s="19">
        <f>IF(J441=1,Specification!$I$14,IF(J441=2,Specification!$I$15,IF(J441=3,Specification!$I$16)))</f>
        <v>582.50936296077191</v>
      </c>
      <c r="I441" s="16">
        <v>0</v>
      </c>
      <c r="J441" s="17">
        <v>2</v>
      </c>
      <c r="K441" s="16">
        <f>IF(J441=1,VLOOKUP(B441,RPM!$F$2:$H$62,3,TRUE),IF(J441=2,VLOOKUP(B441,RPM!$I$2:$K$62,3,TRUE),IF(J441=3,VLOOKUP(B441,RPM!$L$2:$N$62,3,TRUE))))</f>
        <v>6800</v>
      </c>
      <c r="L441" s="17">
        <f t="shared" si="70"/>
        <v>36.699126690042569</v>
      </c>
      <c r="M441" s="16">
        <f t="shared" si="67"/>
        <v>0</v>
      </c>
      <c r="N441" s="17">
        <f>VLOOKUP(K441,RPM!$A$2:$D$62,3,FALSE)</f>
        <v>15</v>
      </c>
      <c r="O441" s="16">
        <f>VLOOKUP(K441,RPM!$A$2:$D$62,4,FALSE)</f>
        <v>15.721323529411764</v>
      </c>
      <c r="P441" s="17">
        <f t="shared" si="68"/>
        <v>11.723390955882353</v>
      </c>
      <c r="Q441" s="16" cm="1">
        <f t="array" ref="Q441">_xlfn.XLOOKUP(O441,BSFC!$A$2:$A$24,_xlfn.XLOOKUP(K441,BSFC!$B$1:$O$1,BSFC!$B$2:$O$24,,-1),,-1)</f>
        <v>440</v>
      </c>
      <c r="R441" s="17">
        <f t="shared" si="69"/>
        <v>1.4328588946078433</v>
      </c>
      <c r="S441" s="16">
        <f t="shared" si="71"/>
        <v>2.6955348133305399E-4</v>
      </c>
      <c r="T441" s="17">
        <f t="shared" si="75"/>
        <v>0.11860353178654376</v>
      </c>
      <c r="U441" s="16">
        <f t="shared" si="76"/>
        <v>61.575069269104539</v>
      </c>
      <c r="V441" s="17">
        <f t="shared" si="77"/>
        <v>0.12950745940045036</v>
      </c>
      <c r="W441" s="16">
        <f t="shared" si="72"/>
        <v>466226.85384162131</v>
      </c>
      <c r="X441">
        <f>('Hybrid Info'!$A$2-Track!P441)*(L441-L440)*1000+X440</f>
        <v>-26484.139649409004</v>
      </c>
    </row>
    <row r="442" spans="1:24">
      <c r="A442" s="16">
        <f t="shared" si="73"/>
        <v>441</v>
      </c>
      <c r="B442" s="17">
        <f t="shared" si="74"/>
        <v>12.081081170387082</v>
      </c>
      <c r="C442" s="18">
        <f>Specification!$G$30</f>
        <v>109.96225200000001</v>
      </c>
      <c r="D442" s="17">
        <f>0.5*Specification!$K$4*Track!B442^2*Specification!$K$3*Specification!$K$2</f>
        <v>75.597088939043402</v>
      </c>
      <c r="E442" s="16">
        <v>0</v>
      </c>
      <c r="F442" s="17">
        <f>Specification!$C$23*9.81*SIN((E442*PI()/180))</f>
        <v>0</v>
      </c>
      <c r="G442" s="18">
        <f>IF(J442=1,VLOOKUP(K442,RPM!$E$2:$H$62,3,FALSE)-F442-E442-D442,IF(J442=2,VLOOKUP(K442,RPM!$H$2:$K$62,3,FALSE)-F442-E442-D442,IF(J442=3,VLOOKUP(K442,RPM!$K$2:$N$62,3,FALSE)-F442-E442-D442)))</f>
        <v>852.82752893960401</v>
      </c>
      <c r="H442" s="19">
        <f>IF(J442=1,Specification!$I$14,IF(J442=2,Specification!$I$15,IF(J442=3,Specification!$I$16)))</f>
        <v>582.50936296077191</v>
      </c>
      <c r="I442" s="16">
        <v>0</v>
      </c>
      <c r="J442" s="17">
        <v>2</v>
      </c>
      <c r="K442" s="16">
        <f>IF(J442=1,VLOOKUP(B442,RPM!$F$2:$H$62,3,TRUE),IF(J442=2,VLOOKUP(B442,RPM!$I$2:$K$62,3,TRUE),IF(J442=3,VLOOKUP(B442,RPM!$L$2:$N$62,3,TRUE))))</f>
        <v>6800</v>
      </c>
      <c r="L442" s="17">
        <f t="shared" si="70"/>
        <v>36.781900738647686</v>
      </c>
      <c r="M442" s="16">
        <f t="shared" si="67"/>
        <v>0</v>
      </c>
      <c r="N442" s="17">
        <f>VLOOKUP(K442,RPM!$A$2:$D$62,3,FALSE)</f>
        <v>15</v>
      </c>
      <c r="O442" s="16">
        <f>VLOOKUP(K442,RPM!$A$2:$D$62,4,FALSE)</f>
        <v>15.721323529411764</v>
      </c>
      <c r="P442" s="17">
        <f t="shared" si="68"/>
        <v>11.723390955882353</v>
      </c>
      <c r="Q442" s="16" cm="1">
        <f t="array" ref="Q442">_xlfn.XLOOKUP(O442,BSFC!$A$2:$A$24,_xlfn.XLOOKUP(K442,BSFC!$B$1:$O$1,BSFC!$B$2:$O$24,,-1),,-1)</f>
        <v>440</v>
      </c>
      <c r="R442" s="17">
        <f t="shared" si="69"/>
        <v>1.4328588946078433</v>
      </c>
      <c r="S442" s="16">
        <f t="shared" si="71"/>
        <v>2.6955348133305399E-4</v>
      </c>
      <c r="T442" s="17">
        <f t="shared" si="75"/>
        <v>0.11860353178654376</v>
      </c>
      <c r="U442" s="16">
        <f t="shared" si="76"/>
        <v>61.693672800891079</v>
      </c>
      <c r="V442" s="17">
        <f t="shared" si="77"/>
        <v>0.12977701288178342</v>
      </c>
      <c r="W442" s="16">
        <f t="shared" si="72"/>
        <v>467197.24637442036</v>
      </c>
      <c r="X442">
        <f>('Hybrid Info'!$A$2-Track!P442)*(L442-L441)*1000+X441</f>
        <v>-26451.273084380369</v>
      </c>
    </row>
    <row r="443" spans="1:24">
      <c r="A443" s="16">
        <f t="shared" si="73"/>
        <v>442</v>
      </c>
      <c r="B443" s="17">
        <f t="shared" si="74"/>
        <v>12.081081170387082</v>
      </c>
      <c r="C443" s="18">
        <f>Specification!$G$30</f>
        <v>109.96225200000001</v>
      </c>
      <c r="D443" s="17">
        <f>0.5*Specification!$K$4*Track!B443^2*Specification!$K$3*Specification!$K$2</f>
        <v>75.597088939043402</v>
      </c>
      <c r="E443" s="16">
        <v>0</v>
      </c>
      <c r="F443" s="17">
        <f>Specification!$C$23*9.81*SIN((E443*PI()/180))</f>
        <v>0</v>
      </c>
      <c r="G443" s="18">
        <f>IF(J443=1,VLOOKUP(K443,RPM!$E$2:$H$62,3,FALSE)-F443-E443-D443,IF(J443=2,VLOOKUP(K443,RPM!$H$2:$K$62,3,FALSE)-F443-E443-D443,IF(J443=3,VLOOKUP(K443,RPM!$K$2:$N$62,3,FALSE)-F443-E443-D443)))</f>
        <v>852.82752893960401</v>
      </c>
      <c r="H443" s="19">
        <f>IF(J443=1,Specification!$I$14,IF(J443=2,Specification!$I$15,IF(J443=3,Specification!$I$16)))</f>
        <v>582.50936296077191</v>
      </c>
      <c r="I443" s="16">
        <v>0</v>
      </c>
      <c r="J443" s="17">
        <v>2</v>
      </c>
      <c r="K443" s="16">
        <f>IF(J443=1,VLOOKUP(B443,RPM!$F$2:$H$62,3,TRUE),IF(J443=2,VLOOKUP(B443,RPM!$I$2:$K$62,3,TRUE),IF(J443=3,VLOOKUP(B443,RPM!$L$2:$N$62,3,TRUE))))</f>
        <v>6800</v>
      </c>
      <c r="L443" s="17">
        <f t="shared" si="70"/>
        <v>36.864674787252802</v>
      </c>
      <c r="M443" s="16">
        <f t="shared" si="67"/>
        <v>0</v>
      </c>
      <c r="N443" s="17">
        <f>VLOOKUP(K443,RPM!$A$2:$D$62,3,FALSE)</f>
        <v>15</v>
      </c>
      <c r="O443" s="16">
        <f>VLOOKUP(K443,RPM!$A$2:$D$62,4,FALSE)</f>
        <v>15.721323529411764</v>
      </c>
      <c r="P443" s="17">
        <f t="shared" si="68"/>
        <v>11.723390955882353</v>
      </c>
      <c r="Q443" s="16" cm="1">
        <f t="array" ref="Q443">_xlfn.XLOOKUP(O443,BSFC!$A$2:$A$24,_xlfn.XLOOKUP(K443,BSFC!$B$1:$O$1,BSFC!$B$2:$O$24,,-1),,-1)</f>
        <v>440</v>
      </c>
      <c r="R443" s="17">
        <f t="shared" si="69"/>
        <v>1.4328588946078433</v>
      </c>
      <c r="S443" s="16">
        <f t="shared" si="71"/>
        <v>2.6955348133305399E-4</v>
      </c>
      <c r="T443" s="17">
        <f t="shared" si="75"/>
        <v>0.11860353178654376</v>
      </c>
      <c r="U443" s="16">
        <f t="shared" si="76"/>
        <v>61.812276332677619</v>
      </c>
      <c r="V443" s="17">
        <f t="shared" si="77"/>
        <v>0.13004656636311648</v>
      </c>
      <c r="W443" s="16">
        <f t="shared" si="72"/>
        <v>468167.63890721934</v>
      </c>
      <c r="X443">
        <f>('Hybrid Info'!$A$2-Track!P443)*(L443-L442)*1000+X442</f>
        <v>-26418.406519351734</v>
      </c>
    </row>
    <row r="444" spans="1:24">
      <c r="A444" s="16">
        <f t="shared" si="73"/>
        <v>443</v>
      </c>
      <c r="B444" s="17">
        <f t="shared" si="74"/>
        <v>12.081081170387082</v>
      </c>
      <c r="C444" s="18">
        <f>Specification!$G$30</f>
        <v>109.96225200000001</v>
      </c>
      <c r="D444" s="17">
        <f>0.5*Specification!$K$4*Track!B444^2*Specification!$K$3*Specification!$K$2</f>
        <v>75.597088939043402</v>
      </c>
      <c r="E444" s="16">
        <v>0</v>
      </c>
      <c r="F444" s="17">
        <f>Specification!$C$23*9.81*SIN((E444*PI()/180))</f>
        <v>0</v>
      </c>
      <c r="G444" s="18">
        <f>IF(J444=1,VLOOKUP(K444,RPM!$E$2:$H$62,3,FALSE)-F444-E444-D444,IF(J444=2,VLOOKUP(K444,RPM!$H$2:$K$62,3,FALSE)-F444-E444-D444,IF(J444=3,VLOOKUP(K444,RPM!$K$2:$N$62,3,FALSE)-F444-E444-D444)))</f>
        <v>852.82752893960401</v>
      </c>
      <c r="H444" s="19">
        <f>IF(J444=1,Specification!$I$14,IF(J444=2,Specification!$I$15,IF(J444=3,Specification!$I$16)))</f>
        <v>582.50936296077191</v>
      </c>
      <c r="I444" s="16">
        <v>0</v>
      </c>
      <c r="J444" s="17">
        <v>2</v>
      </c>
      <c r="K444" s="16">
        <f>IF(J444=1,VLOOKUP(B444,RPM!$F$2:$H$62,3,TRUE),IF(J444=2,VLOOKUP(B444,RPM!$I$2:$K$62,3,TRUE),IF(J444=3,VLOOKUP(B444,RPM!$L$2:$N$62,3,TRUE))))</f>
        <v>6800</v>
      </c>
      <c r="L444" s="17">
        <f t="shared" si="70"/>
        <v>36.947448835857919</v>
      </c>
      <c r="M444" s="16">
        <f t="shared" si="67"/>
        <v>0</v>
      </c>
      <c r="N444" s="17">
        <f>VLOOKUP(K444,RPM!$A$2:$D$62,3,FALSE)</f>
        <v>15</v>
      </c>
      <c r="O444" s="16">
        <f>VLOOKUP(K444,RPM!$A$2:$D$62,4,FALSE)</f>
        <v>15.721323529411764</v>
      </c>
      <c r="P444" s="17">
        <f t="shared" si="68"/>
        <v>11.723390955882353</v>
      </c>
      <c r="Q444" s="16" cm="1">
        <f t="array" ref="Q444">_xlfn.XLOOKUP(O444,BSFC!$A$2:$A$24,_xlfn.XLOOKUP(K444,BSFC!$B$1:$O$1,BSFC!$B$2:$O$24,,-1),,-1)</f>
        <v>440</v>
      </c>
      <c r="R444" s="17">
        <f t="shared" si="69"/>
        <v>1.4328588946078433</v>
      </c>
      <c r="S444" s="16">
        <f t="shared" si="71"/>
        <v>2.6955348133305399E-4</v>
      </c>
      <c r="T444" s="17">
        <f t="shared" si="75"/>
        <v>0.11860353178654376</v>
      </c>
      <c r="U444" s="16">
        <f t="shared" si="76"/>
        <v>61.93087986446416</v>
      </c>
      <c r="V444" s="17">
        <f t="shared" si="77"/>
        <v>0.13031611984444955</v>
      </c>
      <c r="W444" s="16">
        <f t="shared" si="72"/>
        <v>469138.03144001844</v>
      </c>
      <c r="X444">
        <f>('Hybrid Info'!$A$2-Track!P444)*(L444-L443)*1000+X443</f>
        <v>-26385.5399543231</v>
      </c>
    </row>
    <row r="445" spans="1:24">
      <c r="A445" s="16">
        <f t="shared" si="73"/>
        <v>444</v>
      </c>
      <c r="B445" s="17">
        <f t="shared" si="74"/>
        <v>12.081081170387082</v>
      </c>
      <c r="C445" s="18">
        <f>Specification!$G$30</f>
        <v>109.96225200000001</v>
      </c>
      <c r="D445" s="17">
        <f>0.5*Specification!$K$4*Track!B445^2*Specification!$K$3*Specification!$K$2</f>
        <v>75.597088939043402</v>
      </c>
      <c r="E445" s="16">
        <v>0</v>
      </c>
      <c r="F445" s="17">
        <f>Specification!$C$23*9.81*SIN((E445*PI()/180))</f>
        <v>0</v>
      </c>
      <c r="G445" s="18">
        <f>IF(J445=1,VLOOKUP(K445,RPM!$E$2:$H$62,3,FALSE)-F445-E445-D445,IF(J445=2,VLOOKUP(K445,RPM!$H$2:$K$62,3,FALSE)-F445-E445-D445,IF(J445=3,VLOOKUP(K445,RPM!$K$2:$N$62,3,FALSE)-F445-E445-D445)))</f>
        <v>852.82752893960401</v>
      </c>
      <c r="H445" s="19">
        <f>IF(J445=1,Specification!$I$14,IF(J445=2,Specification!$I$15,IF(J445=3,Specification!$I$16)))</f>
        <v>582.50936296077191</v>
      </c>
      <c r="I445" s="16">
        <v>0</v>
      </c>
      <c r="J445" s="17">
        <v>2</v>
      </c>
      <c r="K445" s="16">
        <f>IF(J445=1,VLOOKUP(B445,RPM!$F$2:$H$62,3,TRUE),IF(J445=2,VLOOKUP(B445,RPM!$I$2:$K$62,3,TRUE),IF(J445=3,VLOOKUP(B445,RPM!$L$2:$N$62,3,TRUE))))</f>
        <v>6800</v>
      </c>
      <c r="L445" s="17">
        <f t="shared" si="70"/>
        <v>37.030222884463036</v>
      </c>
      <c r="M445" s="16">
        <f t="shared" si="67"/>
        <v>0</v>
      </c>
      <c r="N445" s="17">
        <f>VLOOKUP(K445,RPM!$A$2:$D$62,3,FALSE)</f>
        <v>15</v>
      </c>
      <c r="O445" s="16">
        <f>VLOOKUP(K445,RPM!$A$2:$D$62,4,FALSE)</f>
        <v>15.721323529411764</v>
      </c>
      <c r="P445" s="17">
        <f t="shared" si="68"/>
        <v>11.723390955882353</v>
      </c>
      <c r="Q445" s="16" cm="1">
        <f t="array" ref="Q445">_xlfn.XLOOKUP(O445,BSFC!$A$2:$A$24,_xlfn.XLOOKUP(K445,BSFC!$B$1:$O$1,BSFC!$B$2:$O$24,,-1),,-1)</f>
        <v>440</v>
      </c>
      <c r="R445" s="17">
        <f t="shared" si="69"/>
        <v>1.4328588946078433</v>
      </c>
      <c r="S445" s="16">
        <f t="shared" si="71"/>
        <v>2.6955348133305399E-4</v>
      </c>
      <c r="T445" s="17">
        <f t="shared" si="75"/>
        <v>0.11860353178654376</v>
      </c>
      <c r="U445" s="16">
        <f t="shared" si="76"/>
        <v>62.0494833962507</v>
      </c>
      <c r="V445" s="17">
        <f t="shared" si="77"/>
        <v>0.13058567332578261</v>
      </c>
      <c r="W445" s="16">
        <f t="shared" si="72"/>
        <v>470108.42397281737</v>
      </c>
      <c r="X445">
        <f>('Hybrid Info'!$A$2-Track!P445)*(L445-L444)*1000+X444</f>
        <v>-26352.673389294465</v>
      </c>
    </row>
    <row r="446" spans="1:24">
      <c r="A446" s="16">
        <f t="shared" si="73"/>
        <v>445</v>
      </c>
      <c r="B446" s="17">
        <f t="shared" si="74"/>
        <v>12.081081170387082</v>
      </c>
      <c r="C446" s="18">
        <f>Specification!$G$30</f>
        <v>109.96225200000001</v>
      </c>
      <c r="D446" s="17">
        <f>0.5*Specification!$K$4*Track!B446^2*Specification!$K$3*Specification!$K$2</f>
        <v>75.597088939043402</v>
      </c>
      <c r="E446" s="16">
        <v>0</v>
      </c>
      <c r="F446" s="17">
        <f>Specification!$C$23*9.81*SIN((E446*PI()/180))</f>
        <v>0</v>
      </c>
      <c r="G446" s="18">
        <f>IF(J446=1,VLOOKUP(K446,RPM!$E$2:$H$62,3,FALSE)-F446-E446-D446,IF(J446=2,VLOOKUP(K446,RPM!$H$2:$K$62,3,FALSE)-F446-E446-D446,IF(J446=3,VLOOKUP(K446,RPM!$K$2:$N$62,3,FALSE)-F446-E446-D446)))</f>
        <v>852.82752893960401</v>
      </c>
      <c r="H446" s="19">
        <f>IF(J446=1,Specification!$I$14,IF(J446=2,Specification!$I$15,IF(J446=3,Specification!$I$16)))</f>
        <v>582.50936296077191</v>
      </c>
      <c r="I446" s="16">
        <v>0</v>
      </c>
      <c r="J446" s="17">
        <v>2</v>
      </c>
      <c r="K446" s="16">
        <f>IF(J446=1,VLOOKUP(B446,RPM!$F$2:$H$62,3,TRUE),IF(J446=2,VLOOKUP(B446,RPM!$I$2:$K$62,3,TRUE),IF(J446=3,VLOOKUP(B446,RPM!$L$2:$N$62,3,TRUE))))</f>
        <v>6800</v>
      </c>
      <c r="L446" s="17">
        <f t="shared" si="70"/>
        <v>37.112996933068153</v>
      </c>
      <c r="M446" s="16">
        <f t="shared" si="67"/>
        <v>0</v>
      </c>
      <c r="N446" s="17">
        <f>VLOOKUP(K446,RPM!$A$2:$D$62,3,FALSE)</f>
        <v>15</v>
      </c>
      <c r="O446" s="16">
        <f>VLOOKUP(K446,RPM!$A$2:$D$62,4,FALSE)</f>
        <v>15.721323529411764</v>
      </c>
      <c r="P446" s="17">
        <f t="shared" si="68"/>
        <v>11.723390955882353</v>
      </c>
      <c r="Q446" s="16" cm="1">
        <f t="array" ref="Q446">_xlfn.XLOOKUP(O446,BSFC!$A$2:$A$24,_xlfn.XLOOKUP(K446,BSFC!$B$1:$O$1,BSFC!$B$2:$O$24,,-1),,-1)</f>
        <v>440</v>
      </c>
      <c r="R446" s="17">
        <f t="shared" si="69"/>
        <v>1.4328588946078433</v>
      </c>
      <c r="S446" s="16">
        <f t="shared" si="71"/>
        <v>2.6955348133305399E-4</v>
      </c>
      <c r="T446" s="17">
        <f t="shared" si="75"/>
        <v>0.11860353178654376</v>
      </c>
      <c r="U446" s="16">
        <f t="shared" si="76"/>
        <v>62.168086928037241</v>
      </c>
      <c r="V446" s="17">
        <f t="shared" si="77"/>
        <v>0.13085522680711567</v>
      </c>
      <c r="W446" s="16">
        <f t="shared" si="72"/>
        <v>471078.81650561647</v>
      </c>
      <c r="X446">
        <f>('Hybrid Info'!$A$2-Track!P446)*(L446-L445)*1000+X445</f>
        <v>-26319.80682426583</v>
      </c>
    </row>
    <row r="447" spans="1:24">
      <c r="A447" s="16">
        <f t="shared" si="73"/>
        <v>446</v>
      </c>
      <c r="B447" s="17">
        <f t="shared" si="74"/>
        <v>12.081081170387082</v>
      </c>
      <c r="C447" s="18">
        <f>Specification!$G$30</f>
        <v>109.96225200000001</v>
      </c>
      <c r="D447" s="17">
        <f>0.5*Specification!$K$4*Track!B447^2*Specification!$K$3*Specification!$K$2</f>
        <v>75.597088939043402</v>
      </c>
      <c r="E447" s="16">
        <v>0</v>
      </c>
      <c r="F447" s="17">
        <f>Specification!$C$23*9.81*SIN((E447*PI()/180))</f>
        <v>0</v>
      </c>
      <c r="G447" s="18">
        <f>IF(J447=1,VLOOKUP(K447,RPM!$E$2:$H$62,3,FALSE)-F447-E447-D447,IF(J447=2,VLOOKUP(K447,RPM!$H$2:$K$62,3,FALSE)-F447-E447-D447,IF(J447=3,VLOOKUP(K447,RPM!$K$2:$N$62,3,FALSE)-F447-E447-D447)))</f>
        <v>852.82752893960401</v>
      </c>
      <c r="H447" s="19">
        <f>IF(J447=1,Specification!$I$14,IF(J447=2,Specification!$I$15,IF(J447=3,Specification!$I$16)))</f>
        <v>582.50936296077191</v>
      </c>
      <c r="I447" s="16">
        <v>0</v>
      </c>
      <c r="J447" s="17">
        <v>2</v>
      </c>
      <c r="K447" s="16">
        <f>IF(J447=1,VLOOKUP(B447,RPM!$F$2:$H$62,3,TRUE),IF(J447=2,VLOOKUP(B447,RPM!$I$2:$K$62,3,TRUE),IF(J447=3,VLOOKUP(B447,RPM!$L$2:$N$62,3,TRUE))))</f>
        <v>6800</v>
      </c>
      <c r="L447" s="17">
        <f t="shared" si="70"/>
        <v>37.19577098167327</v>
      </c>
      <c r="M447" s="16">
        <f t="shared" si="67"/>
        <v>0</v>
      </c>
      <c r="N447" s="17">
        <f>VLOOKUP(K447,RPM!$A$2:$D$62,3,FALSE)</f>
        <v>15</v>
      </c>
      <c r="O447" s="16">
        <f>VLOOKUP(K447,RPM!$A$2:$D$62,4,FALSE)</f>
        <v>15.721323529411764</v>
      </c>
      <c r="P447" s="17">
        <f t="shared" si="68"/>
        <v>11.723390955882353</v>
      </c>
      <c r="Q447" s="16" cm="1">
        <f t="array" ref="Q447">_xlfn.XLOOKUP(O447,BSFC!$A$2:$A$24,_xlfn.XLOOKUP(K447,BSFC!$B$1:$O$1,BSFC!$B$2:$O$24,,-1),,-1)</f>
        <v>440</v>
      </c>
      <c r="R447" s="17">
        <f t="shared" si="69"/>
        <v>1.4328588946078433</v>
      </c>
      <c r="S447" s="16">
        <f t="shared" si="71"/>
        <v>2.6955348133305399E-4</v>
      </c>
      <c r="T447" s="17">
        <f t="shared" si="75"/>
        <v>0.11860353178654376</v>
      </c>
      <c r="U447" s="16">
        <f t="shared" si="76"/>
        <v>62.286690459823781</v>
      </c>
      <c r="V447" s="17">
        <f t="shared" si="77"/>
        <v>0.13112478028844873</v>
      </c>
      <c r="W447" s="16">
        <f t="shared" si="72"/>
        <v>472049.20903841546</v>
      </c>
      <c r="X447">
        <f>('Hybrid Info'!$A$2-Track!P447)*(L447-L446)*1000+X446</f>
        <v>-26286.940259237195</v>
      </c>
    </row>
    <row r="448" spans="1:24">
      <c r="A448" s="16">
        <f t="shared" si="73"/>
        <v>447</v>
      </c>
      <c r="B448" s="17">
        <f t="shared" si="74"/>
        <v>12.081081170387082</v>
      </c>
      <c r="C448" s="18">
        <f>Specification!$G$30</f>
        <v>109.96225200000001</v>
      </c>
      <c r="D448" s="17">
        <f>0.5*Specification!$K$4*Track!B448^2*Specification!$K$3*Specification!$K$2</f>
        <v>75.597088939043402</v>
      </c>
      <c r="E448" s="16">
        <v>0</v>
      </c>
      <c r="F448" s="17">
        <f>Specification!$C$23*9.81*SIN((E448*PI()/180))</f>
        <v>0</v>
      </c>
      <c r="G448" s="18">
        <f>IF(J448=1,VLOOKUP(K448,RPM!$E$2:$H$62,3,FALSE)-F448-E448-D448,IF(J448=2,VLOOKUP(K448,RPM!$H$2:$K$62,3,FALSE)-F448-E448-D448,IF(J448=3,VLOOKUP(K448,RPM!$K$2:$N$62,3,FALSE)-F448-E448-D448)))</f>
        <v>852.82752893960401</v>
      </c>
      <c r="H448" s="19">
        <f>IF(J448=1,Specification!$I$14,IF(J448=2,Specification!$I$15,IF(J448=3,Specification!$I$16)))</f>
        <v>582.50936296077191</v>
      </c>
      <c r="I448" s="16">
        <v>0</v>
      </c>
      <c r="J448" s="17">
        <v>2</v>
      </c>
      <c r="K448" s="16">
        <f>IF(J448=1,VLOOKUP(B448,RPM!$F$2:$H$62,3,TRUE),IF(J448=2,VLOOKUP(B448,RPM!$I$2:$K$62,3,TRUE),IF(J448=3,VLOOKUP(B448,RPM!$L$2:$N$62,3,TRUE))))</f>
        <v>6800</v>
      </c>
      <c r="L448" s="17">
        <f t="shared" si="70"/>
        <v>37.278545030278387</v>
      </c>
      <c r="M448" s="16">
        <f t="shared" si="67"/>
        <v>0</v>
      </c>
      <c r="N448" s="17">
        <f>VLOOKUP(K448,RPM!$A$2:$D$62,3,FALSE)</f>
        <v>15</v>
      </c>
      <c r="O448" s="16">
        <f>VLOOKUP(K448,RPM!$A$2:$D$62,4,FALSE)</f>
        <v>15.721323529411764</v>
      </c>
      <c r="P448" s="17">
        <f t="shared" si="68"/>
        <v>11.723390955882353</v>
      </c>
      <c r="Q448" s="16" cm="1">
        <f t="array" ref="Q448">_xlfn.XLOOKUP(O448,BSFC!$A$2:$A$24,_xlfn.XLOOKUP(K448,BSFC!$B$1:$O$1,BSFC!$B$2:$O$24,,-1),,-1)</f>
        <v>440</v>
      </c>
      <c r="R448" s="17">
        <f t="shared" si="69"/>
        <v>1.4328588946078433</v>
      </c>
      <c r="S448" s="16">
        <f t="shared" si="71"/>
        <v>2.6955348133305399E-4</v>
      </c>
      <c r="T448" s="17">
        <f t="shared" si="75"/>
        <v>0.11860353178654376</v>
      </c>
      <c r="U448" s="16">
        <f t="shared" si="76"/>
        <v>62.405293991610321</v>
      </c>
      <c r="V448" s="17">
        <f t="shared" si="77"/>
        <v>0.1313943337697818</v>
      </c>
      <c r="W448" s="16">
        <f t="shared" si="72"/>
        <v>473019.6015712145</v>
      </c>
      <c r="X448">
        <f>('Hybrid Info'!$A$2-Track!P448)*(L448-L447)*1000+X447</f>
        <v>-26254.07369420856</v>
      </c>
    </row>
    <row r="449" spans="1:24">
      <c r="A449" s="16">
        <f t="shared" si="73"/>
        <v>448</v>
      </c>
      <c r="B449" s="17">
        <f t="shared" si="74"/>
        <v>12.081081170387082</v>
      </c>
      <c r="C449" s="18">
        <f>Specification!$G$30</f>
        <v>109.96225200000001</v>
      </c>
      <c r="D449" s="17">
        <f>0.5*Specification!$K$4*Track!B449^2*Specification!$K$3*Specification!$K$2</f>
        <v>75.597088939043402</v>
      </c>
      <c r="E449" s="16">
        <v>0</v>
      </c>
      <c r="F449" s="17">
        <f>Specification!$C$23*9.81*SIN((E449*PI()/180))</f>
        <v>0</v>
      </c>
      <c r="G449" s="18">
        <f>IF(J449=1,VLOOKUP(K449,RPM!$E$2:$H$62,3,FALSE)-F449-E449-D449,IF(J449=2,VLOOKUP(K449,RPM!$H$2:$K$62,3,FALSE)-F449-E449-D449,IF(J449=3,VLOOKUP(K449,RPM!$K$2:$N$62,3,FALSE)-F449-E449-D449)))</f>
        <v>852.82752893960401</v>
      </c>
      <c r="H449" s="19">
        <f>IF(J449=1,Specification!$I$14,IF(J449=2,Specification!$I$15,IF(J449=3,Specification!$I$16)))</f>
        <v>582.50936296077191</v>
      </c>
      <c r="I449" s="16">
        <v>0</v>
      </c>
      <c r="J449" s="17">
        <v>2</v>
      </c>
      <c r="K449" s="16">
        <f>IF(J449=1,VLOOKUP(B449,RPM!$F$2:$H$62,3,TRUE),IF(J449=2,VLOOKUP(B449,RPM!$I$2:$K$62,3,TRUE),IF(J449=3,VLOOKUP(B449,RPM!$L$2:$N$62,3,TRUE))))</f>
        <v>6800</v>
      </c>
      <c r="L449" s="17">
        <f t="shared" si="70"/>
        <v>37.361319078883504</v>
      </c>
      <c r="M449" s="16">
        <f t="shared" si="67"/>
        <v>0</v>
      </c>
      <c r="N449" s="17">
        <f>VLOOKUP(K449,RPM!$A$2:$D$62,3,FALSE)</f>
        <v>15</v>
      </c>
      <c r="O449" s="16">
        <f>VLOOKUP(K449,RPM!$A$2:$D$62,4,FALSE)</f>
        <v>15.721323529411764</v>
      </c>
      <c r="P449" s="17">
        <f t="shared" si="68"/>
        <v>11.723390955882353</v>
      </c>
      <c r="Q449" s="16" cm="1">
        <f t="array" ref="Q449">_xlfn.XLOOKUP(O449,BSFC!$A$2:$A$24,_xlfn.XLOOKUP(K449,BSFC!$B$1:$O$1,BSFC!$B$2:$O$24,,-1),,-1)</f>
        <v>440</v>
      </c>
      <c r="R449" s="17">
        <f t="shared" si="69"/>
        <v>1.4328588946078433</v>
      </c>
      <c r="S449" s="16">
        <f t="shared" si="71"/>
        <v>2.6955348133305399E-4</v>
      </c>
      <c r="T449" s="17">
        <f t="shared" si="75"/>
        <v>0.11860353178654376</v>
      </c>
      <c r="U449" s="16">
        <f t="shared" si="76"/>
        <v>62.523897523396862</v>
      </c>
      <c r="V449" s="17">
        <f t="shared" si="77"/>
        <v>0.13166388725111486</v>
      </c>
      <c r="W449" s="16">
        <f t="shared" si="72"/>
        <v>473989.99410401349</v>
      </c>
      <c r="X449">
        <f>('Hybrid Info'!$A$2-Track!P449)*(L449-L448)*1000+X448</f>
        <v>-26221.207129179926</v>
      </c>
    </row>
    <row r="450" spans="1:24">
      <c r="A450" s="16">
        <f t="shared" si="73"/>
        <v>449</v>
      </c>
      <c r="B450" s="17">
        <f t="shared" si="74"/>
        <v>12.081081170387082</v>
      </c>
      <c r="C450" s="18">
        <f>Specification!$G$30</f>
        <v>109.96225200000001</v>
      </c>
      <c r="D450" s="17">
        <f>0.5*Specification!$K$4*Track!B450^2*Specification!$K$3*Specification!$K$2</f>
        <v>75.597088939043402</v>
      </c>
      <c r="E450" s="16">
        <v>0</v>
      </c>
      <c r="F450" s="17">
        <f>Specification!$C$23*9.81*SIN((E450*PI()/180))</f>
        <v>0</v>
      </c>
      <c r="G450" s="18">
        <f>IF(J450=1,VLOOKUP(K450,RPM!$E$2:$H$62,3,FALSE)-F450-E450-D450,IF(J450=2,VLOOKUP(K450,RPM!$H$2:$K$62,3,FALSE)-F450-E450-D450,IF(J450=3,VLOOKUP(K450,RPM!$K$2:$N$62,3,FALSE)-F450-E450-D450)))</f>
        <v>852.82752893960401</v>
      </c>
      <c r="H450" s="19">
        <f>IF(J450=1,Specification!$I$14,IF(J450=2,Specification!$I$15,IF(J450=3,Specification!$I$16)))</f>
        <v>582.50936296077191</v>
      </c>
      <c r="I450" s="16">
        <v>0</v>
      </c>
      <c r="J450" s="17">
        <v>2</v>
      </c>
      <c r="K450" s="16">
        <f>IF(J450=1,VLOOKUP(B450,RPM!$F$2:$H$62,3,TRUE),IF(J450=2,VLOOKUP(B450,RPM!$I$2:$K$62,3,TRUE),IF(J450=3,VLOOKUP(B450,RPM!$L$2:$N$62,3,TRUE))))</f>
        <v>6800</v>
      </c>
      <c r="L450" s="17">
        <f t="shared" si="70"/>
        <v>37.444093127488621</v>
      </c>
      <c r="M450" s="16">
        <f t="shared" ref="M450:M513" si="78">TAN(E450*PI()/180)+M449</f>
        <v>0</v>
      </c>
      <c r="N450" s="17">
        <f>VLOOKUP(K450,RPM!$A$2:$D$62,3,FALSE)</f>
        <v>15</v>
      </c>
      <c r="O450" s="16">
        <f>VLOOKUP(K450,RPM!$A$2:$D$62,4,FALSE)</f>
        <v>15.721323529411764</v>
      </c>
      <c r="P450" s="17">
        <f t="shared" ref="P450:P513" si="79">O450*0.7457</f>
        <v>11.723390955882353</v>
      </c>
      <c r="Q450" s="16" cm="1">
        <f t="array" ref="Q450">_xlfn.XLOOKUP(O450,BSFC!$A$2:$A$24,_xlfn.XLOOKUP(K450,BSFC!$B$1:$O$1,BSFC!$B$2:$O$24,,-1),,-1)</f>
        <v>440</v>
      </c>
      <c r="R450" s="17">
        <f t="shared" ref="R450:R513" si="80">Q450*P450/3600</f>
        <v>1.4328588946078433</v>
      </c>
      <c r="S450" s="16">
        <f t="shared" si="71"/>
        <v>2.6955348133305399E-4</v>
      </c>
      <c r="T450" s="17">
        <f t="shared" si="75"/>
        <v>0.11860353178654376</v>
      </c>
      <c r="U450" s="16">
        <f t="shared" si="76"/>
        <v>62.642501055183402</v>
      </c>
      <c r="V450" s="17">
        <f t="shared" si="77"/>
        <v>0.13193344073244792</v>
      </c>
      <c r="W450" s="16">
        <f t="shared" si="72"/>
        <v>474960.38663681259</v>
      </c>
      <c r="X450">
        <f>('Hybrid Info'!$A$2-Track!P450)*(L450-L449)*1000+X449</f>
        <v>-26188.340564151291</v>
      </c>
    </row>
    <row r="451" spans="1:24">
      <c r="A451" s="16">
        <f t="shared" si="73"/>
        <v>450</v>
      </c>
      <c r="B451" s="17">
        <f t="shared" si="74"/>
        <v>12.081081170387082</v>
      </c>
      <c r="C451" s="18">
        <f>Specification!$G$30</f>
        <v>109.96225200000001</v>
      </c>
      <c r="D451" s="17">
        <f>0.5*Specification!$K$4*Track!B451^2*Specification!$K$3*Specification!$K$2</f>
        <v>75.597088939043402</v>
      </c>
      <c r="E451" s="16">
        <v>0</v>
      </c>
      <c r="F451" s="17">
        <f>Specification!$C$23*9.81*SIN((E451*PI()/180))</f>
        <v>0</v>
      </c>
      <c r="G451" s="18">
        <f>IF(J451=1,VLOOKUP(K451,RPM!$E$2:$H$62,3,FALSE)-F451-E451-D451,IF(J451=2,VLOOKUP(K451,RPM!$H$2:$K$62,3,FALSE)-F451-E451-D451,IF(J451=3,VLOOKUP(K451,RPM!$K$2:$N$62,3,FALSE)-F451-E451-D451)))</f>
        <v>852.82752893960401</v>
      </c>
      <c r="H451" s="19">
        <f>IF(J451=1,Specification!$I$14,IF(J451=2,Specification!$I$15,IF(J451=3,Specification!$I$16)))</f>
        <v>582.50936296077191</v>
      </c>
      <c r="I451" s="16">
        <v>0</v>
      </c>
      <c r="J451" s="17">
        <v>2</v>
      </c>
      <c r="K451" s="16">
        <f>IF(J451=1,VLOOKUP(B451,RPM!$F$2:$H$62,3,TRUE),IF(J451=2,VLOOKUP(B451,RPM!$I$2:$K$62,3,TRUE),IF(J451=3,VLOOKUP(B451,RPM!$L$2:$N$62,3,TRUE))))</f>
        <v>6800</v>
      </c>
      <c r="L451" s="17">
        <f t="shared" ref="L451:L514" si="81">IF(I451=0,ABS(1/B451)+L450,IF(ABS(B452-B451)=0,1/B451+L450,ABS((B452-B451)/I451)+L450))</f>
        <v>37.526867176093738</v>
      </c>
      <c r="M451" s="16">
        <f t="shared" si="78"/>
        <v>0</v>
      </c>
      <c r="N451" s="17">
        <f>VLOOKUP(K451,RPM!$A$2:$D$62,3,FALSE)</f>
        <v>15</v>
      </c>
      <c r="O451" s="16">
        <f>VLOOKUP(K451,RPM!$A$2:$D$62,4,FALSE)</f>
        <v>15.721323529411764</v>
      </c>
      <c r="P451" s="17">
        <f t="shared" si="79"/>
        <v>11.723390955882353</v>
      </c>
      <c r="Q451" s="16" cm="1">
        <f t="array" ref="Q451">_xlfn.XLOOKUP(O451,BSFC!$A$2:$A$24,_xlfn.XLOOKUP(K451,BSFC!$B$1:$O$1,BSFC!$B$2:$O$24,,-1),,-1)</f>
        <v>440</v>
      </c>
      <c r="R451" s="17">
        <f t="shared" si="80"/>
        <v>1.4328588946078433</v>
      </c>
      <c r="S451" s="16">
        <f t="shared" ref="S451:S514" si="82">(L451-L450)/3600*P451</f>
        <v>2.6955348133305399E-4</v>
      </c>
      <c r="T451" s="17">
        <f t="shared" si="75"/>
        <v>0.11860353178654376</v>
      </c>
      <c r="U451" s="16">
        <f t="shared" si="76"/>
        <v>62.761104586969942</v>
      </c>
      <c r="V451" s="17">
        <f t="shared" si="77"/>
        <v>0.13220299421378098</v>
      </c>
      <c r="W451" s="16">
        <f t="shared" ref="W451:W514" si="83">V451*1000*3600</f>
        <v>475930.77916961152</v>
      </c>
      <c r="X451">
        <f>('Hybrid Info'!$A$2-Track!P451)*(L451-L450)*1000+X450</f>
        <v>-26155.473999122656</v>
      </c>
    </row>
    <row r="452" spans="1:24">
      <c r="A452" s="16">
        <f t="shared" ref="A452:A515" si="84">A451+1</f>
        <v>451</v>
      </c>
      <c r="B452" s="17">
        <f t="shared" ref="B452:B515" si="85">IF(SQRT(B451^2+2*I451)&gt;13.4112,13.4112,SQRT(B451^2+2*I451))</f>
        <v>12.081081170387082</v>
      </c>
      <c r="C452" s="18">
        <f>Specification!$G$30</f>
        <v>109.96225200000001</v>
      </c>
      <c r="D452" s="17">
        <f>0.5*Specification!$K$4*Track!B452^2*Specification!$K$3*Specification!$K$2</f>
        <v>75.597088939043402</v>
      </c>
      <c r="E452" s="16">
        <v>0</v>
      </c>
      <c r="F452" s="17">
        <f>Specification!$C$23*9.81*SIN((E452*PI()/180))</f>
        <v>0</v>
      </c>
      <c r="G452" s="18">
        <f>IF(J452=1,VLOOKUP(K452,RPM!$E$2:$H$62,3,FALSE)-F452-E452-D452,IF(J452=2,VLOOKUP(K452,RPM!$H$2:$K$62,3,FALSE)-F452-E452-D452,IF(J452=3,VLOOKUP(K452,RPM!$K$2:$N$62,3,FALSE)-F452-E452-D452)))</f>
        <v>852.82752893960401</v>
      </c>
      <c r="H452" s="19">
        <f>IF(J452=1,Specification!$I$14,IF(J452=2,Specification!$I$15,IF(J452=3,Specification!$I$16)))</f>
        <v>582.50936296077191</v>
      </c>
      <c r="I452" s="16">
        <v>0</v>
      </c>
      <c r="J452" s="17">
        <v>2</v>
      </c>
      <c r="K452" s="16">
        <f>IF(J452=1,VLOOKUP(B452,RPM!$F$2:$H$62,3,TRUE),IF(J452=2,VLOOKUP(B452,RPM!$I$2:$K$62,3,TRUE),IF(J452=3,VLOOKUP(B452,RPM!$L$2:$N$62,3,TRUE))))</f>
        <v>6800</v>
      </c>
      <c r="L452" s="17">
        <f t="shared" si="81"/>
        <v>37.609641224698855</v>
      </c>
      <c r="M452" s="16">
        <f t="shared" si="78"/>
        <v>0</v>
      </c>
      <c r="N452" s="17">
        <f>VLOOKUP(K452,RPM!$A$2:$D$62,3,FALSE)</f>
        <v>15</v>
      </c>
      <c r="O452" s="16">
        <f>VLOOKUP(K452,RPM!$A$2:$D$62,4,FALSE)</f>
        <v>15.721323529411764</v>
      </c>
      <c r="P452" s="17">
        <f t="shared" si="79"/>
        <v>11.723390955882353</v>
      </c>
      <c r="Q452" s="16" cm="1">
        <f t="array" ref="Q452">_xlfn.XLOOKUP(O452,BSFC!$A$2:$A$24,_xlfn.XLOOKUP(K452,BSFC!$B$1:$O$1,BSFC!$B$2:$O$24,,-1),,-1)</f>
        <v>440</v>
      </c>
      <c r="R452" s="17">
        <f t="shared" si="80"/>
        <v>1.4328588946078433</v>
      </c>
      <c r="S452" s="16">
        <f t="shared" si="82"/>
        <v>2.6955348133305399E-4</v>
      </c>
      <c r="T452" s="17">
        <f t="shared" ref="T452:T515" si="86">S452*Q452</f>
        <v>0.11860353178654376</v>
      </c>
      <c r="U452" s="16">
        <f t="shared" ref="U452:U515" si="87">U451+T452</f>
        <v>62.879708118756483</v>
      </c>
      <c r="V452" s="17">
        <f t="shared" si="77"/>
        <v>0.13247254769511405</v>
      </c>
      <c r="W452" s="16">
        <f t="shared" si="83"/>
        <v>476901.17170241062</v>
      </c>
      <c r="X452">
        <f>('Hybrid Info'!$A$2-Track!P452)*(L452-L451)*1000+X451</f>
        <v>-26122.607434094021</v>
      </c>
    </row>
    <row r="453" spans="1:24">
      <c r="A453" s="16">
        <f t="shared" si="84"/>
        <v>452</v>
      </c>
      <c r="B453" s="17">
        <f t="shared" si="85"/>
        <v>12.081081170387082</v>
      </c>
      <c r="C453" s="18">
        <f>Specification!$G$30</f>
        <v>109.96225200000001</v>
      </c>
      <c r="D453" s="17">
        <f>0.5*Specification!$K$4*Track!B453^2*Specification!$K$3*Specification!$K$2</f>
        <v>75.597088939043402</v>
      </c>
      <c r="E453" s="16">
        <v>0</v>
      </c>
      <c r="F453" s="17">
        <f>Specification!$C$23*9.81*SIN((E453*PI()/180))</f>
        <v>0</v>
      </c>
      <c r="G453" s="18">
        <f>IF(J453=1,VLOOKUP(K453,RPM!$E$2:$H$62,3,FALSE)-F453-E453-D453,IF(J453=2,VLOOKUP(K453,RPM!$H$2:$K$62,3,FALSE)-F453-E453-D453,IF(J453=3,VLOOKUP(K453,RPM!$K$2:$N$62,3,FALSE)-F453-E453-D453)))</f>
        <v>852.82752893960401</v>
      </c>
      <c r="H453" s="19">
        <f>IF(J453=1,Specification!$I$14,IF(J453=2,Specification!$I$15,IF(J453=3,Specification!$I$16)))</f>
        <v>582.50936296077191</v>
      </c>
      <c r="I453" s="16">
        <v>0</v>
      </c>
      <c r="J453" s="17">
        <v>2</v>
      </c>
      <c r="K453" s="16">
        <f>IF(J453=1,VLOOKUP(B453,RPM!$F$2:$H$62,3,TRUE),IF(J453=2,VLOOKUP(B453,RPM!$I$2:$K$62,3,TRUE),IF(J453=3,VLOOKUP(B453,RPM!$L$2:$N$62,3,TRUE))))</f>
        <v>6800</v>
      </c>
      <c r="L453" s="17">
        <f t="shared" si="81"/>
        <v>37.692415273303972</v>
      </c>
      <c r="M453" s="16">
        <f t="shared" si="78"/>
        <v>0</v>
      </c>
      <c r="N453" s="17">
        <f>VLOOKUP(K453,RPM!$A$2:$D$62,3,FALSE)</f>
        <v>15</v>
      </c>
      <c r="O453" s="16">
        <f>VLOOKUP(K453,RPM!$A$2:$D$62,4,FALSE)</f>
        <v>15.721323529411764</v>
      </c>
      <c r="P453" s="17">
        <f t="shared" si="79"/>
        <v>11.723390955882353</v>
      </c>
      <c r="Q453" s="16" cm="1">
        <f t="array" ref="Q453">_xlfn.XLOOKUP(O453,BSFC!$A$2:$A$24,_xlfn.XLOOKUP(K453,BSFC!$B$1:$O$1,BSFC!$B$2:$O$24,,-1),,-1)</f>
        <v>440</v>
      </c>
      <c r="R453" s="17">
        <f t="shared" si="80"/>
        <v>1.4328588946078433</v>
      </c>
      <c r="S453" s="16">
        <f t="shared" si="82"/>
        <v>2.6955348133305399E-4</v>
      </c>
      <c r="T453" s="17">
        <f t="shared" si="86"/>
        <v>0.11860353178654376</v>
      </c>
      <c r="U453" s="16">
        <f t="shared" si="87"/>
        <v>62.998311650543023</v>
      </c>
      <c r="V453" s="17">
        <f t="shared" ref="V453:V516" si="88">V452+S453</f>
        <v>0.13274210117644711</v>
      </c>
      <c r="W453" s="16">
        <f t="shared" si="83"/>
        <v>477871.5642352096</v>
      </c>
      <c r="X453">
        <f>('Hybrid Info'!$A$2-Track!P453)*(L453-L452)*1000+X452</f>
        <v>-26089.740869065387</v>
      </c>
    </row>
    <row r="454" spans="1:24">
      <c r="A454" s="16">
        <f t="shared" si="84"/>
        <v>453</v>
      </c>
      <c r="B454" s="17">
        <f t="shared" si="85"/>
        <v>12.081081170387082</v>
      </c>
      <c r="C454" s="18">
        <f>Specification!$G$30</f>
        <v>109.96225200000001</v>
      </c>
      <c r="D454" s="17">
        <f>0.5*Specification!$K$4*Track!B454^2*Specification!$K$3*Specification!$K$2</f>
        <v>75.597088939043402</v>
      </c>
      <c r="E454" s="16">
        <v>0</v>
      </c>
      <c r="F454" s="17">
        <f>Specification!$C$23*9.81*SIN((E454*PI()/180))</f>
        <v>0</v>
      </c>
      <c r="G454" s="18">
        <f>IF(J454=1,VLOOKUP(K454,RPM!$E$2:$H$62,3,FALSE)-F454-E454-D454,IF(J454=2,VLOOKUP(K454,RPM!$H$2:$K$62,3,FALSE)-F454-E454-D454,IF(J454=3,VLOOKUP(K454,RPM!$K$2:$N$62,3,FALSE)-F454-E454-D454)))</f>
        <v>852.82752893960401</v>
      </c>
      <c r="H454" s="19">
        <f>IF(J454=1,Specification!$I$14,IF(J454=2,Specification!$I$15,IF(J454=3,Specification!$I$16)))</f>
        <v>582.50936296077191</v>
      </c>
      <c r="I454" s="16">
        <v>0</v>
      </c>
      <c r="J454" s="17">
        <v>2</v>
      </c>
      <c r="K454" s="16">
        <f>IF(J454=1,VLOOKUP(B454,RPM!$F$2:$H$62,3,TRUE),IF(J454=2,VLOOKUP(B454,RPM!$I$2:$K$62,3,TRUE),IF(J454=3,VLOOKUP(B454,RPM!$L$2:$N$62,3,TRUE))))</f>
        <v>6800</v>
      </c>
      <c r="L454" s="17">
        <f t="shared" si="81"/>
        <v>37.775189321909089</v>
      </c>
      <c r="M454" s="16">
        <f t="shared" si="78"/>
        <v>0</v>
      </c>
      <c r="N454" s="17">
        <f>VLOOKUP(K454,RPM!$A$2:$D$62,3,FALSE)</f>
        <v>15</v>
      </c>
      <c r="O454" s="16">
        <f>VLOOKUP(K454,RPM!$A$2:$D$62,4,FALSE)</f>
        <v>15.721323529411764</v>
      </c>
      <c r="P454" s="17">
        <f t="shared" si="79"/>
        <v>11.723390955882353</v>
      </c>
      <c r="Q454" s="16" cm="1">
        <f t="array" ref="Q454">_xlfn.XLOOKUP(O454,BSFC!$A$2:$A$24,_xlfn.XLOOKUP(K454,BSFC!$B$1:$O$1,BSFC!$B$2:$O$24,,-1),,-1)</f>
        <v>440</v>
      </c>
      <c r="R454" s="17">
        <f t="shared" si="80"/>
        <v>1.4328588946078433</v>
      </c>
      <c r="S454" s="16">
        <f t="shared" si="82"/>
        <v>2.6955348133305399E-4</v>
      </c>
      <c r="T454" s="17">
        <f t="shared" si="86"/>
        <v>0.11860353178654376</v>
      </c>
      <c r="U454" s="16">
        <f t="shared" si="87"/>
        <v>63.116915182329564</v>
      </c>
      <c r="V454" s="17">
        <f t="shared" si="88"/>
        <v>0.13301165465778017</v>
      </c>
      <c r="W454" s="16">
        <f t="shared" si="83"/>
        <v>478841.95676800865</v>
      </c>
      <c r="X454">
        <f>('Hybrid Info'!$A$2-Track!P454)*(L454-L453)*1000+X453</f>
        <v>-26056.874304036752</v>
      </c>
    </row>
    <row r="455" spans="1:24">
      <c r="A455" s="16">
        <f t="shared" si="84"/>
        <v>454</v>
      </c>
      <c r="B455" s="17">
        <f t="shared" si="85"/>
        <v>12.081081170387082</v>
      </c>
      <c r="C455" s="18">
        <f>Specification!$G$30</f>
        <v>109.96225200000001</v>
      </c>
      <c r="D455" s="17">
        <f>0.5*Specification!$K$4*Track!B455^2*Specification!$K$3*Specification!$K$2</f>
        <v>75.597088939043402</v>
      </c>
      <c r="E455" s="16">
        <v>0</v>
      </c>
      <c r="F455" s="17">
        <f>Specification!$C$23*9.81*SIN((E455*PI()/180))</f>
        <v>0</v>
      </c>
      <c r="G455" s="18">
        <f>IF(J455=1,VLOOKUP(K455,RPM!$E$2:$H$62,3,FALSE)-F455-E455-D455,IF(J455=2,VLOOKUP(K455,RPM!$H$2:$K$62,3,FALSE)-F455-E455-D455,IF(J455=3,VLOOKUP(K455,RPM!$K$2:$N$62,3,FALSE)-F455-E455-D455)))</f>
        <v>852.82752893960401</v>
      </c>
      <c r="H455" s="19">
        <f>IF(J455=1,Specification!$I$14,IF(J455=2,Specification!$I$15,IF(J455=3,Specification!$I$16)))</f>
        <v>582.50936296077191</v>
      </c>
      <c r="I455" s="16">
        <v>0</v>
      </c>
      <c r="J455" s="17">
        <v>2</v>
      </c>
      <c r="K455" s="16">
        <f>IF(J455=1,VLOOKUP(B455,RPM!$F$2:$H$62,3,TRUE),IF(J455=2,VLOOKUP(B455,RPM!$I$2:$K$62,3,TRUE),IF(J455=3,VLOOKUP(B455,RPM!$L$2:$N$62,3,TRUE))))</f>
        <v>6800</v>
      </c>
      <c r="L455" s="17">
        <f t="shared" si="81"/>
        <v>37.857963370514206</v>
      </c>
      <c r="M455" s="16">
        <f t="shared" si="78"/>
        <v>0</v>
      </c>
      <c r="N455" s="17">
        <f>VLOOKUP(K455,RPM!$A$2:$D$62,3,FALSE)</f>
        <v>15</v>
      </c>
      <c r="O455" s="16">
        <f>VLOOKUP(K455,RPM!$A$2:$D$62,4,FALSE)</f>
        <v>15.721323529411764</v>
      </c>
      <c r="P455" s="17">
        <f t="shared" si="79"/>
        <v>11.723390955882353</v>
      </c>
      <c r="Q455" s="16" cm="1">
        <f t="array" ref="Q455">_xlfn.XLOOKUP(O455,BSFC!$A$2:$A$24,_xlfn.XLOOKUP(K455,BSFC!$B$1:$O$1,BSFC!$B$2:$O$24,,-1),,-1)</f>
        <v>440</v>
      </c>
      <c r="R455" s="17">
        <f t="shared" si="80"/>
        <v>1.4328588946078433</v>
      </c>
      <c r="S455" s="16">
        <f t="shared" si="82"/>
        <v>2.6955348133305399E-4</v>
      </c>
      <c r="T455" s="17">
        <f t="shared" si="86"/>
        <v>0.11860353178654376</v>
      </c>
      <c r="U455" s="16">
        <f t="shared" si="87"/>
        <v>63.235518714116104</v>
      </c>
      <c r="V455" s="17">
        <f t="shared" si="88"/>
        <v>0.13328120813911323</v>
      </c>
      <c r="W455" s="16">
        <f t="shared" si="83"/>
        <v>479812.34930080763</v>
      </c>
      <c r="X455">
        <f>('Hybrid Info'!$A$2-Track!P455)*(L455-L454)*1000+X454</f>
        <v>-26024.007739008117</v>
      </c>
    </row>
    <row r="456" spans="1:24">
      <c r="A456" s="16">
        <f t="shared" si="84"/>
        <v>455</v>
      </c>
      <c r="B456" s="17">
        <f t="shared" si="85"/>
        <v>12.081081170387082</v>
      </c>
      <c r="C456" s="18">
        <f>Specification!$G$30</f>
        <v>109.96225200000001</v>
      </c>
      <c r="D456" s="17">
        <f>0.5*Specification!$K$4*Track!B456^2*Specification!$K$3*Specification!$K$2</f>
        <v>75.597088939043402</v>
      </c>
      <c r="E456" s="16">
        <v>0</v>
      </c>
      <c r="F456" s="17">
        <f>Specification!$C$23*9.81*SIN((E456*PI()/180))</f>
        <v>0</v>
      </c>
      <c r="G456" s="18">
        <f>IF(J456=1,VLOOKUP(K456,RPM!$E$2:$H$62,3,FALSE)-F456-E456-D456,IF(J456=2,VLOOKUP(K456,RPM!$H$2:$K$62,3,FALSE)-F456-E456-D456,IF(J456=3,VLOOKUP(K456,RPM!$K$2:$N$62,3,FALSE)-F456-E456-D456)))</f>
        <v>852.82752893960401</v>
      </c>
      <c r="H456" s="19">
        <f>IF(J456=1,Specification!$I$14,IF(J456=2,Specification!$I$15,IF(J456=3,Specification!$I$16)))</f>
        <v>582.50936296077191</v>
      </c>
      <c r="I456" s="16">
        <v>0</v>
      </c>
      <c r="J456" s="17">
        <v>2</v>
      </c>
      <c r="K456" s="16">
        <f>IF(J456=1,VLOOKUP(B456,RPM!$F$2:$H$62,3,TRUE),IF(J456=2,VLOOKUP(B456,RPM!$I$2:$K$62,3,TRUE),IF(J456=3,VLOOKUP(B456,RPM!$L$2:$N$62,3,TRUE))))</f>
        <v>6800</v>
      </c>
      <c r="L456" s="17">
        <f t="shared" si="81"/>
        <v>37.940737419119323</v>
      </c>
      <c r="M456" s="16">
        <f t="shared" si="78"/>
        <v>0</v>
      </c>
      <c r="N456" s="17">
        <f>VLOOKUP(K456,RPM!$A$2:$D$62,3,FALSE)</f>
        <v>15</v>
      </c>
      <c r="O456" s="16">
        <f>VLOOKUP(K456,RPM!$A$2:$D$62,4,FALSE)</f>
        <v>15.721323529411764</v>
      </c>
      <c r="P456" s="17">
        <f t="shared" si="79"/>
        <v>11.723390955882353</v>
      </c>
      <c r="Q456" s="16" cm="1">
        <f t="array" ref="Q456">_xlfn.XLOOKUP(O456,BSFC!$A$2:$A$24,_xlfn.XLOOKUP(K456,BSFC!$B$1:$O$1,BSFC!$B$2:$O$24,,-1),,-1)</f>
        <v>440</v>
      </c>
      <c r="R456" s="17">
        <f t="shared" si="80"/>
        <v>1.4328588946078433</v>
      </c>
      <c r="S456" s="16">
        <f t="shared" si="82"/>
        <v>2.6955348133305399E-4</v>
      </c>
      <c r="T456" s="17">
        <f t="shared" si="86"/>
        <v>0.11860353178654376</v>
      </c>
      <c r="U456" s="16">
        <f t="shared" si="87"/>
        <v>63.354122245902644</v>
      </c>
      <c r="V456" s="17">
        <f t="shared" si="88"/>
        <v>0.1335507616204463</v>
      </c>
      <c r="W456" s="16">
        <f t="shared" si="83"/>
        <v>480782.74183360673</v>
      </c>
      <c r="X456">
        <f>('Hybrid Info'!$A$2-Track!P456)*(L456-L455)*1000+X455</f>
        <v>-25991.141173979482</v>
      </c>
    </row>
    <row r="457" spans="1:24">
      <c r="A457" s="16">
        <f t="shared" si="84"/>
        <v>456</v>
      </c>
      <c r="B457" s="17">
        <f t="shared" si="85"/>
        <v>12.081081170387082</v>
      </c>
      <c r="C457" s="18">
        <f>Specification!$G$30</f>
        <v>109.96225200000001</v>
      </c>
      <c r="D457" s="17">
        <f>0.5*Specification!$K$4*Track!B457^2*Specification!$K$3*Specification!$K$2</f>
        <v>75.597088939043402</v>
      </c>
      <c r="E457" s="16">
        <v>0</v>
      </c>
      <c r="F457" s="17">
        <f>Specification!$C$23*9.81*SIN((E457*PI()/180))</f>
        <v>0</v>
      </c>
      <c r="G457" s="18">
        <f>IF(J457=1,VLOOKUP(K457,RPM!$E$2:$H$62,3,FALSE)-F457-E457-D457,IF(J457=2,VLOOKUP(K457,RPM!$H$2:$K$62,3,FALSE)-F457-E457-D457,IF(J457=3,VLOOKUP(K457,RPM!$K$2:$N$62,3,FALSE)-F457-E457-D457)))</f>
        <v>852.82752893960401</v>
      </c>
      <c r="H457" s="19">
        <f>IF(J457=1,Specification!$I$14,IF(J457=2,Specification!$I$15,IF(J457=3,Specification!$I$16)))</f>
        <v>582.50936296077191</v>
      </c>
      <c r="I457" s="16">
        <v>0</v>
      </c>
      <c r="J457" s="17">
        <v>2</v>
      </c>
      <c r="K457" s="16">
        <f>IF(J457=1,VLOOKUP(B457,RPM!$F$2:$H$62,3,TRUE),IF(J457=2,VLOOKUP(B457,RPM!$I$2:$K$62,3,TRUE),IF(J457=3,VLOOKUP(B457,RPM!$L$2:$N$62,3,TRUE))))</f>
        <v>6800</v>
      </c>
      <c r="L457" s="17">
        <f t="shared" si="81"/>
        <v>38.02351146772444</v>
      </c>
      <c r="M457" s="16">
        <f t="shared" si="78"/>
        <v>0</v>
      </c>
      <c r="N457" s="17">
        <f>VLOOKUP(K457,RPM!$A$2:$D$62,3,FALSE)</f>
        <v>15</v>
      </c>
      <c r="O457" s="16">
        <f>VLOOKUP(K457,RPM!$A$2:$D$62,4,FALSE)</f>
        <v>15.721323529411764</v>
      </c>
      <c r="P457" s="17">
        <f t="shared" si="79"/>
        <v>11.723390955882353</v>
      </c>
      <c r="Q457" s="16" cm="1">
        <f t="array" ref="Q457">_xlfn.XLOOKUP(O457,BSFC!$A$2:$A$24,_xlfn.XLOOKUP(K457,BSFC!$B$1:$O$1,BSFC!$B$2:$O$24,,-1),,-1)</f>
        <v>440</v>
      </c>
      <c r="R457" s="17">
        <f t="shared" si="80"/>
        <v>1.4328588946078433</v>
      </c>
      <c r="S457" s="16">
        <f t="shared" si="82"/>
        <v>2.6955348133305399E-4</v>
      </c>
      <c r="T457" s="17">
        <f t="shared" si="86"/>
        <v>0.11860353178654376</v>
      </c>
      <c r="U457" s="16">
        <f t="shared" si="87"/>
        <v>63.472725777689185</v>
      </c>
      <c r="V457" s="17">
        <f t="shared" si="88"/>
        <v>0.13382031510177936</v>
      </c>
      <c r="W457" s="16">
        <f t="shared" si="83"/>
        <v>481753.13436640566</v>
      </c>
      <c r="X457">
        <f>('Hybrid Info'!$A$2-Track!P457)*(L457-L456)*1000+X456</f>
        <v>-25958.274608950847</v>
      </c>
    </row>
    <row r="458" spans="1:24">
      <c r="A458" s="16">
        <f t="shared" si="84"/>
        <v>457</v>
      </c>
      <c r="B458" s="17">
        <f t="shared" si="85"/>
        <v>12.081081170387082</v>
      </c>
      <c r="C458" s="18">
        <f>Specification!$G$30</f>
        <v>109.96225200000001</v>
      </c>
      <c r="D458" s="17">
        <f>0.5*Specification!$K$4*Track!B458^2*Specification!$K$3*Specification!$K$2</f>
        <v>75.597088939043402</v>
      </c>
      <c r="E458" s="16">
        <v>0</v>
      </c>
      <c r="F458" s="17">
        <f>Specification!$C$23*9.81*SIN((E458*PI()/180))</f>
        <v>0</v>
      </c>
      <c r="G458" s="18">
        <f>IF(J458=1,VLOOKUP(K458,RPM!$E$2:$H$62,3,FALSE)-F458-E458-D458,IF(J458=2,VLOOKUP(K458,RPM!$H$2:$K$62,3,FALSE)-F458-E458-D458,IF(J458=3,VLOOKUP(K458,RPM!$K$2:$N$62,3,FALSE)-F458-E458-D458)))</f>
        <v>852.82752893960401</v>
      </c>
      <c r="H458" s="19">
        <f>IF(J458=1,Specification!$I$14,IF(J458=2,Specification!$I$15,IF(J458=3,Specification!$I$16)))</f>
        <v>582.50936296077191</v>
      </c>
      <c r="I458" s="16">
        <v>0</v>
      </c>
      <c r="J458" s="17">
        <v>2</v>
      </c>
      <c r="K458" s="16">
        <f>IF(J458=1,VLOOKUP(B458,RPM!$F$2:$H$62,3,TRUE),IF(J458=2,VLOOKUP(B458,RPM!$I$2:$K$62,3,TRUE),IF(J458=3,VLOOKUP(B458,RPM!$L$2:$N$62,3,TRUE))))</f>
        <v>6800</v>
      </c>
      <c r="L458" s="17">
        <f t="shared" si="81"/>
        <v>38.106285516329557</v>
      </c>
      <c r="M458" s="16">
        <f t="shared" si="78"/>
        <v>0</v>
      </c>
      <c r="N458" s="17">
        <f>VLOOKUP(K458,RPM!$A$2:$D$62,3,FALSE)</f>
        <v>15</v>
      </c>
      <c r="O458" s="16">
        <f>VLOOKUP(K458,RPM!$A$2:$D$62,4,FALSE)</f>
        <v>15.721323529411764</v>
      </c>
      <c r="P458" s="17">
        <f t="shared" si="79"/>
        <v>11.723390955882353</v>
      </c>
      <c r="Q458" s="16" cm="1">
        <f t="array" ref="Q458">_xlfn.XLOOKUP(O458,BSFC!$A$2:$A$24,_xlfn.XLOOKUP(K458,BSFC!$B$1:$O$1,BSFC!$B$2:$O$24,,-1),,-1)</f>
        <v>440</v>
      </c>
      <c r="R458" s="17">
        <f t="shared" si="80"/>
        <v>1.4328588946078433</v>
      </c>
      <c r="S458" s="16">
        <f t="shared" si="82"/>
        <v>2.6955348133305399E-4</v>
      </c>
      <c r="T458" s="17">
        <f t="shared" si="86"/>
        <v>0.11860353178654376</v>
      </c>
      <c r="U458" s="16">
        <f t="shared" si="87"/>
        <v>63.591329309475725</v>
      </c>
      <c r="V458" s="17">
        <f t="shared" si="88"/>
        <v>0.13408986858311242</v>
      </c>
      <c r="W458" s="16">
        <f t="shared" si="83"/>
        <v>482723.52689920476</v>
      </c>
      <c r="X458">
        <f>('Hybrid Info'!$A$2-Track!P458)*(L458-L457)*1000+X457</f>
        <v>-25925.408043922213</v>
      </c>
    </row>
    <row r="459" spans="1:24">
      <c r="A459" s="16">
        <f t="shared" si="84"/>
        <v>458</v>
      </c>
      <c r="B459" s="17">
        <f t="shared" si="85"/>
        <v>12.081081170387082</v>
      </c>
      <c r="C459" s="18">
        <f>Specification!$G$30</f>
        <v>109.96225200000001</v>
      </c>
      <c r="D459" s="17">
        <f>0.5*Specification!$K$4*Track!B459^2*Specification!$K$3*Specification!$K$2</f>
        <v>75.597088939043402</v>
      </c>
      <c r="E459" s="16">
        <v>0</v>
      </c>
      <c r="F459" s="17">
        <f>Specification!$C$23*9.81*SIN((E459*PI()/180))</f>
        <v>0</v>
      </c>
      <c r="G459" s="18">
        <f>IF(J459=1,VLOOKUP(K459,RPM!$E$2:$H$62,3,FALSE)-F459-E459-D459,IF(J459=2,VLOOKUP(K459,RPM!$H$2:$K$62,3,FALSE)-F459-E459-D459,IF(J459=3,VLOOKUP(K459,RPM!$K$2:$N$62,3,FALSE)-F459-E459-D459)))</f>
        <v>852.82752893960401</v>
      </c>
      <c r="H459" s="19">
        <f>IF(J459=1,Specification!$I$14,IF(J459=2,Specification!$I$15,IF(J459=3,Specification!$I$16)))</f>
        <v>582.50936296077191</v>
      </c>
      <c r="I459" s="16">
        <v>0</v>
      </c>
      <c r="J459" s="17">
        <v>2</v>
      </c>
      <c r="K459" s="16">
        <f>IF(J459=1,VLOOKUP(B459,RPM!$F$2:$H$62,3,TRUE),IF(J459=2,VLOOKUP(B459,RPM!$I$2:$K$62,3,TRUE),IF(J459=3,VLOOKUP(B459,RPM!$L$2:$N$62,3,TRUE))))</f>
        <v>6800</v>
      </c>
      <c r="L459" s="17">
        <f t="shared" si="81"/>
        <v>38.189059564934674</v>
      </c>
      <c r="M459" s="16">
        <f t="shared" si="78"/>
        <v>0</v>
      </c>
      <c r="N459" s="17">
        <f>VLOOKUP(K459,RPM!$A$2:$D$62,3,FALSE)</f>
        <v>15</v>
      </c>
      <c r="O459" s="16">
        <f>VLOOKUP(K459,RPM!$A$2:$D$62,4,FALSE)</f>
        <v>15.721323529411764</v>
      </c>
      <c r="P459" s="17">
        <f t="shared" si="79"/>
        <v>11.723390955882353</v>
      </c>
      <c r="Q459" s="16" cm="1">
        <f t="array" ref="Q459">_xlfn.XLOOKUP(O459,BSFC!$A$2:$A$24,_xlfn.XLOOKUP(K459,BSFC!$B$1:$O$1,BSFC!$B$2:$O$24,,-1),,-1)</f>
        <v>440</v>
      </c>
      <c r="R459" s="17">
        <f t="shared" si="80"/>
        <v>1.4328588946078433</v>
      </c>
      <c r="S459" s="16">
        <f t="shared" si="82"/>
        <v>2.6955348133305399E-4</v>
      </c>
      <c r="T459" s="17">
        <f t="shared" si="86"/>
        <v>0.11860353178654376</v>
      </c>
      <c r="U459" s="16">
        <f t="shared" si="87"/>
        <v>63.709932841262265</v>
      </c>
      <c r="V459" s="17">
        <f t="shared" si="88"/>
        <v>0.13435942206444548</v>
      </c>
      <c r="W459" s="16">
        <f t="shared" si="83"/>
        <v>483693.91943200375</v>
      </c>
      <c r="X459">
        <f>('Hybrid Info'!$A$2-Track!P459)*(L459-L458)*1000+X458</f>
        <v>-25892.541478893578</v>
      </c>
    </row>
    <row r="460" spans="1:24">
      <c r="A460" s="16">
        <f t="shared" si="84"/>
        <v>459</v>
      </c>
      <c r="B460" s="17">
        <f t="shared" si="85"/>
        <v>12.081081170387082</v>
      </c>
      <c r="C460" s="18">
        <f>Specification!$G$30</f>
        <v>109.96225200000001</v>
      </c>
      <c r="D460" s="17">
        <f>0.5*Specification!$K$4*Track!B460^2*Specification!$K$3*Specification!$K$2</f>
        <v>75.597088939043402</v>
      </c>
      <c r="E460" s="16">
        <v>0</v>
      </c>
      <c r="F460" s="17">
        <f>Specification!$C$23*9.81*SIN((E460*PI()/180))</f>
        <v>0</v>
      </c>
      <c r="G460" s="18">
        <f>IF(J460=1,VLOOKUP(K460,RPM!$E$2:$H$62,3,FALSE)-F460-E460-D460,IF(J460=2,VLOOKUP(K460,RPM!$H$2:$K$62,3,FALSE)-F460-E460-D460,IF(J460=3,VLOOKUP(K460,RPM!$K$2:$N$62,3,FALSE)-F460-E460-D460)))</f>
        <v>852.82752893960401</v>
      </c>
      <c r="H460" s="19">
        <f>IF(J460=1,Specification!$I$14,IF(J460=2,Specification!$I$15,IF(J460=3,Specification!$I$16)))</f>
        <v>582.50936296077191</v>
      </c>
      <c r="I460" s="16">
        <v>0</v>
      </c>
      <c r="J460" s="17">
        <v>2</v>
      </c>
      <c r="K460" s="16">
        <f>IF(J460=1,VLOOKUP(B460,RPM!$F$2:$H$62,3,TRUE),IF(J460=2,VLOOKUP(B460,RPM!$I$2:$K$62,3,TRUE),IF(J460=3,VLOOKUP(B460,RPM!$L$2:$N$62,3,TRUE))))</f>
        <v>6800</v>
      </c>
      <c r="L460" s="17">
        <f t="shared" si="81"/>
        <v>38.271833613539791</v>
      </c>
      <c r="M460" s="16">
        <f t="shared" si="78"/>
        <v>0</v>
      </c>
      <c r="N460" s="17">
        <f>VLOOKUP(K460,RPM!$A$2:$D$62,3,FALSE)</f>
        <v>15</v>
      </c>
      <c r="O460" s="16">
        <f>VLOOKUP(K460,RPM!$A$2:$D$62,4,FALSE)</f>
        <v>15.721323529411764</v>
      </c>
      <c r="P460" s="17">
        <f t="shared" si="79"/>
        <v>11.723390955882353</v>
      </c>
      <c r="Q460" s="16" cm="1">
        <f t="array" ref="Q460">_xlfn.XLOOKUP(O460,BSFC!$A$2:$A$24,_xlfn.XLOOKUP(K460,BSFC!$B$1:$O$1,BSFC!$B$2:$O$24,,-1),,-1)</f>
        <v>440</v>
      </c>
      <c r="R460" s="17">
        <f t="shared" si="80"/>
        <v>1.4328588946078433</v>
      </c>
      <c r="S460" s="16">
        <f t="shared" si="82"/>
        <v>2.6955348133305399E-4</v>
      </c>
      <c r="T460" s="17">
        <f t="shared" si="86"/>
        <v>0.11860353178654376</v>
      </c>
      <c r="U460" s="16">
        <f t="shared" si="87"/>
        <v>63.828536373048806</v>
      </c>
      <c r="V460" s="17">
        <f t="shared" si="88"/>
        <v>0.13462897554577855</v>
      </c>
      <c r="W460" s="16">
        <f t="shared" si="83"/>
        <v>484664.31196480279</v>
      </c>
      <c r="X460">
        <f>('Hybrid Info'!$A$2-Track!P460)*(L460-L459)*1000+X459</f>
        <v>-25859.674913864943</v>
      </c>
    </row>
    <row r="461" spans="1:24">
      <c r="A461" s="16">
        <f t="shared" si="84"/>
        <v>460</v>
      </c>
      <c r="B461" s="17">
        <f t="shared" si="85"/>
        <v>12.081081170387082</v>
      </c>
      <c r="C461" s="18">
        <f>Specification!$G$30</f>
        <v>109.96225200000001</v>
      </c>
      <c r="D461" s="17">
        <f>0.5*Specification!$K$4*Track!B461^2*Specification!$K$3*Specification!$K$2</f>
        <v>75.597088939043402</v>
      </c>
      <c r="E461" s="16">
        <v>0</v>
      </c>
      <c r="F461" s="17">
        <f>Specification!$C$23*9.81*SIN((E461*PI()/180))</f>
        <v>0</v>
      </c>
      <c r="G461" s="18">
        <f>IF(J461=1,VLOOKUP(K461,RPM!$E$2:$H$62,3,FALSE)-F461-E461-D461,IF(J461=2,VLOOKUP(K461,RPM!$H$2:$K$62,3,FALSE)-F461-E461-D461,IF(J461=3,VLOOKUP(K461,RPM!$K$2:$N$62,3,FALSE)-F461-E461-D461)))</f>
        <v>852.82752893960401</v>
      </c>
      <c r="H461" s="19">
        <f>IF(J461=1,Specification!$I$14,IF(J461=2,Specification!$I$15,IF(J461=3,Specification!$I$16)))</f>
        <v>582.50936296077191</v>
      </c>
      <c r="I461" s="16">
        <v>0</v>
      </c>
      <c r="J461" s="17">
        <v>2</v>
      </c>
      <c r="K461" s="16">
        <f>IF(J461=1,VLOOKUP(B461,RPM!$F$2:$H$62,3,TRUE),IF(J461=2,VLOOKUP(B461,RPM!$I$2:$K$62,3,TRUE),IF(J461=3,VLOOKUP(B461,RPM!$L$2:$N$62,3,TRUE))))</f>
        <v>6800</v>
      </c>
      <c r="L461" s="17">
        <f t="shared" si="81"/>
        <v>38.354607662144907</v>
      </c>
      <c r="M461" s="16">
        <f t="shared" si="78"/>
        <v>0</v>
      </c>
      <c r="N461" s="17">
        <f>VLOOKUP(K461,RPM!$A$2:$D$62,3,FALSE)</f>
        <v>15</v>
      </c>
      <c r="O461" s="16">
        <f>VLOOKUP(K461,RPM!$A$2:$D$62,4,FALSE)</f>
        <v>15.721323529411764</v>
      </c>
      <c r="P461" s="17">
        <f t="shared" si="79"/>
        <v>11.723390955882353</v>
      </c>
      <c r="Q461" s="16" cm="1">
        <f t="array" ref="Q461">_xlfn.XLOOKUP(O461,BSFC!$A$2:$A$24,_xlfn.XLOOKUP(K461,BSFC!$B$1:$O$1,BSFC!$B$2:$O$24,,-1),,-1)</f>
        <v>440</v>
      </c>
      <c r="R461" s="17">
        <f t="shared" si="80"/>
        <v>1.4328588946078433</v>
      </c>
      <c r="S461" s="16">
        <f t="shared" si="82"/>
        <v>2.6955348133305399E-4</v>
      </c>
      <c r="T461" s="17">
        <f t="shared" si="86"/>
        <v>0.11860353178654376</v>
      </c>
      <c r="U461" s="16">
        <f t="shared" si="87"/>
        <v>63.947139904835346</v>
      </c>
      <c r="V461" s="17">
        <f t="shared" si="88"/>
        <v>0.13489852902711161</v>
      </c>
      <c r="W461" s="16">
        <f t="shared" si="83"/>
        <v>485634.70449760178</v>
      </c>
      <c r="X461">
        <f>('Hybrid Info'!$A$2-Track!P461)*(L461-L460)*1000+X460</f>
        <v>-25826.808348836308</v>
      </c>
    </row>
    <row r="462" spans="1:24">
      <c r="A462" s="16">
        <f t="shared" si="84"/>
        <v>461</v>
      </c>
      <c r="B462" s="17">
        <f t="shared" si="85"/>
        <v>12.081081170387082</v>
      </c>
      <c r="C462" s="18">
        <f>Specification!$G$30</f>
        <v>109.96225200000001</v>
      </c>
      <c r="D462" s="17">
        <f>0.5*Specification!$K$4*Track!B462^2*Specification!$K$3*Specification!$K$2</f>
        <v>75.597088939043402</v>
      </c>
      <c r="E462" s="16">
        <v>0</v>
      </c>
      <c r="F462" s="17">
        <f>Specification!$C$23*9.81*SIN((E462*PI()/180))</f>
        <v>0</v>
      </c>
      <c r="G462" s="18">
        <f>IF(J462=1,VLOOKUP(K462,RPM!$E$2:$H$62,3,FALSE)-F462-E462-D462,IF(J462=2,VLOOKUP(K462,RPM!$H$2:$K$62,3,FALSE)-F462-E462-D462,IF(J462=3,VLOOKUP(K462,RPM!$K$2:$N$62,3,FALSE)-F462-E462-D462)))</f>
        <v>852.82752893960401</v>
      </c>
      <c r="H462" s="19">
        <f>IF(J462=1,Specification!$I$14,IF(J462=2,Specification!$I$15,IF(J462=3,Specification!$I$16)))</f>
        <v>582.50936296077191</v>
      </c>
      <c r="I462" s="16">
        <v>0</v>
      </c>
      <c r="J462" s="17">
        <v>2</v>
      </c>
      <c r="K462" s="16">
        <f>IF(J462=1,VLOOKUP(B462,RPM!$F$2:$H$62,3,TRUE),IF(J462=2,VLOOKUP(B462,RPM!$I$2:$K$62,3,TRUE),IF(J462=3,VLOOKUP(B462,RPM!$L$2:$N$62,3,TRUE))))</f>
        <v>6800</v>
      </c>
      <c r="L462" s="17">
        <f t="shared" si="81"/>
        <v>38.437381710750024</v>
      </c>
      <c r="M462" s="16">
        <f t="shared" si="78"/>
        <v>0</v>
      </c>
      <c r="N462" s="17">
        <f>VLOOKUP(K462,RPM!$A$2:$D$62,3,FALSE)</f>
        <v>15</v>
      </c>
      <c r="O462" s="16">
        <f>VLOOKUP(K462,RPM!$A$2:$D$62,4,FALSE)</f>
        <v>15.721323529411764</v>
      </c>
      <c r="P462" s="17">
        <f t="shared" si="79"/>
        <v>11.723390955882353</v>
      </c>
      <c r="Q462" s="16" cm="1">
        <f t="array" ref="Q462">_xlfn.XLOOKUP(O462,BSFC!$A$2:$A$24,_xlfn.XLOOKUP(K462,BSFC!$B$1:$O$1,BSFC!$B$2:$O$24,,-1),,-1)</f>
        <v>440</v>
      </c>
      <c r="R462" s="17">
        <f t="shared" si="80"/>
        <v>1.4328588946078433</v>
      </c>
      <c r="S462" s="16">
        <f t="shared" si="82"/>
        <v>2.6955348133305399E-4</v>
      </c>
      <c r="T462" s="17">
        <f t="shared" si="86"/>
        <v>0.11860353178654376</v>
      </c>
      <c r="U462" s="16">
        <f t="shared" si="87"/>
        <v>64.065743436621887</v>
      </c>
      <c r="V462" s="17">
        <f t="shared" si="88"/>
        <v>0.13516808250844467</v>
      </c>
      <c r="W462" s="16">
        <f t="shared" si="83"/>
        <v>486605.09703040088</v>
      </c>
      <c r="X462">
        <f>('Hybrid Info'!$A$2-Track!P462)*(L462-L461)*1000+X461</f>
        <v>-25793.941783807673</v>
      </c>
    </row>
    <row r="463" spans="1:24">
      <c r="A463" s="16">
        <f t="shared" si="84"/>
        <v>462</v>
      </c>
      <c r="B463" s="17">
        <f t="shared" si="85"/>
        <v>12.081081170387082</v>
      </c>
      <c r="C463" s="18">
        <f>Specification!$G$30</f>
        <v>109.96225200000001</v>
      </c>
      <c r="D463" s="17">
        <f>0.5*Specification!$K$4*Track!B463^2*Specification!$K$3*Specification!$K$2</f>
        <v>75.597088939043402</v>
      </c>
      <c r="E463" s="16">
        <v>0</v>
      </c>
      <c r="F463" s="17">
        <f>Specification!$C$23*9.81*SIN((E463*PI()/180))</f>
        <v>0</v>
      </c>
      <c r="G463" s="18">
        <f>IF(J463=1,VLOOKUP(K463,RPM!$E$2:$H$62,3,FALSE)-F463-E463-D463,IF(J463=2,VLOOKUP(K463,RPM!$H$2:$K$62,3,FALSE)-F463-E463-D463,IF(J463=3,VLOOKUP(K463,RPM!$K$2:$N$62,3,FALSE)-F463-E463-D463)))</f>
        <v>852.82752893960401</v>
      </c>
      <c r="H463" s="19">
        <f>IF(J463=1,Specification!$I$14,IF(J463=2,Specification!$I$15,IF(J463=3,Specification!$I$16)))</f>
        <v>582.50936296077191</v>
      </c>
      <c r="I463" s="16">
        <v>0</v>
      </c>
      <c r="J463" s="17">
        <v>2</v>
      </c>
      <c r="K463" s="16">
        <f>IF(J463=1,VLOOKUP(B463,RPM!$F$2:$H$62,3,TRUE),IF(J463=2,VLOOKUP(B463,RPM!$I$2:$K$62,3,TRUE),IF(J463=3,VLOOKUP(B463,RPM!$L$2:$N$62,3,TRUE))))</f>
        <v>6800</v>
      </c>
      <c r="L463" s="17">
        <f t="shared" si="81"/>
        <v>38.520155759355141</v>
      </c>
      <c r="M463" s="16">
        <f t="shared" si="78"/>
        <v>0</v>
      </c>
      <c r="N463" s="17">
        <f>VLOOKUP(K463,RPM!$A$2:$D$62,3,FALSE)</f>
        <v>15</v>
      </c>
      <c r="O463" s="16">
        <f>VLOOKUP(K463,RPM!$A$2:$D$62,4,FALSE)</f>
        <v>15.721323529411764</v>
      </c>
      <c r="P463" s="17">
        <f t="shared" si="79"/>
        <v>11.723390955882353</v>
      </c>
      <c r="Q463" s="16" cm="1">
        <f t="array" ref="Q463">_xlfn.XLOOKUP(O463,BSFC!$A$2:$A$24,_xlfn.XLOOKUP(K463,BSFC!$B$1:$O$1,BSFC!$B$2:$O$24,,-1),,-1)</f>
        <v>440</v>
      </c>
      <c r="R463" s="17">
        <f t="shared" si="80"/>
        <v>1.4328588946078433</v>
      </c>
      <c r="S463" s="16">
        <f t="shared" si="82"/>
        <v>2.6955348133305399E-4</v>
      </c>
      <c r="T463" s="17">
        <f t="shared" si="86"/>
        <v>0.11860353178654376</v>
      </c>
      <c r="U463" s="16">
        <f t="shared" si="87"/>
        <v>64.184346968408434</v>
      </c>
      <c r="V463" s="17">
        <f t="shared" si="88"/>
        <v>0.13543763598977773</v>
      </c>
      <c r="W463" s="16">
        <f t="shared" si="83"/>
        <v>487575.48956319981</v>
      </c>
      <c r="X463">
        <f>('Hybrid Info'!$A$2-Track!P463)*(L463-L462)*1000+X462</f>
        <v>-25761.075218779039</v>
      </c>
    </row>
    <row r="464" spans="1:24">
      <c r="A464" s="16">
        <f t="shared" si="84"/>
        <v>463</v>
      </c>
      <c r="B464" s="17">
        <f t="shared" si="85"/>
        <v>12.081081170387082</v>
      </c>
      <c r="C464" s="18">
        <f>Specification!$G$30</f>
        <v>109.96225200000001</v>
      </c>
      <c r="D464" s="17">
        <f>0.5*Specification!$K$4*Track!B464^2*Specification!$K$3*Specification!$K$2</f>
        <v>75.597088939043402</v>
      </c>
      <c r="E464" s="16">
        <v>0</v>
      </c>
      <c r="F464" s="17">
        <f>Specification!$C$23*9.81*SIN((E464*PI()/180))</f>
        <v>0</v>
      </c>
      <c r="G464" s="18">
        <f>IF(J464=1,VLOOKUP(K464,RPM!$E$2:$H$62,3,FALSE)-F464-E464-D464,IF(J464=2,VLOOKUP(K464,RPM!$H$2:$K$62,3,FALSE)-F464-E464-D464,IF(J464=3,VLOOKUP(K464,RPM!$K$2:$N$62,3,FALSE)-F464-E464-D464)))</f>
        <v>852.82752893960401</v>
      </c>
      <c r="H464" s="19">
        <f>IF(J464=1,Specification!$I$14,IF(J464=2,Specification!$I$15,IF(J464=3,Specification!$I$16)))</f>
        <v>582.50936296077191</v>
      </c>
      <c r="I464" s="16">
        <v>0</v>
      </c>
      <c r="J464" s="17">
        <v>2</v>
      </c>
      <c r="K464" s="16">
        <f>IF(J464=1,VLOOKUP(B464,RPM!$F$2:$H$62,3,TRUE),IF(J464=2,VLOOKUP(B464,RPM!$I$2:$K$62,3,TRUE),IF(J464=3,VLOOKUP(B464,RPM!$L$2:$N$62,3,TRUE))))</f>
        <v>6800</v>
      </c>
      <c r="L464" s="17">
        <f t="shared" si="81"/>
        <v>38.602929807960258</v>
      </c>
      <c r="M464" s="16">
        <f t="shared" si="78"/>
        <v>0</v>
      </c>
      <c r="N464" s="17">
        <f>VLOOKUP(K464,RPM!$A$2:$D$62,3,FALSE)</f>
        <v>15</v>
      </c>
      <c r="O464" s="16">
        <f>VLOOKUP(K464,RPM!$A$2:$D$62,4,FALSE)</f>
        <v>15.721323529411764</v>
      </c>
      <c r="P464" s="17">
        <f t="shared" si="79"/>
        <v>11.723390955882353</v>
      </c>
      <c r="Q464" s="16" cm="1">
        <f t="array" ref="Q464">_xlfn.XLOOKUP(O464,BSFC!$A$2:$A$24,_xlfn.XLOOKUP(K464,BSFC!$B$1:$O$1,BSFC!$B$2:$O$24,,-1),,-1)</f>
        <v>440</v>
      </c>
      <c r="R464" s="17">
        <f t="shared" si="80"/>
        <v>1.4328588946078433</v>
      </c>
      <c r="S464" s="16">
        <f t="shared" si="82"/>
        <v>2.6955348133305399E-4</v>
      </c>
      <c r="T464" s="17">
        <f t="shared" si="86"/>
        <v>0.11860353178654376</v>
      </c>
      <c r="U464" s="16">
        <f t="shared" si="87"/>
        <v>64.302950500194981</v>
      </c>
      <c r="V464" s="17">
        <f t="shared" si="88"/>
        <v>0.1357071894711108</v>
      </c>
      <c r="W464" s="16">
        <f t="shared" si="83"/>
        <v>488545.88209599891</v>
      </c>
      <c r="X464">
        <f>('Hybrid Info'!$A$2-Track!P464)*(L464-L463)*1000+X463</f>
        <v>-25728.208653750404</v>
      </c>
    </row>
    <row r="465" spans="1:24">
      <c r="A465" s="16">
        <f t="shared" si="84"/>
        <v>464</v>
      </c>
      <c r="B465" s="17">
        <f t="shared" si="85"/>
        <v>12.081081170387082</v>
      </c>
      <c r="C465" s="18">
        <f>Specification!$G$30</f>
        <v>109.96225200000001</v>
      </c>
      <c r="D465" s="17">
        <f>0.5*Specification!$K$4*Track!B465^2*Specification!$K$3*Specification!$K$2</f>
        <v>75.597088939043402</v>
      </c>
      <c r="E465" s="16">
        <v>0</v>
      </c>
      <c r="F465" s="17">
        <f>Specification!$C$23*9.81*SIN((E465*PI()/180))</f>
        <v>0</v>
      </c>
      <c r="G465" s="18">
        <f>IF(J465=1,VLOOKUP(K465,RPM!$E$2:$H$62,3,FALSE)-F465-E465-D465,IF(J465=2,VLOOKUP(K465,RPM!$H$2:$K$62,3,FALSE)-F465-E465-D465,IF(J465=3,VLOOKUP(K465,RPM!$K$2:$N$62,3,FALSE)-F465-E465-D465)))</f>
        <v>852.82752893960401</v>
      </c>
      <c r="H465" s="19">
        <f>IF(J465=1,Specification!$I$14,IF(J465=2,Specification!$I$15,IF(J465=3,Specification!$I$16)))</f>
        <v>582.50936296077191</v>
      </c>
      <c r="I465" s="16">
        <v>0</v>
      </c>
      <c r="J465" s="17">
        <v>2</v>
      </c>
      <c r="K465" s="16">
        <f>IF(J465=1,VLOOKUP(B465,RPM!$F$2:$H$62,3,TRUE),IF(J465=2,VLOOKUP(B465,RPM!$I$2:$K$62,3,TRUE),IF(J465=3,VLOOKUP(B465,RPM!$L$2:$N$62,3,TRUE))))</f>
        <v>6800</v>
      </c>
      <c r="L465" s="17">
        <f t="shared" si="81"/>
        <v>38.685703856565375</v>
      </c>
      <c r="M465" s="16">
        <f t="shared" si="78"/>
        <v>0</v>
      </c>
      <c r="N465" s="17">
        <f>VLOOKUP(K465,RPM!$A$2:$D$62,3,FALSE)</f>
        <v>15</v>
      </c>
      <c r="O465" s="16">
        <f>VLOOKUP(K465,RPM!$A$2:$D$62,4,FALSE)</f>
        <v>15.721323529411764</v>
      </c>
      <c r="P465" s="17">
        <f t="shared" si="79"/>
        <v>11.723390955882353</v>
      </c>
      <c r="Q465" s="16" cm="1">
        <f t="array" ref="Q465">_xlfn.XLOOKUP(O465,BSFC!$A$2:$A$24,_xlfn.XLOOKUP(K465,BSFC!$B$1:$O$1,BSFC!$B$2:$O$24,,-1),,-1)</f>
        <v>440</v>
      </c>
      <c r="R465" s="17">
        <f t="shared" si="80"/>
        <v>1.4328588946078433</v>
      </c>
      <c r="S465" s="16">
        <f t="shared" si="82"/>
        <v>2.6955348133305399E-4</v>
      </c>
      <c r="T465" s="17">
        <f t="shared" si="86"/>
        <v>0.11860353178654376</v>
      </c>
      <c r="U465" s="16">
        <f t="shared" si="87"/>
        <v>64.421554031981529</v>
      </c>
      <c r="V465" s="17">
        <f t="shared" si="88"/>
        <v>0.13597674295244386</v>
      </c>
      <c r="W465" s="16">
        <f t="shared" si="83"/>
        <v>489516.2746287979</v>
      </c>
      <c r="X465">
        <f>('Hybrid Info'!$A$2-Track!P465)*(L465-L464)*1000+X464</f>
        <v>-25695.342088721769</v>
      </c>
    </row>
    <row r="466" spans="1:24">
      <c r="A466" s="16">
        <f t="shared" si="84"/>
        <v>465</v>
      </c>
      <c r="B466" s="17">
        <f t="shared" si="85"/>
        <v>12.081081170387082</v>
      </c>
      <c r="C466" s="18">
        <f>Specification!$G$30</f>
        <v>109.96225200000001</v>
      </c>
      <c r="D466" s="17">
        <f>0.5*Specification!$K$4*Track!B466^2*Specification!$K$3*Specification!$K$2</f>
        <v>75.597088939043402</v>
      </c>
      <c r="E466" s="16">
        <v>0</v>
      </c>
      <c r="F466" s="17">
        <f>Specification!$C$23*9.81*SIN((E466*PI()/180))</f>
        <v>0</v>
      </c>
      <c r="G466" s="18">
        <f>IF(J466=1,VLOOKUP(K466,RPM!$E$2:$H$62,3,FALSE)-F466-E466-D466,IF(J466=2,VLOOKUP(K466,RPM!$H$2:$K$62,3,FALSE)-F466-E466-D466,IF(J466=3,VLOOKUP(K466,RPM!$K$2:$N$62,3,FALSE)-F466-E466-D466)))</f>
        <v>852.82752893960401</v>
      </c>
      <c r="H466" s="19">
        <f>IF(J466=1,Specification!$I$14,IF(J466=2,Specification!$I$15,IF(J466=3,Specification!$I$16)))</f>
        <v>582.50936296077191</v>
      </c>
      <c r="I466" s="16">
        <v>0</v>
      </c>
      <c r="J466" s="17">
        <v>2</v>
      </c>
      <c r="K466" s="16">
        <f>IF(J466=1,VLOOKUP(B466,RPM!$F$2:$H$62,3,TRUE),IF(J466=2,VLOOKUP(B466,RPM!$I$2:$K$62,3,TRUE),IF(J466=3,VLOOKUP(B466,RPM!$L$2:$N$62,3,TRUE))))</f>
        <v>6800</v>
      </c>
      <c r="L466" s="17">
        <f t="shared" si="81"/>
        <v>38.768477905170492</v>
      </c>
      <c r="M466" s="16">
        <f t="shared" si="78"/>
        <v>0</v>
      </c>
      <c r="N466" s="17">
        <f>VLOOKUP(K466,RPM!$A$2:$D$62,3,FALSE)</f>
        <v>15</v>
      </c>
      <c r="O466" s="16">
        <f>VLOOKUP(K466,RPM!$A$2:$D$62,4,FALSE)</f>
        <v>15.721323529411764</v>
      </c>
      <c r="P466" s="17">
        <f t="shared" si="79"/>
        <v>11.723390955882353</v>
      </c>
      <c r="Q466" s="16" cm="1">
        <f t="array" ref="Q466">_xlfn.XLOOKUP(O466,BSFC!$A$2:$A$24,_xlfn.XLOOKUP(K466,BSFC!$B$1:$O$1,BSFC!$B$2:$O$24,,-1),,-1)</f>
        <v>440</v>
      </c>
      <c r="R466" s="17">
        <f t="shared" si="80"/>
        <v>1.4328588946078433</v>
      </c>
      <c r="S466" s="16">
        <f t="shared" si="82"/>
        <v>2.6955348133305399E-4</v>
      </c>
      <c r="T466" s="17">
        <f t="shared" si="86"/>
        <v>0.11860353178654376</v>
      </c>
      <c r="U466" s="16">
        <f t="shared" si="87"/>
        <v>64.540157563768076</v>
      </c>
      <c r="V466" s="17">
        <f t="shared" si="88"/>
        <v>0.13624629643377692</v>
      </c>
      <c r="W466" s="16">
        <f t="shared" si="83"/>
        <v>490486.66716159694</v>
      </c>
      <c r="X466">
        <f>('Hybrid Info'!$A$2-Track!P466)*(L466-L465)*1000+X465</f>
        <v>-25662.475523693134</v>
      </c>
    </row>
    <row r="467" spans="1:24">
      <c r="A467" s="16">
        <f t="shared" si="84"/>
        <v>466</v>
      </c>
      <c r="B467" s="17">
        <f t="shared" si="85"/>
        <v>12.081081170387082</v>
      </c>
      <c r="C467" s="18">
        <f>Specification!$G$30</f>
        <v>109.96225200000001</v>
      </c>
      <c r="D467" s="17">
        <f>0.5*Specification!$K$4*Track!B467^2*Specification!$K$3*Specification!$K$2</f>
        <v>75.597088939043402</v>
      </c>
      <c r="E467" s="16">
        <v>0</v>
      </c>
      <c r="F467" s="17">
        <f>Specification!$C$23*9.81*SIN((E467*PI()/180))</f>
        <v>0</v>
      </c>
      <c r="G467" s="18">
        <f>IF(J467=1,VLOOKUP(K467,RPM!$E$2:$H$62,3,FALSE)-F467-E467-D467,IF(J467=2,VLOOKUP(K467,RPM!$H$2:$K$62,3,FALSE)-F467-E467-D467,IF(J467=3,VLOOKUP(K467,RPM!$K$2:$N$62,3,FALSE)-F467-E467-D467)))</f>
        <v>852.82752893960401</v>
      </c>
      <c r="H467" s="19">
        <f>IF(J467=1,Specification!$I$14,IF(J467=2,Specification!$I$15,IF(J467=3,Specification!$I$16)))</f>
        <v>582.50936296077191</v>
      </c>
      <c r="I467" s="16">
        <v>0</v>
      </c>
      <c r="J467" s="17">
        <v>2</v>
      </c>
      <c r="K467" s="16">
        <f>IF(J467=1,VLOOKUP(B467,RPM!$F$2:$H$62,3,TRUE),IF(J467=2,VLOOKUP(B467,RPM!$I$2:$K$62,3,TRUE),IF(J467=3,VLOOKUP(B467,RPM!$L$2:$N$62,3,TRUE))))</f>
        <v>6800</v>
      </c>
      <c r="L467" s="17">
        <f t="shared" si="81"/>
        <v>38.851251953775609</v>
      </c>
      <c r="M467" s="16">
        <f t="shared" si="78"/>
        <v>0</v>
      </c>
      <c r="N467" s="17">
        <f>VLOOKUP(K467,RPM!$A$2:$D$62,3,FALSE)</f>
        <v>15</v>
      </c>
      <c r="O467" s="16">
        <f>VLOOKUP(K467,RPM!$A$2:$D$62,4,FALSE)</f>
        <v>15.721323529411764</v>
      </c>
      <c r="P467" s="17">
        <f t="shared" si="79"/>
        <v>11.723390955882353</v>
      </c>
      <c r="Q467" s="16" cm="1">
        <f t="array" ref="Q467">_xlfn.XLOOKUP(O467,BSFC!$A$2:$A$24,_xlfn.XLOOKUP(K467,BSFC!$B$1:$O$1,BSFC!$B$2:$O$24,,-1),,-1)</f>
        <v>440</v>
      </c>
      <c r="R467" s="17">
        <f t="shared" si="80"/>
        <v>1.4328588946078433</v>
      </c>
      <c r="S467" s="16">
        <f t="shared" si="82"/>
        <v>2.6955348133305399E-4</v>
      </c>
      <c r="T467" s="17">
        <f t="shared" si="86"/>
        <v>0.11860353178654376</v>
      </c>
      <c r="U467" s="16">
        <f t="shared" si="87"/>
        <v>64.658761095554624</v>
      </c>
      <c r="V467" s="17">
        <f t="shared" si="88"/>
        <v>0.13651584991510998</v>
      </c>
      <c r="W467" s="16">
        <f t="shared" si="83"/>
        <v>491457.05969439592</v>
      </c>
      <c r="X467">
        <f>('Hybrid Info'!$A$2-Track!P467)*(L467-L466)*1000+X466</f>
        <v>-25629.608958664499</v>
      </c>
    </row>
    <row r="468" spans="1:24">
      <c r="A468" s="16">
        <f t="shared" si="84"/>
        <v>467</v>
      </c>
      <c r="B468" s="17">
        <f t="shared" si="85"/>
        <v>12.081081170387082</v>
      </c>
      <c r="C468" s="18">
        <f>Specification!$G$30</f>
        <v>109.96225200000001</v>
      </c>
      <c r="D468" s="17">
        <f>0.5*Specification!$K$4*Track!B468^2*Specification!$K$3*Specification!$K$2</f>
        <v>75.597088939043402</v>
      </c>
      <c r="E468" s="16">
        <v>0</v>
      </c>
      <c r="F468" s="17">
        <f>Specification!$C$23*9.81*SIN((E468*PI()/180))</f>
        <v>0</v>
      </c>
      <c r="G468" s="18">
        <f>IF(J468=1,VLOOKUP(K468,RPM!$E$2:$H$62,3,FALSE)-F468-E468-D468,IF(J468=2,VLOOKUP(K468,RPM!$H$2:$K$62,3,FALSE)-F468-E468-D468,IF(J468=3,VLOOKUP(K468,RPM!$K$2:$N$62,3,FALSE)-F468-E468-D468)))</f>
        <v>852.82752893960401</v>
      </c>
      <c r="H468" s="19">
        <f>IF(J468=1,Specification!$I$14,IF(J468=2,Specification!$I$15,IF(J468=3,Specification!$I$16)))</f>
        <v>582.50936296077191</v>
      </c>
      <c r="I468" s="16">
        <v>0</v>
      </c>
      <c r="J468" s="17">
        <v>2</v>
      </c>
      <c r="K468" s="16">
        <f>IF(J468=1,VLOOKUP(B468,RPM!$F$2:$H$62,3,TRUE),IF(J468=2,VLOOKUP(B468,RPM!$I$2:$K$62,3,TRUE),IF(J468=3,VLOOKUP(B468,RPM!$L$2:$N$62,3,TRUE))))</f>
        <v>6800</v>
      </c>
      <c r="L468" s="17">
        <f t="shared" si="81"/>
        <v>38.934026002380726</v>
      </c>
      <c r="M468" s="16">
        <f t="shared" si="78"/>
        <v>0</v>
      </c>
      <c r="N468" s="17">
        <f>VLOOKUP(K468,RPM!$A$2:$D$62,3,FALSE)</f>
        <v>15</v>
      </c>
      <c r="O468" s="16">
        <f>VLOOKUP(K468,RPM!$A$2:$D$62,4,FALSE)</f>
        <v>15.721323529411764</v>
      </c>
      <c r="P468" s="17">
        <f t="shared" si="79"/>
        <v>11.723390955882353</v>
      </c>
      <c r="Q468" s="16" cm="1">
        <f t="array" ref="Q468">_xlfn.XLOOKUP(O468,BSFC!$A$2:$A$24,_xlfn.XLOOKUP(K468,BSFC!$B$1:$O$1,BSFC!$B$2:$O$24,,-1),,-1)</f>
        <v>440</v>
      </c>
      <c r="R468" s="17">
        <f t="shared" si="80"/>
        <v>1.4328588946078433</v>
      </c>
      <c r="S468" s="16">
        <f t="shared" si="82"/>
        <v>2.6955348133305399E-4</v>
      </c>
      <c r="T468" s="17">
        <f t="shared" si="86"/>
        <v>0.11860353178654376</v>
      </c>
      <c r="U468" s="16">
        <f t="shared" si="87"/>
        <v>64.777364627341171</v>
      </c>
      <c r="V468" s="17">
        <f t="shared" si="88"/>
        <v>0.13678540339644304</v>
      </c>
      <c r="W468" s="16">
        <f t="shared" si="83"/>
        <v>492427.45222719503</v>
      </c>
      <c r="X468">
        <f>('Hybrid Info'!$A$2-Track!P468)*(L468-L467)*1000+X467</f>
        <v>-25596.742393635865</v>
      </c>
    </row>
    <row r="469" spans="1:24">
      <c r="A469" s="16">
        <f t="shared" si="84"/>
        <v>468</v>
      </c>
      <c r="B469" s="17">
        <f t="shared" si="85"/>
        <v>12.081081170387082</v>
      </c>
      <c r="C469" s="18">
        <f>Specification!$G$30</f>
        <v>109.96225200000001</v>
      </c>
      <c r="D469" s="17">
        <f>0.5*Specification!$K$4*Track!B469^2*Specification!$K$3*Specification!$K$2</f>
        <v>75.597088939043402</v>
      </c>
      <c r="E469" s="16">
        <v>0</v>
      </c>
      <c r="F469" s="17">
        <f>Specification!$C$23*9.81*SIN((E469*PI()/180))</f>
        <v>0</v>
      </c>
      <c r="G469" s="18">
        <f>IF(J469=1,VLOOKUP(K469,RPM!$E$2:$H$62,3,FALSE)-F469-E469-D469,IF(J469=2,VLOOKUP(K469,RPM!$H$2:$K$62,3,FALSE)-F469-E469-D469,IF(J469=3,VLOOKUP(K469,RPM!$K$2:$N$62,3,FALSE)-F469-E469-D469)))</f>
        <v>852.82752893960401</v>
      </c>
      <c r="H469" s="19">
        <f>IF(J469=1,Specification!$I$14,IF(J469=2,Specification!$I$15,IF(J469=3,Specification!$I$16)))</f>
        <v>582.50936296077191</v>
      </c>
      <c r="I469" s="16">
        <v>0</v>
      </c>
      <c r="J469" s="17">
        <v>2</v>
      </c>
      <c r="K469" s="16">
        <f>IF(J469=1,VLOOKUP(B469,RPM!$F$2:$H$62,3,TRUE),IF(J469=2,VLOOKUP(B469,RPM!$I$2:$K$62,3,TRUE),IF(J469=3,VLOOKUP(B469,RPM!$L$2:$N$62,3,TRUE))))</f>
        <v>6800</v>
      </c>
      <c r="L469" s="17">
        <f t="shared" si="81"/>
        <v>39.016800050985843</v>
      </c>
      <c r="M469" s="16">
        <f t="shared" si="78"/>
        <v>0</v>
      </c>
      <c r="N469" s="17">
        <f>VLOOKUP(K469,RPM!$A$2:$D$62,3,FALSE)</f>
        <v>15</v>
      </c>
      <c r="O469" s="16">
        <f>VLOOKUP(K469,RPM!$A$2:$D$62,4,FALSE)</f>
        <v>15.721323529411764</v>
      </c>
      <c r="P469" s="17">
        <f t="shared" si="79"/>
        <v>11.723390955882353</v>
      </c>
      <c r="Q469" s="16" cm="1">
        <f t="array" ref="Q469">_xlfn.XLOOKUP(O469,BSFC!$A$2:$A$24,_xlfn.XLOOKUP(K469,BSFC!$B$1:$O$1,BSFC!$B$2:$O$24,,-1),,-1)</f>
        <v>440</v>
      </c>
      <c r="R469" s="17">
        <f t="shared" si="80"/>
        <v>1.4328588946078433</v>
      </c>
      <c r="S469" s="16">
        <f t="shared" si="82"/>
        <v>2.6955348133305399E-4</v>
      </c>
      <c r="T469" s="17">
        <f t="shared" si="86"/>
        <v>0.11860353178654376</v>
      </c>
      <c r="U469" s="16">
        <f t="shared" si="87"/>
        <v>64.895968159127719</v>
      </c>
      <c r="V469" s="17">
        <f t="shared" si="88"/>
        <v>0.13705495687777611</v>
      </c>
      <c r="W469" s="16">
        <f t="shared" si="83"/>
        <v>493397.84475999401</v>
      </c>
      <c r="X469">
        <f>('Hybrid Info'!$A$2-Track!P469)*(L469-L468)*1000+X468</f>
        <v>-25563.87582860723</v>
      </c>
    </row>
    <row r="470" spans="1:24">
      <c r="A470" s="16">
        <f t="shared" si="84"/>
        <v>469</v>
      </c>
      <c r="B470" s="17">
        <f t="shared" si="85"/>
        <v>12.081081170387082</v>
      </c>
      <c r="C470" s="18">
        <f>Specification!$G$30</f>
        <v>109.96225200000001</v>
      </c>
      <c r="D470" s="17">
        <f>0.5*Specification!$K$4*Track!B470^2*Specification!$K$3*Specification!$K$2</f>
        <v>75.597088939043402</v>
      </c>
      <c r="E470" s="16">
        <v>0</v>
      </c>
      <c r="F470" s="17">
        <f>Specification!$C$23*9.81*SIN((E470*PI()/180))</f>
        <v>0</v>
      </c>
      <c r="G470" s="18">
        <f>IF(J470=1,VLOOKUP(K470,RPM!$E$2:$H$62,3,FALSE)-F470-E470-D470,IF(J470=2,VLOOKUP(K470,RPM!$H$2:$K$62,3,FALSE)-F470-E470-D470,IF(J470=3,VLOOKUP(K470,RPM!$K$2:$N$62,3,FALSE)-F470-E470-D470)))</f>
        <v>852.82752893960401</v>
      </c>
      <c r="H470" s="19">
        <f>IF(J470=1,Specification!$I$14,IF(J470=2,Specification!$I$15,IF(J470=3,Specification!$I$16)))</f>
        <v>582.50936296077191</v>
      </c>
      <c r="I470" s="16">
        <v>0</v>
      </c>
      <c r="J470" s="17">
        <v>2</v>
      </c>
      <c r="K470" s="16">
        <f>IF(J470=1,VLOOKUP(B470,RPM!$F$2:$H$62,3,TRUE),IF(J470=2,VLOOKUP(B470,RPM!$I$2:$K$62,3,TRUE),IF(J470=3,VLOOKUP(B470,RPM!$L$2:$N$62,3,TRUE))))</f>
        <v>6800</v>
      </c>
      <c r="L470" s="17">
        <f t="shared" si="81"/>
        <v>39.09957409959096</v>
      </c>
      <c r="M470" s="16">
        <f t="shared" si="78"/>
        <v>0</v>
      </c>
      <c r="N470" s="17">
        <f>VLOOKUP(K470,RPM!$A$2:$D$62,3,FALSE)</f>
        <v>15</v>
      </c>
      <c r="O470" s="16">
        <f>VLOOKUP(K470,RPM!$A$2:$D$62,4,FALSE)</f>
        <v>15.721323529411764</v>
      </c>
      <c r="P470" s="17">
        <f t="shared" si="79"/>
        <v>11.723390955882353</v>
      </c>
      <c r="Q470" s="16" cm="1">
        <f t="array" ref="Q470">_xlfn.XLOOKUP(O470,BSFC!$A$2:$A$24,_xlfn.XLOOKUP(K470,BSFC!$B$1:$O$1,BSFC!$B$2:$O$24,,-1),,-1)</f>
        <v>440</v>
      </c>
      <c r="R470" s="17">
        <f t="shared" si="80"/>
        <v>1.4328588946078433</v>
      </c>
      <c r="S470" s="16">
        <f t="shared" si="82"/>
        <v>2.6955348133305399E-4</v>
      </c>
      <c r="T470" s="17">
        <f t="shared" si="86"/>
        <v>0.11860353178654376</v>
      </c>
      <c r="U470" s="16">
        <f t="shared" si="87"/>
        <v>65.014571690914266</v>
      </c>
      <c r="V470" s="17">
        <f t="shared" si="88"/>
        <v>0.13732451035910917</v>
      </c>
      <c r="W470" s="16">
        <f t="shared" si="83"/>
        <v>494368.23729279306</v>
      </c>
      <c r="X470">
        <f>('Hybrid Info'!$A$2-Track!P470)*(L470-L469)*1000+X469</f>
        <v>-25531.009263578595</v>
      </c>
    </row>
    <row r="471" spans="1:24">
      <c r="A471" s="16">
        <f t="shared" si="84"/>
        <v>470</v>
      </c>
      <c r="B471" s="17">
        <f t="shared" si="85"/>
        <v>12.081081170387082</v>
      </c>
      <c r="C471" s="18">
        <f>Specification!$G$30</f>
        <v>109.96225200000001</v>
      </c>
      <c r="D471" s="17">
        <f>0.5*Specification!$K$4*Track!B471^2*Specification!$K$3*Specification!$K$2</f>
        <v>75.597088939043402</v>
      </c>
      <c r="E471" s="16">
        <v>0</v>
      </c>
      <c r="F471" s="17">
        <f>Specification!$C$23*9.81*SIN((E471*PI()/180))</f>
        <v>0</v>
      </c>
      <c r="G471" s="18">
        <f>IF(J471=1,VLOOKUP(K471,RPM!$E$2:$H$62,3,FALSE)-F471-E471-D471,IF(J471=2,VLOOKUP(K471,RPM!$H$2:$K$62,3,FALSE)-F471-E471-D471,IF(J471=3,VLOOKUP(K471,RPM!$K$2:$N$62,3,FALSE)-F471-E471-D471)))</f>
        <v>852.82752893960401</v>
      </c>
      <c r="H471" s="19">
        <f>IF(J471=1,Specification!$I$14,IF(J471=2,Specification!$I$15,IF(J471=3,Specification!$I$16)))</f>
        <v>582.50936296077191</v>
      </c>
      <c r="I471" s="16">
        <v>0</v>
      </c>
      <c r="J471" s="17">
        <v>2</v>
      </c>
      <c r="K471" s="16">
        <f>IF(J471=1,VLOOKUP(B471,RPM!$F$2:$H$62,3,TRUE),IF(J471=2,VLOOKUP(B471,RPM!$I$2:$K$62,3,TRUE),IF(J471=3,VLOOKUP(B471,RPM!$L$2:$N$62,3,TRUE))))</f>
        <v>6800</v>
      </c>
      <c r="L471" s="17">
        <f t="shared" si="81"/>
        <v>39.182348148196077</v>
      </c>
      <c r="M471" s="16">
        <f t="shared" si="78"/>
        <v>0</v>
      </c>
      <c r="N471" s="17">
        <f>VLOOKUP(K471,RPM!$A$2:$D$62,3,FALSE)</f>
        <v>15</v>
      </c>
      <c r="O471" s="16">
        <f>VLOOKUP(K471,RPM!$A$2:$D$62,4,FALSE)</f>
        <v>15.721323529411764</v>
      </c>
      <c r="P471" s="17">
        <f t="shared" si="79"/>
        <v>11.723390955882353</v>
      </c>
      <c r="Q471" s="16" cm="1">
        <f t="array" ref="Q471">_xlfn.XLOOKUP(O471,BSFC!$A$2:$A$24,_xlfn.XLOOKUP(K471,BSFC!$B$1:$O$1,BSFC!$B$2:$O$24,,-1),,-1)</f>
        <v>440</v>
      </c>
      <c r="R471" s="17">
        <f t="shared" si="80"/>
        <v>1.4328588946078433</v>
      </c>
      <c r="S471" s="16">
        <f t="shared" si="82"/>
        <v>2.6955348133305399E-4</v>
      </c>
      <c r="T471" s="17">
        <f t="shared" si="86"/>
        <v>0.11860353178654376</v>
      </c>
      <c r="U471" s="16">
        <f t="shared" si="87"/>
        <v>65.133175222700814</v>
      </c>
      <c r="V471" s="17">
        <f t="shared" si="88"/>
        <v>0.13759406384044223</v>
      </c>
      <c r="W471" s="16">
        <f t="shared" si="83"/>
        <v>495338.62982559204</v>
      </c>
      <c r="X471">
        <f>('Hybrid Info'!$A$2-Track!P471)*(L471-L470)*1000+X470</f>
        <v>-25498.14269854996</v>
      </c>
    </row>
    <row r="472" spans="1:24">
      <c r="A472" s="16">
        <f t="shared" si="84"/>
        <v>471</v>
      </c>
      <c r="B472" s="17">
        <f t="shared" si="85"/>
        <v>12.081081170387082</v>
      </c>
      <c r="C472" s="18">
        <f>Specification!$G$30</f>
        <v>109.96225200000001</v>
      </c>
      <c r="D472" s="17">
        <f>0.5*Specification!$K$4*Track!B472^2*Specification!$K$3*Specification!$K$2</f>
        <v>75.597088939043402</v>
      </c>
      <c r="E472" s="16">
        <v>0</v>
      </c>
      <c r="F472" s="17">
        <f>Specification!$C$23*9.81*SIN((E472*PI()/180))</f>
        <v>0</v>
      </c>
      <c r="G472" s="18">
        <f>IF(J472=1,VLOOKUP(K472,RPM!$E$2:$H$62,3,FALSE)-F472-E472-D472,IF(J472=2,VLOOKUP(K472,RPM!$H$2:$K$62,3,FALSE)-F472-E472-D472,IF(J472=3,VLOOKUP(K472,RPM!$K$2:$N$62,3,FALSE)-F472-E472-D472)))</f>
        <v>852.82752893960401</v>
      </c>
      <c r="H472" s="19">
        <f>IF(J472=1,Specification!$I$14,IF(J472=2,Specification!$I$15,IF(J472=3,Specification!$I$16)))</f>
        <v>582.50936296077191</v>
      </c>
      <c r="I472" s="16">
        <v>0</v>
      </c>
      <c r="J472" s="17">
        <v>2</v>
      </c>
      <c r="K472" s="16">
        <f>IF(J472=1,VLOOKUP(B472,RPM!$F$2:$H$62,3,TRUE),IF(J472=2,VLOOKUP(B472,RPM!$I$2:$K$62,3,TRUE),IF(J472=3,VLOOKUP(B472,RPM!$L$2:$N$62,3,TRUE))))</f>
        <v>6800</v>
      </c>
      <c r="L472" s="17">
        <f t="shared" si="81"/>
        <v>39.265122196801194</v>
      </c>
      <c r="M472" s="16">
        <f t="shared" si="78"/>
        <v>0</v>
      </c>
      <c r="N472" s="17">
        <f>VLOOKUP(K472,RPM!$A$2:$D$62,3,FALSE)</f>
        <v>15</v>
      </c>
      <c r="O472" s="16">
        <f>VLOOKUP(K472,RPM!$A$2:$D$62,4,FALSE)</f>
        <v>15.721323529411764</v>
      </c>
      <c r="P472" s="17">
        <f t="shared" si="79"/>
        <v>11.723390955882353</v>
      </c>
      <c r="Q472" s="16" cm="1">
        <f t="array" ref="Q472">_xlfn.XLOOKUP(O472,BSFC!$A$2:$A$24,_xlfn.XLOOKUP(K472,BSFC!$B$1:$O$1,BSFC!$B$2:$O$24,,-1),,-1)</f>
        <v>440</v>
      </c>
      <c r="R472" s="17">
        <f t="shared" si="80"/>
        <v>1.4328588946078433</v>
      </c>
      <c r="S472" s="16">
        <f t="shared" si="82"/>
        <v>2.6955348133305399E-4</v>
      </c>
      <c r="T472" s="17">
        <f t="shared" si="86"/>
        <v>0.11860353178654376</v>
      </c>
      <c r="U472" s="16">
        <f t="shared" si="87"/>
        <v>65.251778754487361</v>
      </c>
      <c r="V472" s="17">
        <f t="shared" si="88"/>
        <v>0.13786361732177529</v>
      </c>
      <c r="W472" s="16">
        <f t="shared" si="83"/>
        <v>496309.02235839108</v>
      </c>
      <c r="X472">
        <f>('Hybrid Info'!$A$2-Track!P472)*(L472-L471)*1000+X471</f>
        <v>-25465.276133521325</v>
      </c>
    </row>
    <row r="473" spans="1:24">
      <c r="A473" s="16">
        <f t="shared" si="84"/>
        <v>472</v>
      </c>
      <c r="B473" s="17">
        <f t="shared" si="85"/>
        <v>12.081081170387082</v>
      </c>
      <c r="C473" s="18">
        <f>Specification!$G$30</f>
        <v>109.96225200000001</v>
      </c>
      <c r="D473" s="17">
        <f>0.5*Specification!$K$4*Track!B473^2*Specification!$K$3*Specification!$K$2</f>
        <v>75.597088939043402</v>
      </c>
      <c r="E473" s="16">
        <v>0</v>
      </c>
      <c r="F473" s="17">
        <f>Specification!$C$23*9.81*SIN((E473*PI()/180))</f>
        <v>0</v>
      </c>
      <c r="G473" s="18">
        <f>IF(J473=1,VLOOKUP(K473,RPM!$E$2:$H$62,3,FALSE)-F473-E473-D473,IF(J473=2,VLOOKUP(K473,RPM!$H$2:$K$62,3,FALSE)-F473-E473-D473,IF(J473=3,VLOOKUP(K473,RPM!$K$2:$N$62,3,FALSE)-F473-E473-D473)))</f>
        <v>852.82752893960401</v>
      </c>
      <c r="H473" s="19">
        <f>IF(J473=1,Specification!$I$14,IF(J473=2,Specification!$I$15,IF(J473=3,Specification!$I$16)))</f>
        <v>582.50936296077191</v>
      </c>
      <c r="I473" s="16">
        <v>0</v>
      </c>
      <c r="J473" s="17">
        <v>2</v>
      </c>
      <c r="K473" s="16">
        <f>IF(J473=1,VLOOKUP(B473,RPM!$F$2:$H$62,3,TRUE),IF(J473=2,VLOOKUP(B473,RPM!$I$2:$K$62,3,TRUE),IF(J473=3,VLOOKUP(B473,RPM!$L$2:$N$62,3,TRUE))))</f>
        <v>6800</v>
      </c>
      <c r="L473" s="17">
        <f t="shared" si="81"/>
        <v>39.347896245406311</v>
      </c>
      <c r="M473" s="16">
        <f t="shared" si="78"/>
        <v>0</v>
      </c>
      <c r="N473" s="17">
        <f>VLOOKUP(K473,RPM!$A$2:$D$62,3,FALSE)</f>
        <v>15</v>
      </c>
      <c r="O473" s="16">
        <f>VLOOKUP(K473,RPM!$A$2:$D$62,4,FALSE)</f>
        <v>15.721323529411764</v>
      </c>
      <c r="P473" s="17">
        <f t="shared" si="79"/>
        <v>11.723390955882353</v>
      </c>
      <c r="Q473" s="16" cm="1">
        <f t="array" ref="Q473">_xlfn.XLOOKUP(O473,BSFC!$A$2:$A$24,_xlfn.XLOOKUP(K473,BSFC!$B$1:$O$1,BSFC!$B$2:$O$24,,-1),,-1)</f>
        <v>440</v>
      </c>
      <c r="R473" s="17">
        <f t="shared" si="80"/>
        <v>1.4328588946078433</v>
      </c>
      <c r="S473" s="16">
        <f t="shared" si="82"/>
        <v>2.6955348133305399E-4</v>
      </c>
      <c r="T473" s="17">
        <f t="shared" si="86"/>
        <v>0.11860353178654376</v>
      </c>
      <c r="U473" s="16">
        <f t="shared" si="87"/>
        <v>65.370382286273909</v>
      </c>
      <c r="V473" s="17">
        <f t="shared" si="88"/>
        <v>0.13813317080310836</v>
      </c>
      <c r="W473" s="16">
        <f t="shared" si="83"/>
        <v>497279.41489119007</v>
      </c>
      <c r="X473">
        <f>('Hybrid Info'!$A$2-Track!P473)*(L473-L472)*1000+X472</f>
        <v>-25432.409568492691</v>
      </c>
    </row>
    <row r="474" spans="1:24">
      <c r="A474" s="16">
        <f t="shared" si="84"/>
        <v>473</v>
      </c>
      <c r="B474" s="17">
        <f t="shared" si="85"/>
        <v>12.081081170387082</v>
      </c>
      <c r="C474" s="18">
        <f>Specification!$G$30</f>
        <v>109.96225200000001</v>
      </c>
      <c r="D474" s="17">
        <f>0.5*Specification!$K$4*Track!B474^2*Specification!$K$3*Specification!$K$2</f>
        <v>75.597088939043402</v>
      </c>
      <c r="E474" s="16">
        <v>0</v>
      </c>
      <c r="F474" s="17">
        <f>Specification!$C$23*9.81*SIN((E474*PI()/180))</f>
        <v>0</v>
      </c>
      <c r="G474" s="18">
        <f>IF(J474=1,VLOOKUP(K474,RPM!$E$2:$H$62,3,FALSE)-F474-E474-D474,IF(J474=2,VLOOKUP(K474,RPM!$H$2:$K$62,3,FALSE)-F474-E474-D474,IF(J474=3,VLOOKUP(K474,RPM!$K$2:$N$62,3,FALSE)-F474-E474-D474)))</f>
        <v>852.82752893960401</v>
      </c>
      <c r="H474" s="19">
        <f>IF(J474=1,Specification!$I$14,IF(J474=2,Specification!$I$15,IF(J474=3,Specification!$I$16)))</f>
        <v>582.50936296077191</v>
      </c>
      <c r="I474" s="16">
        <v>0</v>
      </c>
      <c r="J474" s="17">
        <v>2</v>
      </c>
      <c r="K474" s="16">
        <f>IF(J474=1,VLOOKUP(B474,RPM!$F$2:$H$62,3,TRUE),IF(J474=2,VLOOKUP(B474,RPM!$I$2:$K$62,3,TRUE),IF(J474=3,VLOOKUP(B474,RPM!$L$2:$N$62,3,TRUE))))</f>
        <v>6800</v>
      </c>
      <c r="L474" s="17">
        <f t="shared" si="81"/>
        <v>39.430670294011428</v>
      </c>
      <c r="M474" s="16">
        <f t="shared" si="78"/>
        <v>0</v>
      </c>
      <c r="N474" s="17">
        <f>VLOOKUP(K474,RPM!$A$2:$D$62,3,FALSE)</f>
        <v>15</v>
      </c>
      <c r="O474" s="16">
        <f>VLOOKUP(K474,RPM!$A$2:$D$62,4,FALSE)</f>
        <v>15.721323529411764</v>
      </c>
      <c r="P474" s="17">
        <f t="shared" si="79"/>
        <v>11.723390955882353</v>
      </c>
      <c r="Q474" s="16" cm="1">
        <f t="array" ref="Q474">_xlfn.XLOOKUP(O474,BSFC!$A$2:$A$24,_xlfn.XLOOKUP(K474,BSFC!$B$1:$O$1,BSFC!$B$2:$O$24,,-1),,-1)</f>
        <v>440</v>
      </c>
      <c r="R474" s="17">
        <f t="shared" si="80"/>
        <v>1.4328588946078433</v>
      </c>
      <c r="S474" s="16">
        <f t="shared" si="82"/>
        <v>2.6955348133305399E-4</v>
      </c>
      <c r="T474" s="17">
        <f t="shared" si="86"/>
        <v>0.11860353178654376</v>
      </c>
      <c r="U474" s="16">
        <f t="shared" si="87"/>
        <v>65.488985818060456</v>
      </c>
      <c r="V474" s="17">
        <f t="shared" si="88"/>
        <v>0.13840272428444142</v>
      </c>
      <c r="W474" s="16">
        <f t="shared" si="83"/>
        <v>498249.80742398917</v>
      </c>
      <c r="X474">
        <f>('Hybrid Info'!$A$2-Track!P474)*(L474-L473)*1000+X473</f>
        <v>-25399.543003464056</v>
      </c>
    </row>
    <row r="475" spans="1:24">
      <c r="A475" s="16">
        <f t="shared" si="84"/>
        <v>474</v>
      </c>
      <c r="B475" s="17">
        <f t="shared" si="85"/>
        <v>12.081081170387082</v>
      </c>
      <c r="C475" s="18">
        <f>Specification!$G$30</f>
        <v>109.96225200000001</v>
      </c>
      <c r="D475" s="17">
        <f>0.5*Specification!$K$4*Track!B475^2*Specification!$K$3*Specification!$K$2</f>
        <v>75.597088939043402</v>
      </c>
      <c r="E475" s="16">
        <v>0</v>
      </c>
      <c r="F475" s="17">
        <f>Specification!$C$23*9.81*SIN((E475*PI()/180))</f>
        <v>0</v>
      </c>
      <c r="G475" s="18">
        <f>IF(J475=1,VLOOKUP(K475,RPM!$E$2:$H$62,3,FALSE)-F475-E475-D475,IF(J475=2,VLOOKUP(K475,RPM!$H$2:$K$62,3,FALSE)-F475-E475-D475,IF(J475=3,VLOOKUP(K475,RPM!$K$2:$N$62,3,FALSE)-F475-E475-D475)))</f>
        <v>852.82752893960401</v>
      </c>
      <c r="H475" s="19">
        <f>IF(J475=1,Specification!$I$14,IF(J475=2,Specification!$I$15,IF(J475=3,Specification!$I$16)))</f>
        <v>582.50936296077191</v>
      </c>
      <c r="I475" s="16">
        <v>0</v>
      </c>
      <c r="J475" s="17">
        <v>2</v>
      </c>
      <c r="K475" s="16">
        <f>IF(J475=1,VLOOKUP(B475,RPM!$F$2:$H$62,3,TRUE),IF(J475=2,VLOOKUP(B475,RPM!$I$2:$K$62,3,TRUE),IF(J475=3,VLOOKUP(B475,RPM!$L$2:$N$62,3,TRUE))))</f>
        <v>6800</v>
      </c>
      <c r="L475" s="17">
        <f t="shared" si="81"/>
        <v>39.513444342616545</v>
      </c>
      <c r="M475" s="16">
        <f t="shared" si="78"/>
        <v>0</v>
      </c>
      <c r="N475" s="17">
        <f>VLOOKUP(K475,RPM!$A$2:$D$62,3,FALSE)</f>
        <v>15</v>
      </c>
      <c r="O475" s="16">
        <f>VLOOKUP(K475,RPM!$A$2:$D$62,4,FALSE)</f>
        <v>15.721323529411764</v>
      </c>
      <c r="P475" s="17">
        <f t="shared" si="79"/>
        <v>11.723390955882353</v>
      </c>
      <c r="Q475" s="16" cm="1">
        <f t="array" ref="Q475">_xlfn.XLOOKUP(O475,BSFC!$A$2:$A$24,_xlfn.XLOOKUP(K475,BSFC!$B$1:$O$1,BSFC!$B$2:$O$24,,-1),,-1)</f>
        <v>440</v>
      </c>
      <c r="R475" s="17">
        <f t="shared" si="80"/>
        <v>1.4328588946078433</v>
      </c>
      <c r="S475" s="16">
        <f t="shared" si="82"/>
        <v>2.6955348133305399E-4</v>
      </c>
      <c r="T475" s="17">
        <f t="shared" si="86"/>
        <v>0.11860353178654376</v>
      </c>
      <c r="U475" s="16">
        <f t="shared" si="87"/>
        <v>65.607589349847004</v>
      </c>
      <c r="V475" s="17">
        <f t="shared" si="88"/>
        <v>0.13867227776577448</v>
      </c>
      <c r="W475" s="16">
        <f t="shared" si="83"/>
        <v>499220.19995678816</v>
      </c>
      <c r="X475">
        <f>('Hybrid Info'!$A$2-Track!P475)*(L475-L474)*1000+X474</f>
        <v>-25366.676438435421</v>
      </c>
    </row>
    <row r="476" spans="1:24">
      <c r="A476" s="16">
        <f t="shared" si="84"/>
        <v>475</v>
      </c>
      <c r="B476" s="17">
        <f t="shared" si="85"/>
        <v>12.081081170387082</v>
      </c>
      <c r="C476" s="18">
        <f>Specification!$G$30</f>
        <v>109.96225200000001</v>
      </c>
      <c r="D476" s="17">
        <f>0.5*Specification!$K$4*Track!B476^2*Specification!$K$3*Specification!$K$2</f>
        <v>75.597088939043402</v>
      </c>
      <c r="E476" s="16">
        <v>0</v>
      </c>
      <c r="F476" s="17">
        <f>Specification!$C$23*9.81*SIN((E476*PI()/180))</f>
        <v>0</v>
      </c>
      <c r="G476" s="18">
        <f>IF(J476=1,VLOOKUP(K476,RPM!$E$2:$H$62,3,FALSE)-F476-E476-D476,IF(J476=2,VLOOKUP(K476,RPM!$H$2:$K$62,3,FALSE)-F476-E476-D476,IF(J476=3,VLOOKUP(K476,RPM!$K$2:$N$62,3,FALSE)-F476-E476-D476)))</f>
        <v>852.82752893960401</v>
      </c>
      <c r="H476" s="19">
        <f>IF(J476=1,Specification!$I$14,IF(J476=2,Specification!$I$15,IF(J476=3,Specification!$I$16)))</f>
        <v>582.50936296077191</v>
      </c>
      <c r="I476" s="16">
        <v>0</v>
      </c>
      <c r="J476" s="17">
        <v>2</v>
      </c>
      <c r="K476" s="16">
        <f>IF(J476=1,VLOOKUP(B476,RPM!$F$2:$H$62,3,TRUE),IF(J476=2,VLOOKUP(B476,RPM!$I$2:$K$62,3,TRUE),IF(J476=3,VLOOKUP(B476,RPM!$L$2:$N$62,3,TRUE))))</f>
        <v>6800</v>
      </c>
      <c r="L476" s="17">
        <f t="shared" si="81"/>
        <v>39.596218391221662</v>
      </c>
      <c r="M476" s="16">
        <f t="shared" si="78"/>
        <v>0</v>
      </c>
      <c r="N476" s="17">
        <f>VLOOKUP(K476,RPM!$A$2:$D$62,3,FALSE)</f>
        <v>15</v>
      </c>
      <c r="O476" s="16">
        <f>VLOOKUP(K476,RPM!$A$2:$D$62,4,FALSE)</f>
        <v>15.721323529411764</v>
      </c>
      <c r="P476" s="17">
        <f t="shared" si="79"/>
        <v>11.723390955882353</v>
      </c>
      <c r="Q476" s="16" cm="1">
        <f t="array" ref="Q476">_xlfn.XLOOKUP(O476,BSFC!$A$2:$A$24,_xlfn.XLOOKUP(K476,BSFC!$B$1:$O$1,BSFC!$B$2:$O$24,,-1),,-1)</f>
        <v>440</v>
      </c>
      <c r="R476" s="17">
        <f t="shared" si="80"/>
        <v>1.4328588946078433</v>
      </c>
      <c r="S476" s="16">
        <f t="shared" si="82"/>
        <v>2.6955348133305399E-4</v>
      </c>
      <c r="T476" s="17">
        <f t="shared" si="86"/>
        <v>0.11860353178654376</v>
      </c>
      <c r="U476" s="16">
        <f t="shared" si="87"/>
        <v>65.726192881633551</v>
      </c>
      <c r="V476" s="17">
        <f t="shared" si="88"/>
        <v>0.13894183124710754</v>
      </c>
      <c r="W476" s="16">
        <f t="shared" si="83"/>
        <v>500190.5924895872</v>
      </c>
      <c r="X476">
        <f>('Hybrid Info'!$A$2-Track!P476)*(L476-L475)*1000+X475</f>
        <v>-25333.809873406786</v>
      </c>
    </row>
    <row r="477" spans="1:24">
      <c r="A477" s="16">
        <f t="shared" si="84"/>
        <v>476</v>
      </c>
      <c r="B477" s="17">
        <f t="shared" si="85"/>
        <v>12.081081170387082</v>
      </c>
      <c r="C477" s="18">
        <f>Specification!$G$30</f>
        <v>109.96225200000001</v>
      </c>
      <c r="D477" s="17">
        <f>0.5*Specification!$K$4*Track!B477^2*Specification!$K$3*Specification!$K$2</f>
        <v>75.597088939043402</v>
      </c>
      <c r="E477" s="16">
        <v>0</v>
      </c>
      <c r="F477" s="17">
        <f>Specification!$C$23*9.81*SIN((E477*PI()/180))</f>
        <v>0</v>
      </c>
      <c r="G477" s="18">
        <f>IF(J477=1,VLOOKUP(K477,RPM!$E$2:$H$62,3,FALSE)-F477-E477-D477,IF(J477=2,VLOOKUP(K477,RPM!$H$2:$K$62,3,FALSE)-F477-E477-D477,IF(J477=3,VLOOKUP(K477,RPM!$K$2:$N$62,3,FALSE)-F477-E477-D477)))</f>
        <v>852.82752893960401</v>
      </c>
      <c r="H477" s="19">
        <f>IF(J477=1,Specification!$I$14,IF(J477=2,Specification!$I$15,IF(J477=3,Specification!$I$16)))</f>
        <v>582.50936296077191</v>
      </c>
      <c r="I477" s="16">
        <v>0</v>
      </c>
      <c r="J477" s="17">
        <v>2</v>
      </c>
      <c r="K477" s="16">
        <f>IF(J477=1,VLOOKUP(B477,RPM!$F$2:$H$62,3,TRUE),IF(J477=2,VLOOKUP(B477,RPM!$I$2:$K$62,3,TRUE),IF(J477=3,VLOOKUP(B477,RPM!$L$2:$N$62,3,TRUE))))</f>
        <v>6800</v>
      </c>
      <c r="L477" s="17">
        <f t="shared" si="81"/>
        <v>39.678992439826779</v>
      </c>
      <c r="M477" s="16">
        <f t="shared" si="78"/>
        <v>0</v>
      </c>
      <c r="N477" s="17">
        <f>VLOOKUP(K477,RPM!$A$2:$D$62,3,FALSE)</f>
        <v>15</v>
      </c>
      <c r="O477" s="16">
        <f>VLOOKUP(K477,RPM!$A$2:$D$62,4,FALSE)</f>
        <v>15.721323529411764</v>
      </c>
      <c r="P477" s="17">
        <f t="shared" si="79"/>
        <v>11.723390955882353</v>
      </c>
      <c r="Q477" s="16" cm="1">
        <f t="array" ref="Q477">_xlfn.XLOOKUP(O477,BSFC!$A$2:$A$24,_xlfn.XLOOKUP(K477,BSFC!$B$1:$O$1,BSFC!$B$2:$O$24,,-1),,-1)</f>
        <v>440</v>
      </c>
      <c r="R477" s="17">
        <f t="shared" si="80"/>
        <v>1.4328588946078433</v>
      </c>
      <c r="S477" s="16">
        <f t="shared" si="82"/>
        <v>2.6955348133305399E-4</v>
      </c>
      <c r="T477" s="17">
        <f t="shared" si="86"/>
        <v>0.11860353178654376</v>
      </c>
      <c r="U477" s="16">
        <f t="shared" si="87"/>
        <v>65.844796413420099</v>
      </c>
      <c r="V477" s="17">
        <f t="shared" si="88"/>
        <v>0.13921138472844061</v>
      </c>
      <c r="W477" s="16">
        <f t="shared" si="83"/>
        <v>501160.98502238619</v>
      </c>
      <c r="X477">
        <f>('Hybrid Info'!$A$2-Track!P477)*(L477-L476)*1000+X476</f>
        <v>-25300.943308378151</v>
      </c>
    </row>
    <row r="478" spans="1:24">
      <c r="A478" s="16">
        <f t="shared" si="84"/>
        <v>477</v>
      </c>
      <c r="B478" s="17">
        <f t="shared" si="85"/>
        <v>12.081081170387082</v>
      </c>
      <c r="C478" s="18">
        <f>Specification!$G$30</f>
        <v>109.96225200000001</v>
      </c>
      <c r="D478" s="17">
        <f>0.5*Specification!$K$4*Track!B478^2*Specification!$K$3*Specification!$K$2</f>
        <v>75.597088939043402</v>
      </c>
      <c r="E478" s="16">
        <v>0</v>
      </c>
      <c r="F478" s="17">
        <f>Specification!$C$23*9.81*SIN((E478*PI()/180))</f>
        <v>0</v>
      </c>
      <c r="G478" s="18">
        <f>IF(J478=1,VLOOKUP(K478,RPM!$E$2:$H$62,3,FALSE)-F478-E478-D478,IF(J478=2,VLOOKUP(K478,RPM!$H$2:$K$62,3,FALSE)-F478-E478-D478,IF(J478=3,VLOOKUP(K478,RPM!$K$2:$N$62,3,FALSE)-F478-E478-D478)))</f>
        <v>852.82752893960401</v>
      </c>
      <c r="H478" s="19">
        <f>IF(J478=1,Specification!$I$14,IF(J478=2,Specification!$I$15,IF(J478=3,Specification!$I$16)))</f>
        <v>582.50936296077191</v>
      </c>
      <c r="I478" s="16">
        <v>0</v>
      </c>
      <c r="J478" s="17">
        <v>2</v>
      </c>
      <c r="K478" s="16">
        <f>IF(J478=1,VLOOKUP(B478,RPM!$F$2:$H$62,3,TRUE),IF(J478=2,VLOOKUP(B478,RPM!$I$2:$K$62,3,TRUE),IF(J478=3,VLOOKUP(B478,RPM!$L$2:$N$62,3,TRUE))))</f>
        <v>6800</v>
      </c>
      <c r="L478" s="17">
        <f t="shared" si="81"/>
        <v>39.761766488431896</v>
      </c>
      <c r="M478" s="16">
        <f t="shared" si="78"/>
        <v>0</v>
      </c>
      <c r="N478" s="17">
        <f>VLOOKUP(K478,RPM!$A$2:$D$62,3,FALSE)</f>
        <v>15</v>
      </c>
      <c r="O478" s="16">
        <f>VLOOKUP(K478,RPM!$A$2:$D$62,4,FALSE)</f>
        <v>15.721323529411764</v>
      </c>
      <c r="P478" s="17">
        <f t="shared" si="79"/>
        <v>11.723390955882353</v>
      </c>
      <c r="Q478" s="16" cm="1">
        <f t="array" ref="Q478">_xlfn.XLOOKUP(O478,BSFC!$A$2:$A$24,_xlfn.XLOOKUP(K478,BSFC!$B$1:$O$1,BSFC!$B$2:$O$24,,-1),,-1)</f>
        <v>440</v>
      </c>
      <c r="R478" s="17">
        <f t="shared" si="80"/>
        <v>1.4328588946078433</v>
      </c>
      <c r="S478" s="16">
        <f t="shared" si="82"/>
        <v>2.6955348133305399E-4</v>
      </c>
      <c r="T478" s="17">
        <f t="shared" si="86"/>
        <v>0.11860353178654376</v>
      </c>
      <c r="U478" s="16">
        <f t="shared" si="87"/>
        <v>65.963399945206646</v>
      </c>
      <c r="V478" s="17">
        <f t="shared" si="88"/>
        <v>0.13948093820977367</v>
      </c>
      <c r="W478" s="16">
        <f t="shared" si="83"/>
        <v>502131.37755518523</v>
      </c>
      <c r="X478">
        <f>('Hybrid Info'!$A$2-Track!P478)*(L478-L477)*1000+X477</f>
        <v>-25268.076743349517</v>
      </c>
    </row>
    <row r="479" spans="1:24">
      <c r="A479" s="16">
        <f t="shared" si="84"/>
        <v>478</v>
      </c>
      <c r="B479" s="17">
        <f t="shared" si="85"/>
        <v>12.081081170387082</v>
      </c>
      <c r="C479" s="18">
        <f>Specification!$G$30</f>
        <v>109.96225200000001</v>
      </c>
      <c r="D479" s="17">
        <f>0.5*Specification!$K$4*Track!B479^2*Specification!$K$3*Specification!$K$2</f>
        <v>75.597088939043402</v>
      </c>
      <c r="E479" s="16">
        <v>0</v>
      </c>
      <c r="F479" s="17">
        <f>Specification!$C$23*9.81*SIN((E479*PI()/180))</f>
        <v>0</v>
      </c>
      <c r="G479" s="18">
        <f>IF(J479=1,VLOOKUP(K479,RPM!$E$2:$H$62,3,FALSE)-F479-E479-D479,IF(J479=2,VLOOKUP(K479,RPM!$H$2:$K$62,3,FALSE)-F479-E479-D479,IF(J479=3,VLOOKUP(K479,RPM!$K$2:$N$62,3,FALSE)-F479-E479-D479)))</f>
        <v>852.82752893960401</v>
      </c>
      <c r="H479" s="19">
        <f>IF(J479=1,Specification!$I$14,IF(J479=2,Specification!$I$15,IF(J479=3,Specification!$I$16)))</f>
        <v>582.50936296077191</v>
      </c>
      <c r="I479" s="16">
        <v>0</v>
      </c>
      <c r="J479" s="17">
        <v>2</v>
      </c>
      <c r="K479" s="16">
        <f>IF(J479=1,VLOOKUP(B479,RPM!$F$2:$H$62,3,TRUE),IF(J479=2,VLOOKUP(B479,RPM!$I$2:$K$62,3,TRUE),IF(J479=3,VLOOKUP(B479,RPM!$L$2:$N$62,3,TRUE))))</f>
        <v>6800</v>
      </c>
      <c r="L479" s="17">
        <f t="shared" si="81"/>
        <v>39.844540537037012</v>
      </c>
      <c r="M479" s="16">
        <f t="shared" si="78"/>
        <v>0</v>
      </c>
      <c r="N479" s="17">
        <f>VLOOKUP(K479,RPM!$A$2:$D$62,3,FALSE)</f>
        <v>15</v>
      </c>
      <c r="O479" s="16">
        <f>VLOOKUP(K479,RPM!$A$2:$D$62,4,FALSE)</f>
        <v>15.721323529411764</v>
      </c>
      <c r="P479" s="17">
        <f t="shared" si="79"/>
        <v>11.723390955882353</v>
      </c>
      <c r="Q479" s="16" cm="1">
        <f t="array" ref="Q479">_xlfn.XLOOKUP(O479,BSFC!$A$2:$A$24,_xlfn.XLOOKUP(K479,BSFC!$B$1:$O$1,BSFC!$B$2:$O$24,,-1),,-1)</f>
        <v>440</v>
      </c>
      <c r="R479" s="17">
        <f t="shared" si="80"/>
        <v>1.4328588946078433</v>
      </c>
      <c r="S479" s="16">
        <f t="shared" si="82"/>
        <v>2.6955348133305399E-4</v>
      </c>
      <c r="T479" s="17">
        <f t="shared" si="86"/>
        <v>0.11860353178654376</v>
      </c>
      <c r="U479" s="16">
        <f t="shared" si="87"/>
        <v>66.082003476993194</v>
      </c>
      <c r="V479" s="17">
        <f t="shared" si="88"/>
        <v>0.13975049169110673</v>
      </c>
      <c r="W479" s="16">
        <f t="shared" si="83"/>
        <v>503101.77008798422</v>
      </c>
      <c r="X479">
        <f>('Hybrid Info'!$A$2-Track!P479)*(L479-L478)*1000+X478</f>
        <v>-25235.210178320882</v>
      </c>
    </row>
    <row r="480" spans="1:24">
      <c r="A480" s="16">
        <f t="shared" si="84"/>
        <v>479</v>
      </c>
      <c r="B480" s="17">
        <f t="shared" si="85"/>
        <v>12.081081170387082</v>
      </c>
      <c r="C480" s="18">
        <f>Specification!$G$30</f>
        <v>109.96225200000001</v>
      </c>
      <c r="D480" s="17">
        <f>0.5*Specification!$K$4*Track!B480^2*Specification!$K$3*Specification!$K$2</f>
        <v>75.597088939043402</v>
      </c>
      <c r="E480" s="16">
        <v>0</v>
      </c>
      <c r="F480" s="17">
        <f>Specification!$C$23*9.81*SIN((E480*PI()/180))</f>
        <v>0</v>
      </c>
      <c r="G480" s="18">
        <f>IF(J480=1,VLOOKUP(K480,RPM!$E$2:$H$62,3,FALSE)-F480-E480-D480,IF(J480=2,VLOOKUP(K480,RPM!$H$2:$K$62,3,FALSE)-F480-E480-D480,IF(J480=3,VLOOKUP(K480,RPM!$K$2:$N$62,3,FALSE)-F480-E480-D480)))</f>
        <v>852.82752893960401</v>
      </c>
      <c r="H480" s="19">
        <f>IF(J480=1,Specification!$I$14,IF(J480=2,Specification!$I$15,IF(J480=3,Specification!$I$16)))</f>
        <v>582.50936296077191</v>
      </c>
      <c r="I480" s="16">
        <v>0</v>
      </c>
      <c r="J480" s="17">
        <v>2</v>
      </c>
      <c r="K480" s="16">
        <f>IF(J480=1,VLOOKUP(B480,RPM!$F$2:$H$62,3,TRUE),IF(J480=2,VLOOKUP(B480,RPM!$I$2:$K$62,3,TRUE),IF(J480=3,VLOOKUP(B480,RPM!$L$2:$N$62,3,TRUE))))</f>
        <v>6800</v>
      </c>
      <c r="L480" s="17">
        <f t="shared" si="81"/>
        <v>39.927314585642129</v>
      </c>
      <c r="M480" s="16">
        <f t="shared" si="78"/>
        <v>0</v>
      </c>
      <c r="N480" s="17">
        <f>VLOOKUP(K480,RPM!$A$2:$D$62,3,FALSE)</f>
        <v>15</v>
      </c>
      <c r="O480" s="16">
        <f>VLOOKUP(K480,RPM!$A$2:$D$62,4,FALSE)</f>
        <v>15.721323529411764</v>
      </c>
      <c r="P480" s="17">
        <f t="shared" si="79"/>
        <v>11.723390955882353</v>
      </c>
      <c r="Q480" s="16" cm="1">
        <f t="array" ref="Q480">_xlfn.XLOOKUP(O480,BSFC!$A$2:$A$24,_xlfn.XLOOKUP(K480,BSFC!$B$1:$O$1,BSFC!$B$2:$O$24,,-1),,-1)</f>
        <v>440</v>
      </c>
      <c r="R480" s="17">
        <f t="shared" si="80"/>
        <v>1.4328588946078433</v>
      </c>
      <c r="S480" s="16">
        <f t="shared" si="82"/>
        <v>2.6955348133305399E-4</v>
      </c>
      <c r="T480" s="17">
        <f t="shared" si="86"/>
        <v>0.11860353178654376</v>
      </c>
      <c r="U480" s="16">
        <f t="shared" si="87"/>
        <v>66.200607008779741</v>
      </c>
      <c r="V480" s="17">
        <f t="shared" si="88"/>
        <v>0.14002004517243979</v>
      </c>
      <c r="W480" s="16">
        <f t="shared" si="83"/>
        <v>504072.16262078332</v>
      </c>
      <c r="X480">
        <f>('Hybrid Info'!$A$2-Track!P480)*(L480-L479)*1000+X479</f>
        <v>-25202.343613292247</v>
      </c>
    </row>
    <row r="481" spans="1:24">
      <c r="A481" s="16">
        <f t="shared" si="84"/>
        <v>480</v>
      </c>
      <c r="B481" s="17">
        <f t="shared" si="85"/>
        <v>12.081081170387082</v>
      </c>
      <c r="C481" s="18">
        <f>Specification!$G$30</f>
        <v>109.96225200000001</v>
      </c>
      <c r="D481" s="17">
        <f>0.5*Specification!$K$4*Track!B481^2*Specification!$K$3*Specification!$K$2</f>
        <v>75.597088939043402</v>
      </c>
      <c r="E481" s="16">
        <v>0</v>
      </c>
      <c r="F481" s="17">
        <f>Specification!$C$23*9.81*SIN((E481*PI()/180))</f>
        <v>0</v>
      </c>
      <c r="G481" s="18">
        <f>IF(J481=1,VLOOKUP(K481,RPM!$E$2:$H$62,3,FALSE)-F481-E481-D481,IF(J481=2,VLOOKUP(K481,RPM!$H$2:$K$62,3,FALSE)-F481-E481-D481,IF(J481=3,VLOOKUP(K481,RPM!$K$2:$N$62,3,FALSE)-F481-E481-D481)))</f>
        <v>852.82752893960401</v>
      </c>
      <c r="H481" s="19">
        <f>IF(J481=1,Specification!$I$14,IF(J481=2,Specification!$I$15,IF(J481=3,Specification!$I$16)))</f>
        <v>582.50936296077191</v>
      </c>
      <c r="I481" s="16">
        <v>0</v>
      </c>
      <c r="J481" s="17">
        <v>2</v>
      </c>
      <c r="K481" s="16">
        <f>IF(J481=1,VLOOKUP(B481,RPM!$F$2:$H$62,3,TRUE),IF(J481=2,VLOOKUP(B481,RPM!$I$2:$K$62,3,TRUE),IF(J481=3,VLOOKUP(B481,RPM!$L$2:$N$62,3,TRUE))))</f>
        <v>6800</v>
      </c>
      <c r="L481" s="17">
        <f t="shared" si="81"/>
        <v>40.010088634247246</v>
      </c>
      <c r="M481" s="16">
        <f t="shared" si="78"/>
        <v>0</v>
      </c>
      <c r="N481" s="17">
        <f>VLOOKUP(K481,RPM!$A$2:$D$62,3,FALSE)</f>
        <v>15</v>
      </c>
      <c r="O481" s="16">
        <f>VLOOKUP(K481,RPM!$A$2:$D$62,4,FALSE)</f>
        <v>15.721323529411764</v>
      </c>
      <c r="P481" s="17">
        <f t="shared" si="79"/>
        <v>11.723390955882353</v>
      </c>
      <c r="Q481" s="16" cm="1">
        <f t="array" ref="Q481">_xlfn.XLOOKUP(O481,BSFC!$A$2:$A$24,_xlfn.XLOOKUP(K481,BSFC!$B$1:$O$1,BSFC!$B$2:$O$24,,-1),,-1)</f>
        <v>440</v>
      </c>
      <c r="R481" s="17">
        <f t="shared" si="80"/>
        <v>1.4328588946078433</v>
      </c>
      <c r="S481" s="16">
        <f t="shared" si="82"/>
        <v>2.6955348133305399E-4</v>
      </c>
      <c r="T481" s="17">
        <f t="shared" si="86"/>
        <v>0.11860353178654376</v>
      </c>
      <c r="U481" s="16">
        <f t="shared" si="87"/>
        <v>66.319210540566289</v>
      </c>
      <c r="V481" s="17">
        <f t="shared" si="88"/>
        <v>0.14028959865377286</v>
      </c>
      <c r="W481" s="16">
        <f t="shared" si="83"/>
        <v>505042.5551535823</v>
      </c>
      <c r="X481">
        <f>('Hybrid Info'!$A$2-Track!P481)*(L481-L480)*1000+X480</f>
        <v>-25169.477048263612</v>
      </c>
    </row>
    <row r="482" spans="1:24">
      <c r="A482" s="16">
        <f t="shared" si="84"/>
        <v>481</v>
      </c>
      <c r="B482" s="17">
        <f t="shared" si="85"/>
        <v>12.081081170387082</v>
      </c>
      <c r="C482" s="18">
        <f>Specification!$G$30</f>
        <v>109.96225200000001</v>
      </c>
      <c r="D482" s="17">
        <f>0.5*Specification!$K$4*Track!B482^2*Specification!$K$3*Specification!$K$2</f>
        <v>75.597088939043402</v>
      </c>
      <c r="E482" s="16">
        <v>0</v>
      </c>
      <c r="F482" s="17">
        <f>Specification!$C$23*9.81*SIN((E482*PI()/180))</f>
        <v>0</v>
      </c>
      <c r="G482" s="18">
        <f>IF(J482=1,VLOOKUP(K482,RPM!$E$2:$H$62,3,FALSE)-F482-E482-D482,IF(J482=2,VLOOKUP(K482,RPM!$H$2:$K$62,3,FALSE)-F482-E482-D482,IF(J482=3,VLOOKUP(K482,RPM!$K$2:$N$62,3,FALSE)-F482-E482-D482)))</f>
        <v>852.82752893960401</v>
      </c>
      <c r="H482" s="19">
        <f>IF(J482=1,Specification!$I$14,IF(J482=2,Specification!$I$15,IF(J482=3,Specification!$I$16)))</f>
        <v>582.50936296077191</v>
      </c>
      <c r="I482" s="16">
        <v>0</v>
      </c>
      <c r="J482" s="17">
        <v>2</v>
      </c>
      <c r="K482" s="16">
        <f>IF(J482=1,VLOOKUP(B482,RPM!$F$2:$H$62,3,TRUE),IF(J482=2,VLOOKUP(B482,RPM!$I$2:$K$62,3,TRUE),IF(J482=3,VLOOKUP(B482,RPM!$L$2:$N$62,3,TRUE))))</f>
        <v>6800</v>
      </c>
      <c r="L482" s="17">
        <f t="shared" si="81"/>
        <v>40.092862682852363</v>
      </c>
      <c r="M482" s="16">
        <f t="shared" si="78"/>
        <v>0</v>
      </c>
      <c r="N482" s="17">
        <f>VLOOKUP(K482,RPM!$A$2:$D$62,3,FALSE)</f>
        <v>15</v>
      </c>
      <c r="O482" s="16">
        <f>VLOOKUP(K482,RPM!$A$2:$D$62,4,FALSE)</f>
        <v>15.721323529411764</v>
      </c>
      <c r="P482" s="17">
        <f t="shared" si="79"/>
        <v>11.723390955882353</v>
      </c>
      <c r="Q482" s="16" cm="1">
        <f t="array" ref="Q482">_xlfn.XLOOKUP(O482,BSFC!$A$2:$A$24,_xlfn.XLOOKUP(K482,BSFC!$B$1:$O$1,BSFC!$B$2:$O$24,,-1),,-1)</f>
        <v>440</v>
      </c>
      <c r="R482" s="17">
        <f t="shared" si="80"/>
        <v>1.4328588946078433</v>
      </c>
      <c r="S482" s="16">
        <f t="shared" si="82"/>
        <v>2.6955348133305399E-4</v>
      </c>
      <c r="T482" s="17">
        <f t="shared" si="86"/>
        <v>0.11860353178654376</v>
      </c>
      <c r="U482" s="16">
        <f t="shared" si="87"/>
        <v>66.437814072352836</v>
      </c>
      <c r="V482" s="17">
        <f t="shared" si="88"/>
        <v>0.14055915213510592</v>
      </c>
      <c r="W482" s="16">
        <f t="shared" si="83"/>
        <v>506012.94768638135</v>
      </c>
      <c r="X482">
        <f>('Hybrid Info'!$A$2-Track!P482)*(L482-L481)*1000+X481</f>
        <v>-25136.610483234977</v>
      </c>
    </row>
    <row r="483" spans="1:24">
      <c r="A483" s="16">
        <f t="shared" si="84"/>
        <v>482</v>
      </c>
      <c r="B483" s="17">
        <f t="shared" si="85"/>
        <v>12.081081170387082</v>
      </c>
      <c r="C483" s="18">
        <f>Specification!$G$30</f>
        <v>109.96225200000001</v>
      </c>
      <c r="D483" s="17">
        <f>0.5*Specification!$K$4*Track!B483^2*Specification!$K$3*Specification!$K$2</f>
        <v>75.597088939043402</v>
      </c>
      <c r="E483" s="16">
        <v>0</v>
      </c>
      <c r="F483" s="17">
        <f>Specification!$C$23*9.81*SIN((E483*PI()/180))</f>
        <v>0</v>
      </c>
      <c r="G483" s="18">
        <f>IF(J483=1,VLOOKUP(K483,RPM!$E$2:$H$62,3,FALSE)-F483-E483-D483,IF(J483=2,VLOOKUP(K483,RPM!$H$2:$K$62,3,FALSE)-F483-E483-D483,IF(J483=3,VLOOKUP(K483,RPM!$K$2:$N$62,3,FALSE)-F483-E483-D483)))</f>
        <v>852.82752893960401</v>
      </c>
      <c r="H483" s="19">
        <f>IF(J483=1,Specification!$I$14,IF(J483=2,Specification!$I$15,IF(J483=3,Specification!$I$16)))</f>
        <v>582.50936296077191</v>
      </c>
      <c r="I483" s="16">
        <v>0</v>
      </c>
      <c r="J483" s="17">
        <v>2</v>
      </c>
      <c r="K483" s="16">
        <f>IF(J483=1,VLOOKUP(B483,RPM!$F$2:$H$62,3,TRUE),IF(J483=2,VLOOKUP(B483,RPM!$I$2:$K$62,3,TRUE),IF(J483=3,VLOOKUP(B483,RPM!$L$2:$N$62,3,TRUE))))</f>
        <v>6800</v>
      </c>
      <c r="L483" s="17">
        <f t="shared" si="81"/>
        <v>40.17563673145748</v>
      </c>
      <c r="M483" s="16">
        <f t="shared" si="78"/>
        <v>0</v>
      </c>
      <c r="N483" s="17">
        <f>VLOOKUP(K483,RPM!$A$2:$D$62,3,FALSE)</f>
        <v>15</v>
      </c>
      <c r="O483" s="16">
        <f>VLOOKUP(K483,RPM!$A$2:$D$62,4,FALSE)</f>
        <v>15.721323529411764</v>
      </c>
      <c r="P483" s="17">
        <f t="shared" si="79"/>
        <v>11.723390955882353</v>
      </c>
      <c r="Q483" s="16" cm="1">
        <f t="array" ref="Q483">_xlfn.XLOOKUP(O483,BSFC!$A$2:$A$24,_xlfn.XLOOKUP(K483,BSFC!$B$1:$O$1,BSFC!$B$2:$O$24,,-1),,-1)</f>
        <v>440</v>
      </c>
      <c r="R483" s="17">
        <f t="shared" si="80"/>
        <v>1.4328588946078433</v>
      </c>
      <c r="S483" s="16">
        <f t="shared" si="82"/>
        <v>2.6955348133305399E-4</v>
      </c>
      <c r="T483" s="17">
        <f t="shared" si="86"/>
        <v>0.11860353178654376</v>
      </c>
      <c r="U483" s="16">
        <f t="shared" si="87"/>
        <v>66.556417604139384</v>
      </c>
      <c r="V483" s="17">
        <f t="shared" si="88"/>
        <v>0.14082870561643898</v>
      </c>
      <c r="W483" s="16">
        <f t="shared" si="83"/>
        <v>506983.34021918033</v>
      </c>
      <c r="X483">
        <f>('Hybrid Info'!$A$2-Track!P483)*(L483-L482)*1000+X482</f>
        <v>-25103.743918206343</v>
      </c>
    </row>
    <row r="484" spans="1:24">
      <c r="A484" s="16">
        <f t="shared" si="84"/>
        <v>483</v>
      </c>
      <c r="B484" s="17">
        <f t="shared" si="85"/>
        <v>12.081081170387082</v>
      </c>
      <c r="C484" s="18">
        <f>Specification!$G$30</f>
        <v>109.96225200000001</v>
      </c>
      <c r="D484" s="17">
        <f>0.5*Specification!$K$4*Track!B484^2*Specification!$K$3*Specification!$K$2</f>
        <v>75.597088939043402</v>
      </c>
      <c r="E484" s="16">
        <v>0</v>
      </c>
      <c r="F484" s="17">
        <f>Specification!$C$23*9.81*SIN((E484*PI()/180))</f>
        <v>0</v>
      </c>
      <c r="G484" s="18">
        <f>IF(J484=1,VLOOKUP(K484,RPM!$E$2:$H$62,3,FALSE)-F484-E484-D484,IF(J484=2,VLOOKUP(K484,RPM!$H$2:$K$62,3,FALSE)-F484-E484-D484,IF(J484=3,VLOOKUP(K484,RPM!$K$2:$N$62,3,FALSE)-F484-E484-D484)))</f>
        <v>852.82752893960401</v>
      </c>
      <c r="H484" s="19">
        <f>IF(J484=1,Specification!$I$14,IF(J484=2,Specification!$I$15,IF(J484=3,Specification!$I$16)))</f>
        <v>582.50936296077191</v>
      </c>
      <c r="I484" s="16">
        <v>0</v>
      </c>
      <c r="J484" s="17">
        <v>2</v>
      </c>
      <c r="K484" s="16">
        <f>IF(J484=1,VLOOKUP(B484,RPM!$F$2:$H$62,3,TRUE),IF(J484=2,VLOOKUP(B484,RPM!$I$2:$K$62,3,TRUE),IF(J484=3,VLOOKUP(B484,RPM!$L$2:$N$62,3,TRUE))))</f>
        <v>6800</v>
      </c>
      <c r="L484" s="17">
        <f t="shared" si="81"/>
        <v>40.258410780062597</v>
      </c>
      <c r="M484" s="16">
        <f t="shared" si="78"/>
        <v>0</v>
      </c>
      <c r="N484" s="17">
        <f>VLOOKUP(K484,RPM!$A$2:$D$62,3,FALSE)</f>
        <v>15</v>
      </c>
      <c r="O484" s="16">
        <f>VLOOKUP(K484,RPM!$A$2:$D$62,4,FALSE)</f>
        <v>15.721323529411764</v>
      </c>
      <c r="P484" s="17">
        <f t="shared" si="79"/>
        <v>11.723390955882353</v>
      </c>
      <c r="Q484" s="16" cm="1">
        <f t="array" ref="Q484">_xlfn.XLOOKUP(O484,BSFC!$A$2:$A$24,_xlfn.XLOOKUP(K484,BSFC!$B$1:$O$1,BSFC!$B$2:$O$24,,-1),,-1)</f>
        <v>440</v>
      </c>
      <c r="R484" s="17">
        <f t="shared" si="80"/>
        <v>1.4328588946078433</v>
      </c>
      <c r="S484" s="16">
        <f t="shared" si="82"/>
        <v>2.6955348133305399E-4</v>
      </c>
      <c r="T484" s="17">
        <f t="shared" si="86"/>
        <v>0.11860353178654376</v>
      </c>
      <c r="U484" s="16">
        <f t="shared" si="87"/>
        <v>66.675021135925931</v>
      </c>
      <c r="V484" s="17">
        <f t="shared" si="88"/>
        <v>0.14109825909777204</v>
      </c>
      <c r="W484" s="16">
        <f t="shared" si="83"/>
        <v>507953.73275197943</v>
      </c>
      <c r="X484">
        <f>('Hybrid Info'!$A$2-Track!P484)*(L484-L483)*1000+X483</f>
        <v>-25070.877353177708</v>
      </c>
    </row>
    <row r="485" spans="1:24">
      <c r="A485" s="16">
        <f t="shared" si="84"/>
        <v>484</v>
      </c>
      <c r="B485" s="17">
        <f t="shared" si="85"/>
        <v>12.081081170387082</v>
      </c>
      <c r="C485" s="18">
        <f>Specification!$G$30</f>
        <v>109.96225200000001</v>
      </c>
      <c r="D485" s="17">
        <f>0.5*Specification!$K$4*Track!B485^2*Specification!$K$3*Specification!$K$2</f>
        <v>75.597088939043402</v>
      </c>
      <c r="E485" s="16">
        <v>0</v>
      </c>
      <c r="F485" s="17">
        <f>Specification!$C$23*9.81*SIN((E485*PI()/180))</f>
        <v>0</v>
      </c>
      <c r="G485" s="18">
        <f>IF(J485=1,VLOOKUP(K485,RPM!$E$2:$H$62,3,FALSE)-F485-E485-D485,IF(J485=2,VLOOKUP(K485,RPM!$H$2:$K$62,3,FALSE)-F485-E485-D485,IF(J485=3,VLOOKUP(K485,RPM!$K$2:$N$62,3,FALSE)-F485-E485-D485)))</f>
        <v>852.82752893960401</v>
      </c>
      <c r="H485" s="19">
        <f>IF(J485=1,Specification!$I$14,IF(J485=2,Specification!$I$15,IF(J485=3,Specification!$I$16)))</f>
        <v>582.50936296077191</v>
      </c>
      <c r="I485" s="16">
        <v>0</v>
      </c>
      <c r="J485" s="17">
        <v>2</v>
      </c>
      <c r="K485" s="16">
        <f>IF(J485=1,VLOOKUP(B485,RPM!$F$2:$H$62,3,TRUE),IF(J485=2,VLOOKUP(B485,RPM!$I$2:$K$62,3,TRUE),IF(J485=3,VLOOKUP(B485,RPM!$L$2:$N$62,3,TRUE))))</f>
        <v>6800</v>
      </c>
      <c r="L485" s="17">
        <f t="shared" si="81"/>
        <v>40.341184828667714</v>
      </c>
      <c r="M485" s="16">
        <f t="shared" si="78"/>
        <v>0</v>
      </c>
      <c r="N485" s="17">
        <f>VLOOKUP(K485,RPM!$A$2:$D$62,3,FALSE)</f>
        <v>15</v>
      </c>
      <c r="O485" s="16">
        <f>VLOOKUP(K485,RPM!$A$2:$D$62,4,FALSE)</f>
        <v>15.721323529411764</v>
      </c>
      <c r="P485" s="17">
        <f t="shared" si="79"/>
        <v>11.723390955882353</v>
      </c>
      <c r="Q485" s="16" cm="1">
        <f t="array" ref="Q485">_xlfn.XLOOKUP(O485,BSFC!$A$2:$A$24,_xlfn.XLOOKUP(K485,BSFC!$B$1:$O$1,BSFC!$B$2:$O$24,,-1),,-1)</f>
        <v>440</v>
      </c>
      <c r="R485" s="17">
        <f t="shared" si="80"/>
        <v>1.4328588946078433</v>
      </c>
      <c r="S485" s="16">
        <f t="shared" si="82"/>
        <v>2.6955348133305399E-4</v>
      </c>
      <c r="T485" s="17">
        <f t="shared" si="86"/>
        <v>0.11860353178654376</v>
      </c>
      <c r="U485" s="16">
        <f t="shared" si="87"/>
        <v>66.793624667712479</v>
      </c>
      <c r="V485" s="17">
        <f t="shared" si="88"/>
        <v>0.14136781257910511</v>
      </c>
      <c r="W485" s="16">
        <f t="shared" si="83"/>
        <v>508924.12528477836</v>
      </c>
      <c r="X485">
        <f>('Hybrid Info'!$A$2-Track!P485)*(L485-L484)*1000+X484</f>
        <v>-25038.010788149073</v>
      </c>
    </row>
    <row r="486" spans="1:24">
      <c r="A486" s="16">
        <f t="shared" si="84"/>
        <v>485</v>
      </c>
      <c r="B486" s="17">
        <f t="shared" si="85"/>
        <v>12.081081170387082</v>
      </c>
      <c r="C486" s="18">
        <f>Specification!$G$30</f>
        <v>109.96225200000001</v>
      </c>
      <c r="D486" s="17">
        <f>0.5*Specification!$K$4*Track!B486^2*Specification!$K$3*Specification!$K$2</f>
        <v>75.597088939043402</v>
      </c>
      <c r="E486" s="16">
        <v>0</v>
      </c>
      <c r="F486" s="17">
        <f>Specification!$C$23*9.81*SIN((E486*PI()/180))</f>
        <v>0</v>
      </c>
      <c r="G486" s="18">
        <f>IF(J486=1,VLOOKUP(K486,RPM!$E$2:$H$62,3,FALSE)-F486-E486-D486,IF(J486=2,VLOOKUP(K486,RPM!$H$2:$K$62,3,FALSE)-F486-E486-D486,IF(J486=3,VLOOKUP(K486,RPM!$K$2:$N$62,3,FALSE)-F486-E486-D486)))</f>
        <v>852.82752893960401</v>
      </c>
      <c r="H486" s="19">
        <f>IF(J486=1,Specification!$I$14,IF(J486=2,Specification!$I$15,IF(J486=3,Specification!$I$16)))</f>
        <v>582.50936296077191</v>
      </c>
      <c r="I486" s="16">
        <v>0</v>
      </c>
      <c r="J486" s="17">
        <v>2</v>
      </c>
      <c r="K486" s="16">
        <f>IF(J486=1,VLOOKUP(B486,RPM!$F$2:$H$62,3,TRUE),IF(J486=2,VLOOKUP(B486,RPM!$I$2:$K$62,3,TRUE),IF(J486=3,VLOOKUP(B486,RPM!$L$2:$N$62,3,TRUE))))</f>
        <v>6800</v>
      </c>
      <c r="L486" s="17">
        <f t="shared" si="81"/>
        <v>40.423958877272831</v>
      </c>
      <c r="M486" s="16">
        <f t="shared" si="78"/>
        <v>0</v>
      </c>
      <c r="N486" s="17">
        <f>VLOOKUP(K486,RPM!$A$2:$D$62,3,FALSE)</f>
        <v>15</v>
      </c>
      <c r="O486" s="16">
        <f>VLOOKUP(K486,RPM!$A$2:$D$62,4,FALSE)</f>
        <v>15.721323529411764</v>
      </c>
      <c r="P486" s="17">
        <f t="shared" si="79"/>
        <v>11.723390955882353</v>
      </c>
      <c r="Q486" s="16" cm="1">
        <f t="array" ref="Q486">_xlfn.XLOOKUP(O486,BSFC!$A$2:$A$24,_xlfn.XLOOKUP(K486,BSFC!$B$1:$O$1,BSFC!$B$2:$O$24,,-1),,-1)</f>
        <v>440</v>
      </c>
      <c r="R486" s="17">
        <f t="shared" si="80"/>
        <v>1.4328588946078433</v>
      </c>
      <c r="S486" s="16">
        <f t="shared" si="82"/>
        <v>2.6955348133305399E-4</v>
      </c>
      <c r="T486" s="17">
        <f t="shared" si="86"/>
        <v>0.11860353178654376</v>
      </c>
      <c r="U486" s="16">
        <f t="shared" si="87"/>
        <v>66.912228199499026</v>
      </c>
      <c r="V486" s="17">
        <f t="shared" si="88"/>
        <v>0.14163736606043817</v>
      </c>
      <c r="W486" s="16">
        <f t="shared" si="83"/>
        <v>509894.51781757746</v>
      </c>
      <c r="X486">
        <f>('Hybrid Info'!$A$2-Track!P486)*(L486-L485)*1000+X485</f>
        <v>-25005.144223120438</v>
      </c>
    </row>
    <row r="487" spans="1:24">
      <c r="A487" s="16">
        <f t="shared" si="84"/>
        <v>486</v>
      </c>
      <c r="B487" s="17">
        <f t="shared" si="85"/>
        <v>12.081081170387082</v>
      </c>
      <c r="C487" s="18">
        <f>Specification!$G$30</f>
        <v>109.96225200000001</v>
      </c>
      <c r="D487" s="17">
        <f>0.5*Specification!$K$4*Track!B487^2*Specification!$K$3*Specification!$K$2</f>
        <v>75.597088939043402</v>
      </c>
      <c r="E487" s="16">
        <v>0</v>
      </c>
      <c r="F487" s="17">
        <f>Specification!$C$23*9.81*SIN((E487*PI()/180))</f>
        <v>0</v>
      </c>
      <c r="G487" s="18">
        <f>IF(J487=1,VLOOKUP(K487,RPM!$E$2:$H$62,3,FALSE)-F487-E487-D487,IF(J487=2,VLOOKUP(K487,RPM!$H$2:$K$62,3,FALSE)-F487-E487-D487,IF(J487=3,VLOOKUP(K487,RPM!$K$2:$N$62,3,FALSE)-F487-E487-D487)))</f>
        <v>852.82752893960401</v>
      </c>
      <c r="H487" s="19">
        <f>IF(J487=1,Specification!$I$14,IF(J487=2,Specification!$I$15,IF(J487=3,Specification!$I$16)))</f>
        <v>582.50936296077191</v>
      </c>
      <c r="I487" s="16">
        <v>0</v>
      </c>
      <c r="J487" s="17">
        <v>2</v>
      </c>
      <c r="K487" s="16">
        <f>IF(J487=1,VLOOKUP(B487,RPM!$F$2:$H$62,3,TRUE),IF(J487=2,VLOOKUP(B487,RPM!$I$2:$K$62,3,TRUE),IF(J487=3,VLOOKUP(B487,RPM!$L$2:$N$62,3,TRUE))))</f>
        <v>6800</v>
      </c>
      <c r="L487" s="17">
        <f t="shared" si="81"/>
        <v>40.506732925877948</v>
      </c>
      <c r="M487" s="16">
        <f t="shared" si="78"/>
        <v>0</v>
      </c>
      <c r="N487" s="17">
        <f>VLOOKUP(K487,RPM!$A$2:$D$62,3,FALSE)</f>
        <v>15</v>
      </c>
      <c r="O487" s="16">
        <f>VLOOKUP(K487,RPM!$A$2:$D$62,4,FALSE)</f>
        <v>15.721323529411764</v>
      </c>
      <c r="P487" s="17">
        <f t="shared" si="79"/>
        <v>11.723390955882353</v>
      </c>
      <c r="Q487" s="16" cm="1">
        <f t="array" ref="Q487">_xlfn.XLOOKUP(O487,BSFC!$A$2:$A$24,_xlfn.XLOOKUP(K487,BSFC!$B$1:$O$1,BSFC!$B$2:$O$24,,-1),,-1)</f>
        <v>440</v>
      </c>
      <c r="R487" s="17">
        <f t="shared" si="80"/>
        <v>1.4328588946078433</v>
      </c>
      <c r="S487" s="16">
        <f t="shared" si="82"/>
        <v>2.6955348133305399E-4</v>
      </c>
      <c r="T487" s="17">
        <f t="shared" si="86"/>
        <v>0.11860353178654376</v>
      </c>
      <c r="U487" s="16">
        <f t="shared" si="87"/>
        <v>67.030831731285573</v>
      </c>
      <c r="V487" s="17">
        <f t="shared" si="88"/>
        <v>0.14190691954177123</v>
      </c>
      <c r="W487" s="16">
        <f t="shared" si="83"/>
        <v>510864.91035037645</v>
      </c>
      <c r="X487">
        <f>('Hybrid Info'!$A$2-Track!P487)*(L487-L486)*1000+X486</f>
        <v>-24972.277658091803</v>
      </c>
    </row>
    <row r="488" spans="1:24">
      <c r="A488" s="16">
        <f t="shared" si="84"/>
        <v>487</v>
      </c>
      <c r="B488" s="17">
        <f t="shared" si="85"/>
        <v>12.081081170387082</v>
      </c>
      <c r="C488" s="18">
        <f>Specification!$G$30</f>
        <v>109.96225200000001</v>
      </c>
      <c r="D488" s="17">
        <f>0.5*Specification!$K$4*Track!B488^2*Specification!$K$3*Specification!$K$2</f>
        <v>75.597088939043402</v>
      </c>
      <c r="E488" s="16">
        <v>0</v>
      </c>
      <c r="F488" s="17">
        <f>Specification!$C$23*9.81*SIN((E488*PI()/180))</f>
        <v>0</v>
      </c>
      <c r="G488" s="18">
        <f>IF(J488=1,VLOOKUP(K488,RPM!$E$2:$H$62,3,FALSE)-F488-E488-D488,IF(J488=2,VLOOKUP(K488,RPM!$H$2:$K$62,3,FALSE)-F488-E488-D488,IF(J488=3,VLOOKUP(K488,RPM!$K$2:$N$62,3,FALSE)-F488-E488-D488)))</f>
        <v>852.82752893960401</v>
      </c>
      <c r="H488" s="19">
        <f>IF(J488=1,Specification!$I$14,IF(J488=2,Specification!$I$15,IF(J488=3,Specification!$I$16)))</f>
        <v>582.50936296077191</v>
      </c>
      <c r="I488" s="16">
        <v>0</v>
      </c>
      <c r="J488" s="17">
        <v>2</v>
      </c>
      <c r="K488" s="16">
        <f>IF(J488=1,VLOOKUP(B488,RPM!$F$2:$H$62,3,TRUE),IF(J488=2,VLOOKUP(B488,RPM!$I$2:$K$62,3,TRUE),IF(J488=3,VLOOKUP(B488,RPM!$L$2:$N$62,3,TRUE))))</f>
        <v>6800</v>
      </c>
      <c r="L488" s="17">
        <f t="shared" si="81"/>
        <v>40.589506974483065</v>
      </c>
      <c r="M488" s="16">
        <f t="shared" si="78"/>
        <v>0</v>
      </c>
      <c r="N488" s="17">
        <f>VLOOKUP(K488,RPM!$A$2:$D$62,3,FALSE)</f>
        <v>15</v>
      </c>
      <c r="O488" s="16">
        <f>VLOOKUP(K488,RPM!$A$2:$D$62,4,FALSE)</f>
        <v>15.721323529411764</v>
      </c>
      <c r="P488" s="17">
        <f t="shared" si="79"/>
        <v>11.723390955882353</v>
      </c>
      <c r="Q488" s="16" cm="1">
        <f t="array" ref="Q488">_xlfn.XLOOKUP(O488,BSFC!$A$2:$A$24,_xlfn.XLOOKUP(K488,BSFC!$B$1:$O$1,BSFC!$B$2:$O$24,,-1),,-1)</f>
        <v>440</v>
      </c>
      <c r="R488" s="17">
        <f t="shared" si="80"/>
        <v>1.4328588946078433</v>
      </c>
      <c r="S488" s="16">
        <f t="shared" si="82"/>
        <v>2.6955348133305399E-4</v>
      </c>
      <c r="T488" s="17">
        <f t="shared" si="86"/>
        <v>0.11860353178654376</v>
      </c>
      <c r="U488" s="16">
        <f t="shared" si="87"/>
        <v>67.149435263072121</v>
      </c>
      <c r="V488" s="17">
        <f t="shared" si="88"/>
        <v>0.14217647302310429</v>
      </c>
      <c r="W488" s="16">
        <f t="shared" si="83"/>
        <v>511835.30288317549</v>
      </c>
      <c r="X488">
        <f>('Hybrid Info'!$A$2-Track!P488)*(L488-L487)*1000+X487</f>
        <v>-24939.411093063169</v>
      </c>
    </row>
    <row r="489" spans="1:24">
      <c r="A489" s="16">
        <f t="shared" si="84"/>
        <v>488</v>
      </c>
      <c r="B489" s="17">
        <f t="shared" si="85"/>
        <v>12.081081170387082</v>
      </c>
      <c r="C489" s="18">
        <f>Specification!$G$30</f>
        <v>109.96225200000001</v>
      </c>
      <c r="D489" s="17">
        <f>0.5*Specification!$K$4*Track!B489^2*Specification!$K$3*Specification!$K$2</f>
        <v>75.597088939043402</v>
      </c>
      <c r="E489" s="16">
        <v>0</v>
      </c>
      <c r="F489" s="17">
        <f>Specification!$C$23*9.81*SIN((E489*PI()/180))</f>
        <v>0</v>
      </c>
      <c r="G489" s="18">
        <f>IF(J489=1,VLOOKUP(K489,RPM!$E$2:$H$62,3,FALSE)-F489-E489-D489,IF(J489=2,VLOOKUP(K489,RPM!$H$2:$K$62,3,FALSE)-F489-E489-D489,IF(J489=3,VLOOKUP(K489,RPM!$K$2:$N$62,3,FALSE)-F489-E489-D489)))</f>
        <v>852.82752893960401</v>
      </c>
      <c r="H489" s="19">
        <f>IF(J489=1,Specification!$I$14,IF(J489=2,Specification!$I$15,IF(J489=3,Specification!$I$16)))</f>
        <v>582.50936296077191</v>
      </c>
      <c r="I489" s="16">
        <v>0</v>
      </c>
      <c r="J489" s="17">
        <v>2</v>
      </c>
      <c r="K489" s="16">
        <f>IF(J489=1,VLOOKUP(B489,RPM!$F$2:$H$62,3,TRUE),IF(J489=2,VLOOKUP(B489,RPM!$I$2:$K$62,3,TRUE),IF(J489=3,VLOOKUP(B489,RPM!$L$2:$N$62,3,TRUE))))</f>
        <v>6800</v>
      </c>
      <c r="L489" s="17">
        <f t="shared" si="81"/>
        <v>40.672281023088182</v>
      </c>
      <c r="M489" s="16">
        <f t="shared" si="78"/>
        <v>0</v>
      </c>
      <c r="N489" s="17">
        <f>VLOOKUP(K489,RPM!$A$2:$D$62,3,FALSE)</f>
        <v>15</v>
      </c>
      <c r="O489" s="16">
        <f>VLOOKUP(K489,RPM!$A$2:$D$62,4,FALSE)</f>
        <v>15.721323529411764</v>
      </c>
      <c r="P489" s="17">
        <f t="shared" si="79"/>
        <v>11.723390955882353</v>
      </c>
      <c r="Q489" s="16" cm="1">
        <f t="array" ref="Q489">_xlfn.XLOOKUP(O489,BSFC!$A$2:$A$24,_xlfn.XLOOKUP(K489,BSFC!$B$1:$O$1,BSFC!$B$2:$O$24,,-1),,-1)</f>
        <v>440</v>
      </c>
      <c r="R489" s="17">
        <f t="shared" si="80"/>
        <v>1.4328588946078433</v>
      </c>
      <c r="S489" s="16">
        <f t="shared" si="82"/>
        <v>2.6955348133305399E-4</v>
      </c>
      <c r="T489" s="17">
        <f t="shared" si="86"/>
        <v>0.11860353178654376</v>
      </c>
      <c r="U489" s="16">
        <f t="shared" si="87"/>
        <v>67.268038794858668</v>
      </c>
      <c r="V489" s="17">
        <f t="shared" si="88"/>
        <v>0.14244602650443736</v>
      </c>
      <c r="W489" s="16">
        <f t="shared" si="83"/>
        <v>512805.69541597448</v>
      </c>
      <c r="X489">
        <f>('Hybrid Info'!$A$2-Track!P489)*(L489-L488)*1000+X488</f>
        <v>-24906.544528034534</v>
      </c>
    </row>
    <row r="490" spans="1:24">
      <c r="A490" s="16">
        <f t="shared" si="84"/>
        <v>489</v>
      </c>
      <c r="B490" s="17">
        <f t="shared" si="85"/>
        <v>12.081081170387082</v>
      </c>
      <c r="C490" s="16">
        <f>Specification!$G$29</f>
        <v>164.943378</v>
      </c>
      <c r="D490" s="17">
        <f>0.5*Specification!$K$4*Track!B490^2*Specification!$K$3*Specification!$K$2</f>
        <v>75.597088939043402</v>
      </c>
      <c r="E490" s="16">
        <v>0</v>
      </c>
      <c r="F490" s="17">
        <f>Specification!$C$23*9.81*SIN((E490*PI()/180))</f>
        <v>0</v>
      </c>
      <c r="G490" s="18">
        <f>IF(J490=1,VLOOKUP(K490,RPM!$E$2:$H$62,3,FALSE)-F490-E490-D490,IF(J490=2,VLOOKUP(K490,RPM!$H$2:$K$62,3,FALSE)-F490-E490-D490,IF(J490=3,VLOOKUP(K490,RPM!$K$2:$N$62,3,FALSE)-F490-E490-D490)))</f>
        <v>852.82752893960401</v>
      </c>
      <c r="H490" s="19">
        <f>IF(J490=1,Specification!$I$14,IF(J490=2,Specification!$I$15,IF(J490=3,Specification!$I$16)))</f>
        <v>582.50936296077191</v>
      </c>
      <c r="I490" s="16">
        <f t="shared" ref="I490:I521" si="89">G490/H490</f>
        <v>1.4640580618393189</v>
      </c>
      <c r="J490" s="17">
        <v>2</v>
      </c>
      <c r="K490" s="16">
        <f>IF(J490=1,VLOOKUP(B490,RPM!$F$2:$H$62,3,TRUE),IF(J490=2,VLOOKUP(B490,RPM!$I$2:$K$62,3,TRUE),IF(J490=3,VLOOKUP(B490,RPM!$L$2:$N$62,3,TRUE))))</f>
        <v>6800</v>
      </c>
      <c r="L490" s="17">
        <f t="shared" si="81"/>
        <v>40.754644029050361</v>
      </c>
      <c r="M490" s="16">
        <f t="shared" si="78"/>
        <v>0</v>
      </c>
      <c r="N490" s="17">
        <f>VLOOKUP(K490,RPM!$A$2:$D$62,3,FALSE)</f>
        <v>15</v>
      </c>
      <c r="O490" s="16">
        <f>VLOOKUP(K490,RPM!$A$2:$D$62,4,FALSE)</f>
        <v>15.721323529411764</v>
      </c>
      <c r="P490" s="17">
        <f t="shared" si="79"/>
        <v>11.723390955882353</v>
      </c>
      <c r="Q490" s="16" cm="1">
        <f t="array" ref="Q490">_xlfn.XLOOKUP(O490,BSFC!$A$2:$A$24,_xlfn.XLOOKUP(K490,BSFC!$B$1:$O$1,BSFC!$B$2:$O$24,,-1),,-1)</f>
        <v>440</v>
      </c>
      <c r="R490" s="17">
        <f t="shared" si="80"/>
        <v>1.4328588946078433</v>
      </c>
      <c r="S490" s="16">
        <f t="shared" si="82"/>
        <v>2.6821492199897095E-4</v>
      </c>
      <c r="T490" s="17">
        <f t="shared" si="86"/>
        <v>0.11801456567954721</v>
      </c>
      <c r="U490" s="16">
        <f t="shared" si="87"/>
        <v>67.386053360538213</v>
      </c>
      <c r="V490" s="17">
        <f t="shared" si="88"/>
        <v>0.14271424142643632</v>
      </c>
      <c r="W490" s="16">
        <f t="shared" si="83"/>
        <v>513771.26913517079</v>
      </c>
      <c r="X490">
        <f>('Hybrid Info'!$A$2-Track!P490)*(L490-L489)*1000+X489</f>
        <v>-24873.841173093857</v>
      </c>
    </row>
    <row r="491" spans="1:24">
      <c r="A491" s="16">
        <f t="shared" si="84"/>
        <v>490</v>
      </c>
      <c r="B491" s="17">
        <f t="shared" si="85"/>
        <v>12.20166539326333</v>
      </c>
      <c r="C491" s="16">
        <f>Specification!$G$29</f>
        <v>164.943378</v>
      </c>
      <c r="D491" s="17">
        <f>0.5*Specification!$K$4*Track!B491^2*Specification!$K$3*Specification!$K$2</f>
        <v>77.113726347016907</v>
      </c>
      <c r="E491" s="16">
        <v>0</v>
      </c>
      <c r="F491" s="17">
        <f>Specification!$C$23*9.81*SIN((E491*PI()/180))</f>
        <v>0</v>
      </c>
      <c r="G491" s="18">
        <f>IF(J491=1,VLOOKUP(K491,RPM!$E$2:$H$62,3,FALSE)-F491-E491-D491,IF(J491=2,VLOOKUP(K491,RPM!$H$2:$K$62,3,FALSE)-F491-E491-D491,IF(J491=3,VLOOKUP(K491,RPM!$K$2:$N$62,3,FALSE)-F491-E491-D491)))</f>
        <v>851.31089153163043</v>
      </c>
      <c r="H491" s="19">
        <f>IF(J491=1,Specification!$I$14,IF(J491=2,Specification!$I$15,IF(J491=3,Specification!$I$16)))</f>
        <v>582.50936296077191</v>
      </c>
      <c r="I491" s="16">
        <f t="shared" si="89"/>
        <v>1.4614544343194711</v>
      </c>
      <c r="J491" s="17">
        <v>2</v>
      </c>
      <c r="K491" s="16">
        <f>IF(J491=1,VLOOKUP(B491,RPM!$F$2:$H$62,3,TRUE),IF(J491=2,VLOOKUP(B491,RPM!$I$2:$K$62,3,TRUE),IF(J491=3,VLOOKUP(B491,RPM!$L$2:$N$62,3,TRUE))))</f>
        <v>6800</v>
      </c>
      <c r="L491" s="17">
        <f t="shared" si="81"/>
        <v>40.836201703605894</v>
      </c>
      <c r="M491" s="16">
        <f t="shared" si="78"/>
        <v>0</v>
      </c>
      <c r="N491" s="17">
        <f>VLOOKUP(K491,RPM!$A$2:$D$62,3,FALSE)</f>
        <v>15</v>
      </c>
      <c r="O491" s="16">
        <f>VLOOKUP(K491,RPM!$A$2:$D$62,4,FALSE)</f>
        <v>15.721323529411764</v>
      </c>
      <c r="P491" s="17">
        <f t="shared" si="79"/>
        <v>11.723390955882353</v>
      </c>
      <c r="Q491" s="16" cm="1">
        <f t="array" ref="Q491">_xlfn.XLOOKUP(O491,BSFC!$A$2:$A$24,_xlfn.XLOOKUP(K491,BSFC!$B$1:$O$1,BSFC!$B$2:$O$24,,-1),,-1)</f>
        <v>440</v>
      </c>
      <c r="R491" s="17">
        <f t="shared" si="80"/>
        <v>1.4328588946078433</v>
      </c>
      <c r="S491" s="16">
        <f t="shared" si="82"/>
        <v>2.6559236229642652E-4</v>
      </c>
      <c r="T491" s="17">
        <f t="shared" si="86"/>
        <v>0.11686063941042767</v>
      </c>
      <c r="U491" s="16">
        <f t="shared" si="87"/>
        <v>67.502913999948646</v>
      </c>
      <c r="V491" s="17">
        <f t="shared" si="88"/>
        <v>0.14297983378873275</v>
      </c>
      <c r="W491" s="16">
        <f t="shared" si="83"/>
        <v>514727.40163943789</v>
      </c>
      <c r="X491">
        <f>('Hybrid Info'!$A$2-Track!P491)*(L491-L490)*1000+X490</f>
        <v>-24841.457585972832</v>
      </c>
    </row>
    <row r="492" spans="1:24">
      <c r="A492" s="16">
        <f t="shared" si="84"/>
        <v>491</v>
      </c>
      <c r="B492" s="17">
        <f t="shared" si="85"/>
        <v>12.320858218395296</v>
      </c>
      <c r="C492" s="16">
        <f>Specification!$G$29</f>
        <v>164.943378</v>
      </c>
      <c r="D492" s="17">
        <f>0.5*Specification!$K$4*Track!B492^2*Specification!$K$3*Specification!$K$2</f>
        <v>78.627666622276919</v>
      </c>
      <c r="E492" s="16">
        <v>0</v>
      </c>
      <c r="F492" s="17">
        <f>Specification!$C$23*9.81*SIN((E492*PI()/180))</f>
        <v>0</v>
      </c>
      <c r="G492" s="18">
        <f>IF(J492=1,VLOOKUP(K492,RPM!$E$2:$H$62,3,FALSE)-F492-E492-D492,IF(J492=2,VLOOKUP(K492,RPM!$H$2:$K$62,3,FALSE)-F492-E492-D492,IF(J492=3,VLOOKUP(K492,RPM!$K$2:$N$62,3,FALSE)-F492-E492-D492)))</f>
        <v>775.34357610281711</v>
      </c>
      <c r="H492" s="19">
        <f>IF(J492=1,Specification!$I$14,IF(J492=2,Specification!$I$15,IF(J492=3,Specification!$I$16)))</f>
        <v>582.50936296077191</v>
      </c>
      <c r="I492" s="16">
        <f t="shared" si="89"/>
        <v>1.3310405384076742</v>
      </c>
      <c r="J492" s="17">
        <v>2</v>
      </c>
      <c r="K492" s="16">
        <f>IF(J492=1,VLOOKUP(B492,RPM!$F$2:$H$62,3,TRUE),IF(J492=2,VLOOKUP(B492,RPM!$I$2:$K$62,3,TRUE),IF(J492=3,VLOOKUP(B492,RPM!$L$2:$N$62,3,TRUE))))</f>
        <v>6900</v>
      </c>
      <c r="L492" s="17">
        <f t="shared" si="81"/>
        <v>40.917012140473481</v>
      </c>
      <c r="M492" s="16">
        <f t="shared" si="78"/>
        <v>0</v>
      </c>
      <c r="N492" s="17">
        <f>VLOOKUP(K492,RPM!$A$2:$D$62,3,FALSE)</f>
        <v>14</v>
      </c>
      <c r="O492" s="16">
        <f>VLOOKUP(K492,RPM!$A$2:$D$62,4,FALSE)</f>
        <v>14.460579710144927</v>
      </c>
      <c r="P492" s="17">
        <f t="shared" si="79"/>
        <v>10.783254289855073</v>
      </c>
      <c r="Q492" s="16" cm="1">
        <f t="array" ref="Q492">_xlfn.XLOOKUP(O492,BSFC!$A$2:$A$24,_xlfn.XLOOKUP(K492,BSFC!$B$1:$O$1,BSFC!$B$2:$O$24,,-1),,-1)</f>
        <v>425</v>
      </c>
      <c r="R492" s="17">
        <f t="shared" si="80"/>
        <v>1.2730230758856684</v>
      </c>
      <c r="S492" s="16">
        <f t="shared" si="82"/>
        <v>2.4205541389374179E-4</v>
      </c>
      <c r="T492" s="17">
        <f t="shared" si="86"/>
        <v>0.10287355090484027</v>
      </c>
      <c r="U492" s="16">
        <f t="shared" si="87"/>
        <v>67.605787550853492</v>
      </c>
      <c r="V492" s="17">
        <f t="shared" si="88"/>
        <v>0.14322188920262649</v>
      </c>
      <c r="W492" s="16">
        <f t="shared" si="83"/>
        <v>515598.80112945539</v>
      </c>
      <c r="X492">
        <f>('Hybrid Info'!$A$2-Track!P492)*(L492-L491)*1000+X491</f>
        <v>-24733.397845071155</v>
      </c>
    </row>
    <row r="493" spans="1:24">
      <c r="A493" s="16">
        <f t="shared" si="84"/>
        <v>492</v>
      </c>
      <c r="B493" s="17">
        <f t="shared" si="85"/>
        <v>12.428420185792492</v>
      </c>
      <c r="C493" s="16">
        <f>Specification!$G$29</f>
        <v>164.943378</v>
      </c>
      <c r="D493" s="17">
        <f>0.5*Specification!$K$4*Track!B493^2*Specification!$K$3*Specification!$K$2</f>
        <v>80.006509391355451</v>
      </c>
      <c r="E493" s="16">
        <v>0</v>
      </c>
      <c r="F493" s="17">
        <f>Specification!$C$23*9.81*SIN((E493*PI()/180))</f>
        <v>0</v>
      </c>
      <c r="G493" s="18">
        <f>IF(J493=1,VLOOKUP(K493,RPM!$E$2:$H$62,3,FALSE)-F493-E493-D493,IF(J493=2,VLOOKUP(K493,RPM!$H$2:$K$62,3,FALSE)-F493-E493-D493,IF(J493=3,VLOOKUP(K493,RPM!$K$2:$N$62,3,FALSE)-F493-E493-D493)))</f>
        <v>701.63859747028687</v>
      </c>
      <c r="H493" s="19">
        <f>IF(J493=1,Specification!$I$14,IF(J493=2,Specification!$I$15,IF(J493=3,Specification!$I$16)))</f>
        <v>582.50936296077191</v>
      </c>
      <c r="I493" s="16">
        <f t="shared" si="89"/>
        <v>1.2045104200626171</v>
      </c>
      <c r="J493" s="17">
        <v>2</v>
      </c>
      <c r="K493" s="16">
        <f>IF(J493=1,VLOOKUP(B493,RPM!$F$2:$H$62,3,TRUE),IF(J493=2,VLOOKUP(B493,RPM!$I$2:$K$62,3,TRUE),IF(J493=3,VLOOKUP(B493,RPM!$L$2:$N$62,3,TRUE))))</f>
        <v>7000</v>
      </c>
      <c r="L493" s="17">
        <f t="shared" si="81"/>
        <v>40.997161599241373</v>
      </c>
      <c r="M493" s="16">
        <f t="shared" si="78"/>
        <v>0</v>
      </c>
      <c r="N493" s="17">
        <f>VLOOKUP(K493,RPM!$A$2:$D$62,3,FALSE)</f>
        <v>13</v>
      </c>
      <c r="O493" s="16">
        <f>VLOOKUP(K493,RPM!$A$2:$D$62,4,FALSE)</f>
        <v>13.235857142857142</v>
      </c>
      <c r="P493" s="17">
        <f t="shared" si="79"/>
        <v>9.8699786714285711</v>
      </c>
      <c r="Q493" s="16" cm="1">
        <f t="array" ref="Q493">_xlfn.XLOOKUP(O493,BSFC!$A$2:$A$24,_xlfn.XLOOKUP(K493,BSFC!$B$1:$O$1,BSFC!$B$2:$O$24,,-1),,-1)</f>
        <v>520</v>
      </c>
      <c r="R493" s="17">
        <f t="shared" si="80"/>
        <v>1.425663585873016</v>
      </c>
      <c r="S493" s="16">
        <f t="shared" si="82"/>
        <v>2.1974262460156522E-4</v>
      </c>
      <c r="T493" s="17">
        <f t="shared" si="86"/>
        <v>0.11426616479281392</v>
      </c>
      <c r="U493" s="16">
        <f t="shared" si="87"/>
        <v>67.720053715646301</v>
      </c>
      <c r="V493" s="17">
        <f t="shared" si="88"/>
        <v>0.14344163182722805</v>
      </c>
      <c r="W493" s="16">
        <f t="shared" si="83"/>
        <v>516389.87457802094</v>
      </c>
      <c r="X493">
        <f>('Hybrid Info'!$A$2-Track!P493)*(L493-L492)*1000+X492</f>
        <v>-24553.023417763805</v>
      </c>
    </row>
    <row r="494" spans="1:24">
      <c r="A494" s="16">
        <f t="shared" si="84"/>
        <v>493</v>
      </c>
      <c r="B494" s="17">
        <f t="shared" si="85"/>
        <v>12.524961044040795</v>
      </c>
      <c r="C494" s="16">
        <f>Specification!$G$29</f>
        <v>164.943378</v>
      </c>
      <c r="D494" s="17">
        <f>0.5*Specification!$K$4*Track!B494^2*Specification!$K$3*Specification!$K$2</f>
        <v>81.254277911591458</v>
      </c>
      <c r="E494" s="16">
        <v>0</v>
      </c>
      <c r="F494" s="17">
        <f>Specification!$C$23*9.81*SIN((E494*PI()/180))</f>
        <v>0</v>
      </c>
      <c r="G494" s="18">
        <f>IF(J494=1,VLOOKUP(K494,RPM!$E$2:$H$62,3,FALSE)-F494-E494-D494,IF(J494=2,VLOOKUP(K494,RPM!$H$2:$K$62,3,FALSE)-F494-E494-D494,IF(J494=3,VLOOKUP(K494,RPM!$K$2:$N$62,3,FALSE)-F494-E494-D494)))</f>
        <v>700.39082895005083</v>
      </c>
      <c r="H494" s="19">
        <f>IF(J494=1,Specification!$I$14,IF(J494=2,Specification!$I$15,IF(J494=3,Specification!$I$16)))</f>
        <v>582.50936296077191</v>
      </c>
      <c r="I494" s="16">
        <f t="shared" si="89"/>
        <v>1.2023683626132846</v>
      </c>
      <c r="J494" s="17">
        <v>2</v>
      </c>
      <c r="K494" s="16">
        <f>IF(J494=1,VLOOKUP(B494,RPM!$F$2:$H$62,3,TRUE),IF(J494=2,VLOOKUP(B494,RPM!$I$2:$K$62,3,TRUE),IF(J494=3,VLOOKUP(B494,RPM!$L$2:$N$62,3,TRUE))))</f>
        <v>7000</v>
      </c>
      <c r="L494" s="17">
        <f t="shared" si="81"/>
        <v>41.076698520126925</v>
      </c>
      <c r="M494" s="16">
        <f t="shared" si="78"/>
        <v>0</v>
      </c>
      <c r="N494" s="17">
        <f>VLOOKUP(K494,RPM!$A$2:$D$62,3,FALSE)</f>
        <v>13</v>
      </c>
      <c r="O494" s="16">
        <f>VLOOKUP(K494,RPM!$A$2:$D$62,4,FALSE)</f>
        <v>13.235857142857142</v>
      </c>
      <c r="P494" s="17">
        <f t="shared" si="79"/>
        <v>9.8699786714285711</v>
      </c>
      <c r="Q494" s="16" cm="1">
        <f t="array" ref="Q494">_xlfn.XLOOKUP(O494,BSFC!$A$2:$A$24,_xlfn.XLOOKUP(K494,BSFC!$B$1:$O$1,BSFC!$B$2:$O$24,,-1),,-1)</f>
        <v>520</v>
      </c>
      <c r="R494" s="17">
        <f t="shared" si="80"/>
        <v>1.425663585873016</v>
      </c>
      <c r="S494" s="16">
        <f t="shared" si="82"/>
        <v>2.1806325353652736E-4</v>
      </c>
      <c r="T494" s="17">
        <f t="shared" si="86"/>
        <v>0.11339289183899423</v>
      </c>
      <c r="U494" s="16">
        <f t="shared" si="87"/>
        <v>67.8334466074853</v>
      </c>
      <c r="V494" s="17">
        <f t="shared" si="88"/>
        <v>0.14365969508076457</v>
      </c>
      <c r="W494" s="16">
        <f t="shared" si="83"/>
        <v>517174.90229075251</v>
      </c>
      <c r="X494">
        <f>('Hybrid Info'!$A$2-Track!P494)*(L494-L493)*1000+X493</f>
        <v>-24374.027492213419</v>
      </c>
    </row>
    <row r="495" spans="1:24">
      <c r="A495" s="16">
        <f t="shared" si="84"/>
        <v>494</v>
      </c>
      <c r="B495" s="17">
        <f t="shared" si="85"/>
        <v>12.620593721373258</v>
      </c>
      <c r="C495" s="16">
        <f>Specification!$G$29</f>
        <v>164.943378</v>
      </c>
      <c r="D495" s="17">
        <f>0.5*Specification!$K$4*Track!B495^2*Specification!$K$3*Specification!$K$2</f>
        <v>82.499827445748735</v>
      </c>
      <c r="E495" s="16">
        <v>0</v>
      </c>
      <c r="F495" s="17">
        <f>Specification!$C$23*9.81*SIN((E495*PI()/180))</f>
        <v>0</v>
      </c>
      <c r="G495" s="18">
        <f>IF(J495=1,VLOOKUP(K495,RPM!$E$2:$H$62,3,FALSE)-F495-E495-D495,IF(J495=2,VLOOKUP(K495,RPM!$H$2:$K$62,3,FALSE)-F495-E495-D495,IF(J495=3,VLOOKUP(K495,RPM!$K$2:$N$62,3,FALSE)-F495-E495-D495)))</f>
        <v>699.14527941589358</v>
      </c>
      <c r="H495" s="19">
        <f>IF(J495=1,Specification!$I$14,IF(J495=2,Specification!$I$15,IF(J495=3,Specification!$I$16)))</f>
        <v>582.50936296077191</v>
      </c>
      <c r="I495" s="16">
        <f t="shared" si="89"/>
        <v>1.2002301145208825</v>
      </c>
      <c r="J495" s="17">
        <v>2</v>
      </c>
      <c r="K495" s="16">
        <f>IF(J495=1,VLOOKUP(B495,RPM!$F$2:$H$62,3,TRUE),IF(J495=2,VLOOKUP(B495,RPM!$I$2:$K$62,3,TRUE),IF(J495=3,VLOOKUP(B495,RPM!$L$2:$N$62,3,TRUE))))</f>
        <v>7000</v>
      </c>
      <c r="L495" s="17">
        <f t="shared" si="81"/>
        <v>41.155637788765624</v>
      </c>
      <c r="M495" s="16">
        <f t="shared" si="78"/>
        <v>0</v>
      </c>
      <c r="N495" s="17">
        <f>VLOOKUP(K495,RPM!$A$2:$D$62,3,FALSE)</f>
        <v>13</v>
      </c>
      <c r="O495" s="16">
        <f>VLOOKUP(K495,RPM!$A$2:$D$62,4,FALSE)</f>
        <v>13.235857142857142</v>
      </c>
      <c r="P495" s="17">
        <f t="shared" si="79"/>
        <v>9.8699786714285711</v>
      </c>
      <c r="Q495" s="16" cm="1">
        <f t="array" ref="Q495">_xlfn.XLOOKUP(O495,BSFC!$A$2:$A$24,_xlfn.XLOOKUP(K495,BSFC!$B$1:$O$1,BSFC!$B$2:$O$24,,-1),,-1)</f>
        <v>520</v>
      </c>
      <c r="R495" s="17">
        <f t="shared" si="80"/>
        <v>1.425663585873016</v>
      </c>
      <c r="S495" s="16">
        <f t="shared" si="82"/>
        <v>2.1642469383392464E-4</v>
      </c>
      <c r="T495" s="17">
        <f t="shared" si="86"/>
        <v>0.11254084079364081</v>
      </c>
      <c r="U495" s="16">
        <f t="shared" si="87"/>
        <v>67.945987448278942</v>
      </c>
      <c r="V495" s="17">
        <f t="shared" si="88"/>
        <v>0.14387611977459849</v>
      </c>
      <c r="W495" s="16">
        <f t="shared" si="83"/>
        <v>517954.0311885546</v>
      </c>
      <c r="X495">
        <f>('Hybrid Info'!$A$2-Track!P495)*(L495-L494)*1000+X494</f>
        <v>-24196.376568655713</v>
      </c>
    </row>
    <row r="496" spans="1:24">
      <c r="A496" s="16">
        <f t="shared" si="84"/>
        <v>495</v>
      </c>
      <c r="B496" s="17">
        <f t="shared" si="85"/>
        <v>12.715339008811675</v>
      </c>
      <c r="C496" s="16">
        <f>Specification!$G$29</f>
        <v>164.943378</v>
      </c>
      <c r="D496" s="17">
        <f>0.5*Specification!$K$4*Track!B496^2*Specification!$K$3*Specification!$K$2</f>
        <v>83.743161939991268</v>
      </c>
      <c r="E496" s="16">
        <v>0</v>
      </c>
      <c r="F496" s="17">
        <f>Specification!$C$23*9.81*SIN((E496*PI()/180))</f>
        <v>0</v>
      </c>
      <c r="G496" s="18">
        <f>IF(J496=1,VLOOKUP(K496,RPM!$E$2:$H$62,3,FALSE)-F496-E496-D496,IF(J496=2,VLOOKUP(K496,RPM!$H$2:$K$62,3,FALSE)-F496-E496-D496,IF(J496=3,VLOOKUP(K496,RPM!$K$2:$N$62,3,FALSE)-F496-E496-D496)))</f>
        <v>697.90194492165097</v>
      </c>
      <c r="H496" s="19">
        <f>IF(J496=1,Specification!$I$14,IF(J496=2,Specification!$I$15,IF(J496=3,Specification!$I$16)))</f>
        <v>582.50936296077191</v>
      </c>
      <c r="I496" s="16">
        <f t="shared" si="89"/>
        <v>1.198095669010989</v>
      </c>
      <c r="J496" s="17">
        <v>2</v>
      </c>
      <c r="K496" s="16">
        <f>IF(J496=1,VLOOKUP(B496,RPM!$F$2:$H$62,3,TRUE),IF(J496=2,VLOOKUP(B496,RPM!$I$2:$K$62,3,TRUE),IF(J496=3,VLOOKUP(B496,RPM!$L$2:$N$62,3,TRUE))))</f>
        <v>7000</v>
      </c>
      <c r="L496" s="17">
        <f t="shared" si="81"/>
        <v>41.233993706399851</v>
      </c>
      <c r="M496" s="16">
        <f t="shared" si="78"/>
        <v>0</v>
      </c>
      <c r="N496" s="17">
        <f>VLOOKUP(K496,RPM!$A$2:$D$62,3,FALSE)</f>
        <v>13</v>
      </c>
      <c r="O496" s="16">
        <f>VLOOKUP(K496,RPM!$A$2:$D$62,4,FALSE)</f>
        <v>13.235857142857142</v>
      </c>
      <c r="P496" s="17">
        <f t="shared" si="79"/>
        <v>9.8699786714285711</v>
      </c>
      <c r="Q496" s="16" cm="1">
        <f t="array" ref="Q496">_xlfn.XLOOKUP(O496,BSFC!$A$2:$A$24,_xlfn.XLOOKUP(K496,BSFC!$B$1:$O$1,BSFC!$B$2:$O$24,,-1),,-1)</f>
        <v>520</v>
      </c>
      <c r="R496" s="17">
        <f t="shared" si="80"/>
        <v>1.425663585873016</v>
      </c>
      <c r="S496" s="16">
        <f t="shared" si="82"/>
        <v>2.1482534328611942E-4</v>
      </c>
      <c r="T496" s="17">
        <f t="shared" si="86"/>
        <v>0.11170917850878211</v>
      </c>
      <c r="U496" s="16">
        <f t="shared" si="87"/>
        <v>68.057696626787717</v>
      </c>
      <c r="V496" s="17">
        <f t="shared" si="88"/>
        <v>0.14409094511788462</v>
      </c>
      <c r="W496" s="16">
        <f t="shared" si="83"/>
        <v>518727.40242438461</v>
      </c>
      <c r="X496">
        <f>('Hybrid Info'!$A$2-Track!P496)*(L496-L495)*1000+X495</f>
        <v>-24020.038462489021</v>
      </c>
    </row>
    <row r="497" spans="1:24">
      <c r="A497" s="16">
        <f t="shared" si="84"/>
        <v>496</v>
      </c>
      <c r="B497" s="17">
        <f t="shared" si="85"/>
        <v>12.809216894370625</v>
      </c>
      <c r="C497" s="16">
        <f>Specification!$G$29</f>
        <v>164.943378</v>
      </c>
      <c r="D497" s="17">
        <f>0.5*Specification!$K$4*Track!B497^2*Specification!$K$3*Specification!$K$2</f>
        <v>84.984285333465337</v>
      </c>
      <c r="E497" s="16">
        <v>0</v>
      </c>
      <c r="F497" s="17">
        <f>Specification!$C$23*9.81*SIN((E497*PI()/180))</f>
        <v>0</v>
      </c>
      <c r="G497" s="18">
        <f>IF(J497=1,VLOOKUP(K497,RPM!$E$2:$H$62,3,FALSE)-F497-E497-D497,IF(J497=2,VLOOKUP(K497,RPM!$H$2:$K$62,3,FALSE)-F497-E497-D497,IF(J497=3,VLOOKUP(K497,RPM!$K$2:$N$62,3,FALSE)-F497-E497-D497)))</f>
        <v>696.66082152817694</v>
      </c>
      <c r="H497" s="19">
        <f>IF(J497=1,Specification!$I$14,IF(J497=2,Specification!$I$15,IF(J497=3,Specification!$I$16)))</f>
        <v>582.50936296077191</v>
      </c>
      <c r="I497" s="16">
        <f t="shared" si="89"/>
        <v>1.1959650193212299</v>
      </c>
      <c r="J497" s="17">
        <v>2</v>
      </c>
      <c r="K497" s="16">
        <f>IF(J497=1,VLOOKUP(B497,RPM!$F$2:$H$62,3,TRUE),IF(J497=2,VLOOKUP(B497,RPM!$I$2:$K$62,3,TRUE),IF(J497=3,VLOOKUP(B497,RPM!$L$2:$N$62,3,TRUE))))</f>
        <v>7000</v>
      </c>
      <c r="L497" s="17">
        <f t="shared" si="81"/>
        <v>41.311780021440228</v>
      </c>
      <c r="M497" s="16">
        <f t="shared" si="78"/>
        <v>0</v>
      </c>
      <c r="N497" s="17">
        <f>VLOOKUP(K497,RPM!$A$2:$D$62,3,FALSE)</f>
        <v>13</v>
      </c>
      <c r="O497" s="16">
        <f>VLOOKUP(K497,RPM!$A$2:$D$62,4,FALSE)</f>
        <v>13.235857142857142</v>
      </c>
      <c r="P497" s="17">
        <f t="shared" si="79"/>
        <v>9.8699786714285711</v>
      </c>
      <c r="Q497" s="16" cm="1">
        <f t="array" ref="Q497">_xlfn.XLOOKUP(O497,BSFC!$A$2:$A$24,_xlfn.XLOOKUP(K497,BSFC!$B$1:$O$1,BSFC!$B$2:$O$24,,-1),,-1)</f>
        <v>520</v>
      </c>
      <c r="R497" s="17">
        <f t="shared" si="80"/>
        <v>1.425663585873016</v>
      </c>
      <c r="S497" s="16">
        <f t="shared" si="82"/>
        <v>2.1326368621598586E-4</v>
      </c>
      <c r="T497" s="17">
        <f t="shared" si="86"/>
        <v>0.11089711683231264</v>
      </c>
      <c r="U497" s="16">
        <f t="shared" si="87"/>
        <v>68.168593743620036</v>
      </c>
      <c r="V497" s="17">
        <f t="shared" si="88"/>
        <v>0.14430420880410061</v>
      </c>
      <c r="W497" s="16">
        <f t="shared" si="83"/>
        <v>519495.15169476217</v>
      </c>
      <c r="X497">
        <f>('Hybrid Info'!$A$2-Track!P497)*(L497-L496)*1000+X496</f>
        <v>-23844.982233246239</v>
      </c>
    </row>
    <row r="498" spans="1:24">
      <c r="A498" s="16">
        <f t="shared" si="84"/>
        <v>497</v>
      </c>
      <c r="B498" s="17">
        <f t="shared" si="85"/>
        <v>12.902246606140821</v>
      </c>
      <c r="C498" s="16">
        <f>Specification!$G$29</f>
        <v>164.943378</v>
      </c>
      <c r="D498" s="17">
        <f>0.5*Specification!$K$4*Track!B498^2*Specification!$K$3*Specification!$K$2</f>
        <v>86.223201558312056</v>
      </c>
      <c r="E498" s="16">
        <v>0</v>
      </c>
      <c r="F498" s="17">
        <f>Specification!$C$23*9.81*SIN((E498*PI()/180))</f>
        <v>0</v>
      </c>
      <c r="G498" s="18">
        <f>IF(J498=1,VLOOKUP(K498,RPM!$E$2:$H$62,3,FALSE)-F498-E498-D498,IF(J498=2,VLOOKUP(K498,RPM!$H$2:$K$62,3,FALSE)-F498-E498-D498,IF(J498=3,VLOOKUP(K498,RPM!$K$2:$N$62,3,FALSE)-F498-E498-D498)))</f>
        <v>695.42190530333016</v>
      </c>
      <c r="H498" s="19">
        <f>IF(J498=1,Specification!$I$14,IF(J498=2,Specification!$I$15,IF(J498=3,Specification!$I$16)))</f>
        <v>582.50936296077191</v>
      </c>
      <c r="I498" s="16">
        <f t="shared" si="89"/>
        <v>1.193838158701257</v>
      </c>
      <c r="J498" s="17">
        <v>2</v>
      </c>
      <c r="K498" s="16">
        <f>IF(J498=1,VLOOKUP(B498,RPM!$F$2:$H$62,3,TRUE),IF(J498=2,VLOOKUP(B498,RPM!$I$2:$K$62,3,TRUE),IF(J498=3,VLOOKUP(B498,RPM!$L$2:$N$62,3,TRUE))))</f>
        <v>7000</v>
      </c>
      <c r="L498" s="17">
        <f t="shared" si="81"/>
        <v>41.389009958870076</v>
      </c>
      <c r="M498" s="16">
        <f t="shared" si="78"/>
        <v>0</v>
      </c>
      <c r="N498" s="17">
        <f>VLOOKUP(K498,RPM!$A$2:$D$62,3,FALSE)</f>
        <v>13</v>
      </c>
      <c r="O498" s="16">
        <f>VLOOKUP(K498,RPM!$A$2:$D$62,4,FALSE)</f>
        <v>13.235857142857142</v>
      </c>
      <c r="P498" s="17">
        <f t="shared" si="79"/>
        <v>9.8699786714285711</v>
      </c>
      <c r="Q498" s="16" cm="1">
        <f t="array" ref="Q498">_xlfn.XLOOKUP(O498,BSFC!$A$2:$A$24,_xlfn.XLOOKUP(K498,BSFC!$B$1:$O$1,BSFC!$B$2:$O$24,,-1),,-1)</f>
        <v>520</v>
      </c>
      <c r="R498" s="17">
        <f t="shared" si="80"/>
        <v>1.425663585873016</v>
      </c>
      <c r="S498" s="16">
        <f t="shared" si="82"/>
        <v>2.1173828756343522E-4</v>
      </c>
      <c r="T498" s="17">
        <f t="shared" si="86"/>
        <v>0.11010390953298631</v>
      </c>
      <c r="U498" s="16">
        <f t="shared" si="87"/>
        <v>68.278697653153017</v>
      </c>
      <c r="V498" s="17">
        <f t="shared" si="88"/>
        <v>0.14451594709166404</v>
      </c>
      <c r="W498" s="16">
        <f t="shared" si="83"/>
        <v>520257.40952999052</v>
      </c>
      <c r="X498">
        <f>('Hybrid Info'!$A$2-Track!P498)*(L498-L497)*1000+X497</f>
        <v>-23671.178118420801</v>
      </c>
    </row>
    <row r="499" spans="1:24">
      <c r="A499" s="16">
        <f t="shared" si="84"/>
        <v>498</v>
      </c>
      <c r="B499" s="17">
        <f t="shared" si="85"/>
        <v>12.994446652438681</v>
      </c>
      <c r="C499" s="16">
        <f>Specification!$G$29</f>
        <v>164.943378</v>
      </c>
      <c r="D499" s="17">
        <f>0.5*Specification!$K$4*Track!B499^2*Specification!$K$3*Specification!$K$2</f>
        <v>87.459914539679602</v>
      </c>
      <c r="E499" s="16">
        <v>0</v>
      </c>
      <c r="F499" s="17">
        <f>Specification!$C$23*9.81*SIN((E499*PI()/180))</f>
        <v>0</v>
      </c>
      <c r="G499" s="18">
        <f>IF(J499=1,VLOOKUP(K499,RPM!$E$2:$H$62,3,FALSE)-F499-E499-D499,IF(J499=2,VLOOKUP(K499,RPM!$H$2:$K$62,3,FALSE)-F499-E499-D499,IF(J499=3,VLOOKUP(K499,RPM!$K$2:$N$62,3,FALSE)-F499-E499-D499)))</f>
        <v>694.18519232196263</v>
      </c>
      <c r="H499" s="19">
        <f>IF(J499=1,Specification!$I$14,IF(J499=2,Specification!$I$15,IF(J499=3,Specification!$I$16)))</f>
        <v>582.50936296077191</v>
      </c>
      <c r="I499" s="16">
        <f t="shared" si="89"/>
        <v>1.191715080412727</v>
      </c>
      <c r="J499" s="17">
        <v>2</v>
      </c>
      <c r="K499" s="16">
        <f>IF(J499=1,VLOOKUP(B499,RPM!$F$2:$H$62,3,TRUE),IF(J499=2,VLOOKUP(B499,RPM!$I$2:$K$62,3,TRUE),IF(J499=3,VLOOKUP(B499,RPM!$L$2:$N$62,3,TRUE))))</f>
        <v>7000</v>
      </c>
      <c r="L499" s="17">
        <f t="shared" si="81"/>
        <v>41.465696247670394</v>
      </c>
      <c r="M499" s="16">
        <f t="shared" si="78"/>
        <v>0</v>
      </c>
      <c r="N499" s="17">
        <f>VLOOKUP(K499,RPM!$A$2:$D$62,3,FALSE)</f>
        <v>13</v>
      </c>
      <c r="O499" s="16">
        <f>VLOOKUP(K499,RPM!$A$2:$D$62,4,FALSE)</f>
        <v>13.235857142857142</v>
      </c>
      <c r="P499" s="17">
        <f t="shared" si="79"/>
        <v>9.8699786714285711</v>
      </c>
      <c r="Q499" s="16" cm="1">
        <f t="array" ref="Q499">_xlfn.XLOOKUP(O499,BSFC!$A$2:$A$24,_xlfn.XLOOKUP(K499,BSFC!$B$1:$O$1,BSFC!$B$2:$O$24,,-1),,-1)</f>
        <v>520</v>
      </c>
      <c r="R499" s="17">
        <f t="shared" si="80"/>
        <v>1.425663585873016</v>
      </c>
      <c r="S499" s="16">
        <f t="shared" si="82"/>
        <v>2.1024778745837365E-4</v>
      </c>
      <c r="T499" s="17">
        <f t="shared" si="86"/>
        <v>0.10932884947835429</v>
      </c>
      <c r="U499" s="16">
        <f t="shared" si="87"/>
        <v>68.388026502631377</v>
      </c>
      <c r="V499" s="17">
        <f t="shared" si="88"/>
        <v>0.14472619487912242</v>
      </c>
      <c r="W499" s="16">
        <f t="shared" si="83"/>
        <v>521014.30156484066</v>
      </c>
      <c r="X499">
        <f>('Hybrid Info'!$A$2-Track!P499)*(L499-L498)*1000+X498</f>
        <v>-23498.597471747435</v>
      </c>
    </row>
    <row r="500" spans="1:24">
      <c r="A500" s="16">
        <f t="shared" si="84"/>
        <v>499</v>
      </c>
      <c r="B500" s="17">
        <f t="shared" si="85"/>
        <v>13.085834859262906</v>
      </c>
      <c r="C500" s="16">
        <f>Specification!$G$29</f>
        <v>164.943378</v>
      </c>
      <c r="D500" s="17">
        <f>0.5*Specification!$K$4*Track!B500^2*Specification!$K$3*Specification!$K$2</f>
        <v>88.694428195735966</v>
      </c>
      <c r="E500" s="16">
        <v>0</v>
      </c>
      <c r="F500" s="17">
        <f>Specification!$C$23*9.81*SIN((E500*PI()/180))</f>
        <v>0</v>
      </c>
      <c r="G500" s="18">
        <f>IF(J500=1,VLOOKUP(K500,RPM!$E$2:$H$62,3,FALSE)-F500-E500-D500,IF(J500=2,VLOOKUP(K500,RPM!$H$2:$K$62,3,FALSE)-F500-E500-D500,IF(J500=3,VLOOKUP(K500,RPM!$K$2:$N$62,3,FALSE)-F500-E500-D500)))</f>
        <v>692.95067866590625</v>
      </c>
      <c r="H500" s="19">
        <f>IF(J500=1,Specification!$I$14,IF(J500=2,Specification!$I$15,IF(J500=3,Specification!$I$16)))</f>
        <v>582.50936296077191</v>
      </c>
      <c r="I500" s="16">
        <f t="shared" si="89"/>
        <v>1.1895957777292789</v>
      </c>
      <c r="J500" s="17">
        <v>2</v>
      </c>
      <c r="K500" s="16">
        <f>IF(J500=1,VLOOKUP(B500,RPM!$F$2:$H$62,3,TRUE),IF(J500=2,VLOOKUP(B500,RPM!$I$2:$K$62,3,TRUE),IF(J500=3,VLOOKUP(B500,RPM!$L$2:$N$62,3,TRUE))))</f>
        <v>7000</v>
      </c>
      <c r="L500" s="17">
        <f t="shared" si="81"/>
        <v>41.541851146425849</v>
      </c>
      <c r="M500" s="16">
        <f t="shared" si="78"/>
        <v>0</v>
      </c>
      <c r="N500" s="17">
        <f>VLOOKUP(K500,RPM!$A$2:$D$62,3,FALSE)</f>
        <v>13</v>
      </c>
      <c r="O500" s="16">
        <f>VLOOKUP(K500,RPM!$A$2:$D$62,4,FALSE)</f>
        <v>13.235857142857142</v>
      </c>
      <c r="P500" s="17">
        <f t="shared" si="79"/>
        <v>9.8699786714285711</v>
      </c>
      <c r="Q500" s="16" cm="1">
        <f t="array" ref="Q500">_xlfn.XLOOKUP(O500,BSFC!$A$2:$A$24,_xlfn.XLOOKUP(K500,BSFC!$B$1:$O$1,BSFC!$B$2:$O$24,,-1),,-1)</f>
        <v>520</v>
      </c>
      <c r="R500" s="17">
        <f t="shared" si="80"/>
        <v>1.425663585873016</v>
      </c>
      <c r="S500" s="16">
        <f t="shared" si="82"/>
        <v>2.0879089623365024E-4</v>
      </c>
      <c r="T500" s="17">
        <f t="shared" si="86"/>
        <v>0.10857126604149812</v>
      </c>
      <c r="U500" s="16">
        <f t="shared" si="87"/>
        <v>68.496597768672871</v>
      </c>
      <c r="V500" s="17">
        <f t="shared" si="88"/>
        <v>0.14493498577535607</v>
      </c>
      <c r="W500" s="16">
        <f t="shared" si="83"/>
        <v>521765.94879128184</v>
      </c>
      <c r="X500">
        <f>('Hybrid Info'!$A$2-Track!P500)*(L500-L499)*1000+X499</f>
        <v>-23327.212705576472</v>
      </c>
    </row>
    <row r="501" spans="1:24">
      <c r="A501" s="16">
        <f t="shared" si="84"/>
        <v>500</v>
      </c>
      <c r="B501" s="17">
        <f t="shared" si="85"/>
        <v>13.176428405275795</v>
      </c>
      <c r="C501" s="16">
        <f>Specification!$G$29</f>
        <v>164.943378</v>
      </c>
      <c r="D501" s="17">
        <f>0.5*Specification!$K$4*Track!B501^2*Specification!$K$3*Specification!$K$2</f>
        <v>89.926746437681203</v>
      </c>
      <c r="E501" s="16">
        <v>0</v>
      </c>
      <c r="F501" s="17">
        <f>Specification!$C$23*9.81*SIN((E501*PI()/180))</f>
        <v>0</v>
      </c>
      <c r="G501" s="18">
        <f>IF(J501=1,VLOOKUP(K501,RPM!$E$2:$H$62,3,FALSE)-F501-E501-D501,IF(J501=2,VLOOKUP(K501,RPM!$H$2:$K$62,3,FALSE)-F501-E501-D501,IF(J501=3,VLOOKUP(K501,RPM!$K$2:$N$62,3,FALSE)-F501-E501-D501)))</f>
        <v>691.71836042396103</v>
      </c>
      <c r="H501" s="19">
        <f>IF(J501=1,Specification!$I$14,IF(J501=2,Specification!$I$15,IF(J501=3,Specification!$I$16)))</f>
        <v>582.50936296077191</v>
      </c>
      <c r="I501" s="16">
        <f t="shared" si="89"/>
        <v>1.1874802439365144</v>
      </c>
      <c r="J501" s="17">
        <v>2</v>
      </c>
      <c r="K501" s="16">
        <f>IF(J501=1,VLOOKUP(B501,RPM!$F$2:$H$62,3,TRUE),IF(J501=2,VLOOKUP(B501,RPM!$I$2:$K$62,3,TRUE),IF(J501=3,VLOOKUP(B501,RPM!$L$2:$N$62,3,TRUE))))</f>
        <v>7000</v>
      </c>
      <c r="L501" s="17">
        <f t="shared" si="81"/>
        <v>41.617486467256938</v>
      </c>
      <c r="M501" s="16">
        <f t="shared" si="78"/>
        <v>0</v>
      </c>
      <c r="N501" s="17">
        <f>VLOOKUP(K501,RPM!$A$2:$D$62,3,FALSE)</f>
        <v>13</v>
      </c>
      <c r="O501" s="16">
        <f>VLOOKUP(K501,RPM!$A$2:$D$62,4,FALSE)</f>
        <v>13.235857142857142</v>
      </c>
      <c r="P501" s="17">
        <f t="shared" si="79"/>
        <v>9.8699786714285711</v>
      </c>
      <c r="Q501" s="16" cm="1">
        <f t="array" ref="Q501">_xlfn.XLOOKUP(O501,BSFC!$A$2:$A$24,_xlfn.XLOOKUP(K501,BSFC!$B$1:$O$1,BSFC!$B$2:$O$24,,-1),,-1)</f>
        <v>520</v>
      </c>
      <c r="R501" s="17">
        <f t="shared" si="80"/>
        <v>1.425663585873016</v>
      </c>
      <c r="S501" s="16">
        <f t="shared" si="82"/>
        <v>2.0736638983597601E-4</v>
      </c>
      <c r="T501" s="17">
        <f t="shared" si="86"/>
        <v>0.10783052271470753</v>
      </c>
      <c r="U501" s="16">
        <f t="shared" si="87"/>
        <v>68.604428291387578</v>
      </c>
      <c r="V501" s="17">
        <f t="shared" si="88"/>
        <v>0.14514235216519206</v>
      </c>
      <c r="W501" s="16">
        <f t="shared" si="83"/>
        <v>522512.46779469139</v>
      </c>
      <c r="X501">
        <f>('Hybrid Info'!$A$2-Track!P501)*(L501-L500)*1000+X500</f>
        <v>-23156.997237015123</v>
      </c>
    </row>
    <row r="502" spans="1:24">
      <c r="A502" s="16">
        <f t="shared" si="84"/>
        <v>501</v>
      </c>
      <c r="B502" s="17">
        <f t="shared" si="85"/>
        <v>13.266243854506515</v>
      </c>
      <c r="C502" s="16">
        <f>Specification!$G$29</f>
        <v>164.943378</v>
      </c>
      <c r="D502" s="17">
        <f>0.5*Specification!$K$4*Track!B502^2*Specification!$K$3*Specification!$K$2</f>
        <v>91.156873169759734</v>
      </c>
      <c r="E502" s="16">
        <v>0</v>
      </c>
      <c r="F502" s="17">
        <f>Specification!$C$23*9.81*SIN((E502*PI()/180))</f>
        <v>0</v>
      </c>
      <c r="G502" s="18">
        <f>IF(J502=1,VLOOKUP(K502,RPM!$E$2:$H$62,3,FALSE)-F502-E502-D502,IF(J502=2,VLOOKUP(K502,RPM!$H$2:$K$62,3,FALSE)-F502-E502-D502,IF(J502=3,VLOOKUP(K502,RPM!$K$2:$N$62,3,FALSE)-F502-E502-D502)))</f>
        <v>690.48823369188256</v>
      </c>
      <c r="H502" s="19">
        <f>IF(J502=1,Specification!$I$14,IF(J502=2,Specification!$I$15,IF(J502=3,Specification!$I$16)))</f>
        <v>582.50936296077191</v>
      </c>
      <c r="I502" s="16">
        <f t="shared" si="89"/>
        <v>1.1853684723319757</v>
      </c>
      <c r="J502" s="17">
        <v>2</v>
      </c>
      <c r="K502" s="16">
        <f>IF(J502=1,VLOOKUP(B502,RPM!$F$2:$H$62,3,TRUE),IF(J502=2,VLOOKUP(B502,RPM!$I$2:$K$62,3,TRUE),IF(J502=3,VLOOKUP(B502,RPM!$L$2:$N$62,3,TRUE))))</f>
        <v>7000</v>
      </c>
      <c r="L502" s="17">
        <f t="shared" si="81"/>
        <v>41.692613598210215</v>
      </c>
      <c r="M502" s="16">
        <f t="shared" si="78"/>
        <v>0</v>
      </c>
      <c r="N502" s="17">
        <f>VLOOKUP(K502,RPM!$A$2:$D$62,3,FALSE)</f>
        <v>13</v>
      </c>
      <c r="O502" s="16">
        <f>VLOOKUP(K502,RPM!$A$2:$D$62,4,FALSE)</f>
        <v>13.235857142857142</v>
      </c>
      <c r="P502" s="17">
        <f t="shared" si="79"/>
        <v>9.8699786714285711</v>
      </c>
      <c r="Q502" s="16" cm="1">
        <f t="array" ref="Q502">_xlfn.XLOOKUP(O502,BSFC!$A$2:$A$24,_xlfn.XLOOKUP(K502,BSFC!$B$1:$O$1,BSFC!$B$2:$O$24,,-1),,-1)</f>
        <v>520</v>
      </c>
      <c r="R502" s="17">
        <f t="shared" si="80"/>
        <v>1.425663585873016</v>
      </c>
      <c r="S502" s="16">
        <f t="shared" si="82"/>
        <v>2.059731055984621E-4</v>
      </c>
      <c r="T502" s="17">
        <f t="shared" si="86"/>
        <v>0.1071060149112003</v>
      </c>
      <c r="U502" s="16">
        <f t="shared" si="87"/>
        <v>68.711534306298773</v>
      </c>
      <c r="V502" s="17">
        <f t="shared" si="88"/>
        <v>0.14534832527079053</v>
      </c>
      <c r="W502" s="16">
        <f t="shared" si="83"/>
        <v>523253.97097484587</v>
      </c>
      <c r="X502">
        <f>('Hybrid Info'!$A$2-Track!P502)*(L502-L501)*1000+X501</f>
        <v>-22987.92543753879</v>
      </c>
    </row>
    <row r="503" spans="1:24">
      <c r="A503" s="16">
        <f t="shared" si="84"/>
        <v>502</v>
      </c>
      <c r="B503" s="17">
        <f t="shared" si="85"/>
        <v>13.355297186955287</v>
      </c>
      <c r="C503" s="16">
        <f>Specification!$G$29</f>
        <v>164.943378</v>
      </c>
      <c r="D503" s="17">
        <f>0.5*Specification!$K$4*Track!B503^2*Specification!$K$3*Specification!$K$2</f>
        <v>92.384812289272858</v>
      </c>
      <c r="E503" s="16">
        <v>0</v>
      </c>
      <c r="F503" s="17">
        <f>Specification!$C$23*9.81*SIN((E503*PI()/180))</f>
        <v>0</v>
      </c>
      <c r="G503" s="18">
        <f>IF(J503=1,VLOOKUP(K503,RPM!$E$2:$H$62,3,FALSE)-F503-E503-D503,IF(J503=2,VLOOKUP(K503,RPM!$H$2:$K$62,3,FALSE)-F503-E503-D503,IF(J503=3,VLOOKUP(K503,RPM!$K$2:$N$62,3,FALSE)-F503-E503-D503)))</f>
        <v>689.26029457236939</v>
      </c>
      <c r="H503" s="19">
        <f>IF(J503=1,Specification!$I$14,IF(J503=2,Specification!$I$15,IF(J503=3,Specification!$I$16)))</f>
        <v>582.50936296077191</v>
      </c>
      <c r="I503" s="16">
        <f t="shared" si="89"/>
        <v>1.1832604562251241</v>
      </c>
      <c r="J503" s="17">
        <v>2</v>
      </c>
      <c r="K503" s="16">
        <f>IF(J503=1,VLOOKUP(B503,RPM!$F$2:$H$62,3,TRUE),IF(J503=2,VLOOKUP(B503,RPM!$I$2:$K$62,3,TRUE),IF(J503=3,VLOOKUP(B503,RPM!$L$2:$N$62,3,TRUE))))</f>
        <v>7000</v>
      </c>
      <c r="L503" s="17">
        <f t="shared" si="81"/>
        <v>41.739858321677993</v>
      </c>
      <c r="M503" s="16">
        <f t="shared" si="78"/>
        <v>0</v>
      </c>
      <c r="N503" s="17">
        <f>VLOOKUP(K503,RPM!$A$2:$D$62,3,FALSE)</f>
        <v>13</v>
      </c>
      <c r="O503" s="16">
        <f>VLOOKUP(K503,RPM!$A$2:$D$62,4,FALSE)</f>
        <v>13.235857142857142</v>
      </c>
      <c r="P503" s="17">
        <f t="shared" si="79"/>
        <v>9.8699786714285711</v>
      </c>
      <c r="Q503" s="16" cm="1">
        <f t="array" ref="Q503">_xlfn.XLOOKUP(O503,BSFC!$A$2:$A$24,_xlfn.XLOOKUP(K503,BSFC!$B$1:$O$1,BSFC!$B$2:$O$24,,-1),,-1)</f>
        <v>520</v>
      </c>
      <c r="R503" s="17">
        <f t="shared" si="80"/>
        <v>1.425663585873016</v>
      </c>
      <c r="S503" s="16">
        <f t="shared" si="82"/>
        <v>1.2952900360125081E-4</v>
      </c>
      <c r="T503" s="17">
        <f t="shared" si="86"/>
        <v>6.7355081872650421E-2</v>
      </c>
      <c r="U503" s="16">
        <f t="shared" si="87"/>
        <v>68.778889388171422</v>
      </c>
      <c r="V503" s="17">
        <f t="shared" si="88"/>
        <v>0.14547785427439178</v>
      </c>
      <c r="W503" s="16">
        <f t="shared" si="83"/>
        <v>523720.27538781037</v>
      </c>
      <c r="X503">
        <f>('Hybrid Info'!$A$2-Track!P503)*(L503-L502)*1000+X502</f>
        <v>-22881.602324821673</v>
      </c>
    </row>
    <row r="504" spans="1:24">
      <c r="A504" s="16">
        <f t="shared" si="84"/>
        <v>503</v>
      </c>
      <c r="B504" s="17">
        <f t="shared" si="85"/>
        <v>13.411199999999999</v>
      </c>
      <c r="C504" s="16">
        <f>Specification!$G$29</f>
        <v>164.943378</v>
      </c>
      <c r="D504" s="17">
        <f>0.5*Specification!$K$4*Track!B504^2*Specification!$K$3*Specification!$K$2</f>
        <v>93.159842569492653</v>
      </c>
      <c r="E504" s="16">
        <v>0</v>
      </c>
      <c r="F504" s="17">
        <f>Specification!$C$23*9.81*SIN((E504*PI()/180))</f>
        <v>0</v>
      </c>
      <c r="G504" s="18">
        <f>IF(J504=1,VLOOKUP(K504,RPM!$E$2:$H$62,3,FALSE)-F504-E504-D504,IF(J504=2,VLOOKUP(K504,RPM!$H$2:$K$62,3,FALSE)-F504-E504-D504,IF(J504=3,VLOOKUP(K504,RPM!$K$2:$N$62,3,FALSE)-F504-E504-D504)))</f>
        <v>688.48526429214962</v>
      </c>
      <c r="H504" s="19">
        <f>IF(J504=1,Specification!$I$14,IF(J504=2,Specification!$I$15,IF(J504=3,Specification!$I$16)))</f>
        <v>582.50936296077191</v>
      </c>
      <c r="I504" s="16">
        <f t="shared" si="89"/>
        <v>1.1819299535250809</v>
      </c>
      <c r="J504" s="17">
        <v>2</v>
      </c>
      <c r="K504" s="16">
        <f>IF(J504=1,VLOOKUP(B504,RPM!$F$2:$H$62,3,TRUE),IF(J504=2,VLOOKUP(B504,RPM!$I$2:$K$62,3,TRUE),IF(J504=3,VLOOKUP(B504,RPM!$L$2:$N$62,3,TRUE))))</f>
        <v>7000</v>
      </c>
      <c r="L504" s="17">
        <f t="shared" si="81"/>
        <v>41.814422864746476</v>
      </c>
      <c r="M504" s="16">
        <f t="shared" si="78"/>
        <v>0</v>
      </c>
      <c r="N504" s="17">
        <f>VLOOKUP(K504,RPM!$A$2:$D$62,3,FALSE)</f>
        <v>13</v>
      </c>
      <c r="O504" s="16">
        <f>VLOOKUP(K504,RPM!$A$2:$D$62,4,FALSE)</f>
        <v>13.235857142857142</v>
      </c>
      <c r="P504" s="17">
        <f t="shared" si="79"/>
        <v>9.8699786714285711</v>
      </c>
      <c r="Q504" s="16" cm="1">
        <f t="array" ref="Q504">_xlfn.XLOOKUP(O504,BSFC!$A$2:$A$24,_xlfn.XLOOKUP(K504,BSFC!$B$1:$O$1,BSFC!$B$2:$O$24,,-1),,-1)</f>
        <v>520</v>
      </c>
      <c r="R504" s="17">
        <f t="shared" si="80"/>
        <v>1.425663585873016</v>
      </c>
      <c r="S504" s="16">
        <f t="shared" si="82"/>
        <v>2.0443068048076269E-4</v>
      </c>
      <c r="T504" s="17">
        <f t="shared" si="86"/>
        <v>0.10630395384999659</v>
      </c>
      <c r="U504" s="16">
        <f t="shared" si="87"/>
        <v>68.885193342021424</v>
      </c>
      <c r="V504" s="17">
        <f t="shared" si="88"/>
        <v>0.14568228495487254</v>
      </c>
      <c r="W504" s="16">
        <f t="shared" si="83"/>
        <v>524456.22583754105</v>
      </c>
      <c r="X504">
        <f>('Hybrid Info'!$A$2-Track!P504)*(L504-L503)*1000+X503</f>
        <v>-22713.796615835407</v>
      </c>
    </row>
    <row r="505" spans="1:24">
      <c r="A505" s="16">
        <f t="shared" si="84"/>
        <v>504</v>
      </c>
      <c r="B505" s="17">
        <f t="shared" si="85"/>
        <v>13.411199999999999</v>
      </c>
      <c r="C505" s="16">
        <f>Specification!$G$29</f>
        <v>164.943378</v>
      </c>
      <c r="D505" s="17">
        <f>0.5*Specification!$K$4*Track!B505^2*Specification!$K$3*Specification!$K$2</f>
        <v>93.159842569492653</v>
      </c>
      <c r="E505" s="16">
        <v>0</v>
      </c>
      <c r="F505" s="17">
        <f>Specification!$C$23*9.81*SIN((E505*PI()/180))</f>
        <v>0</v>
      </c>
      <c r="G505" s="18">
        <f>IF(J505=1,VLOOKUP(K505,RPM!$E$2:$H$62,3,FALSE)-F505-E505-D505,IF(J505=2,VLOOKUP(K505,RPM!$H$2:$K$62,3,FALSE)-F505-E505-D505,IF(J505=3,VLOOKUP(K505,RPM!$K$2:$N$62,3,FALSE)-F505-E505-D505)))</f>
        <v>688.48526429214962</v>
      </c>
      <c r="H505" s="19">
        <f>IF(J505=1,Specification!$I$14,IF(J505=2,Specification!$I$15,IF(J505=3,Specification!$I$16)))</f>
        <v>582.50936296077191</v>
      </c>
      <c r="I505" s="16">
        <f t="shared" si="89"/>
        <v>1.1819299535250809</v>
      </c>
      <c r="J505" s="17">
        <v>2</v>
      </c>
      <c r="K505" s="16">
        <f>IF(J505=1,VLOOKUP(B505,RPM!$F$2:$H$62,3,TRUE),IF(J505=2,VLOOKUP(B505,RPM!$I$2:$K$62,3,TRUE),IF(J505=3,VLOOKUP(B505,RPM!$L$2:$N$62,3,TRUE))))</f>
        <v>7000</v>
      </c>
      <c r="L505" s="17">
        <f t="shared" si="81"/>
        <v>41.888987407814959</v>
      </c>
      <c r="M505" s="16">
        <f t="shared" si="78"/>
        <v>0</v>
      </c>
      <c r="N505" s="17">
        <f>VLOOKUP(K505,RPM!$A$2:$D$62,3,FALSE)</f>
        <v>13</v>
      </c>
      <c r="O505" s="16">
        <f>VLOOKUP(K505,RPM!$A$2:$D$62,4,FALSE)</f>
        <v>13.235857142857142</v>
      </c>
      <c r="P505" s="17">
        <f t="shared" si="79"/>
        <v>9.8699786714285711</v>
      </c>
      <c r="Q505" s="16" cm="1">
        <f t="array" ref="Q505">_xlfn.XLOOKUP(O505,BSFC!$A$2:$A$24,_xlfn.XLOOKUP(K505,BSFC!$B$1:$O$1,BSFC!$B$2:$O$24,,-1),,-1)</f>
        <v>520</v>
      </c>
      <c r="R505" s="17">
        <f t="shared" si="80"/>
        <v>1.425663585873016</v>
      </c>
      <c r="S505" s="16">
        <f t="shared" si="82"/>
        <v>2.0443068048076269E-4</v>
      </c>
      <c r="T505" s="17">
        <f t="shared" si="86"/>
        <v>0.10630395384999659</v>
      </c>
      <c r="U505" s="16">
        <f t="shared" si="87"/>
        <v>68.991497295871426</v>
      </c>
      <c r="V505" s="17">
        <f t="shared" si="88"/>
        <v>0.1458867156353533</v>
      </c>
      <c r="W505" s="16">
        <f t="shared" si="83"/>
        <v>525192.1762872719</v>
      </c>
      <c r="X505">
        <f>('Hybrid Info'!$A$2-Track!P505)*(L505-L504)*1000+X504</f>
        <v>-22545.99090684914</v>
      </c>
    </row>
    <row r="506" spans="1:24">
      <c r="A506" s="16">
        <f t="shared" si="84"/>
        <v>505</v>
      </c>
      <c r="B506" s="17">
        <f t="shared" si="85"/>
        <v>13.411199999999999</v>
      </c>
      <c r="C506" s="16">
        <f>Specification!$G$29</f>
        <v>164.943378</v>
      </c>
      <c r="D506" s="17">
        <f>0.5*Specification!$K$4*Track!B506^2*Specification!$K$3*Specification!$K$2</f>
        <v>93.159842569492653</v>
      </c>
      <c r="E506" s="16">
        <v>0</v>
      </c>
      <c r="F506" s="17">
        <f>Specification!$C$23*9.81*SIN((E506*PI()/180))</f>
        <v>0</v>
      </c>
      <c r="G506" s="18">
        <f>IF(J506=1,VLOOKUP(K506,RPM!$E$2:$H$62,3,FALSE)-F506-E506-D506,IF(J506=2,VLOOKUP(K506,RPM!$H$2:$K$62,3,FALSE)-F506-E506-D506,IF(J506=3,VLOOKUP(K506,RPM!$K$2:$N$62,3,FALSE)-F506-E506-D506)))</f>
        <v>688.48526429214962</v>
      </c>
      <c r="H506" s="19">
        <f>IF(J506=1,Specification!$I$14,IF(J506=2,Specification!$I$15,IF(J506=3,Specification!$I$16)))</f>
        <v>582.50936296077191</v>
      </c>
      <c r="I506" s="16">
        <f t="shared" si="89"/>
        <v>1.1819299535250809</v>
      </c>
      <c r="J506" s="17">
        <v>2</v>
      </c>
      <c r="K506" s="16">
        <f>IF(J506=1,VLOOKUP(B506,RPM!$F$2:$H$62,3,TRUE),IF(J506=2,VLOOKUP(B506,RPM!$I$2:$K$62,3,TRUE),IF(J506=3,VLOOKUP(B506,RPM!$L$2:$N$62,3,TRUE))))</f>
        <v>7000</v>
      </c>
      <c r="L506" s="17">
        <f t="shared" si="81"/>
        <v>41.963551950883442</v>
      </c>
      <c r="M506" s="16">
        <f t="shared" si="78"/>
        <v>0</v>
      </c>
      <c r="N506" s="17">
        <f>VLOOKUP(K506,RPM!$A$2:$D$62,3,FALSE)</f>
        <v>13</v>
      </c>
      <c r="O506" s="16">
        <f>VLOOKUP(K506,RPM!$A$2:$D$62,4,FALSE)</f>
        <v>13.235857142857142</v>
      </c>
      <c r="P506" s="17">
        <f t="shared" si="79"/>
        <v>9.8699786714285711</v>
      </c>
      <c r="Q506" s="16" cm="1">
        <f t="array" ref="Q506">_xlfn.XLOOKUP(O506,BSFC!$A$2:$A$24,_xlfn.XLOOKUP(K506,BSFC!$B$1:$O$1,BSFC!$B$2:$O$24,,-1),,-1)</f>
        <v>520</v>
      </c>
      <c r="R506" s="17">
        <f t="shared" si="80"/>
        <v>1.425663585873016</v>
      </c>
      <c r="S506" s="16">
        <f t="shared" si="82"/>
        <v>2.0443068048076269E-4</v>
      </c>
      <c r="T506" s="17">
        <f t="shared" si="86"/>
        <v>0.10630395384999659</v>
      </c>
      <c r="U506" s="16">
        <f t="shared" si="87"/>
        <v>69.097801249721428</v>
      </c>
      <c r="V506" s="17">
        <f t="shared" si="88"/>
        <v>0.14609114631583406</v>
      </c>
      <c r="W506" s="16">
        <f t="shared" si="83"/>
        <v>525928.12673700263</v>
      </c>
      <c r="X506">
        <f>('Hybrid Info'!$A$2-Track!P506)*(L506-L505)*1000+X505</f>
        <v>-22378.185197862873</v>
      </c>
    </row>
    <row r="507" spans="1:24">
      <c r="A507" s="16">
        <f t="shared" si="84"/>
        <v>506</v>
      </c>
      <c r="B507" s="17">
        <f t="shared" si="85"/>
        <v>13.411199999999999</v>
      </c>
      <c r="C507" s="16">
        <f>Specification!$G$29</f>
        <v>164.943378</v>
      </c>
      <c r="D507" s="17">
        <f>0.5*Specification!$K$4*Track!B507^2*Specification!$K$3*Specification!$K$2</f>
        <v>93.159842569492653</v>
      </c>
      <c r="E507" s="16">
        <v>0</v>
      </c>
      <c r="F507" s="17">
        <f>Specification!$C$23*9.81*SIN((E507*PI()/180))</f>
        <v>0</v>
      </c>
      <c r="G507" s="18">
        <f>IF(J507=1,VLOOKUP(K507,RPM!$E$2:$H$62,3,FALSE)-F507-E507-D507,IF(J507=2,VLOOKUP(K507,RPM!$H$2:$K$62,3,FALSE)-F507-E507-D507,IF(J507=3,VLOOKUP(K507,RPM!$K$2:$N$62,3,FALSE)-F507-E507-D507)))</f>
        <v>688.48526429214962</v>
      </c>
      <c r="H507" s="19">
        <f>IF(J507=1,Specification!$I$14,IF(J507=2,Specification!$I$15,IF(J507=3,Specification!$I$16)))</f>
        <v>582.50936296077191</v>
      </c>
      <c r="I507" s="16">
        <f t="shared" si="89"/>
        <v>1.1819299535250809</v>
      </c>
      <c r="J507" s="17">
        <v>2</v>
      </c>
      <c r="K507" s="16">
        <f>IF(J507=1,VLOOKUP(B507,RPM!$F$2:$H$62,3,TRUE),IF(J507=2,VLOOKUP(B507,RPM!$I$2:$K$62,3,TRUE),IF(J507=3,VLOOKUP(B507,RPM!$L$2:$N$62,3,TRUE))))</f>
        <v>7000</v>
      </c>
      <c r="L507" s="17">
        <f t="shared" si="81"/>
        <v>42.038116493951925</v>
      </c>
      <c r="M507" s="16">
        <f t="shared" si="78"/>
        <v>0</v>
      </c>
      <c r="N507" s="17">
        <f>VLOOKUP(K507,RPM!$A$2:$D$62,3,FALSE)</f>
        <v>13</v>
      </c>
      <c r="O507" s="16">
        <f>VLOOKUP(K507,RPM!$A$2:$D$62,4,FALSE)</f>
        <v>13.235857142857142</v>
      </c>
      <c r="P507" s="17">
        <f t="shared" si="79"/>
        <v>9.8699786714285711</v>
      </c>
      <c r="Q507" s="16" cm="1">
        <f t="array" ref="Q507">_xlfn.XLOOKUP(O507,BSFC!$A$2:$A$24,_xlfn.XLOOKUP(K507,BSFC!$B$1:$O$1,BSFC!$B$2:$O$24,,-1),,-1)</f>
        <v>520</v>
      </c>
      <c r="R507" s="17">
        <f t="shared" si="80"/>
        <v>1.425663585873016</v>
      </c>
      <c r="S507" s="16">
        <f t="shared" si="82"/>
        <v>2.0443068048076269E-4</v>
      </c>
      <c r="T507" s="17">
        <f t="shared" si="86"/>
        <v>0.10630395384999659</v>
      </c>
      <c r="U507" s="16">
        <f t="shared" si="87"/>
        <v>69.20410520357143</v>
      </c>
      <c r="V507" s="17">
        <f t="shared" si="88"/>
        <v>0.14629557699631482</v>
      </c>
      <c r="W507" s="16">
        <f t="shared" si="83"/>
        <v>526664.07718673337</v>
      </c>
      <c r="X507">
        <f>('Hybrid Info'!$A$2-Track!P507)*(L507-L506)*1000+X506</f>
        <v>-22210.379488876606</v>
      </c>
    </row>
    <row r="508" spans="1:24">
      <c r="A508" s="16">
        <f t="shared" si="84"/>
        <v>507</v>
      </c>
      <c r="B508" s="17">
        <f t="shared" si="85"/>
        <v>13.411199999999999</v>
      </c>
      <c r="C508" s="16">
        <f>Specification!$G$29</f>
        <v>164.943378</v>
      </c>
      <c r="D508" s="17">
        <f>0.5*Specification!$K$4*Track!B508^2*Specification!$K$3*Specification!$K$2</f>
        <v>93.159842569492653</v>
      </c>
      <c r="E508" s="16">
        <v>0</v>
      </c>
      <c r="F508" s="17">
        <f>Specification!$C$23*9.81*SIN((E508*PI()/180))</f>
        <v>0</v>
      </c>
      <c r="G508" s="18">
        <f>IF(J508=1,VLOOKUP(K508,RPM!$E$2:$H$62,3,FALSE)-F508-E508-D508,IF(J508=2,VLOOKUP(K508,RPM!$H$2:$K$62,3,FALSE)-F508-E508-D508,IF(J508=3,VLOOKUP(K508,RPM!$K$2:$N$62,3,FALSE)-F508-E508-D508)))</f>
        <v>688.48526429214962</v>
      </c>
      <c r="H508" s="19">
        <f>IF(J508=1,Specification!$I$14,IF(J508=2,Specification!$I$15,IF(J508=3,Specification!$I$16)))</f>
        <v>582.50936296077191</v>
      </c>
      <c r="I508" s="16">
        <f t="shared" si="89"/>
        <v>1.1819299535250809</v>
      </c>
      <c r="J508" s="17">
        <v>2</v>
      </c>
      <c r="K508" s="16">
        <f>IF(J508=1,VLOOKUP(B508,RPM!$F$2:$H$62,3,TRUE),IF(J508=2,VLOOKUP(B508,RPM!$I$2:$K$62,3,TRUE),IF(J508=3,VLOOKUP(B508,RPM!$L$2:$N$62,3,TRUE))))</f>
        <v>7000</v>
      </c>
      <c r="L508" s="17">
        <f t="shared" si="81"/>
        <v>42.112681037020408</v>
      </c>
      <c r="M508" s="16">
        <f t="shared" si="78"/>
        <v>0</v>
      </c>
      <c r="N508" s="17">
        <f>VLOOKUP(K508,RPM!$A$2:$D$62,3,FALSE)</f>
        <v>13</v>
      </c>
      <c r="O508" s="16">
        <f>VLOOKUP(K508,RPM!$A$2:$D$62,4,FALSE)</f>
        <v>13.235857142857142</v>
      </c>
      <c r="P508" s="17">
        <f t="shared" si="79"/>
        <v>9.8699786714285711</v>
      </c>
      <c r="Q508" s="16" cm="1">
        <f t="array" ref="Q508">_xlfn.XLOOKUP(O508,BSFC!$A$2:$A$24,_xlfn.XLOOKUP(K508,BSFC!$B$1:$O$1,BSFC!$B$2:$O$24,,-1),,-1)</f>
        <v>520</v>
      </c>
      <c r="R508" s="17">
        <f t="shared" si="80"/>
        <v>1.425663585873016</v>
      </c>
      <c r="S508" s="16">
        <f t="shared" si="82"/>
        <v>2.0443068048076269E-4</v>
      </c>
      <c r="T508" s="17">
        <f t="shared" si="86"/>
        <v>0.10630395384999659</v>
      </c>
      <c r="U508" s="16">
        <f t="shared" si="87"/>
        <v>69.310409157421432</v>
      </c>
      <c r="V508" s="17">
        <f t="shared" si="88"/>
        <v>0.14650000767679558</v>
      </c>
      <c r="W508" s="16">
        <f t="shared" si="83"/>
        <v>527400.0276364641</v>
      </c>
      <c r="X508">
        <f>('Hybrid Info'!$A$2-Track!P508)*(L508-L507)*1000+X507</f>
        <v>-22042.573779890339</v>
      </c>
    </row>
    <row r="509" spans="1:24">
      <c r="A509" s="16">
        <f t="shared" si="84"/>
        <v>508</v>
      </c>
      <c r="B509" s="17">
        <f t="shared" si="85"/>
        <v>13.411199999999999</v>
      </c>
      <c r="C509" s="16">
        <f>Specification!$G$29</f>
        <v>164.943378</v>
      </c>
      <c r="D509" s="17">
        <f>0.5*Specification!$K$4*Track!B509^2*Specification!$K$3*Specification!$K$2</f>
        <v>93.159842569492653</v>
      </c>
      <c r="E509" s="16">
        <v>0</v>
      </c>
      <c r="F509" s="17">
        <f>Specification!$C$23*9.81*SIN((E509*PI()/180))</f>
        <v>0</v>
      </c>
      <c r="G509" s="18">
        <f>IF(J509=1,VLOOKUP(K509,RPM!$E$2:$H$62,3,FALSE)-F509-E509-D509,IF(J509=2,VLOOKUP(K509,RPM!$H$2:$K$62,3,FALSE)-F509-E509-D509,IF(J509=3,VLOOKUP(K509,RPM!$K$2:$N$62,3,FALSE)-F509-E509-D509)))</f>
        <v>688.48526429214962</v>
      </c>
      <c r="H509" s="19">
        <f>IF(J509=1,Specification!$I$14,IF(J509=2,Specification!$I$15,IF(J509=3,Specification!$I$16)))</f>
        <v>582.50936296077191</v>
      </c>
      <c r="I509" s="16">
        <f t="shared" si="89"/>
        <v>1.1819299535250809</v>
      </c>
      <c r="J509" s="17">
        <v>2</v>
      </c>
      <c r="K509" s="16">
        <f>IF(J509=1,VLOOKUP(B509,RPM!$F$2:$H$62,3,TRUE),IF(J509=2,VLOOKUP(B509,RPM!$I$2:$K$62,3,TRUE),IF(J509=3,VLOOKUP(B509,RPM!$L$2:$N$62,3,TRUE))))</f>
        <v>7000</v>
      </c>
      <c r="L509" s="17">
        <f t="shared" si="81"/>
        <v>42.187245580088891</v>
      </c>
      <c r="M509" s="16">
        <f t="shared" si="78"/>
        <v>0</v>
      </c>
      <c r="N509" s="17">
        <f>VLOOKUP(K509,RPM!$A$2:$D$62,3,FALSE)</f>
        <v>13</v>
      </c>
      <c r="O509" s="16">
        <f>VLOOKUP(K509,RPM!$A$2:$D$62,4,FALSE)</f>
        <v>13.235857142857142</v>
      </c>
      <c r="P509" s="17">
        <f t="shared" si="79"/>
        <v>9.8699786714285711</v>
      </c>
      <c r="Q509" s="16" cm="1">
        <f t="array" ref="Q509">_xlfn.XLOOKUP(O509,BSFC!$A$2:$A$24,_xlfn.XLOOKUP(K509,BSFC!$B$1:$O$1,BSFC!$B$2:$O$24,,-1),,-1)</f>
        <v>520</v>
      </c>
      <c r="R509" s="17">
        <f t="shared" si="80"/>
        <v>1.425663585873016</v>
      </c>
      <c r="S509" s="16">
        <f t="shared" si="82"/>
        <v>2.0443068048076269E-4</v>
      </c>
      <c r="T509" s="17">
        <f t="shared" si="86"/>
        <v>0.10630395384999659</v>
      </c>
      <c r="U509" s="16">
        <f t="shared" si="87"/>
        <v>69.416713111271434</v>
      </c>
      <c r="V509" s="17">
        <f t="shared" si="88"/>
        <v>0.14670443835727634</v>
      </c>
      <c r="W509" s="16">
        <f t="shared" si="83"/>
        <v>528135.97808619484</v>
      </c>
      <c r="X509">
        <f>('Hybrid Info'!$A$2-Track!P509)*(L509-L508)*1000+X508</f>
        <v>-21874.768070904072</v>
      </c>
    </row>
    <row r="510" spans="1:24">
      <c r="A510" s="16">
        <f t="shared" si="84"/>
        <v>509</v>
      </c>
      <c r="B510" s="17">
        <f t="shared" si="85"/>
        <v>13.411199999999999</v>
      </c>
      <c r="C510" s="16">
        <f>Specification!$G$29</f>
        <v>164.943378</v>
      </c>
      <c r="D510" s="17">
        <f>0.5*Specification!$K$4*Track!B510^2*Specification!$K$3*Specification!$K$2</f>
        <v>93.159842569492653</v>
      </c>
      <c r="E510" s="16">
        <v>0</v>
      </c>
      <c r="F510" s="17">
        <f>Specification!$C$23*9.81*SIN((E510*PI()/180))</f>
        <v>0</v>
      </c>
      <c r="G510" s="18">
        <f>IF(J510=1,VLOOKUP(K510,RPM!$E$2:$H$62,3,FALSE)-F510-E510-D510,IF(J510=2,VLOOKUP(K510,RPM!$H$2:$K$62,3,FALSE)-F510-E510-D510,IF(J510=3,VLOOKUP(K510,RPM!$K$2:$N$62,3,FALSE)-F510-E510-D510)))</f>
        <v>688.48526429214962</v>
      </c>
      <c r="H510" s="19">
        <f>IF(J510=1,Specification!$I$14,IF(J510=2,Specification!$I$15,IF(J510=3,Specification!$I$16)))</f>
        <v>582.50936296077191</v>
      </c>
      <c r="I510" s="16">
        <f t="shared" si="89"/>
        <v>1.1819299535250809</v>
      </c>
      <c r="J510" s="17">
        <v>2</v>
      </c>
      <c r="K510" s="16">
        <f>IF(J510=1,VLOOKUP(B510,RPM!$F$2:$H$62,3,TRUE),IF(J510=2,VLOOKUP(B510,RPM!$I$2:$K$62,3,TRUE),IF(J510=3,VLOOKUP(B510,RPM!$L$2:$N$62,3,TRUE))))</f>
        <v>7000</v>
      </c>
      <c r="L510" s="17">
        <f t="shared" si="81"/>
        <v>42.261810123157375</v>
      </c>
      <c r="M510" s="16">
        <f t="shared" si="78"/>
        <v>0</v>
      </c>
      <c r="N510" s="17">
        <f>VLOOKUP(K510,RPM!$A$2:$D$62,3,FALSE)</f>
        <v>13</v>
      </c>
      <c r="O510" s="16">
        <f>VLOOKUP(K510,RPM!$A$2:$D$62,4,FALSE)</f>
        <v>13.235857142857142</v>
      </c>
      <c r="P510" s="17">
        <f t="shared" si="79"/>
        <v>9.8699786714285711</v>
      </c>
      <c r="Q510" s="16" cm="1">
        <f t="array" ref="Q510">_xlfn.XLOOKUP(O510,BSFC!$A$2:$A$24,_xlfn.XLOOKUP(K510,BSFC!$B$1:$O$1,BSFC!$B$2:$O$24,,-1),,-1)</f>
        <v>520</v>
      </c>
      <c r="R510" s="17">
        <f t="shared" si="80"/>
        <v>1.425663585873016</v>
      </c>
      <c r="S510" s="16">
        <f t="shared" si="82"/>
        <v>2.0443068048076269E-4</v>
      </c>
      <c r="T510" s="17">
        <f t="shared" si="86"/>
        <v>0.10630395384999659</v>
      </c>
      <c r="U510" s="16">
        <f t="shared" si="87"/>
        <v>69.523017065121437</v>
      </c>
      <c r="V510" s="17">
        <f t="shared" si="88"/>
        <v>0.1469088690377571</v>
      </c>
      <c r="W510" s="16">
        <f t="shared" si="83"/>
        <v>528871.92853592557</v>
      </c>
      <c r="X510">
        <f>('Hybrid Info'!$A$2-Track!P510)*(L510-L509)*1000+X509</f>
        <v>-21706.962361917806</v>
      </c>
    </row>
    <row r="511" spans="1:24">
      <c r="A511" s="16">
        <f t="shared" si="84"/>
        <v>510</v>
      </c>
      <c r="B511" s="17">
        <f t="shared" si="85"/>
        <v>13.411199999999999</v>
      </c>
      <c r="C511" s="16">
        <f>Specification!$G$29</f>
        <v>164.943378</v>
      </c>
      <c r="D511" s="17">
        <f>0.5*Specification!$K$4*Track!B511^2*Specification!$K$3*Specification!$K$2</f>
        <v>93.159842569492653</v>
      </c>
      <c r="E511" s="16">
        <v>0</v>
      </c>
      <c r="F511" s="17">
        <f>Specification!$C$23*9.81*SIN((E511*PI()/180))</f>
        <v>0</v>
      </c>
      <c r="G511" s="18">
        <f>IF(J511=1,VLOOKUP(K511,RPM!$E$2:$H$62,3,FALSE)-F511-E511-D511,IF(J511=2,VLOOKUP(K511,RPM!$H$2:$K$62,3,FALSE)-F511-E511-D511,IF(J511=3,VLOOKUP(K511,RPM!$K$2:$N$62,3,FALSE)-F511-E511-D511)))</f>
        <v>688.48526429214962</v>
      </c>
      <c r="H511" s="19">
        <f>IF(J511=1,Specification!$I$14,IF(J511=2,Specification!$I$15,IF(J511=3,Specification!$I$16)))</f>
        <v>582.50936296077191</v>
      </c>
      <c r="I511" s="16">
        <f t="shared" si="89"/>
        <v>1.1819299535250809</v>
      </c>
      <c r="J511" s="17">
        <v>2</v>
      </c>
      <c r="K511" s="16">
        <f>IF(J511=1,VLOOKUP(B511,RPM!$F$2:$H$62,3,TRUE),IF(J511=2,VLOOKUP(B511,RPM!$I$2:$K$62,3,TRUE),IF(J511=3,VLOOKUP(B511,RPM!$L$2:$N$62,3,TRUE))))</f>
        <v>7000</v>
      </c>
      <c r="L511" s="17">
        <f t="shared" si="81"/>
        <v>42.336374666225858</v>
      </c>
      <c r="M511" s="16">
        <f t="shared" si="78"/>
        <v>0</v>
      </c>
      <c r="N511" s="17">
        <f>VLOOKUP(K511,RPM!$A$2:$D$62,3,FALSE)</f>
        <v>13</v>
      </c>
      <c r="O511" s="16">
        <f>VLOOKUP(K511,RPM!$A$2:$D$62,4,FALSE)</f>
        <v>13.235857142857142</v>
      </c>
      <c r="P511" s="17">
        <f t="shared" si="79"/>
        <v>9.8699786714285711</v>
      </c>
      <c r="Q511" s="16" cm="1">
        <f t="array" ref="Q511">_xlfn.XLOOKUP(O511,BSFC!$A$2:$A$24,_xlfn.XLOOKUP(K511,BSFC!$B$1:$O$1,BSFC!$B$2:$O$24,,-1),,-1)</f>
        <v>520</v>
      </c>
      <c r="R511" s="17">
        <f t="shared" si="80"/>
        <v>1.425663585873016</v>
      </c>
      <c r="S511" s="16">
        <f t="shared" si="82"/>
        <v>2.0443068048076269E-4</v>
      </c>
      <c r="T511" s="17">
        <f t="shared" si="86"/>
        <v>0.10630395384999659</v>
      </c>
      <c r="U511" s="16">
        <f t="shared" si="87"/>
        <v>69.629321018971439</v>
      </c>
      <c r="V511" s="17">
        <f t="shared" si="88"/>
        <v>0.14711329971823786</v>
      </c>
      <c r="W511" s="16">
        <f t="shared" si="83"/>
        <v>529607.87898565631</v>
      </c>
      <c r="X511">
        <f>('Hybrid Info'!$A$2-Track!P511)*(L511-L510)*1000+X510</f>
        <v>-21539.156652931539</v>
      </c>
    </row>
    <row r="512" spans="1:24">
      <c r="A512" s="16">
        <f t="shared" si="84"/>
        <v>511</v>
      </c>
      <c r="B512" s="17">
        <f t="shared" si="85"/>
        <v>13.411199999999999</v>
      </c>
      <c r="C512" s="16">
        <f>Specification!$G$29</f>
        <v>164.943378</v>
      </c>
      <c r="D512" s="17">
        <f>0.5*Specification!$K$4*Track!B512^2*Specification!$K$3*Specification!$K$2</f>
        <v>93.159842569492653</v>
      </c>
      <c r="E512" s="16">
        <v>0</v>
      </c>
      <c r="F512" s="17">
        <f>Specification!$C$23*9.81*SIN((E512*PI()/180))</f>
        <v>0</v>
      </c>
      <c r="G512" s="18">
        <f>IF(J512=1,VLOOKUP(K512,RPM!$E$2:$H$62,3,FALSE)-F512-E512-D512,IF(J512=2,VLOOKUP(K512,RPM!$H$2:$K$62,3,FALSE)-F512-E512-D512,IF(J512=3,VLOOKUP(K512,RPM!$K$2:$N$62,3,FALSE)-F512-E512-D512)))</f>
        <v>549.56217903827155</v>
      </c>
      <c r="H512" s="19">
        <f>IF(J512=1,Specification!$I$14,IF(J512=2,Specification!$I$15,IF(J512=3,Specification!$I$16)))</f>
        <v>578.93404261974786</v>
      </c>
      <c r="I512" s="16">
        <f t="shared" si="89"/>
        <v>0.94926561331828929</v>
      </c>
      <c r="J512" s="17">
        <v>3</v>
      </c>
      <c r="K512" s="16">
        <f>IF(J512=1,VLOOKUP(B512,RPM!$F$2:$H$62,3,TRUE),IF(J512=2,VLOOKUP(B512,RPM!$I$2:$K$62,3,TRUE),IF(J512=3,VLOOKUP(B512,RPM!$L$2:$N$62,3,TRUE))))</f>
        <v>4300</v>
      </c>
      <c r="L512" s="17">
        <f t="shared" si="81"/>
        <v>42.410939209294341</v>
      </c>
      <c r="M512" s="16">
        <f t="shared" si="78"/>
        <v>0</v>
      </c>
      <c r="N512" s="17">
        <f>VLOOKUP(K512,RPM!$A$2:$D$62,3,FALSE)</f>
        <v>11.4</v>
      </c>
      <c r="O512" s="16">
        <f>VLOOKUP(K512,RPM!$A$2:$D$62,4,FALSE)</f>
        <v>18.894837209302327</v>
      </c>
      <c r="P512" s="17">
        <f t="shared" si="79"/>
        <v>14.089880106976747</v>
      </c>
      <c r="Q512" s="16" cm="1">
        <f t="array" ref="Q512">_xlfn.XLOOKUP(O512,BSFC!$A$2:$A$24,_xlfn.XLOOKUP(K512,BSFC!$B$1:$O$1,BSFC!$B$2:$O$24,,-1),,-1)</f>
        <v>480</v>
      </c>
      <c r="R512" s="17">
        <f t="shared" si="80"/>
        <v>1.8786506809302328</v>
      </c>
      <c r="S512" s="16">
        <f t="shared" si="82"/>
        <v>2.9183485335178652E-4</v>
      </c>
      <c r="T512" s="17">
        <f t="shared" si="86"/>
        <v>0.14008072960885753</v>
      </c>
      <c r="U512" s="16">
        <f t="shared" si="87"/>
        <v>69.769401748580293</v>
      </c>
      <c r="V512" s="17">
        <f t="shared" si="88"/>
        <v>0.14740513457158966</v>
      </c>
      <c r="W512" s="16">
        <f t="shared" si="83"/>
        <v>530658.48445772275</v>
      </c>
      <c r="X512">
        <f>('Hybrid Info'!$A$2-Track!P512)*(L512-L511)*1000+X511</f>
        <v>-21686.005966280954</v>
      </c>
    </row>
    <row r="513" spans="1:24">
      <c r="A513" s="16">
        <f t="shared" si="84"/>
        <v>512</v>
      </c>
      <c r="B513" s="17">
        <f t="shared" si="85"/>
        <v>13.411199999999999</v>
      </c>
      <c r="C513" s="16">
        <f>Specification!$G$29</f>
        <v>164.943378</v>
      </c>
      <c r="D513" s="17">
        <f>0.5*Specification!$K$4*Track!B513^2*Specification!$K$3*Specification!$K$2</f>
        <v>93.159842569492653</v>
      </c>
      <c r="E513" s="16">
        <v>0</v>
      </c>
      <c r="F513" s="17">
        <f>Specification!$C$23*9.81*SIN((E513*PI()/180))</f>
        <v>0</v>
      </c>
      <c r="G513" s="18">
        <f>IF(J513=1,VLOOKUP(K513,RPM!$E$2:$H$62,3,FALSE)-F513-E513-D513,IF(J513=2,VLOOKUP(K513,RPM!$H$2:$K$62,3,FALSE)-F513-E513-D513,IF(J513=3,VLOOKUP(K513,RPM!$K$2:$N$62,3,FALSE)-F513-E513-D513)))</f>
        <v>549.56217903827155</v>
      </c>
      <c r="H513" s="19">
        <f>IF(J513=1,Specification!$I$14,IF(J513=2,Specification!$I$15,IF(J513=3,Specification!$I$16)))</f>
        <v>578.93404261974786</v>
      </c>
      <c r="I513" s="16">
        <f t="shared" si="89"/>
        <v>0.94926561331828929</v>
      </c>
      <c r="J513" s="17">
        <v>3</v>
      </c>
      <c r="K513" s="16">
        <f>IF(J513=1,VLOOKUP(B513,RPM!$F$2:$H$62,3,TRUE),IF(J513=2,VLOOKUP(B513,RPM!$I$2:$K$62,3,TRUE),IF(J513=3,VLOOKUP(B513,RPM!$L$2:$N$62,3,TRUE))))</f>
        <v>4300</v>
      </c>
      <c r="L513" s="17">
        <f t="shared" si="81"/>
        <v>42.485503752362824</v>
      </c>
      <c r="M513" s="16">
        <f t="shared" si="78"/>
        <v>0</v>
      </c>
      <c r="N513" s="17">
        <f>VLOOKUP(K513,RPM!$A$2:$D$62,3,FALSE)</f>
        <v>11.4</v>
      </c>
      <c r="O513" s="16">
        <f>VLOOKUP(K513,RPM!$A$2:$D$62,4,FALSE)</f>
        <v>18.894837209302327</v>
      </c>
      <c r="P513" s="17">
        <f t="shared" si="79"/>
        <v>14.089880106976747</v>
      </c>
      <c r="Q513" s="16" cm="1">
        <f t="array" ref="Q513">_xlfn.XLOOKUP(O513,BSFC!$A$2:$A$24,_xlfn.XLOOKUP(K513,BSFC!$B$1:$O$1,BSFC!$B$2:$O$24,,-1),,-1)</f>
        <v>480</v>
      </c>
      <c r="R513" s="17">
        <f t="shared" si="80"/>
        <v>1.8786506809302328</v>
      </c>
      <c r="S513" s="16">
        <f t="shared" si="82"/>
        <v>2.9183485335178652E-4</v>
      </c>
      <c r="T513" s="17">
        <f t="shared" si="86"/>
        <v>0.14008072960885753</v>
      </c>
      <c r="U513" s="16">
        <f t="shared" si="87"/>
        <v>69.909482478189148</v>
      </c>
      <c r="V513" s="17">
        <f t="shared" si="88"/>
        <v>0.14769696942494145</v>
      </c>
      <c r="W513" s="16">
        <f t="shared" si="83"/>
        <v>531709.08992978919</v>
      </c>
      <c r="X513">
        <f>('Hybrid Info'!$A$2-Track!P513)*(L513-L512)*1000+X512</f>
        <v>-21832.85527963037</v>
      </c>
    </row>
    <row r="514" spans="1:24">
      <c r="A514" s="16">
        <f t="shared" si="84"/>
        <v>513</v>
      </c>
      <c r="B514" s="17">
        <f t="shared" si="85"/>
        <v>13.411199999999999</v>
      </c>
      <c r="C514" s="16">
        <f>Specification!$G$29</f>
        <v>164.943378</v>
      </c>
      <c r="D514" s="17">
        <f>0.5*Specification!$K$4*Track!B514^2*Specification!$K$3*Specification!$K$2</f>
        <v>93.159842569492653</v>
      </c>
      <c r="E514" s="16">
        <v>0</v>
      </c>
      <c r="F514" s="17">
        <f>Specification!$C$23*9.81*SIN((E514*PI()/180))</f>
        <v>0</v>
      </c>
      <c r="G514" s="18">
        <f>IF(J514=1,VLOOKUP(K514,RPM!$E$2:$H$62,3,FALSE)-F514-E514-D514,IF(J514=2,VLOOKUP(K514,RPM!$H$2:$K$62,3,FALSE)-F514-E514-D514,IF(J514=3,VLOOKUP(K514,RPM!$K$2:$N$62,3,FALSE)-F514-E514-D514)))</f>
        <v>549.56217903827155</v>
      </c>
      <c r="H514" s="19">
        <f>IF(J514=1,Specification!$I$14,IF(J514=2,Specification!$I$15,IF(J514=3,Specification!$I$16)))</f>
        <v>578.93404261974786</v>
      </c>
      <c r="I514" s="16">
        <f t="shared" si="89"/>
        <v>0.94926561331828929</v>
      </c>
      <c r="J514" s="17">
        <v>3</v>
      </c>
      <c r="K514" s="16">
        <f>IF(J514=1,VLOOKUP(B514,RPM!$F$2:$H$62,3,TRUE),IF(J514=2,VLOOKUP(B514,RPM!$I$2:$K$62,3,TRUE),IF(J514=3,VLOOKUP(B514,RPM!$L$2:$N$62,3,TRUE))))</f>
        <v>4300</v>
      </c>
      <c r="L514" s="17">
        <f t="shared" si="81"/>
        <v>42.560068295431307</v>
      </c>
      <c r="M514" s="16">
        <f t="shared" ref="M514:M521" si="90">TAN(E514*PI()/180)+M513</f>
        <v>0</v>
      </c>
      <c r="N514" s="17">
        <f>VLOOKUP(K514,RPM!$A$2:$D$62,3,FALSE)</f>
        <v>11.4</v>
      </c>
      <c r="O514" s="16">
        <f>VLOOKUP(K514,RPM!$A$2:$D$62,4,FALSE)</f>
        <v>18.894837209302327</v>
      </c>
      <c r="P514" s="17">
        <f t="shared" ref="P514:P577" si="91">O514*0.7457</f>
        <v>14.089880106976747</v>
      </c>
      <c r="Q514" s="16" cm="1">
        <f t="array" ref="Q514">_xlfn.XLOOKUP(O514,BSFC!$A$2:$A$24,_xlfn.XLOOKUP(K514,BSFC!$B$1:$O$1,BSFC!$B$2:$O$24,,-1),,-1)</f>
        <v>480</v>
      </c>
      <c r="R514" s="17">
        <f t="shared" ref="R514:R577" si="92">Q514*P514/3600</f>
        <v>1.8786506809302328</v>
      </c>
      <c r="S514" s="16">
        <f t="shared" si="82"/>
        <v>2.9183485335178652E-4</v>
      </c>
      <c r="T514" s="17">
        <f t="shared" si="86"/>
        <v>0.14008072960885753</v>
      </c>
      <c r="U514" s="16">
        <f t="shared" si="87"/>
        <v>70.049563207798002</v>
      </c>
      <c r="V514" s="17">
        <f t="shared" si="88"/>
        <v>0.14798880427829325</v>
      </c>
      <c r="W514" s="16">
        <f t="shared" si="83"/>
        <v>532759.69540185574</v>
      </c>
      <c r="X514">
        <f>('Hybrid Info'!$A$2-Track!P514)*(L514-L513)*1000+X513</f>
        <v>-21979.704592979786</v>
      </c>
    </row>
    <row r="515" spans="1:24">
      <c r="A515" s="16">
        <f t="shared" si="84"/>
        <v>514</v>
      </c>
      <c r="B515" s="17">
        <f t="shared" si="85"/>
        <v>13.411199999999999</v>
      </c>
      <c r="C515" s="16">
        <f>Specification!$G$29</f>
        <v>164.943378</v>
      </c>
      <c r="D515" s="17">
        <f>0.5*Specification!$K$4*Track!B515^2*Specification!$K$3*Specification!$K$2</f>
        <v>93.159842569492653</v>
      </c>
      <c r="E515" s="16">
        <v>0</v>
      </c>
      <c r="F515" s="17">
        <f>Specification!$C$23*9.81*SIN((E515*PI()/180))</f>
        <v>0</v>
      </c>
      <c r="G515" s="18">
        <f>IF(J515=1,VLOOKUP(K515,RPM!$E$2:$H$62,3,FALSE)-F515-E515-D515,IF(J515=2,VLOOKUP(K515,RPM!$H$2:$K$62,3,FALSE)-F515-E515-D515,IF(J515=3,VLOOKUP(K515,RPM!$K$2:$N$62,3,FALSE)-F515-E515-D515)))</f>
        <v>549.56217903827155</v>
      </c>
      <c r="H515" s="19">
        <f>IF(J515=1,Specification!$I$14,IF(J515=2,Specification!$I$15,IF(J515=3,Specification!$I$16)))</f>
        <v>578.93404261974786</v>
      </c>
      <c r="I515" s="16">
        <f t="shared" si="89"/>
        <v>0.94926561331828929</v>
      </c>
      <c r="J515" s="17">
        <v>3</v>
      </c>
      <c r="K515" s="16">
        <f>IF(J515=1,VLOOKUP(B515,RPM!$F$2:$H$62,3,TRUE),IF(J515=2,VLOOKUP(B515,RPM!$I$2:$K$62,3,TRUE),IF(J515=3,VLOOKUP(B515,RPM!$L$2:$N$62,3,TRUE))))</f>
        <v>4300</v>
      </c>
      <c r="L515" s="17">
        <f t="shared" ref="L515:L522" si="93">IF(I515=0,ABS(1/B515)+L514,IF(ABS(B516-B515)=0,1/B515+L514,ABS((B516-B515)/I515)+L514))</f>
        <v>42.63463283849979</v>
      </c>
      <c r="M515" s="16">
        <f t="shared" si="90"/>
        <v>0</v>
      </c>
      <c r="N515" s="17">
        <f>VLOOKUP(K515,RPM!$A$2:$D$62,3,FALSE)</f>
        <v>11.4</v>
      </c>
      <c r="O515" s="16">
        <f>VLOOKUP(K515,RPM!$A$2:$D$62,4,FALSE)</f>
        <v>18.894837209302327</v>
      </c>
      <c r="P515" s="17">
        <f t="shared" si="91"/>
        <v>14.089880106976747</v>
      </c>
      <c r="Q515" s="16" cm="1">
        <f t="array" ref="Q515">_xlfn.XLOOKUP(O515,BSFC!$A$2:$A$24,_xlfn.XLOOKUP(K515,BSFC!$B$1:$O$1,BSFC!$B$2:$O$24,,-1),,-1)</f>
        <v>480</v>
      </c>
      <c r="R515" s="17">
        <f t="shared" si="92"/>
        <v>1.8786506809302328</v>
      </c>
      <c r="S515" s="16">
        <f t="shared" ref="S515:S578" si="94">(L515-L514)/3600*P515</f>
        <v>2.9183485335178652E-4</v>
      </c>
      <c r="T515" s="17">
        <f t="shared" si="86"/>
        <v>0.14008072960885753</v>
      </c>
      <c r="U515" s="16">
        <f t="shared" si="87"/>
        <v>70.189643937406856</v>
      </c>
      <c r="V515" s="17">
        <f t="shared" si="88"/>
        <v>0.14828063913164505</v>
      </c>
      <c r="W515" s="16">
        <f t="shared" ref="W515:W578" si="95">V515*1000*3600</f>
        <v>533810.30087392218</v>
      </c>
      <c r="X515">
        <f>('Hybrid Info'!$A$2-Track!P515)*(L515-L514)*1000+X514</f>
        <v>-22126.553906329202</v>
      </c>
    </row>
    <row r="516" spans="1:24">
      <c r="A516" s="16">
        <f t="shared" ref="A516:A579" si="96">A515+1</f>
        <v>515</v>
      </c>
      <c r="B516" s="17">
        <f t="shared" ref="B516:B579" si="97">IF(SQRT(B515^2+2*I515)&gt;13.4112,13.4112,SQRT(B515^2+2*I515))</f>
        <v>13.411199999999999</v>
      </c>
      <c r="C516" s="16">
        <f>Specification!$G$29</f>
        <v>164.943378</v>
      </c>
      <c r="D516" s="17">
        <f>0.5*Specification!$K$4*Track!B516^2*Specification!$K$3*Specification!$K$2</f>
        <v>93.159842569492653</v>
      </c>
      <c r="E516" s="16">
        <v>0</v>
      </c>
      <c r="F516" s="17">
        <f>Specification!$C$23*9.81*SIN((E516*PI()/180))</f>
        <v>0</v>
      </c>
      <c r="G516" s="18">
        <f>IF(J516=1,VLOOKUP(K516,RPM!$E$2:$H$62,3,FALSE)-F516-E516-D516,IF(J516=2,VLOOKUP(K516,RPM!$H$2:$K$62,3,FALSE)-F516-E516-D516,IF(J516=3,VLOOKUP(K516,RPM!$K$2:$N$62,3,FALSE)-F516-E516-D516)))</f>
        <v>549.56217903827155</v>
      </c>
      <c r="H516" s="19">
        <f>IF(J516=1,Specification!$I$14,IF(J516=2,Specification!$I$15,IF(J516=3,Specification!$I$16)))</f>
        <v>578.93404261974786</v>
      </c>
      <c r="I516" s="16">
        <f t="shared" si="89"/>
        <v>0.94926561331828929</v>
      </c>
      <c r="J516" s="17">
        <v>3</v>
      </c>
      <c r="K516" s="16">
        <f>IF(J516=1,VLOOKUP(B516,RPM!$F$2:$H$62,3,TRUE),IF(J516=2,VLOOKUP(B516,RPM!$I$2:$K$62,3,TRUE),IF(J516=3,VLOOKUP(B516,RPM!$L$2:$N$62,3,TRUE))))</f>
        <v>4300</v>
      </c>
      <c r="L516" s="17">
        <f t="shared" si="93"/>
        <v>42.709197381568273</v>
      </c>
      <c r="M516" s="16">
        <f t="shared" si="90"/>
        <v>0</v>
      </c>
      <c r="N516" s="17">
        <f>VLOOKUP(K516,RPM!$A$2:$D$62,3,FALSE)</f>
        <v>11.4</v>
      </c>
      <c r="O516" s="16">
        <f>VLOOKUP(K516,RPM!$A$2:$D$62,4,FALSE)</f>
        <v>18.894837209302327</v>
      </c>
      <c r="P516" s="17">
        <f t="shared" si="91"/>
        <v>14.089880106976747</v>
      </c>
      <c r="Q516" s="16" cm="1">
        <f t="array" ref="Q516">_xlfn.XLOOKUP(O516,BSFC!$A$2:$A$24,_xlfn.XLOOKUP(K516,BSFC!$B$1:$O$1,BSFC!$B$2:$O$24,,-1),,-1)</f>
        <v>480</v>
      </c>
      <c r="R516" s="17">
        <f t="shared" si="92"/>
        <v>1.8786506809302328</v>
      </c>
      <c r="S516" s="16">
        <f t="shared" si="94"/>
        <v>2.9183485335178652E-4</v>
      </c>
      <c r="T516" s="17">
        <f t="shared" ref="T516:T579" si="98">S516*Q516</f>
        <v>0.14008072960885753</v>
      </c>
      <c r="U516" s="16">
        <f t="shared" ref="U516:U579" si="99">U515+T516</f>
        <v>70.329724667015711</v>
      </c>
      <c r="V516" s="17">
        <f t="shared" si="88"/>
        <v>0.14857247398499684</v>
      </c>
      <c r="W516" s="16">
        <f t="shared" si="95"/>
        <v>534860.90634598862</v>
      </c>
      <c r="X516">
        <f>('Hybrid Info'!$A$2-Track!P516)*(L516-L515)*1000+X515</f>
        <v>-22273.403219678617</v>
      </c>
    </row>
    <row r="517" spans="1:24">
      <c r="A517" s="16">
        <f t="shared" si="96"/>
        <v>516</v>
      </c>
      <c r="B517" s="17">
        <f t="shared" si="97"/>
        <v>13.411199999999999</v>
      </c>
      <c r="C517" s="16">
        <f>Specification!$G$29</f>
        <v>164.943378</v>
      </c>
      <c r="D517" s="17">
        <f>0.5*Specification!$K$4*Track!B517^2*Specification!$K$3*Specification!$K$2</f>
        <v>93.159842569492653</v>
      </c>
      <c r="E517" s="16">
        <v>0</v>
      </c>
      <c r="F517" s="17">
        <f>Specification!$C$23*9.81*SIN((E517*PI()/180))</f>
        <v>0</v>
      </c>
      <c r="G517" s="18">
        <f>IF(J517=1,VLOOKUP(K517,RPM!$E$2:$H$62,3,FALSE)-F517-E517-D517,IF(J517=2,VLOOKUP(K517,RPM!$H$2:$K$62,3,FALSE)-F517-E517-D517,IF(J517=3,VLOOKUP(K517,RPM!$K$2:$N$62,3,FALSE)-F517-E517-D517)))</f>
        <v>549.56217903827155</v>
      </c>
      <c r="H517" s="19">
        <f>IF(J517=1,Specification!$I$14,IF(J517=2,Specification!$I$15,IF(J517=3,Specification!$I$16)))</f>
        <v>578.93404261974786</v>
      </c>
      <c r="I517" s="16">
        <f t="shared" si="89"/>
        <v>0.94926561331828929</v>
      </c>
      <c r="J517" s="17">
        <v>3</v>
      </c>
      <c r="K517" s="16">
        <f>IF(J517=1,VLOOKUP(B517,RPM!$F$2:$H$62,3,TRUE),IF(J517=2,VLOOKUP(B517,RPM!$I$2:$K$62,3,TRUE),IF(J517=3,VLOOKUP(B517,RPM!$L$2:$N$62,3,TRUE))))</f>
        <v>4300</v>
      </c>
      <c r="L517" s="17">
        <f t="shared" si="93"/>
        <v>42.783761924636757</v>
      </c>
      <c r="M517" s="16">
        <f t="shared" si="90"/>
        <v>0</v>
      </c>
      <c r="N517" s="17">
        <f>VLOOKUP(K517,RPM!$A$2:$D$62,3,FALSE)</f>
        <v>11.4</v>
      </c>
      <c r="O517" s="16">
        <f>VLOOKUP(K517,RPM!$A$2:$D$62,4,FALSE)</f>
        <v>18.894837209302327</v>
      </c>
      <c r="P517" s="17">
        <f t="shared" si="91"/>
        <v>14.089880106976747</v>
      </c>
      <c r="Q517" s="16" cm="1">
        <f t="array" ref="Q517">_xlfn.XLOOKUP(O517,BSFC!$A$2:$A$24,_xlfn.XLOOKUP(K517,BSFC!$B$1:$O$1,BSFC!$B$2:$O$24,,-1),,-1)</f>
        <v>480</v>
      </c>
      <c r="R517" s="17">
        <f t="shared" si="92"/>
        <v>1.8786506809302328</v>
      </c>
      <c r="S517" s="16">
        <f t="shared" si="94"/>
        <v>2.9183485335178652E-4</v>
      </c>
      <c r="T517" s="17">
        <f t="shared" si="98"/>
        <v>0.14008072960885753</v>
      </c>
      <c r="U517" s="16">
        <f t="shared" si="99"/>
        <v>70.469805396624565</v>
      </c>
      <c r="V517" s="17">
        <f t="shared" ref="V517:V580" si="100">V516+S517</f>
        <v>0.14886430883834864</v>
      </c>
      <c r="W517" s="16">
        <f t="shared" si="95"/>
        <v>535911.51181805518</v>
      </c>
      <c r="X517">
        <f>('Hybrid Info'!$A$2-Track!P517)*(L517-L516)*1000+X516</f>
        <v>-22420.252533028033</v>
      </c>
    </row>
    <row r="518" spans="1:24">
      <c r="A518" s="16">
        <f t="shared" si="96"/>
        <v>517</v>
      </c>
      <c r="B518" s="17">
        <f t="shared" si="97"/>
        <v>13.411199999999999</v>
      </c>
      <c r="C518" s="16">
        <f>Specification!$G$29</f>
        <v>164.943378</v>
      </c>
      <c r="D518" s="17">
        <f>0.5*Specification!$K$4*Track!B518^2*Specification!$K$3*Specification!$K$2</f>
        <v>93.159842569492653</v>
      </c>
      <c r="E518" s="16">
        <v>0</v>
      </c>
      <c r="F518" s="17">
        <f>Specification!$C$23*9.81*SIN((E518*PI()/180))</f>
        <v>0</v>
      </c>
      <c r="G518" s="18">
        <f>IF(J518=1,VLOOKUP(K518,RPM!$E$2:$H$62,3,FALSE)-F518-E518-D518,IF(J518=2,VLOOKUP(K518,RPM!$H$2:$K$62,3,FALSE)-F518-E518-D518,IF(J518=3,VLOOKUP(K518,RPM!$K$2:$N$62,3,FALSE)-F518-E518-D518)))</f>
        <v>549.56217903827155</v>
      </c>
      <c r="H518" s="19">
        <f>IF(J518=1,Specification!$I$14,IF(J518=2,Specification!$I$15,IF(J518=3,Specification!$I$16)))</f>
        <v>578.93404261974786</v>
      </c>
      <c r="I518" s="16">
        <f t="shared" si="89"/>
        <v>0.94926561331828929</v>
      </c>
      <c r="J518" s="17">
        <v>3</v>
      </c>
      <c r="K518" s="16">
        <f>IF(J518=1,VLOOKUP(B518,RPM!$F$2:$H$62,3,TRUE),IF(J518=2,VLOOKUP(B518,RPM!$I$2:$K$62,3,TRUE),IF(J518=3,VLOOKUP(B518,RPM!$L$2:$N$62,3,TRUE))))</f>
        <v>4300</v>
      </c>
      <c r="L518" s="17">
        <f t="shared" si="93"/>
        <v>42.85832646770524</v>
      </c>
      <c r="M518" s="16">
        <f t="shared" si="90"/>
        <v>0</v>
      </c>
      <c r="N518" s="17">
        <f>VLOOKUP(K518,RPM!$A$2:$D$62,3,FALSE)</f>
        <v>11.4</v>
      </c>
      <c r="O518" s="16">
        <f>VLOOKUP(K518,RPM!$A$2:$D$62,4,FALSE)</f>
        <v>18.894837209302327</v>
      </c>
      <c r="P518" s="17">
        <f t="shared" si="91"/>
        <v>14.089880106976747</v>
      </c>
      <c r="Q518" s="16" cm="1">
        <f t="array" ref="Q518">_xlfn.XLOOKUP(O518,BSFC!$A$2:$A$24,_xlfn.XLOOKUP(K518,BSFC!$B$1:$O$1,BSFC!$B$2:$O$24,,-1),,-1)</f>
        <v>480</v>
      </c>
      <c r="R518" s="17">
        <f t="shared" si="92"/>
        <v>1.8786506809302328</v>
      </c>
      <c r="S518" s="16">
        <f t="shared" si="94"/>
        <v>2.9183485335178652E-4</v>
      </c>
      <c r="T518" s="17">
        <f t="shared" si="98"/>
        <v>0.14008072960885753</v>
      </c>
      <c r="U518" s="16">
        <f t="shared" si="99"/>
        <v>70.60988612623342</v>
      </c>
      <c r="V518" s="17">
        <f t="shared" si="100"/>
        <v>0.14915614369170044</v>
      </c>
      <c r="W518" s="16">
        <f t="shared" si="95"/>
        <v>536962.11729012162</v>
      </c>
      <c r="X518">
        <f>('Hybrid Info'!$A$2-Track!P518)*(L518-L517)*1000+X517</f>
        <v>-22567.101846377449</v>
      </c>
    </row>
    <row r="519" spans="1:24">
      <c r="A519" s="16">
        <f t="shared" si="96"/>
        <v>518</v>
      </c>
      <c r="B519" s="17">
        <f t="shared" si="97"/>
        <v>13.411199999999999</v>
      </c>
      <c r="C519" s="16">
        <f>Specification!$G$29</f>
        <v>164.943378</v>
      </c>
      <c r="D519" s="17">
        <f>0.5*Specification!$K$4*Track!B519^2*Specification!$K$3*Specification!$K$2</f>
        <v>93.159842569492653</v>
      </c>
      <c r="E519" s="16">
        <v>0</v>
      </c>
      <c r="F519" s="17">
        <f>Specification!$C$23*9.81*SIN((E519*PI()/180))</f>
        <v>0</v>
      </c>
      <c r="G519" s="18">
        <f>IF(J519=1,VLOOKUP(K519,RPM!$E$2:$H$62,3,FALSE)-F519-E519-D519,IF(J519=2,VLOOKUP(K519,RPM!$H$2:$K$62,3,FALSE)-F519-E519-D519,IF(J519=3,VLOOKUP(K519,RPM!$K$2:$N$62,3,FALSE)-F519-E519-D519)))</f>
        <v>549.56217903827155</v>
      </c>
      <c r="H519" s="19">
        <f>IF(J519=1,Specification!$I$14,IF(J519=2,Specification!$I$15,IF(J519=3,Specification!$I$16)))</f>
        <v>578.93404261974786</v>
      </c>
      <c r="I519" s="16">
        <f t="shared" si="89"/>
        <v>0.94926561331828929</v>
      </c>
      <c r="J519" s="17">
        <v>3</v>
      </c>
      <c r="K519" s="16">
        <f>IF(J519=1,VLOOKUP(B519,RPM!$F$2:$H$62,3,TRUE),IF(J519=2,VLOOKUP(B519,RPM!$I$2:$K$62,3,TRUE),IF(J519=3,VLOOKUP(B519,RPM!$L$2:$N$62,3,TRUE))))</f>
        <v>4300</v>
      </c>
      <c r="L519" s="17">
        <f t="shared" si="93"/>
        <v>42.932891010773723</v>
      </c>
      <c r="M519" s="16">
        <f t="shared" si="90"/>
        <v>0</v>
      </c>
      <c r="N519" s="17">
        <f>VLOOKUP(K519,RPM!$A$2:$D$62,3,FALSE)</f>
        <v>11.4</v>
      </c>
      <c r="O519" s="16">
        <f>VLOOKUP(K519,RPM!$A$2:$D$62,4,FALSE)</f>
        <v>18.894837209302327</v>
      </c>
      <c r="P519" s="17">
        <f t="shared" si="91"/>
        <v>14.089880106976747</v>
      </c>
      <c r="Q519" s="16" cm="1">
        <f t="array" ref="Q519">_xlfn.XLOOKUP(O519,BSFC!$A$2:$A$24,_xlfn.XLOOKUP(K519,BSFC!$B$1:$O$1,BSFC!$B$2:$O$24,,-1),,-1)</f>
        <v>480</v>
      </c>
      <c r="R519" s="17">
        <f t="shared" si="92"/>
        <v>1.8786506809302328</v>
      </c>
      <c r="S519" s="16">
        <f t="shared" si="94"/>
        <v>2.9183485335178652E-4</v>
      </c>
      <c r="T519" s="17">
        <f t="shared" si="98"/>
        <v>0.14008072960885753</v>
      </c>
      <c r="U519" s="16">
        <f t="shared" si="99"/>
        <v>70.749966855842274</v>
      </c>
      <c r="V519" s="17">
        <f t="shared" si="100"/>
        <v>0.14944797854505223</v>
      </c>
      <c r="W519" s="16">
        <f t="shared" si="95"/>
        <v>538012.72276218806</v>
      </c>
      <c r="X519">
        <f>('Hybrid Info'!$A$2-Track!P519)*(L519-L518)*1000+X518</f>
        <v>-22713.951159726865</v>
      </c>
    </row>
    <row r="520" spans="1:24">
      <c r="A520" s="16">
        <f t="shared" si="96"/>
        <v>519</v>
      </c>
      <c r="B520" s="17">
        <f t="shared" si="97"/>
        <v>13.411199999999999</v>
      </c>
      <c r="C520" s="16">
        <f>Specification!$G$29</f>
        <v>164.943378</v>
      </c>
      <c r="D520" s="17">
        <f>0.5*Specification!$K$4*Track!B520^2*Specification!$K$3*Specification!$K$2</f>
        <v>93.159842569492653</v>
      </c>
      <c r="E520" s="16">
        <v>0</v>
      </c>
      <c r="F520" s="17">
        <f>Specification!$C$23*9.81*SIN((E520*PI()/180))</f>
        <v>0</v>
      </c>
      <c r="G520" s="18">
        <f>IF(J520=1,VLOOKUP(K520,RPM!$E$2:$H$62,3,FALSE)-F520-E520-D520,IF(J520=2,VLOOKUP(K520,RPM!$H$2:$K$62,3,FALSE)-F520-E520-D520,IF(J520=3,VLOOKUP(K520,RPM!$K$2:$N$62,3,FALSE)-F520-E520-D520)))</f>
        <v>549.56217903827155</v>
      </c>
      <c r="H520" s="19">
        <f>IF(J520=1,Specification!$I$14,IF(J520=2,Specification!$I$15,IF(J520=3,Specification!$I$16)))</f>
        <v>578.93404261974786</v>
      </c>
      <c r="I520" s="16">
        <f t="shared" si="89"/>
        <v>0.94926561331828929</v>
      </c>
      <c r="J520" s="17">
        <v>3</v>
      </c>
      <c r="K520" s="16">
        <f>IF(J520=1,VLOOKUP(B520,RPM!$F$2:$H$62,3,TRUE),IF(J520=2,VLOOKUP(B520,RPM!$I$2:$K$62,3,TRUE),IF(J520=3,VLOOKUP(B520,RPM!$L$2:$N$62,3,TRUE))))</f>
        <v>4300</v>
      </c>
      <c r="L520" s="17">
        <f t="shared" si="93"/>
        <v>43.007455553842206</v>
      </c>
      <c r="M520" s="16">
        <f t="shared" si="90"/>
        <v>0</v>
      </c>
      <c r="N520" s="17">
        <f>VLOOKUP(K520,RPM!$A$2:$D$62,3,FALSE)</f>
        <v>11.4</v>
      </c>
      <c r="O520" s="16">
        <f>VLOOKUP(K520,RPM!$A$2:$D$62,4,FALSE)</f>
        <v>18.894837209302327</v>
      </c>
      <c r="P520" s="17">
        <f t="shared" si="91"/>
        <v>14.089880106976747</v>
      </c>
      <c r="Q520" s="16" cm="1">
        <f t="array" ref="Q520">_xlfn.XLOOKUP(O520,BSFC!$A$2:$A$24,_xlfn.XLOOKUP(K520,BSFC!$B$1:$O$1,BSFC!$B$2:$O$24,,-1),,-1)</f>
        <v>480</v>
      </c>
      <c r="R520" s="17">
        <f t="shared" si="92"/>
        <v>1.8786506809302328</v>
      </c>
      <c r="S520" s="16">
        <f t="shared" si="94"/>
        <v>2.9183485335178652E-4</v>
      </c>
      <c r="T520" s="17">
        <f t="shared" si="98"/>
        <v>0.14008072960885753</v>
      </c>
      <c r="U520" s="16">
        <f t="shared" si="99"/>
        <v>70.890047585451128</v>
      </c>
      <c r="V520" s="17">
        <f t="shared" si="100"/>
        <v>0.14973981339840403</v>
      </c>
      <c r="W520" s="16">
        <f t="shared" si="95"/>
        <v>539063.3282342545</v>
      </c>
      <c r="X520">
        <f>('Hybrid Info'!$A$2-Track!P520)*(L520-L519)*1000+X519</f>
        <v>-22860.80047307628</v>
      </c>
    </row>
    <row r="521" spans="1:24">
      <c r="A521" s="16">
        <f t="shared" si="96"/>
        <v>520</v>
      </c>
      <c r="B521" s="17">
        <f t="shared" si="97"/>
        <v>13.411199999999999</v>
      </c>
      <c r="C521" s="16">
        <f>Specification!$G$29</f>
        <v>164.943378</v>
      </c>
      <c r="D521" s="17">
        <f>0.5*Specification!$K$4*Track!B521^2*Specification!$K$3*Specification!$K$2</f>
        <v>93.159842569492653</v>
      </c>
      <c r="E521" s="16">
        <v>0</v>
      </c>
      <c r="F521" s="17">
        <f>Specification!$C$23*9.81*SIN((E521*PI()/180))</f>
        <v>0</v>
      </c>
      <c r="G521" s="18">
        <f>IF(J521=1,VLOOKUP(K521,RPM!$E$2:$H$62,3,FALSE)-F521-E521-D521,IF(J521=2,VLOOKUP(K521,RPM!$H$2:$K$62,3,FALSE)-F521-E521-D521,IF(J521=3,VLOOKUP(K521,RPM!$K$2:$N$62,3,FALSE)-F521-E521-D521)))</f>
        <v>549.56217903827155</v>
      </c>
      <c r="H521" s="19">
        <f>IF(J521=1,Specification!$I$14,IF(J521=2,Specification!$I$15,IF(J521=3,Specification!$I$16)))</f>
        <v>578.93404261974786</v>
      </c>
      <c r="I521" s="16">
        <f t="shared" si="89"/>
        <v>0.94926561331828929</v>
      </c>
      <c r="J521" s="17">
        <v>3</v>
      </c>
      <c r="K521" s="16">
        <f>IF(J521=1,VLOOKUP(B521,RPM!$F$2:$H$62,3,TRUE),IF(J521=2,VLOOKUP(B521,RPM!$I$2:$K$62,3,TRUE),IF(J521=3,VLOOKUP(B521,RPM!$L$2:$N$62,3,TRUE))))</f>
        <v>4300</v>
      </c>
      <c r="L521" s="17">
        <f t="shared" si="93"/>
        <v>43.082020096910689</v>
      </c>
      <c r="M521" s="16">
        <f t="shared" si="90"/>
        <v>0</v>
      </c>
      <c r="N521" s="17">
        <f>VLOOKUP(K521,RPM!$A$2:$D$62,3,FALSE)</f>
        <v>11.4</v>
      </c>
      <c r="O521" s="16">
        <f>VLOOKUP(K521,RPM!$A$2:$D$62,4,FALSE)</f>
        <v>18.894837209302327</v>
      </c>
      <c r="P521" s="17">
        <f t="shared" si="91"/>
        <v>14.089880106976747</v>
      </c>
      <c r="Q521" s="16" cm="1">
        <f t="array" ref="Q521">_xlfn.XLOOKUP(O521,BSFC!$A$2:$A$24,_xlfn.XLOOKUP(K521,BSFC!$B$1:$O$1,BSFC!$B$2:$O$24,,-1),,-1)</f>
        <v>480</v>
      </c>
      <c r="R521" s="17">
        <f t="shared" si="92"/>
        <v>1.8786506809302328</v>
      </c>
      <c r="S521" s="16">
        <f t="shared" si="94"/>
        <v>2.9183485335178652E-4</v>
      </c>
      <c r="T521" s="17">
        <f t="shared" si="98"/>
        <v>0.14008072960885753</v>
      </c>
      <c r="U521" s="16">
        <f t="shared" si="99"/>
        <v>71.030128315059983</v>
      </c>
      <c r="V521" s="17">
        <f t="shared" si="100"/>
        <v>0.15003164825175583</v>
      </c>
      <c r="W521" s="16">
        <f t="shared" si="95"/>
        <v>540113.93370632094</v>
      </c>
      <c r="X521">
        <f>('Hybrid Info'!$A$2-Track!P521)*(L521-L520)*1000+X520</f>
        <v>-23007.649786425696</v>
      </c>
    </row>
    <row r="522" spans="1:24">
      <c r="A522" s="16">
        <f t="shared" si="96"/>
        <v>521</v>
      </c>
      <c r="B522" s="17">
        <f t="shared" si="97"/>
        <v>13.411199999999999</v>
      </c>
      <c r="C522" s="16">
        <f>Specification!$G$29</f>
        <v>164.943378</v>
      </c>
      <c r="D522" s="17">
        <f>0.5*Specification!$K$4*Track!B522^2*Specification!$K$3*Specification!$K$2</f>
        <v>93.159842569492653</v>
      </c>
      <c r="E522" s="16">
        <v>1</v>
      </c>
      <c r="F522" s="17">
        <f>Specification!$C$23*9.81*SIN((E522*PI()/180))</f>
        <v>95.955295733149597</v>
      </c>
      <c r="G522" s="18">
        <f>IF(J522=1,VLOOKUP(K522,RPM!$E$2:$H$62,3,FALSE)-F522-E522-D522,IF(J522=2,VLOOKUP(K522,RPM!$H$2:$K$62,3,FALSE)-F522-E522-D522,IF(J522=3,VLOOKUP(K522,RPM!$K$2:$N$62,3,FALSE)-F522-E522-D522)))</f>
        <v>452.60688330512198</v>
      </c>
      <c r="H522" s="19">
        <f>IF(J522=1,Specification!$I$14,IF(J522=2,Specification!$I$15,IF(J522=3,Specification!$I$16)))</f>
        <v>578.93404261974786</v>
      </c>
      <c r="I522" s="16">
        <f t="shared" ref="I522:I535" si="101">G522/H522</f>
        <v>0.78179352047950068</v>
      </c>
      <c r="J522" s="17">
        <v>3</v>
      </c>
      <c r="K522" s="16">
        <f>IF(J522=1,VLOOKUP(B522,RPM!$F$2:$H$62,3,TRUE),IF(J522=2,VLOOKUP(B522,RPM!$I$2:$K$62,3,TRUE),IF(J522=3,VLOOKUP(B522,RPM!$L$2:$N$62,3,TRUE))))</f>
        <v>4300</v>
      </c>
      <c r="L522" s="17">
        <f t="shared" si="93"/>
        <v>43.156584639979172</v>
      </c>
      <c r="M522" s="16">
        <f>TAN(E522*PI()/180)+M521</f>
        <v>1.7455064928217585E-2</v>
      </c>
      <c r="N522" s="17">
        <f>VLOOKUP(K522,RPM!$A$2:$D$62,3,FALSE)</f>
        <v>11.4</v>
      </c>
      <c r="O522" s="16">
        <f>VLOOKUP(K522,RPM!$A$2:$D$62,4,FALSE)</f>
        <v>18.894837209302327</v>
      </c>
      <c r="P522" s="17">
        <f t="shared" si="91"/>
        <v>14.089880106976747</v>
      </c>
      <c r="Q522" s="16" cm="1">
        <f t="array" ref="Q522">_xlfn.XLOOKUP(O522,BSFC!$A$2:$A$24,_xlfn.XLOOKUP(K522,BSFC!$B$1:$O$1,BSFC!$B$2:$O$24,,-1),,-1)</f>
        <v>480</v>
      </c>
      <c r="R522" s="17">
        <f t="shared" si="92"/>
        <v>1.8786506809302328</v>
      </c>
      <c r="S522" s="16">
        <f t="shared" si="94"/>
        <v>2.9183485335178652E-4</v>
      </c>
      <c r="T522" s="17">
        <f t="shared" si="98"/>
        <v>0.14008072960885753</v>
      </c>
      <c r="U522" s="16">
        <f t="shared" si="99"/>
        <v>71.170209044668837</v>
      </c>
      <c r="V522" s="17">
        <f t="shared" si="100"/>
        <v>0.15032348310510762</v>
      </c>
      <c r="W522" s="16">
        <f t="shared" si="95"/>
        <v>541164.53917838738</v>
      </c>
      <c r="X522">
        <f>('Hybrid Info'!$A$2-Track!P522)*(L522-L521)*1000+X521</f>
        <v>-23154.499099775112</v>
      </c>
    </row>
    <row r="523" spans="1:24">
      <c r="A523" s="16">
        <f t="shared" si="96"/>
        <v>522</v>
      </c>
      <c r="B523" s="17">
        <f t="shared" si="97"/>
        <v>13.411199999999999</v>
      </c>
      <c r="C523" s="16">
        <f>Specification!$G$29</f>
        <v>164.943378</v>
      </c>
      <c r="D523" s="17">
        <f>0.5*Specification!$K$4*Track!B523^2*Specification!$K$3*Specification!$K$2</f>
        <v>93.159842569492653</v>
      </c>
      <c r="E523" s="16">
        <v>2</v>
      </c>
      <c r="F523" s="17">
        <f>Specification!$C$23*9.81*SIN((E523*PI()/180))</f>
        <v>191.88136255367905</v>
      </c>
      <c r="G523" s="18">
        <f>IF(J523=1,VLOOKUP(K523,RPM!$E$2:$H$62,3,FALSE)-F523-E523-D523,IF(J523=2,VLOOKUP(K523,RPM!$H$2:$K$62,3,FALSE)-F523-E523-D523,IF(J523=3,VLOOKUP(K523,RPM!$K$2:$N$62,3,FALSE)-F523-E523-D523)))</f>
        <v>355.68081648459247</v>
      </c>
      <c r="H523" s="19">
        <f>IF(J523=1,Specification!$I$14,IF(J523=2,Specification!$I$15,IF(J523=3,Specification!$I$16)))</f>
        <v>578.93404261974786</v>
      </c>
      <c r="I523" s="16">
        <f t="shared" si="101"/>
        <v>0.61437191510641342</v>
      </c>
      <c r="J523" s="17">
        <v>3</v>
      </c>
      <c r="K523" s="16">
        <f>IF(J523=1,VLOOKUP(B523,RPM!$F$2:$H$62,3,TRUE),IF(J523=2,VLOOKUP(B523,RPM!$I$2:$K$62,3,TRUE),IF(J523=3,VLOOKUP(B523,RPM!$L$2:$N$62,3,TRUE))))</f>
        <v>4300</v>
      </c>
      <c r="L523" s="17">
        <f>IF(I523=0,ABS(1/B523)+L522,IF(ABS(B524-B523)=0,1/B523+L522,ABS((B524-B523)/I523)+L522))</f>
        <v>43.231149183047656</v>
      </c>
      <c r="M523" s="16">
        <f t="shared" ref="M523:M586" si="102">TAN(E523*PI()/180)+M522</f>
        <v>5.2375834419965316E-2</v>
      </c>
      <c r="N523" s="17">
        <f>VLOOKUP(K523,RPM!$A$2:$D$62,3,FALSE)</f>
        <v>11.4</v>
      </c>
      <c r="O523" s="16">
        <f>VLOOKUP(K523,RPM!$A$2:$D$62,4,FALSE)</f>
        <v>18.894837209302327</v>
      </c>
      <c r="P523" s="17">
        <f t="shared" si="91"/>
        <v>14.089880106976747</v>
      </c>
      <c r="Q523" s="16" cm="1">
        <f t="array" ref="Q523">_xlfn.XLOOKUP(O523,BSFC!$A$2:$A$24,_xlfn.XLOOKUP(K523,BSFC!$B$1:$O$1,BSFC!$B$2:$O$24,,-1),,-1)</f>
        <v>480</v>
      </c>
      <c r="R523" s="17">
        <f t="shared" si="92"/>
        <v>1.8786506809302328</v>
      </c>
      <c r="S523" s="16">
        <f t="shared" si="94"/>
        <v>2.9183485335178652E-4</v>
      </c>
      <c r="T523" s="17">
        <f t="shared" si="98"/>
        <v>0.14008072960885753</v>
      </c>
      <c r="U523" s="16">
        <f t="shared" si="99"/>
        <v>71.310289774277692</v>
      </c>
      <c r="V523" s="17">
        <f t="shared" si="100"/>
        <v>0.15061531795845942</v>
      </c>
      <c r="W523" s="16">
        <f t="shared" si="95"/>
        <v>542215.14465045393</v>
      </c>
      <c r="X523">
        <f>('Hybrid Info'!$A$2-Track!P523)*(L523-L522)*1000+X522</f>
        <v>-23301.348413124528</v>
      </c>
    </row>
    <row r="524" spans="1:24">
      <c r="A524" s="16">
        <f t="shared" si="96"/>
        <v>523</v>
      </c>
      <c r="B524" s="17">
        <f t="shared" si="97"/>
        <v>13.411199999999999</v>
      </c>
      <c r="C524" s="16">
        <f>Specification!$G$29</f>
        <v>164.943378</v>
      </c>
      <c r="D524" s="17">
        <f>0.5*Specification!$K$4*Track!B524^2*Specification!$K$3*Specification!$K$2</f>
        <v>93.159842569492653</v>
      </c>
      <c r="E524" s="16">
        <v>3</v>
      </c>
      <c r="F524" s="17">
        <f>Specification!$C$23*9.81*SIN((E524*PI()/180))</f>
        <v>287.74898045237813</v>
      </c>
      <c r="G524" s="18">
        <f>IF(J524=1,VLOOKUP(K524,RPM!$E$2:$H$62,3,FALSE)-F524-E524-D524,IF(J524=2,VLOOKUP(K524,RPM!$H$2:$K$62,3,FALSE)-F524-E524-D524,IF(J524=3,VLOOKUP(K524,RPM!$K$2:$N$62,3,FALSE)-F524-E524-D524)))</f>
        <v>258.81319858589342</v>
      </c>
      <c r="H524" s="19">
        <f>IF(J524=1,Specification!$I$14,IF(J524=2,Specification!$I$15,IF(J524=3,Specification!$I$16)))</f>
        <v>578.93404261974786</v>
      </c>
      <c r="I524" s="16">
        <f t="shared" si="101"/>
        <v>0.44705126928575806</v>
      </c>
      <c r="J524" s="17">
        <v>3</v>
      </c>
      <c r="K524" s="16">
        <f>IF(J524=1,VLOOKUP(B524,RPM!$F$2:$H$62,3,TRUE),IF(J524=2,VLOOKUP(B524,RPM!$I$2:$K$62,3,TRUE),IF(J524=3,VLOOKUP(B524,RPM!$L$2:$N$62,3,TRUE))))</f>
        <v>4300</v>
      </c>
      <c r="L524" s="17">
        <f>IF(I524=0,ABS(1/B524)+L523,IF(ABS(B525-B524)=0,1/B524+L523,ABS((B525-B524)/I524)+L523))</f>
        <v>43.305713726116139</v>
      </c>
      <c r="M524" s="16">
        <f t="shared" si="102"/>
        <v>0.10478361370300651</v>
      </c>
      <c r="N524" s="17">
        <f>VLOOKUP(K524,RPM!$A$2:$D$62,3,FALSE)</f>
        <v>11.4</v>
      </c>
      <c r="O524" s="16">
        <f>VLOOKUP(K524,RPM!$A$2:$D$62,4,FALSE)</f>
        <v>18.894837209302327</v>
      </c>
      <c r="P524" s="17">
        <f t="shared" si="91"/>
        <v>14.089880106976747</v>
      </c>
      <c r="Q524" s="16" cm="1">
        <f t="array" ref="Q524">_xlfn.XLOOKUP(O524,BSFC!$A$2:$A$24,_xlfn.XLOOKUP(K524,BSFC!$B$1:$O$1,BSFC!$B$2:$O$24,,-1),,-1)</f>
        <v>480</v>
      </c>
      <c r="R524" s="17">
        <f t="shared" si="92"/>
        <v>1.8786506809302328</v>
      </c>
      <c r="S524" s="16">
        <f t="shared" si="94"/>
        <v>2.9183485335178652E-4</v>
      </c>
      <c r="T524" s="17">
        <f t="shared" si="98"/>
        <v>0.14008072960885753</v>
      </c>
      <c r="U524" s="16">
        <f t="shared" si="99"/>
        <v>71.450370503886546</v>
      </c>
      <c r="V524" s="17">
        <f t="shared" si="100"/>
        <v>0.15090715281181122</v>
      </c>
      <c r="W524" s="16">
        <f t="shared" si="95"/>
        <v>543265.75012252037</v>
      </c>
      <c r="X524">
        <f>('Hybrid Info'!$A$2-Track!P524)*(L524-L523)*1000+X523</f>
        <v>-23448.197726473943</v>
      </c>
    </row>
    <row r="525" spans="1:24">
      <c r="A525" s="16">
        <f t="shared" si="96"/>
        <v>524</v>
      </c>
      <c r="B525" s="17">
        <f t="shared" si="97"/>
        <v>13.411199999999999</v>
      </c>
      <c r="C525" s="16">
        <f>Specification!$G$29</f>
        <v>164.943378</v>
      </c>
      <c r="D525" s="17">
        <f>0.5*Specification!$K$4*Track!B525^2*Specification!$K$3*Specification!$K$2</f>
        <v>93.159842569492653</v>
      </c>
      <c r="E525" s="16">
        <v>4</v>
      </c>
      <c r="F525" s="17">
        <f>Specification!$C$23*9.81*SIN((E525*PI()/180))</f>
        <v>383.52894722414453</v>
      </c>
      <c r="G525" s="18">
        <f>IF(J525=1,VLOOKUP(K525,RPM!$E$2:$H$62,3,FALSE)-F525-E525-D525,IF(J525=2,VLOOKUP(K525,RPM!$H$2:$K$62,3,FALSE)-F525-E525-D525,IF(J525=3,VLOOKUP(K525,RPM!$K$2:$N$62,3,FALSE)-F525-E525-D525)))</f>
        <v>162.03323181412702</v>
      </c>
      <c r="H525" s="19">
        <f>IF(J525=1,Specification!$I$14,IF(J525=2,Specification!$I$15,IF(J525=3,Specification!$I$16)))</f>
        <v>578.93404261974786</v>
      </c>
      <c r="I525" s="16">
        <f t="shared" si="101"/>
        <v>0.27988202435100668</v>
      </c>
      <c r="J525" s="17">
        <v>3</v>
      </c>
      <c r="K525" s="16">
        <f>IF(J525=1,VLOOKUP(B525,RPM!$F$2:$H$62,3,TRUE),IF(J525=2,VLOOKUP(B525,RPM!$I$2:$K$62,3,TRUE),IF(J525=3,VLOOKUP(B525,RPM!$L$2:$N$62,3,TRUE))))</f>
        <v>4300</v>
      </c>
      <c r="L525" s="17">
        <f t="shared" ref="L525:L588" si="103">IF(I525=0,ABS(1/B525)+L524,IF(ABS(B526-B525)=0,1/B525+L524,ABS((B526-B525)/I525)+L524))</f>
        <v>43.380278269184622</v>
      </c>
      <c r="M525" s="16">
        <f t="shared" si="102"/>
        <v>0.17471042564651693</v>
      </c>
      <c r="N525" s="17">
        <f>VLOOKUP(K525,RPM!$A$2:$D$62,3,FALSE)</f>
        <v>11.4</v>
      </c>
      <c r="O525" s="16">
        <f>VLOOKUP(K525,RPM!$A$2:$D$62,4,FALSE)</f>
        <v>18.894837209302327</v>
      </c>
      <c r="P525" s="17">
        <f t="shared" si="91"/>
        <v>14.089880106976747</v>
      </c>
      <c r="Q525" s="16" cm="1">
        <f t="array" ref="Q525">_xlfn.XLOOKUP(O525,BSFC!$A$2:$A$24,_xlfn.XLOOKUP(K525,BSFC!$B$1:$O$1,BSFC!$B$2:$O$24,,-1),,-1)</f>
        <v>480</v>
      </c>
      <c r="R525" s="17">
        <f t="shared" si="92"/>
        <v>1.8786506809302328</v>
      </c>
      <c r="S525" s="16">
        <f t="shared" si="94"/>
        <v>2.9183485335178652E-4</v>
      </c>
      <c r="T525" s="17">
        <f t="shared" si="98"/>
        <v>0.14008072960885753</v>
      </c>
      <c r="U525" s="16">
        <f t="shared" si="99"/>
        <v>71.590451233495401</v>
      </c>
      <c r="V525" s="17">
        <f t="shared" si="100"/>
        <v>0.15119898766516301</v>
      </c>
      <c r="W525" s="16">
        <f t="shared" si="95"/>
        <v>544316.35559458681</v>
      </c>
      <c r="X525">
        <f>('Hybrid Info'!$A$2-Track!P525)*(L525-L524)*1000+X524</f>
        <v>-23595.047039823359</v>
      </c>
    </row>
    <row r="526" spans="1:24">
      <c r="A526" s="16">
        <f t="shared" si="96"/>
        <v>525</v>
      </c>
      <c r="B526" s="17">
        <f t="shared" si="97"/>
        <v>13.411199999999999</v>
      </c>
      <c r="C526" s="16">
        <f>Specification!$G$29</f>
        <v>164.943378</v>
      </c>
      <c r="D526" s="17">
        <f>0.5*Specification!$K$4*Track!B526^2*Specification!$K$3*Specification!$K$2</f>
        <v>93.159842569492653</v>
      </c>
      <c r="E526" s="16">
        <v>5</v>
      </c>
      <c r="F526" s="17">
        <f>Specification!$C$23*9.81*SIN((E526*PI()/180))</f>
        <v>479.192087363258</v>
      </c>
      <c r="G526" s="18">
        <f>IF(J526=1,VLOOKUP(K526,RPM!$E$2:$H$62,3,FALSE)-F526-E526-D526,IF(J526=2,VLOOKUP(K526,RPM!$H$2:$K$62,3,FALSE)-F526-E526-D526,IF(J526=3,VLOOKUP(K526,RPM!$K$2:$N$62,3,FALSE)-F526-E526-D526)))</f>
        <v>65.370091675013541</v>
      </c>
      <c r="H526" s="19">
        <f>IF(J526=1,Specification!$I$14,IF(J526=2,Specification!$I$15,IF(J526=3,Specification!$I$16)))</f>
        <v>578.93404261974786</v>
      </c>
      <c r="I526" s="16">
        <f t="shared" si="101"/>
        <v>0.11291457551745589</v>
      </c>
      <c r="J526" s="17">
        <v>3</v>
      </c>
      <c r="K526" s="16">
        <f>IF(J526=1,VLOOKUP(B526,RPM!$F$2:$H$62,3,TRUE),IF(J526=2,VLOOKUP(B526,RPM!$I$2:$K$62,3,TRUE),IF(J526=3,VLOOKUP(B526,RPM!$L$2:$N$62,3,TRUE))))</f>
        <v>4300</v>
      </c>
      <c r="L526" s="17">
        <f t="shared" si="103"/>
        <v>43.454842812253105</v>
      </c>
      <c r="M526" s="16">
        <f t="shared" si="102"/>
        <v>0.26219908917244095</v>
      </c>
      <c r="N526" s="17">
        <f>VLOOKUP(K526,RPM!$A$2:$D$62,3,FALSE)</f>
        <v>11.4</v>
      </c>
      <c r="O526" s="16">
        <f>VLOOKUP(K526,RPM!$A$2:$D$62,4,FALSE)</f>
        <v>18.894837209302327</v>
      </c>
      <c r="P526" s="17">
        <f t="shared" si="91"/>
        <v>14.089880106976747</v>
      </c>
      <c r="Q526" s="16" cm="1">
        <f t="array" ref="Q526">_xlfn.XLOOKUP(O526,BSFC!$A$2:$A$24,_xlfn.XLOOKUP(K526,BSFC!$B$1:$O$1,BSFC!$B$2:$O$24,,-1),,-1)</f>
        <v>480</v>
      </c>
      <c r="R526" s="17">
        <f t="shared" si="92"/>
        <v>1.8786506809302328</v>
      </c>
      <c r="S526" s="16">
        <f t="shared" si="94"/>
        <v>2.9183485335178652E-4</v>
      </c>
      <c r="T526" s="17">
        <f t="shared" si="98"/>
        <v>0.14008072960885753</v>
      </c>
      <c r="U526" s="16">
        <f t="shared" si="99"/>
        <v>71.730531963104255</v>
      </c>
      <c r="V526" s="17">
        <f t="shared" si="100"/>
        <v>0.15149082251851481</v>
      </c>
      <c r="W526" s="16">
        <f t="shared" si="95"/>
        <v>545366.96106665337</v>
      </c>
      <c r="X526">
        <f>('Hybrid Info'!$A$2-Track!P526)*(L526-L525)*1000+X525</f>
        <v>-23741.896353172775</v>
      </c>
    </row>
    <row r="527" spans="1:24">
      <c r="A527" s="16">
        <f t="shared" si="96"/>
        <v>526</v>
      </c>
      <c r="B527" s="17">
        <f t="shared" si="97"/>
        <v>13.411199999999999</v>
      </c>
      <c r="C527" s="16">
        <f>Specification!$G$29</f>
        <v>164.943378</v>
      </c>
      <c r="D527" s="17">
        <f>0.5*Specification!$K$4*Track!B527^2*Specification!$K$3*Specification!$K$2</f>
        <v>93.159842569492653</v>
      </c>
      <c r="E527" s="16">
        <v>6</v>
      </c>
      <c r="F527" s="17">
        <f>Specification!$C$23*9.81*SIN((E527*PI()/180))</f>
        <v>574.70926095052266</v>
      </c>
      <c r="G527" s="18">
        <f>IF(J527=1,VLOOKUP(K527,RPM!$E$2:$H$62,3,FALSE)-F527-E527-D527,IF(J527=2,VLOOKUP(K527,RPM!$H$2:$K$62,3,FALSE)-F527-E527-D527,IF(J527=3,VLOOKUP(K527,RPM!$K$2:$N$62,3,FALSE)-F527-E527-D527)))</f>
        <v>107.77600334162695</v>
      </c>
      <c r="H527" s="19">
        <f>IF(J527=1,Specification!$I$14,IF(J527=2,Specification!$I$15,IF(J527=3,Specification!$I$16)))</f>
        <v>582.50936296077191</v>
      </c>
      <c r="I527" s="16">
        <f t="shared" si="101"/>
        <v>0.18502020773335609</v>
      </c>
      <c r="J527" s="17">
        <v>2</v>
      </c>
      <c r="K527" s="16">
        <f>IF(J527=1,VLOOKUP(B527,RPM!$F$2:$H$62,3,TRUE),IF(J527=2,VLOOKUP(B527,RPM!$I$2:$K$62,3,TRUE),IF(J527=3,VLOOKUP(B527,RPM!$L$2:$N$62,3,TRUE))))</f>
        <v>7000</v>
      </c>
      <c r="L527" s="17">
        <f t="shared" si="103"/>
        <v>43.529407355321588</v>
      </c>
      <c r="M527" s="16">
        <f t="shared" si="102"/>
        <v>0.36730332443811742</v>
      </c>
      <c r="N527" s="17">
        <f>VLOOKUP(K527,RPM!$A$2:$D$62,3,FALSE)</f>
        <v>13</v>
      </c>
      <c r="O527" s="16">
        <f>VLOOKUP(K527,RPM!$A$2:$D$62,4,FALSE)</f>
        <v>13.235857142857142</v>
      </c>
      <c r="P527" s="17">
        <f t="shared" si="91"/>
        <v>9.8699786714285711</v>
      </c>
      <c r="Q527" s="16" cm="1">
        <f t="array" ref="Q527">_xlfn.XLOOKUP(O527,BSFC!$A$2:$A$24,_xlfn.XLOOKUP(K527,BSFC!$B$1:$O$1,BSFC!$B$2:$O$24,,-1),,-1)</f>
        <v>520</v>
      </c>
      <c r="R527" s="17">
        <f t="shared" si="92"/>
        <v>1.425663585873016</v>
      </c>
      <c r="S527" s="16">
        <f t="shared" si="94"/>
        <v>2.0443068048076269E-4</v>
      </c>
      <c r="T527" s="17">
        <f t="shared" si="98"/>
        <v>0.10630395384999659</v>
      </c>
      <c r="U527" s="16">
        <f t="shared" si="99"/>
        <v>71.836835916954257</v>
      </c>
      <c r="V527" s="17">
        <f t="shared" si="100"/>
        <v>0.15169525319899557</v>
      </c>
      <c r="W527" s="16">
        <f t="shared" si="95"/>
        <v>546102.91151638411</v>
      </c>
      <c r="X527">
        <f>('Hybrid Info'!$A$2-Track!P527)*(L527-L526)*1000+X526</f>
        <v>-23574.090644186508</v>
      </c>
    </row>
    <row r="528" spans="1:24">
      <c r="A528" s="16">
        <f t="shared" si="96"/>
        <v>527</v>
      </c>
      <c r="B528" s="17">
        <f t="shared" si="97"/>
        <v>13.411199999999999</v>
      </c>
      <c r="C528" s="16">
        <f>Specification!$G$29</f>
        <v>164.943378</v>
      </c>
      <c r="D528" s="17">
        <f>0.5*Specification!$K$4*Track!B528^2*Specification!$K$3*Specification!$K$2</f>
        <v>93.159842569492653</v>
      </c>
      <c r="E528" s="16">
        <v>7</v>
      </c>
      <c r="F528" s="17">
        <f>Specification!$C$23*9.81*SIN((E528*PI()/180))</f>
        <v>670.05137252956831</v>
      </c>
      <c r="G528" s="18">
        <f>IF(J528=1,VLOOKUP(K528,RPM!$E$2:$H$62,3,FALSE)-F528-E528-D528,IF(J528=2,VLOOKUP(K528,RPM!$H$2:$K$62,3,FALSE)-F528-E528-D528,IF(J528=3,VLOOKUP(K528,RPM!$K$2:$N$62,3,FALSE)-F528-E528-D528)))</f>
        <v>11.433891762581297</v>
      </c>
      <c r="H528" s="19">
        <f>IF(J528=1,Specification!$I$14,IF(J528=2,Specification!$I$15,IF(J528=3,Specification!$I$16)))</f>
        <v>582.50936296077191</v>
      </c>
      <c r="I528" s="16">
        <f t="shared" si="101"/>
        <v>1.9628683227451045E-2</v>
      </c>
      <c r="J528" s="17">
        <v>2</v>
      </c>
      <c r="K528" s="16">
        <f>IF(J528=1,VLOOKUP(B528,RPM!$F$2:$H$62,3,TRUE),IF(J528=2,VLOOKUP(B528,RPM!$I$2:$K$62,3,TRUE),IF(J528=3,VLOOKUP(B528,RPM!$L$2:$N$62,3,TRUE))))</f>
        <v>7000</v>
      </c>
      <c r="L528" s="17">
        <f t="shared" si="103"/>
        <v>43.603971898390071</v>
      </c>
      <c r="M528" s="16">
        <f t="shared" si="102"/>
        <v>0.49008788534102199</v>
      </c>
      <c r="N528" s="17">
        <f>VLOOKUP(K528,RPM!$A$2:$D$62,3,FALSE)</f>
        <v>13</v>
      </c>
      <c r="O528" s="16">
        <f>VLOOKUP(K528,RPM!$A$2:$D$62,4,FALSE)</f>
        <v>13.235857142857142</v>
      </c>
      <c r="P528" s="17">
        <f t="shared" si="91"/>
        <v>9.8699786714285711</v>
      </c>
      <c r="Q528" s="16" cm="1">
        <f t="array" ref="Q528">_xlfn.XLOOKUP(O528,BSFC!$A$2:$A$24,_xlfn.XLOOKUP(K528,BSFC!$B$1:$O$1,BSFC!$B$2:$O$24,,-1),,-1)</f>
        <v>520</v>
      </c>
      <c r="R528" s="17">
        <f t="shared" si="92"/>
        <v>1.425663585873016</v>
      </c>
      <c r="S528" s="16">
        <f t="shared" si="94"/>
        <v>2.0443068048076269E-4</v>
      </c>
      <c r="T528" s="17">
        <f t="shared" si="98"/>
        <v>0.10630395384999659</v>
      </c>
      <c r="U528" s="16">
        <f t="shared" si="99"/>
        <v>71.943139870804259</v>
      </c>
      <c r="V528" s="17">
        <f t="shared" si="100"/>
        <v>0.15189968387947633</v>
      </c>
      <c r="W528" s="16">
        <f t="shared" si="95"/>
        <v>546838.86196611472</v>
      </c>
      <c r="X528">
        <f>('Hybrid Info'!$A$2-Track!P528)*(L528-L527)*1000+X527</f>
        <v>-23406.284935200241</v>
      </c>
    </row>
    <row r="529" spans="1:24">
      <c r="A529" s="16">
        <f t="shared" si="96"/>
        <v>528</v>
      </c>
      <c r="B529" s="17">
        <f t="shared" si="97"/>
        <v>13.411199999999999</v>
      </c>
      <c r="C529" s="16">
        <f>Specification!$G$29</f>
        <v>164.943378</v>
      </c>
      <c r="D529" s="17">
        <f>0.5*Specification!$K$4*Track!B529^2*Specification!$K$3*Specification!$K$2</f>
        <v>93.159842569492653</v>
      </c>
      <c r="E529" s="16">
        <v>8</v>
      </c>
      <c r="F529" s="17">
        <f>Specification!$C$23*9.81*SIN((E529*PI()/180))</f>
        <v>765.1893799696079</v>
      </c>
      <c r="G529" s="18">
        <f>IF(J529=1,VLOOKUP(K529,RPM!$E$2:$H$62,3,FALSE)-F529-E529-D529,IF(J529=2,VLOOKUP(K529,RPM!$H$2:$K$62,3,FALSE)-F529-E529-D529,IF(J529=3,VLOOKUP(K529,RPM!$K$2:$N$62,3,FALSE)-F529-E529-D529)))</f>
        <v>-84.70411567745829</v>
      </c>
      <c r="H529" s="19">
        <f>IF(J529=1,Specification!$I$14,IF(J529=2,Specification!$I$15,IF(J529=3,Specification!$I$16)))</f>
        <v>582.50936296077191</v>
      </c>
      <c r="I529" s="16">
        <f t="shared" si="101"/>
        <v>-0.14541245353881554</v>
      </c>
      <c r="J529" s="17">
        <v>2</v>
      </c>
      <c r="K529" s="16">
        <f>IF(J529=1,VLOOKUP(B529,RPM!$F$2:$H$62,3,TRUE),IF(J529=2,VLOOKUP(B529,RPM!$I$2:$K$62,3,TRUE),IF(J529=3,VLOOKUP(B529,RPM!$L$2:$N$62,3,TRUE))))</f>
        <v>7000</v>
      </c>
      <c r="L529" s="17">
        <f t="shared" si="103"/>
        <v>43.678566607617725</v>
      </c>
      <c r="M529" s="16">
        <f t="shared" si="102"/>
        <v>0.63062872004341342</v>
      </c>
      <c r="N529" s="17">
        <f>VLOOKUP(K529,RPM!$A$2:$D$62,3,FALSE)</f>
        <v>13</v>
      </c>
      <c r="O529" s="16">
        <f>VLOOKUP(K529,RPM!$A$2:$D$62,4,FALSE)</f>
        <v>13.235857142857142</v>
      </c>
      <c r="P529" s="17">
        <f t="shared" si="91"/>
        <v>9.8699786714285711</v>
      </c>
      <c r="Q529" s="16" cm="1">
        <f t="array" ref="Q529">_xlfn.XLOOKUP(O529,BSFC!$A$2:$A$24,_xlfn.XLOOKUP(K529,BSFC!$B$1:$O$1,BSFC!$B$2:$O$24,,-1),,-1)</f>
        <v>520</v>
      </c>
      <c r="R529" s="17">
        <f t="shared" si="92"/>
        <v>1.425663585873016</v>
      </c>
      <c r="S529" s="16">
        <f t="shared" si="94"/>
        <v>2.0451338585509961E-4</v>
      </c>
      <c r="T529" s="17">
        <f t="shared" si="98"/>
        <v>0.10634696064465179</v>
      </c>
      <c r="U529" s="16">
        <f t="shared" si="99"/>
        <v>72.049486831448917</v>
      </c>
      <c r="V529" s="17">
        <f t="shared" si="100"/>
        <v>0.15210419726533142</v>
      </c>
      <c r="W529" s="16">
        <f t="shared" si="95"/>
        <v>547575.11015519302</v>
      </c>
      <c r="X529">
        <f>('Hybrid Info'!$A$2-Track!P529)*(L529-L528)*1000+X528</f>
        <v>-23238.41133799903</v>
      </c>
    </row>
    <row r="530" spans="1:24">
      <c r="A530" s="16">
        <f t="shared" si="96"/>
        <v>529</v>
      </c>
      <c r="B530" s="17">
        <f t="shared" si="97"/>
        <v>13.400353000310192</v>
      </c>
      <c r="C530" s="16">
        <f>Specification!$G$29</f>
        <v>164.943378</v>
      </c>
      <c r="D530" s="17">
        <f>0.5*Specification!$K$4*Track!B530^2*Specification!$K$3*Specification!$K$2</f>
        <v>93.009207856040703</v>
      </c>
      <c r="E530" s="16">
        <v>8</v>
      </c>
      <c r="F530" s="17">
        <f>Specification!$C$23*9.81*SIN((E530*PI()/180))</f>
        <v>765.1893799696079</v>
      </c>
      <c r="G530" s="18">
        <f>IF(J530=1,VLOOKUP(K530,RPM!$E$2:$H$62,3,FALSE)-F530-E530-D530,IF(J530=2,VLOOKUP(K530,RPM!$H$2:$K$62,3,FALSE)-F530-E530-D530,IF(J530=3,VLOOKUP(K530,RPM!$K$2:$N$62,3,FALSE)-F530-E530-D530)))</f>
        <v>-84.55348096400634</v>
      </c>
      <c r="H530" s="19">
        <f>IF(J530=1,Specification!$I$14,IF(J530=2,Specification!$I$15,IF(J530=3,Specification!$I$16)))</f>
        <v>582.50936296077191</v>
      </c>
      <c r="I530" s="16">
        <f t="shared" si="101"/>
        <v>-0.14515385732898589</v>
      </c>
      <c r="J530" s="17">
        <v>2</v>
      </c>
      <c r="K530" s="16">
        <f>IF(J530=1,VLOOKUP(B530,RPM!$F$2:$H$62,3,TRUE),IF(J530=2,VLOOKUP(B530,RPM!$I$2:$K$62,3,TRUE),IF(J530=3,VLOOKUP(B530,RPM!$L$2:$N$62,3,TRUE))))</f>
        <v>7000</v>
      </c>
      <c r="L530" s="17">
        <f t="shared" si="103"/>
        <v>43.753221693115066</v>
      </c>
      <c r="M530" s="16">
        <f t="shared" si="102"/>
        <v>0.77116955474580484</v>
      </c>
      <c r="N530" s="17">
        <f>VLOOKUP(K530,RPM!$A$2:$D$62,3,FALSE)</f>
        <v>13</v>
      </c>
      <c r="O530" s="16">
        <f>VLOOKUP(K530,RPM!$A$2:$D$62,4,FALSE)</f>
        <v>13.235857142857142</v>
      </c>
      <c r="P530" s="17">
        <f t="shared" si="91"/>
        <v>9.8699786714285711</v>
      </c>
      <c r="Q530" s="16" cm="1">
        <f t="array" ref="Q530">_xlfn.XLOOKUP(O530,BSFC!$A$2:$A$24,_xlfn.XLOOKUP(K530,BSFC!$B$1:$O$1,BSFC!$B$2:$O$24,,-1),,-1)</f>
        <v>520</v>
      </c>
      <c r="R530" s="17">
        <f t="shared" si="92"/>
        <v>1.425663585873016</v>
      </c>
      <c r="S530" s="16">
        <f t="shared" si="94"/>
        <v>2.0467891710345247E-4</v>
      </c>
      <c r="T530" s="17">
        <f t="shared" si="98"/>
        <v>0.10643303689379528</v>
      </c>
      <c r="U530" s="16">
        <f t="shared" si="99"/>
        <v>72.155919868342707</v>
      </c>
      <c r="V530" s="17">
        <f t="shared" si="100"/>
        <v>0.15230887618243488</v>
      </c>
      <c r="W530" s="16">
        <f t="shared" si="95"/>
        <v>548311.95425676554</v>
      </c>
      <c r="X530">
        <f>('Hybrid Info'!$A$2-Track!P530)*(L530-L529)*1000+X529</f>
        <v>-23070.401865456486</v>
      </c>
    </row>
    <row r="531" spans="1:24">
      <c r="A531" s="16">
        <f t="shared" si="96"/>
        <v>530</v>
      </c>
      <c r="B531" s="17">
        <f t="shared" si="97"/>
        <v>13.389516526681028</v>
      </c>
      <c r="C531" s="16">
        <f>Specification!$G$29</f>
        <v>164.943378</v>
      </c>
      <c r="D531" s="17">
        <f>0.5*Specification!$K$4*Track!B531^2*Specification!$K$3*Specification!$K$2</f>
        <v>92.858841025875364</v>
      </c>
      <c r="E531" s="16">
        <v>8</v>
      </c>
      <c r="F531" s="17">
        <f>Specification!$C$23*9.81*SIN((E531*PI()/180))</f>
        <v>765.1893799696079</v>
      </c>
      <c r="G531" s="18">
        <f>IF(J531=1,VLOOKUP(K531,RPM!$E$2:$H$62,3,FALSE)-F531-E531-D531,IF(J531=2,VLOOKUP(K531,RPM!$H$2:$K$62,3,FALSE)-F531-E531-D531,IF(J531=3,VLOOKUP(K531,RPM!$K$2:$N$62,3,FALSE)-F531-E531-D531)))</f>
        <v>-84.403114133841001</v>
      </c>
      <c r="H531" s="19">
        <f>IF(J531=1,Specification!$I$14,IF(J531=2,Specification!$I$15,IF(J531=3,Specification!$I$16)))</f>
        <v>582.50936296077191</v>
      </c>
      <c r="I531" s="16">
        <f t="shared" si="101"/>
        <v>-0.14489572099723483</v>
      </c>
      <c r="J531" s="17">
        <v>2</v>
      </c>
      <c r="K531" s="16">
        <f>IF(J531=1,VLOOKUP(B531,RPM!$F$2:$H$62,3,TRUE),IF(J531=2,VLOOKUP(B531,RPM!$I$2:$K$62,3,TRUE),IF(J531=3,VLOOKUP(B531,RPM!$L$2:$N$62,3,TRUE))))</f>
        <v>7000</v>
      </c>
      <c r="L531" s="17">
        <f t="shared" si="103"/>
        <v>43.827937193961013</v>
      </c>
      <c r="M531" s="16">
        <f t="shared" si="102"/>
        <v>0.91171038944819627</v>
      </c>
      <c r="N531" s="17">
        <f>VLOOKUP(K531,RPM!$A$2:$D$62,3,FALSE)</f>
        <v>13</v>
      </c>
      <c r="O531" s="16">
        <f>VLOOKUP(K531,RPM!$A$2:$D$62,4,FALSE)</f>
        <v>13.235857142857142</v>
      </c>
      <c r="P531" s="17">
        <f t="shared" si="91"/>
        <v>9.8699786714285711</v>
      </c>
      <c r="Q531" s="16" cm="1">
        <f t="array" ref="Q531">_xlfn.XLOOKUP(O531,BSFC!$A$2:$A$24,_xlfn.XLOOKUP(K531,BSFC!$B$1:$O$1,BSFC!$B$2:$O$24,,-1),,-1)</f>
        <v>520</v>
      </c>
      <c r="R531" s="17">
        <f t="shared" si="92"/>
        <v>1.425663585873016</v>
      </c>
      <c r="S531" s="16">
        <f t="shared" si="94"/>
        <v>2.0484455549294519E-4</v>
      </c>
      <c r="T531" s="17">
        <f t="shared" si="98"/>
        <v>0.1065191688563315</v>
      </c>
      <c r="U531" s="16">
        <f t="shared" si="99"/>
        <v>72.262439037199044</v>
      </c>
      <c r="V531" s="17">
        <f t="shared" si="100"/>
        <v>0.15251372073792782</v>
      </c>
      <c r="W531" s="16">
        <f t="shared" si="95"/>
        <v>549049.39465654013</v>
      </c>
      <c r="X531">
        <f>('Hybrid Info'!$A$2-Track!P531)*(L531-L530)*1000+X530</f>
        <v>-22902.256429626439</v>
      </c>
    </row>
    <row r="532" spans="1:24">
      <c r="A532" s="16">
        <f t="shared" si="96"/>
        <v>531</v>
      </c>
      <c r="B532" s="17">
        <f t="shared" si="97"/>
        <v>13.378690570316286</v>
      </c>
      <c r="C532" s="16">
        <f>Specification!$G$29</f>
        <v>164.943378</v>
      </c>
      <c r="D532" s="17">
        <f>0.5*Specification!$K$4*Track!B532^2*Specification!$K$3*Specification!$K$2</f>
        <v>92.708741602602757</v>
      </c>
      <c r="E532" s="16">
        <v>8</v>
      </c>
      <c r="F532" s="17">
        <f>Specification!$C$23*9.81*SIN((E532*PI()/180))</f>
        <v>765.1893799696079</v>
      </c>
      <c r="G532" s="18">
        <f>IF(J532=1,VLOOKUP(K532,RPM!$E$2:$H$62,3,FALSE)-F532-E532-D532,IF(J532=2,VLOOKUP(K532,RPM!$H$2:$K$62,3,FALSE)-F532-E532-D532,IF(J532=3,VLOOKUP(K532,RPM!$K$2:$N$62,3,FALSE)-F532-E532-D532)))</f>
        <v>-84.253014710568394</v>
      </c>
      <c r="H532" s="19">
        <f>IF(J532=1,Specification!$I$14,IF(J532=2,Specification!$I$15,IF(J532=3,Specification!$I$16)))</f>
        <v>582.50936296077191</v>
      </c>
      <c r="I532" s="16">
        <f t="shared" si="101"/>
        <v>-0.14463804372573197</v>
      </c>
      <c r="J532" s="17">
        <v>2</v>
      </c>
      <c r="K532" s="16">
        <f>IF(J532=1,VLOOKUP(B532,RPM!$F$2:$H$62,3,TRUE),IF(J532=2,VLOOKUP(B532,RPM!$I$2:$K$62,3,TRUE),IF(J532=3,VLOOKUP(B532,RPM!$L$2:$N$62,3,TRUE))))</f>
        <v>7000</v>
      </c>
      <c r="L532" s="17">
        <f t="shared" si="103"/>
        <v>43.902713149235993</v>
      </c>
      <c r="M532" s="16">
        <f t="shared" si="102"/>
        <v>1.0522512241505877</v>
      </c>
      <c r="N532" s="17">
        <f>VLOOKUP(K532,RPM!$A$2:$D$62,3,FALSE)</f>
        <v>13</v>
      </c>
      <c r="O532" s="16">
        <f>VLOOKUP(K532,RPM!$A$2:$D$62,4,FALSE)</f>
        <v>13.235857142857142</v>
      </c>
      <c r="P532" s="17">
        <f t="shared" si="91"/>
        <v>9.8699786714285711</v>
      </c>
      <c r="Q532" s="16" cm="1">
        <f t="array" ref="Q532">_xlfn.XLOOKUP(O532,BSFC!$A$2:$A$24,_xlfn.XLOOKUP(K532,BSFC!$B$1:$O$1,BSFC!$B$2:$O$24,,-1),,-1)</f>
        <v>520</v>
      </c>
      <c r="R532" s="17">
        <f t="shared" si="92"/>
        <v>1.425663585873016</v>
      </c>
      <c r="S532" s="16">
        <f t="shared" si="94"/>
        <v>2.0501030102770769E-4</v>
      </c>
      <c r="T532" s="17">
        <f t="shared" si="98"/>
        <v>0.106605356534408</v>
      </c>
      <c r="U532" s="16">
        <f t="shared" si="99"/>
        <v>72.369044393733446</v>
      </c>
      <c r="V532" s="17">
        <f t="shared" si="100"/>
        <v>0.15271873103895553</v>
      </c>
      <c r="W532" s="16">
        <f t="shared" si="95"/>
        <v>549787.43174023984</v>
      </c>
      <c r="X532">
        <f>('Hybrid Info'!$A$2-Track!P532)*(L532-L531)*1000+X531</f>
        <v>-22733.974942559336</v>
      </c>
    </row>
    <row r="533" spans="1:24">
      <c r="A533" s="16">
        <f t="shared" si="96"/>
        <v>532</v>
      </c>
      <c r="B533" s="17">
        <f t="shared" si="97"/>
        <v>13.36787512242759</v>
      </c>
      <c r="C533" s="16">
        <f>Specification!$G$29</f>
        <v>164.943378</v>
      </c>
      <c r="D533" s="17">
        <f>0.5*Specification!$K$4*Track!B533^2*Specification!$K$3*Specification!$K$2</f>
        <v>92.558909110676197</v>
      </c>
      <c r="E533" s="16">
        <v>8</v>
      </c>
      <c r="F533" s="17">
        <f>Specification!$C$23*9.81*SIN((E533*PI()/180))</f>
        <v>765.1893799696079</v>
      </c>
      <c r="G533" s="18">
        <f>IF(J533=1,VLOOKUP(K533,RPM!$E$2:$H$62,3,FALSE)-F533-E533-D533,IF(J533=2,VLOOKUP(K533,RPM!$H$2:$K$62,3,FALSE)-F533-E533-D533,IF(J533=3,VLOOKUP(K533,RPM!$K$2:$N$62,3,FALSE)-F533-E533-D533)))</f>
        <v>-84.103182218641834</v>
      </c>
      <c r="H533" s="19">
        <f>IF(J533=1,Specification!$I$14,IF(J533=2,Specification!$I$15,IF(J533=3,Specification!$I$16)))</f>
        <v>582.50936296077191</v>
      </c>
      <c r="I533" s="16">
        <f t="shared" si="101"/>
        <v>-0.14438082469810123</v>
      </c>
      <c r="J533" s="17">
        <v>2</v>
      </c>
      <c r="K533" s="16">
        <f>IF(J533=1,VLOOKUP(B533,RPM!$F$2:$H$62,3,TRUE),IF(J533=2,VLOOKUP(B533,RPM!$I$2:$K$62,3,TRUE),IF(J533=3,VLOOKUP(B533,RPM!$L$2:$N$62,3,TRUE))))</f>
        <v>7000</v>
      </c>
      <c r="L533" s="17">
        <f t="shared" si="103"/>
        <v>43.977549598021902</v>
      </c>
      <c r="M533" s="16">
        <f t="shared" si="102"/>
        <v>1.1927920588529792</v>
      </c>
      <c r="N533" s="17">
        <f>VLOOKUP(K533,RPM!$A$2:$D$62,3,FALSE)</f>
        <v>13</v>
      </c>
      <c r="O533" s="16">
        <f>VLOOKUP(K533,RPM!$A$2:$D$62,4,FALSE)</f>
        <v>13.235857142857142</v>
      </c>
      <c r="P533" s="17">
        <f t="shared" si="91"/>
        <v>9.8699786714285711</v>
      </c>
      <c r="Q533" s="16" cm="1">
        <f t="array" ref="Q533">_xlfn.XLOOKUP(O533,BSFC!$A$2:$A$24,_xlfn.XLOOKUP(K533,BSFC!$B$1:$O$1,BSFC!$B$2:$O$24,,-1),,-1)</f>
        <v>520</v>
      </c>
      <c r="R533" s="17">
        <f t="shared" si="92"/>
        <v>1.425663585873016</v>
      </c>
      <c r="S533" s="16">
        <f t="shared" si="94"/>
        <v>2.051761537117724E-4</v>
      </c>
      <c r="T533" s="17">
        <f t="shared" si="98"/>
        <v>0.10669159993012164</v>
      </c>
      <c r="U533" s="16">
        <f t="shared" si="99"/>
        <v>72.475735993663562</v>
      </c>
      <c r="V533" s="17">
        <f t="shared" si="100"/>
        <v>0.1529239071926673</v>
      </c>
      <c r="W533" s="16">
        <f t="shared" si="95"/>
        <v>550526.06589360221</v>
      </c>
      <c r="X533">
        <f>('Hybrid Info'!$A$2-Track!P533)*(L533-L532)*1000+X532</f>
        <v>-22565.557316302307</v>
      </c>
    </row>
    <row r="534" spans="1:24">
      <c r="A534" s="16">
        <f t="shared" si="96"/>
        <v>533</v>
      </c>
      <c r="B534" s="17">
        <f t="shared" si="97"/>
        <v>13.357070174234403</v>
      </c>
      <c r="C534" s="16">
        <f>Specification!$G$29</f>
        <v>164.943378</v>
      </c>
      <c r="D534" s="17">
        <f>0.5*Specification!$K$4*Track!B534^2*Specification!$K$3*Specification!$K$2</f>
        <v>92.40934307539473</v>
      </c>
      <c r="E534" s="16">
        <v>8</v>
      </c>
      <c r="F534" s="17">
        <f>Specification!$C$23*9.81*SIN((E534*PI()/180))</f>
        <v>765.1893799696079</v>
      </c>
      <c r="G534" s="18">
        <f>IF(J534=1,VLOOKUP(K534,RPM!$E$2:$H$62,3,FALSE)-F534-E534-D534,IF(J534=2,VLOOKUP(K534,RPM!$H$2:$K$62,3,FALSE)-F534-E534-D534,IF(J534=3,VLOOKUP(K534,RPM!$K$2:$N$62,3,FALSE)-F534-E534-D534)))</f>
        <v>-83.953616183360367</v>
      </c>
      <c r="H534" s="19">
        <f>IF(J534=1,Specification!$I$14,IF(J534=2,Specification!$I$15,IF(J534=3,Specification!$I$16)))</f>
        <v>582.50936296077191</v>
      </c>
      <c r="I534" s="16">
        <f t="shared" si="101"/>
        <v>-0.1441240630994185</v>
      </c>
      <c r="J534" s="17">
        <v>2</v>
      </c>
      <c r="K534" s="16">
        <f>IF(J534=1,VLOOKUP(B534,RPM!$F$2:$H$62,3,TRUE),IF(J534=2,VLOOKUP(B534,RPM!$I$2:$K$62,3,TRUE),IF(J534=3,VLOOKUP(B534,RPM!$L$2:$N$62,3,TRUE))))</f>
        <v>7000</v>
      </c>
      <c r="L534" s="17">
        <f t="shared" si="103"/>
        <v>44.052446579402016</v>
      </c>
      <c r="M534" s="16">
        <f t="shared" si="102"/>
        <v>1.3333328935553708</v>
      </c>
      <c r="N534" s="17">
        <f>VLOOKUP(K534,RPM!$A$2:$D$62,3,FALSE)</f>
        <v>13</v>
      </c>
      <c r="O534" s="16">
        <f>VLOOKUP(K534,RPM!$A$2:$D$62,4,FALSE)</f>
        <v>13.235857142857142</v>
      </c>
      <c r="P534" s="17">
        <f t="shared" si="91"/>
        <v>9.8699786714285711</v>
      </c>
      <c r="Q534" s="16" cm="1">
        <f t="array" ref="Q534">_xlfn.XLOOKUP(O534,BSFC!$A$2:$A$24,_xlfn.XLOOKUP(K534,BSFC!$B$1:$O$1,BSFC!$B$2:$O$24,,-1),,-1)</f>
        <v>520</v>
      </c>
      <c r="R534" s="17">
        <f t="shared" si="92"/>
        <v>1.425663585873016</v>
      </c>
      <c r="S534" s="16">
        <f t="shared" si="94"/>
        <v>2.0534211354891865E-4</v>
      </c>
      <c r="T534" s="17">
        <f t="shared" si="98"/>
        <v>0.1067778990454377</v>
      </c>
      <c r="U534" s="16">
        <f t="shared" si="99"/>
        <v>72.582513892709002</v>
      </c>
      <c r="V534" s="17">
        <f t="shared" si="100"/>
        <v>0.15312924930621621</v>
      </c>
      <c r="W534" s="16">
        <f t="shared" si="95"/>
        <v>551265.29750237835</v>
      </c>
      <c r="X534">
        <f>('Hybrid Info'!$A$2-Track!P534)*(L534-L533)*1000+X533</f>
        <v>-22397.003462899382</v>
      </c>
    </row>
    <row r="535" spans="1:24">
      <c r="A535" s="16">
        <f t="shared" si="96"/>
        <v>534</v>
      </c>
      <c r="B535" s="17">
        <f t="shared" si="97"/>
        <v>13.346275716964019</v>
      </c>
      <c r="C535" s="16">
        <f>Specification!$G$29</f>
        <v>164.943378</v>
      </c>
      <c r="D535" s="17">
        <f>0.5*Specification!$K$4*Track!B535^2*Specification!$K$3*Specification!$K$2</f>
        <v>92.260043022901542</v>
      </c>
      <c r="E535" s="16">
        <v>8</v>
      </c>
      <c r="F535" s="17">
        <f>Specification!$C$23*9.81*SIN((E535*PI()/180))</f>
        <v>765.1893799696079</v>
      </c>
      <c r="G535" s="18">
        <f>IF(J535=1,VLOOKUP(K535,RPM!$E$2:$H$62,3,FALSE)-F535-E535-D535,IF(J535=2,VLOOKUP(K535,RPM!$H$2:$K$62,3,FALSE)-F535-E535-D535,IF(J535=3,VLOOKUP(K535,RPM!$K$2:$N$62,3,FALSE)-F535-E535-D535)))</f>
        <v>-83.804316130867178</v>
      </c>
      <c r="H535" s="19">
        <f>IF(J535=1,Specification!$I$14,IF(J535=2,Specification!$I$15,IF(J535=3,Specification!$I$16)))</f>
        <v>582.50936296077191</v>
      </c>
      <c r="I535" s="16">
        <f t="shared" si="101"/>
        <v>-0.14386775811620875</v>
      </c>
      <c r="J535" s="17">
        <v>2</v>
      </c>
      <c r="K535" s="16">
        <f>IF(J535=1,VLOOKUP(B535,RPM!$F$2:$H$62,3,TRUE),IF(J535=2,VLOOKUP(B535,RPM!$I$2:$K$62,3,TRUE),IF(J535=3,VLOOKUP(B535,RPM!$L$2:$N$62,3,TRUE))))</f>
        <v>7000</v>
      </c>
      <c r="L535" s="17">
        <f t="shared" si="103"/>
        <v>44.127404132460939</v>
      </c>
      <c r="M535" s="16">
        <f t="shared" si="102"/>
        <v>1.4738737282577623</v>
      </c>
      <c r="N535" s="17">
        <f>VLOOKUP(K535,RPM!$A$2:$D$62,3,FALSE)</f>
        <v>13</v>
      </c>
      <c r="O535" s="16">
        <f>VLOOKUP(K535,RPM!$A$2:$D$62,4,FALSE)</f>
        <v>13.235857142857142</v>
      </c>
      <c r="P535" s="17">
        <f t="shared" si="91"/>
        <v>9.8699786714285711</v>
      </c>
      <c r="Q535" s="16" cm="1">
        <f t="array" ref="Q535">_xlfn.XLOOKUP(O535,BSFC!$A$2:$A$24,_xlfn.XLOOKUP(K535,BSFC!$B$1:$O$1,BSFC!$B$2:$O$24,,-1),,-1)</f>
        <v>520</v>
      </c>
      <c r="R535" s="17">
        <f t="shared" si="92"/>
        <v>1.425663585873016</v>
      </c>
      <c r="S535" s="16">
        <f t="shared" si="94"/>
        <v>2.0550818054278929E-4</v>
      </c>
      <c r="T535" s="17">
        <f t="shared" si="98"/>
        <v>0.10686425388225043</v>
      </c>
      <c r="U535" s="16">
        <f t="shared" si="99"/>
        <v>72.689378146591253</v>
      </c>
      <c r="V535" s="17">
        <f t="shared" si="100"/>
        <v>0.15333475748675901</v>
      </c>
      <c r="W535" s="16">
        <f t="shared" si="95"/>
        <v>552005.12695233244</v>
      </c>
      <c r="X535">
        <f>('Hybrid Info'!$A$2-Track!P535)*(L535-L534)*1000+X534</f>
        <v>-22228.313294391599</v>
      </c>
    </row>
    <row r="536" spans="1:24">
      <c r="A536" s="16">
        <f t="shared" si="96"/>
        <v>535</v>
      </c>
      <c r="B536" s="17">
        <f t="shared" si="97"/>
        <v>13.335491741851556</v>
      </c>
      <c r="C536" s="16">
        <f>Specification!$G$29</f>
        <v>164.943378</v>
      </c>
      <c r="D536" s="17">
        <f>0.5*Specification!$K$4*Track!B536^2*Specification!$K$3*Specification!$K$2</f>
        <v>92.111008480182505</v>
      </c>
      <c r="E536" s="16">
        <v>8</v>
      </c>
      <c r="F536" s="17">
        <f>Specification!$C$23*9.81*SIN((E536*PI()/180))</f>
        <v>765.1893799696079</v>
      </c>
      <c r="G536" s="18">
        <f>IF(J536=1,VLOOKUP(K536,RPM!$E$2:$H$62,3,FALSE)-F536-E536-D536,IF(J536=2,VLOOKUP(K536,RPM!$H$2:$K$62,3,FALSE)-F536-E536-D536,IF(J536=3,VLOOKUP(K536,RPM!$K$2:$N$62,3,FALSE)-F536-E536-D536)))</f>
        <v>-83.655281588148142</v>
      </c>
      <c r="H536" s="19">
        <f>IF(J536=1,Specification!$I$14,IF(J536=2,Specification!$I$15,IF(J536=3,Specification!$I$16)))</f>
        <v>582.50936296077191</v>
      </c>
      <c r="I536" s="16">
        <f t="shared" ref="I536:I545" si="104">IF(B536=13.4112,0,G536/H536)</f>
        <v>-0.1436119089364436</v>
      </c>
      <c r="J536" s="17">
        <v>2</v>
      </c>
      <c r="K536" s="16">
        <f>IF(J536=1,VLOOKUP(B536,RPM!$F$2:$H$62,3,TRUE),IF(J536=2,VLOOKUP(B536,RPM!$I$2:$K$62,3,TRUE),IF(J536=3,VLOOKUP(B536,RPM!$L$2:$N$62,3,TRUE))))</f>
        <v>7000</v>
      </c>
      <c r="L536" s="17">
        <f t="shared" si="103"/>
        <v>44.202422296284517</v>
      </c>
      <c r="M536" s="16">
        <f t="shared" si="102"/>
        <v>1.6144145629601538</v>
      </c>
      <c r="N536" s="17">
        <f>VLOOKUP(K536,RPM!$A$2:$D$62,3,FALSE)</f>
        <v>13</v>
      </c>
      <c r="O536" s="16">
        <f>VLOOKUP(K536,RPM!$A$2:$D$62,4,FALSE)</f>
        <v>13.235857142857142</v>
      </c>
      <c r="P536" s="17">
        <f t="shared" si="91"/>
        <v>9.8699786714285711</v>
      </c>
      <c r="Q536" s="16" cm="1">
        <f t="array" ref="Q536">_xlfn.XLOOKUP(O536,BSFC!$A$2:$A$24,_xlfn.XLOOKUP(K536,BSFC!$B$1:$O$1,BSFC!$B$2:$O$24,,-1),,-1)</f>
        <v>520</v>
      </c>
      <c r="R536" s="17">
        <f t="shared" si="92"/>
        <v>1.425663585873016</v>
      </c>
      <c r="S536" s="16">
        <f t="shared" si="94"/>
        <v>2.0567435469679346E-4</v>
      </c>
      <c r="T536" s="17">
        <f t="shared" si="98"/>
        <v>0.1069506644423326</v>
      </c>
      <c r="U536" s="16">
        <f t="shared" si="99"/>
        <v>72.79632881103359</v>
      </c>
      <c r="V536" s="17">
        <f t="shared" si="100"/>
        <v>0.1535404318414558</v>
      </c>
      <c r="W536" s="16">
        <f t="shared" si="95"/>
        <v>552745.55462924088</v>
      </c>
      <c r="X536">
        <f>('Hybrid Info'!$A$2-Track!P536)*(L536-L535)*1000+X535</f>
        <v>-22059.486722817201</v>
      </c>
    </row>
    <row r="537" spans="1:24">
      <c r="A537" s="16">
        <f t="shared" si="96"/>
        <v>536</v>
      </c>
      <c r="B537" s="17">
        <f t="shared" si="97"/>
        <v>13.324718240139944</v>
      </c>
      <c r="C537" s="16">
        <f>Specification!$G$29</f>
        <v>164.943378</v>
      </c>
      <c r="D537" s="17">
        <f>0.5*Specification!$K$4*Track!B537^2*Specification!$K$3*Specification!$K$2</f>
        <v>91.962238975064736</v>
      </c>
      <c r="E537" s="16">
        <v>8</v>
      </c>
      <c r="F537" s="17">
        <f>Specification!$C$23*9.81*SIN((E537*PI()/180))</f>
        <v>765.1893799696079</v>
      </c>
      <c r="G537" s="18">
        <f>IF(J537=1,VLOOKUP(K537,RPM!$E$2:$H$62,3,FALSE)-F537-E537-D537,IF(J537=2,VLOOKUP(K537,RPM!$H$2:$K$62,3,FALSE)-F537-E537-D537,IF(J537=3,VLOOKUP(K537,RPM!$K$2:$N$62,3,FALSE)-F537-E537-D537)))</f>
        <v>-83.506512083030373</v>
      </c>
      <c r="H537" s="19">
        <f>IF(J537=1,Specification!$I$14,IF(J537=2,Specification!$I$15,IF(J537=3,Specification!$I$16)))</f>
        <v>582.50936296077191</v>
      </c>
      <c r="I537" s="16">
        <f t="shared" si="104"/>
        <v>-0.14335651474953884</v>
      </c>
      <c r="J537" s="17">
        <v>2</v>
      </c>
      <c r="K537" s="16">
        <f>IF(J537=1,VLOOKUP(B537,RPM!$F$2:$H$62,3,TRUE),IF(J537=2,VLOOKUP(B537,RPM!$I$2:$K$62,3,TRUE),IF(J537=3,VLOOKUP(B537,RPM!$L$2:$N$62,3,TRUE))))</f>
        <v>7000</v>
      </c>
      <c r="L537" s="17">
        <f t="shared" si="103"/>
        <v>44.277501109959793</v>
      </c>
      <c r="M537" s="16">
        <f t="shared" si="102"/>
        <v>1.7549553976625454</v>
      </c>
      <c r="N537" s="17">
        <f>VLOOKUP(K537,RPM!$A$2:$D$62,3,FALSE)</f>
        <v>13</v>
      </c>
      <c r="O537" s="16">
        <f>VLOOKUP(K537,RPM!$A$2:$D$62,4,FALSE)</f>
        <v>13.235857142857142</v>
      </c>
      <c r="P537" s="17">
        <f t="shared" si="91"/>
        <v>9.8699786714285711</v>
      </c>
      <c r="Q537" s="16" cm="1">
        <f t="array" ref="Q537">_xlfn.XLOOKUP(O537,BSFC!$A$2:$A$24,_xlfn.XLOOKUP(K537,BSFC!$B$1:$O$1,BSFC!$B$2:$O$24,,-1),,-1)</f>
        <v>520</v>
      </c>
      <c r="R537" s="17">
        <f t="shared" si="92"/>
        <v>1.425663585873016</v>
      </c>
      <c r="S537" s="16">
        <f t="shared" si="94"/>
        <v>2.0584063601420389E-4</v>
      </c>
      <c r="T537" s="17">
        <f t="shared" si="98"/>
        <v>0.10703713072738602</v>
      </c>
      <c r="U537" s="16">
        <f t="shared" si="99"/>
        <v>72.903365941760981</v>
      </c>
      <c r="V537" s="17">
        <f t="shared" si="100"/>
        <v>0.15374627247747</v>
      </c>
      <c r="W537" s="16">
        <f t="shared" si="95"/>
        <v>553486.58091889205</v>
      </c>
      <c r="X537">
        <f>('Hybrid Info'!$A$2-Track!P537)*(L537-L536)*1000+X536</f>
        <v>-21890.52366021174</v>
      </c>
    </row>
    <row r="538" spans="1:24">
      <c r="A538" s="16">
        <f t="shared" si="96"/>
        <v>537</v>
      </c>
      <c r="B538" s="17">
        <f t="shared" si="97"/>
        <v>13.313955203079926</v>
      </c>
      <c r="C538" s="16">
        <f>Specification!$G$29</f>
        <v>164.943378</v>
      </c>
      <c r="D538" s="17">
        <f>0.5*Specification!$K$4*Track!B538^2*Specification!$K$3*Specification!$K$2</f>
        <v>91.813734036215038</v>
      </c>
      <c r="E538" s="16">
        <v>8</v>
      </c>
      <c r="F538" s="17">
        <f>Specification!$C$23*9.81*SIN((E538*PI()/180))</f>
        <v>765.1893799696079</v>
      </c>
      <c r="G538" s="18">
        <f>IF(J538=1,VLOOKUP(K538,RPM!$E$2:$H$62,3,FALSE)-F538-E538-D538,IF(J538=2,VLOOKUP(K538,RPM!$H$2:$K$62,3,FALSE)-F538-E538-D538,IF(J538=3,VLOOKUP(K538,RPM!$K$2:$N$62,3,FALSE)-F538-E538-D538)))</f>
        <v>-83.358007144180675</v>
      </c>
      <c r="H538" s="19">
        <f>IF(J538=1,Specification!$I$14,IF(J538=2,Specification!$I$15,IF(J538=3,Specification!$I$16)))</f>
        <v>582.50936296077191</v>
      </c>
      <c r="I538" s="16">
        <f t="shared" si="104"/>
        <v>-0.1431015747463518</v>
      </c>
      <c r="J538" s="17">
        <v>2</v>
      </c>
      <c r="K538" s="16">
        <f>IF(J538=1,VLOOKUP(B538,RPM!$F$2:$H$62,3,TRUE),IF(J538=2,VLOOKUP(B538,RPM!$I$2:$K$62,3,TRUE),IF(J538=3,VLOOKUP(B538,RPM!$L$2:$N$62,3,TRUE))))</f>
        <v>7000</v>
      </c>
      <c r="L538" s="17">
        <f t="shared" si="103"/>
        <v>44.35264061257493</v>
      </c>
      <c r="M538" s="16">
        <f t="shared" si="102"/>
        <v>1.8954962323649369</v>
      </c>
      <c r="N538" s="17">
        <f>VLOOKUP(K538,RPM!$A$2:$D$62,3,FALSE)</f>
        <v>13</v>
      </c>
      <c r="O538" s="16">
        <f>VLOOKUP(K538,RPM!$A$2:$D$62,4,FALSE)</f>
        <v>13.235857142857142</v>
      </c>
      <c r="P538" s="17">
        <f t="shared" si="91"/>
        <v>9.8699786714285711</v>
      </c>
      <c r="Q538" s="16" cm="1">
        <f t="array" ref="Q538">_xlfn.XLOOKUP(O538,BSFC!$A$2:$A$24,_xlfn.XLOOKUP(K538,BSFC!$B$1:$O$1,BSFC!$B$2:$O$24,,-1),,-1)</f>
        <v>520</v>
      </c>
      <c r="R538" s="17">
        <f t="shared" si="92"/>
        <v>1.425663585873016</v>
      </c>
      <c r="S538" s="16">
        <f t="shared" si="94"/>
        <v>2.0600702449809856E-4</v>
      </c>
      <c r="T538" s="17">
        <f t="shared" si="98"/>
        <v>0.10712365273901125</v>
      </c>
      <c r="U538" s="16">
        <f t="shared" si="99"/>
        <v>73.010489594499987</v>
      </c>
      <c r="V538" s="17">
        <f t="shared" si="100"/>
        <v>0.1539522795019681</v>
      </c>
      <c r="W538" s="16">
        <f t="shared" si="95"/>
        <v>554228.20620708517</v>
      </c>
      <c r="X538">
        <f>('Hybrid Info'!$A$2-Track!P538)*(L538-L537)*1000+X537</f>
        <v>-21721.42401860825</v>
      </c>
    </row>
    <row r="539" spans="1:24">
      <c r="A539" s="16">
        <f t="shared" si="96"/>
        <v>538</v>
      </c>
      <c r="B539" s="17">
        <f t="shared" si="97"/>
        <v>13.303202621930042</v>
      </c>
      <c r="C539" s="16">
        <f>Specification!$G$29</f>
        <v>164.943378</v>
      </c>
      <c r="D539" s="17">
        <f>0.5*Specification!$K$4*Track!B539^2*Specification!$K$3*Specification!$K$2</f>
        <v>91.665493193138403</v>
      </c>
      <c r="E539" s="16">
        <v>8</v>
      </c>
      <c r="F539" s="17">
        <f>Specification!$C$23*9.81*SIN((E539*PI()/180))</f>
        <v>765.1893799696079</v>
      </c>
      <c r="G539" s="18">
        <f>IF(J539=1,VLOOKUP(K539,RPM!$E$2:$H$62,3,FALSE)-F539-E539-D539,IF(J539=2,VLOOKUP(K539,RPM!$H$2:$K$62,3,FALSE)-F539-E539-D539,IF(J539=3,VLOOKUP(K539,RPM!$K$2:$N$62,3,FALSE)-F539-E539-D539)))</f>
        <v>-83.20976630110404</v>
      </c>
      <c r="H539" s="19">
        <f>IF(J539=1,Specification!$I$14,IF(J539=2,Specification!$I$15,IF(J539=3,Specification!$I$16)))</f>
        <v>582.50936296077191</v>
      </c>
      <c r="I539" s="16">
        <f t="shared" si="104"/>
        <v>-0.14284708811917871</v>
      </c>
      <c r="J539" s="17">
        <v>2</v>
      </c>
      <c r="K539" s="16">
        <f>IF(J539=1,VLOOKUP(B539,RPM!$F$2:$H$62,3,TRUE),IF(J539=2,VLOOKUP(B539,RPM!$I$2:$K$62,3,TRUE),IF(J539=3,VLOOKUP(B539,RPM!$L$2:$N$62,3,TRUE))))</f>
        <v>7000</v>
      </c>
      <c r="L539" s="17">
        <f t="shared" si="103"/>
        <v>44.427840843219165</v>
      </c>
      <c r="M539" s="16">
        <f t="shared" si="102"/>
        <v>2.0360370670673285</v>
      </c>
      <c r="N539" s="17">
        <f>VLOOKUP(K539,RPM!$A$2:$D$62,3,FALSE)</f>
        <v>13</v>
      </c>
      <c r="O539" s="16">
        <f>VLOOKUP(K539,RPM!$A$2:$D$62,4,FALSE)</f>
        <v>13.235857142857142</v>
      </c>
      <c r="P539" s="17">
        <f t="shared" si="91"/>
        <v>9.8699786714285711</v>
      </c>
      <c r="Q539" s="16" cm="1">
        <f t="array" ref="Q539">_xlfn.XLOOKUP(O539,BSFC!$A$2:$A$24,_xlfn.XLOOKUP(K539,BSFC!$B$1:$O$1,BSFC!$B$2:$O$24,,-1),,-1)</f>
        <v>520</v>
      </c>
      <c r="R539" s="17">
        <f t="shared" si="92"/>
        <v>1.425663585873016</v>
      </c>
      <c r="S539" s="16">
        <f t="shared" si="94"/>
        <v>2.0617352015141901E-4</v>
      </c>
      <c r="T539" s="17">
        <f t="shared" si="98"/>
        <v>0.10721023047873789</v>
      </c>
      <c r="U539" s="16">
        <f t="shared" si="99"/>
        <v>73.117699824978729</v>
      </c>
      <c r="V539" s="17">
        <f t="shared" si="100"/>
        <v>0.15415845302211953</v>
      </c>
      <c r="W539" s="16">
        <f t="shared" si="95"/>
        <v>554970.43087963026</v>
      </c>
      <c r="X539">
        <f>('Hybrid Info'!$A$2-Track!P539)*(L539-L538)*1000+X538</f>
        <v>-21552.187710037339</v>
      </c>
    </row>
    <row r="540" spans="1:24">
      <c r="A540" s="16">
        <f t="shared" si="96"/>
        <v>539</v>
      </c>
      <c r="B540" s="17">
        <f t="shared" si="97"/>
        <v>13.292460487956623</v>
      </c>
      <c r="C540" s="16">
        <f>Specification!$G$29</f>
        <v>164.943378</v>
      </c>
      <c r="D540" s="17">
        <f>0.5*Specification!$K$4*Track!B540^2*Specification!$K$3*Specification!$K$2</f>
        <v>91.517515976176497</v>
      </c>
      <c r="E540" s="16">
        <v>7</v>
      </c>
      <c r="F540" s="17">
        <f>Specification!$C$23*9.81*SIN((E540*PI()/180))</f>
        <v>670.05137252956831</v>
      </c>
      <c r="G540" s="18">
        <f>IF(J540=1,VLOOKUP(K540,RPM!$E$2:$H$62,3,FALSE)-F540-E540-D540,IF(J540=2,VLOOKUP(K540,RPM!$H$2:$K$62,3,FALSE)-F540-E540-D540,IF(J540=3,VLOOKUP(K540,RPM!$K$2:$N$62,3,FALSE)-F540-E540-D540)))</f>
        <v>13.076218355897453</v>
      </c>
      <c r="H540" s="19">
        <f>IF(J540=1,Specification!$I$14,IF(J540=2,Specification!$I$15,IF(J540=3,Specification!$I$16)))</f>
        <v>582.50936296077191</v>
      </c>
      <c r="I540" s="16">
        <f t="shared" si="104"/>
        <v>2.2448082704514483E-2</v>
      </c>
      <c r="J540" s="17">
        <v>2</v>
      </c>
      <c r="K540" s="16">
        <f>IF(J540=1,VLOOKUP(B540,RPM!$F$2:$H$62,3,TRUE),IF(J540=2,VLOOKUP(B540,RPM!$I$2:$K$62,3,TRUE),IF(J540=3,VLOOKUP(B540,RPM!$L$2:$N$62,3,TRUE))))</f>
        <v>7000</v>
      </c>
      <c r="L540" s="17">
        <f t="shared" si="103"/>
        <v>44.503066681571497</v>
      </c>
      <c r="M540" s="16">
        <f t="shared" si="102"/>
        <v>2.1588216279702332</v>
      </c>
      <c r="N540" s="17">
        <f>VLOOKUP(K540,RPM!$A$2:$D$62,3,FALSE)</f>
        <v>13</v>
      </c>
      <c r="O540" s="16">
        <f>VLOOKUP(K540,RPM!$A$2:$D$62,4,FALSE)</f>
        <v>13.235857142857142</v>
      </c>
      <c r="P540" s="17">
        <f t="shared" si="91"/>
        <v>9.8699786714285711</v>
      </c>
      <c r="Q540" s="16" cm="1">
        <f t="array" ref="Q540">_xlfn.XLOOKUP(O540,BSFC!$A$2:$A$24,_xlfn.XLOOKUP(K540,BSFC!$B$1:$O$1,BSFC!$B$2:$O$24,,-1),,-1)</f>
        <v>520</v>
      </c>
      <c r="R540" s="17">
        <f t="shared" si="92"/>
        <v>1.425663585873016</v>
      </c>
      <c r="S540" s="16">
        <f t="shared" si="94"/>
        <v>2.0624372779940069E-4</v>
      </c>
      <c r="T540" s="17">
        <f t="shared" si="98"/>
        <v>0.10724673845568836</v>
      </c>
      <c r="U540" s="16">
        <f t="shared" si="99"/>
        <v>73.224946563434415</v>
      </c>
      <c r="V540" s="17">
        <f t="shared" si="100"/>
        <v>0.15436469674991893</v>
      </c>
      <c r="W540" s="16">
        <f t="shared" si="95"/>
        <v>555712.90829970816</v>
      </c>
      <c r="X540">
        <f>('Hybrid Info'!$A$2-Track!P540)*(L540-L539)*1000+X539</f>
        <v>-21382.89377193588</v>
      </c>
    </row>
    <row r="541" spans="1:24">
      <c r="A541" s="16">
        <f t="shared" si="96"/>
        <v>540</v>
      </c>
      <c r="B541" s="17">
        <f t="shared" si="97"/>
        <v>13.294149163797472</v>
      </c>
      <c r="C541" s="16">
        <f>Specification!$G$29</f>
        <v>164.943378</v>
      </c>
      <c r="D541" s="17">
        <f>0.5*Specification!$K$4*Track!B541^2*Specification!$K$3*Specification!$K$2</f>
        <v>91.540770246518861</v>
      </c>
      <c r="E541" s="16">
        <v>6</v>
      </c>
      <c r="F541" s="17">
        <f>Specification!$C$23*9.81*SIN((E541*PI()/180))</f>
        <v>574.70926095052266</v>
      </c>
      <c r="G541" s="18">
        <f>IF(J541=1,VLOOKUP(K541,RPM!$E$2:$H$62,3,FALSE)-F541-E541-D541,IF(J541=2,VLOOKUP(K541,RPM!$H$2:$K$62,3,FALSE)-F541-E541-D541,IF(J541=3,VLOOKUP(K541,RPM!$K$2:$N$62,3,FALSE)-F541-E541-D541)))</f>
        <v>109.39507566460074</v>
      </c>
      <c r="H541" s="19">
        <f>IF(J541=1,Specification!$I$14,IF(J541=2,Specification!$I$15,IF(J541=3,Specification!$I$16)))</f>
        <v>582.50936296077191</v>
      </c>
      <c r="I541" s="16">
        <f t="shared" si="104"/>
        <v>0.18779968635794744</v>
      </c>
      <c r="J541" s="17">
        <v>2</v>
      </c>
      <c r="K541" s="16">
        <f>IF(J541=1,VLOOKUP(B541,RPM!$F$2:$H$62,3,TRUE),IF(J541=2,VLOOKUP(B541,RPM!$I$2:$K$62,3,TRUE),IF(J541=3,VLOOKUP(B541,RPM!$L$2:$N$62,3,TRUE))))</f>
        <v>7000</v>
      </c>
      <c r="L541" s="17">
        <f t="shared" si="103"/>
        <v>44.578247819278488</v>
      </c>
      <c r="M541" s="16">
        <f t="shared" si="102"/>
        <v>2.2639258632359098</v>
      </c>
      <c r="N541" s="17">
        <f>VLOOKUP(K541,RPM!$A$2:$D$62,3,FALSE)</f>
        <v>13</v>
      </c>
      <c r="O541" s="16">
        <f>VLOOKUP(K541,RPM!$A$2:$D$62,4,FALSE)</f>
        <v>13.235857142857142</v>
      </c>
      <c r="P541" s="17">
        <f t="shared" si="91"/>
        <v>9.8699786714285711</v>
      </c>
      <c r="Q541" s="16" cm="1">
        <f t="array" ref="Q541">_xlfn.XLOOKUP(O541,BSFC!$A$2:$A$24,_xlfn.XLOOKUP(K541,BSFC!$B$1:$O$1,BSFC!$B$2:$O$24,,-1),,-1)</f>
        <v>520</v>
      </c>
      <c r="R541" s="17">
        <f t="shared" si="92"/>
        <v>1.425663585873016</v>
      </c>
      <c r="S541" s="16">
        <f t="shared" si="94"/>
        <v>2.0612117379492737E-4</v>
      </c>
      <c r="T541" s="17">
        <f t="shared" si="98"/>
        <v>0.10718301037336224</v>
      </c>
      <c r="U541" s="16">
        <f t="shared" si="99"/>
        <v>73.332129573807777</v>
      </c>
      <c r="V541" s="17">
        <f t="shared" si="100"/>
        <v>0.15457081792371385</v>
      </c>
      <c r="W541" s="16">
        <f t="shared" si="95"/>
        <v>556454.94452536991</v>
      </c>
      <c r="X541">
        <f>('Hybrid Info'!$A$2-Track!P541)*(L541-L540)*1000+X540</f>
        <v>-21213.700431560563</v>
      </c>
    </row>
    <row r="542" spans="1:24">
      <c r="A542" s="16">
        <f t="shared" si="96"/>
        <v>541</v>
      </c>
      <c r="B542" s="17">
        <f t="shared" si="97"/>
        <v>13.30826815787888</v>
      </c>
      <c r="C542" s="16">
        <f>Specification!$G$29</f>
        <v>164.943378</v>
      </c>
      <c r="D542" s="17">
        <f>0.5*Specification!$K$4*Track!B542^2*Specification!$K$3*Specification!$K$2</f>
        <v>91.735314463691736</v>
      </c>
      <c r="E542" s="16">
        <v>5</v>
      </c>
      <c r="F542" s="17">
        <f>Specification!$C$23*9.81*SIN((E542*PI()/180))</f>
        <v>479.192087363258</v>
      </c>
      <c r="G542" s="18">
        <f>IF(J542=1,VLOOKUP(K542,RPM!$E$2:$H$62,3,FALSE)-F542-E542-D542,IF(J542=2,VLOOKUP(K542,RPM!$H$2:$K$62,3,FALSE)-F542-E542-D542,IF(J542=3,VLOOKUP(K542,RPM!$K$2:$N$62,3,FALSE)-F542-E542-D542)))</f>
        <v>205.71770503469253</v>
      </c>
      <c r="H542" s="19">
        <f>IF(J542=1,Specification!$I$14,IF(J542=2,Specification!$I$15,IF(J542=3,Specification!$I$16)))</f>
        <v>582.50936296077191</v>
      </c>
      <c r="I542" s="16">
        <f t="shared" si="104"/>
        <v>0.35315776554916289</v>
      </c>
      <c r="J542" s="17">
        <v>2</v>
      </c>
      <c r="K542" s="16">
        <f>IF(J542=1,VLOOKUP(B542,RPM!$F$2:$H$62,3,TRUE),IF(J542=2,VLOOKUP(B542,RPM!$I$2:$K$62,3,TRUE),IF(J542=3,VLOOKUP(B542,RPM!$L$2:$N$62,3,TRUE))))</f>
        <v>7000</v>
      </c>
      <c r="L542" s="17">
        <f t="shared" si="103"/>
        <v>44.653314309526223</v>
      </c>
      <c r="M542" s="16">
        <f t="shared" si="102"/>
        <v>2.3514145267618338</v>
      </c>
      <c r="N542" s="17">
        <f>VLOOKUP(K542,RPM!$A$2:$D$62,3,FALSE)</f>
        <v>13</v>
      </c>
      <c r="O542" s="16">
        <f>VLOOKUP(K542,RPM!$A$2:$D$62,4,FALSE)</f>
        <v>13.235857142857142</v>
      </c>
      <c r="P542" s="17">
        <f t="shared" si="91"/>
        <v>9.8699786714285711</v>
      </c>
      <c r="Q542" s="16" cm="1">
        <f t="array" ref="Q542">_xlfn.XLOOKUP(O542,BSFC!$A$2:$A$24,_xlfn.XLOOKUP(K542,BSFC!$B$1:$O$1,BSFC!$B$2:$O$24,,-1),,-1)</f>
        <v>520</v>
      </c>
      <c r="R542" s="17">
        <f t="shared" si="92"/>
        <v>1.425663585873016</v>
      </c>
      <c r="S542" s="16">
        <f t="shared" si="94"/>
        <v>2.0580684935670804E-4</v>
      </c>
      <c r="T542" s="17">
        <f t="shared" si="98"/>
        <v>0.10701956166548818</v>
      </c>
      <c r="U542" s="16">
        <f t="shared" si="99"/>
        <v>73.439149135473258</v>
      </c>
      <c r="V542" s="17">
        <f t="shared" si="100"/>
        <v>0.15477662477307055</v>
      </c>
      <c r="W542" s="16">
        <f t="shared" si="95"/>
        <v>557195.84918305394</v>
      </c>
      <c r="X542">
        <f>('Hybrid Info'!$A$2-Track!P542)*(L542-L541)*1000+X541</f>
        <v>-21044.765102532088</v>
      </c>
    </row>
    <row r="543" spans="1:24">
      <c r="A543" s="16">
        <f t="shared" si="96"/>
        <v>542</v>
      </c>
      <c r="B543" s="17">
        <f t="shared" si="97"/>
        <v>13.334778471842389</v>
      </c>
      <c r="C543" s="16">
        <f>Specification!$G$29</f>
        <v>164.943378</v>
      </c>
      <c r="D543" s="17">
        <f>0.5*Specification!$K$4*Track!B543^2*Specification!$K$3*Specification!$K$2</f>
        <v>92.101155335791631</v>
      </c>
      <c r="E543" s="16">
        <v>4</v>
      </c>
      <c r="F543" s="17">
        <f>Specification!$C$23*9.81*SIN((E543*PI()/180))</f>
        <v>383.52894722414453</v>
      </c>
      <c r="G543" s="18">
        <f>IF(J543=1,VLOOKUP(K543,RPM!$E$2:$H$62,3,FALSE)-F543-E543-D543,IF(J543=2,VLOOKUP(K543,RPM!$H$2:$K$62,3,FALSE)-F543-E543-D543,IF(J543=3,VLOOKUP(K543,RPM!$K$2:$N$62,3,FALSE)-F543-E543-D543)))</f>
        <v>163.09191904782801</v>
      </c>
      <c r="H543" s="19">
        <f>IF(J543=1,Specification!$I$14,IF(J543=2,Specification!$I$15,IF(J543=3,Specification!$I$16)))</f>
        <v>578.93404261974786</v>
      </c>
      <c r="I543" s="16">
        <f t="shared" si="104"/>
        <v>0.28171070802783854</v>
      </c>
      <c r="J543" s="17">
        <v>3</v>
      </c>
      <c r="K543" s="16">
        <f>IF(J543=1,VLOOKUP(B543,RPM!$F$2:$H$62,3,TRUE),IF(J543=2,VLOOKUP(B543,RPM!$I$2:$K$62,3,TRUE),IF(J543=3,VLOOKUP(B543,RPM!$L$2:$N$62,3,TRUE))))</f>
        <v>4300</v>
      </c>
      <c r="L543" s="17">
        <f t="shared" si="103"/>
        <v>44.728246871394894</v>
      </c>
      <c r="M543" s="16">
        <f t="shared" si="102"/>
        <v>2.4213413387053442</v>
      </c>
      <c r="N543" s="17">
        <f>VLOOKUP(K543,RPM!$A$2:$D$62,3,FALSE)</f>
        <v>11.4</v>
      </c>
      <c r="O543" s="16">
        <f>VLOOKUP(K543,RPM!$A$2:$D$62,4,FALSE)</f>
        <v>18.894837209302327</v>
      </c>
      <c r="P543" s="17">
        <f t="shared" si="91"/>
        <v>14.089880106976747</v>
      </c>
      <c r="Q543" s="16" cm="1">
        <f t="array" ref="Q543">_xlfn.XLOOKUP(O543,BSFC!$A$2:$A$24,_xlfn.XLOOKUP(K543,BSFC!$B$1:$O$1,BSFC!$B$2:$O$24,,-1),,-1)</f>
        <v>480</v>
      </c>
      <c r="R543" s="17">
        <f t="shared" si="92"/>
        <v>1.8786506809302328</v>
      </c>
      <c r="S543" s="16">
        <f t="shared" si="94"/>
        <v>2.9327522578838719E-4</v>
      </c>
      <c r="T543" s="17">
        <f t="shared" si="98"/>
        <v>0.14077210837842585</v>
      </c>
      <c r="U543" s="16">
        <f t="shared" si="99"/>
        <v>73.579921243851686</v>
      </c>
      <c r="V543" s="17">
        <f t="shared" si="100"/>
        <v>0.15506989999885895</v>
      </c>
      <c r="W543" s="16">
        <f t="shared" si="95"/>
        <v>558251.63999589218</v>
      </c>
      <c r="X543">
        <f>('Hybrid Info'!$A$2-Track!P543)*(L543-L542)*1000+X542</f>
        <v>-21192.339201495193</v>
      </c>
    </row>
    <row r="544" spans="1:24">
      <c r="A544" s="16">
        <f t="shared" si="96"/>
        <v>543</v>
      </c>
      <c r="B544" s="17">
        <f t="shared" si="97"/>
        <v>13.355887776900753</v>
      </c>
      <c r="C544" s="16">
        <f>Specification!$G$29</f>
        <v>164.943378</v>
      </c>
      <c r="D544" s="17">
        <f>0.5*Specification!$K$4*Track!B544^2*Specification!$K$3*Specification!$K$2</f>
        <v>92.392983241499806</v>
      </c>
      <c r="E544" s="16">
        <v>3</v>
      </c>
      <c r="F544" s="17">
        <f>Specification!$C$23*9.81*SIN((E544*PI()/180))</f>
        <v>287.74898045237813</v>
      </c>
      <c r="G544" s="18">
        <f>IF(J544=1,VLOOKUP(K544,RPM!$E$2:$H$62,3,FALSE)-F544-E544-D544,IF(J544=2,VLOOKUP(K544,RPM!$H$2:$K$62,3,FALSE)-F544-E544-D544,IF(J544=3,VLOOKUP(K544,RPM!$K$2:$N$62,3,FALSE)-F544-E544-D544)))</f>
        <v>259.58005791388626</v>
      </c>
      <c r="H544" s="19">
        <f>IF(J544=1,Specification!$I$14,IF(J544=2,Specification!$I$15,IF(J544=3,Specification!$I$16)))</f>
        <v>578.93404261974786</v>
      </c>
      <c r="I544" s="16">
        <f t="shared" si="104"/>
        <v>0.44837587497749232</v>
      </c>
      <c r="J544" s="17">
        <v>3</v>
      </c>
      <c r="K544" s="16">
        <f>IF(J544=1,VLOOKUP(B544,RPM!$F$2:$H$62,3,TRUE),IF(J544=2,VLOOKUP(B544,RPM!$I$2:$K$62,3,TRUE),IF(J544=3,VLOOKUP(B544,RPM!$L$2:$N$62,3,TRUE))))</f>
        <v>4300</v>
      </c>
      <c r="L544" s="17">
        <f t="shared" si="103"/>
        <v>44.803026351749139</v>
      </c>
      <c r="M544" s="16">
        <f t="shared" si="102"/>
        <v>2.4737491179883855</v>
      </c>
      <c r="N544" s="17">
        <f>VLOOKUP(K544,RPM!$A$2:$D$62,3,FALSE)</f>
        <v>11.4</v>
      </c>
      <c r="O544" s="16">
        <f>VLOOKUP(K544,RPM!$A$2:$D$62,4,FALSE)</f>
        <v>18.894837209302327</v>
      </c>
      <c r="P544" s="17">
        <f t="shared" si="91"/>
        <v>14.089880106976747</v>
      </c>
      <c r="Q544" s="16" cm="1">
        <f t="array" ref="Q544">_xlfn.XLOOKUP(O544,BSFC!$A$2:$A$24,_xlfn.XLOOKUP(K544,BSFC!$B$1:$O$1,BSFC!$B$2:$O$24,,-1),,-1)</f>
        <v>480</v>
      </c>
      <c r="R544" s="17">
        <f t="shared" si="92"/>
        <v>1.8786506809302328</v>
      </c>
      <c r="S544" s="16">
        <f t="shared" si="94"/>
        <v>2.9267608684814767E-4</v>
      </c>
      <c r="T544" s="17">
        <f t="shared" si="98"/>
        <v>0.14048452168711087</v>
      </c>
      <c r="U544" s="16">
        <f t="shared" si="99"/>
        <v>73.7204057655388</v>
      </c>
      <c r="V544" s="17">
        <f t="shared" si="100"/>
        <v>0.15536257608570711</v>
      </c>
      <c r="W544" s="16">
        <f t="shared" si="95"/>
        <v>559305.27390854561</v>
      </c>
      <c r="X544">
        <f>('Hybrid Info'!$A$2-Track!P544)*(L544-L543)*1000+X543</f>
        <v>-21339.611817818495</v>
      </c>
    </row>
    <row r="545" spans="1:24">
      <c r="A545" s="16">
        <f t="shared" si="96"/>
        <v>544</v>
      </c>
      <c r="B545" s="17">
        <f t="shared" si="97"/>
        <v>13.38941709183495</v>
      </c>
      <c r="C545" s="16">
        <f>Specification!$G$29</f>
        <v>164.943378</v>
      </c>
      <c r="D545" s="17">
        <f>0.5*Specification!$K$4*Track!B545^2*Specification!$K$3*Specification!$K$2</f>
        <v>92.857461831897623</v>
      </c>
      <c r="E545" s="16">
        <v>2</v>
      </c>
      <c r="F545" s="17">
        <f>Specification!$C$23*9.81*SIN((E545*PI()/180))</f>
        <v>191.88136255367905</v>
      </c>
      <c r="G545" s="18">
        <f>IF(J545=1,VLOOKUP(K545,RPM!$E$2:$H$62,3,FALSE)-F545-E545-D545,IF(J545=2,VLOOKUP(K545,RPM!$H$2:$K$62,3,FALSE)-F545-E545-D545,IF(J545=3,VLOOKUP(K545,RPM!$K$2:$N$62,3,FALSE)-F545-E545-D545)))</f>
        <v>355.98319722218747</v>
      </c>
      <c r="H545" s="19">
        <f>IF(J545=1,Specification!$I$14,IF(J545=2,Specification!$I$15,IF(J545=3,Specification!$I$16)))</f>
        <v>578.93404261974786</v>
      </c>
      <c r="I545" s="16">
        <f t="shared" si="104"/>
        <v>0.61489422112978476</v>
      </c>
      <c r="J545" s="17">
        <v>3</v>
      </c>
      <c r="K545" s="16">
        <f>IF(J545=1,VLOOKUP(B545,RPM!$F$2:$H$62,3,TRUE),IF(J545=2,VLOOKUP(B545,RPM!$I$2:$K$62,3,TRUE),IF(J545=3,VLOOKUP(B545,RPM!$L$2:$N$62,3,TRUE))))</f>
        <v>4300</v>
      </c>
      <c r="L545" s="17">
        <f t="shared" si="103"/>
        <v>44.83845180773249</v>
      </c>
      <c r="M545" s="16">
        <f t="shared" si="102"/>
        <v>2.5086698874801332</v>
      </c>
      <c r="N545" s="17">
        <f>VLOOKUP(K545,RPM!$A$2:$D$62,3,FALSE)</f>
        <v>11.4</v>
      </c>
      <c r="O545" s="16">
        <f>VLOOKUP(K545,RPM!$A$2:$D$62,4,FALSE)</f>
        <v>18.894837209302327</v>
      </c>
      <c r="P545" s="17">
        <f t="shared" si="91"/>
        <v>14.089880106976747</v>
      </c>
      <c r="Q545" s="16" cm="1">
        <f t="array" ref="Q545">_xlfn.XLOOKUP(O545,BSFC!$A$2:$A$24,_xlfn.XLOOKUP(K545,BSFC!$B$1:$O$1,BSFC!$B$2:$O$24,,-1),,-1)</f>
        <v>480</v>
      </c>
      <c r="R545" s="17">
        <f t="shared" si="92"/>
        <v>1.8786506809302328</v>
      </c>
      <c r="S545" s="16">
        <f t="shared" si="94"/>
        <v>1.3865011876122027E-4</v>
      </c>
      <c r="T545" s="17">
        <f t="shared" si="98"/>
        <v>6.6552057005385731E-2</v>
      </c>
      <c r="U545" s="16">
        <f t="shared" si="99"/>
        <v>73.786957822544181</v>
      </c>
      <c r="V545" s="17">
        <f t="shared" si="100"/>
        <v>0.15550122620446832</v>
      </c>
      <c r="W545" s="16">
        <f t="shared" si="95"/>
        <v>559804.4143360859</v>
      </c>
      <c r="X545">
        <f>('Hybrid Info'!$A$2-Track!P545)*(L545-L544)*1000+X544</f>
        <v>-21409.379614577701</v>
      </c>
    </row>
    <row r="546" spans="1:24">
      <c r="A546" s="16">
        <f t="shared" si="96"/>
        <v>545</v>
      </c>
      <c r="B546" s="17">
        <f t="shared" si="97"/>
        <v>13.411199999999999</v>
      </c>
      <c r="C546" s="16">
        <f>Specification!$G$29</f>
        <v>164.943378</v>
      </c>
      <c r="D546" s="17">
        <f>0.5*Specification!$K$4*Track!B546^2*Specification!$K$3*Specification!$K$2</f>
        <v>93.159842569492653</v>
      </c>
      <c r="E546" s="16">
        <v>1</v>
      </c>
      <c r="F546" s="17">
        <f>Specification!$C$23*9.81*SIN((E546*PI()/180))</f>
        <v>95.955295733149597</v>
      </c>
      <c r="G546" s="18">
        <f>IF(J546=1,VLOOKUP(K546,RPM!$E$2:$H$62,3,FALSE)-F546-E546-D546,IF(J546=2,VLOOKUP(K546,RPM!$H$2:$K$62,3,FALSE)-F546-E546-D546,IF(J546=3,VLOOKUP(K546,RPM!$K$2:$N$62,3,FALSE)-F546-E546-D546)))</f>
        <v>452.60688330512198</v>
      </c>
      <c r="H546" s="19">
        <f>IF(J546=1,Specification!$I$14,IF(J546=2,Specification!$I$15,IF(J546=3,Specification!$I$16)))</f>
        <v>578.93404261974786</v>
      </c>
      <c r="I546" s="16">
        <f>IF(B545=13.4112,0,G546/H546)</f>
        <v>0.78179352047950068</v>
      </c>
      <c r="J546" s="17">
        <v>3</v>
      </c>
      <c r="K546" s="16">
        <f>IF(J546=1,VLOOKUP(B546,RPM!$F$2:$H$62,3,TRUE),IF(J546=2,VLOOKUP(B546,RPM!$I$2:$K$62,3,TRUE),IF(J546=3,VLOOKUP(B546,RPM!$L$2:$N$62,3,TRUE))))</f>
        <v>4300</v>
      </c>
      <c r="L546" s="17">
        <f t="shared" si="103"/>
        <v>44.913016350800973</v>
      </c>
      <c r="M546" s="16">
        <f t="shared" si="102"/>
        <v>2.5261249524083507</v>
      </c>
      <c r="N546" s="17">
        <f>VLOOKUP(K546,RPM!$A$2:$D$62,3,FALSE)</f>
        <v>11.4</v>
      </c>
      <c r="O546" s="16">
        <f>VLOOKUP(K546,RPM!$A$2:$D$62,4,FALSE)</f>
        <v>18.894837209302327</v>
      </c>
      <c r="P546" s="17">
        <f t="shared" si="91"/>
        <v>14.089880106976747</v>
      </c>
      <c r="Q546" s="16" cm="1">
        <f t="array" ref="Q546">_xlfn.XLOOKUP(O546,BSFC!$A$2:$A$24,_xlfn.XLOOKUP(K546,BSFC!$B$1:$O$1,BSFC!$B$2:$O$24,,-1),,-1)</f>
        <v>480</v>
      </c>
      <c r="R546" s="17">
        <f t="shared" si="92"/>
        <v>1.8786506809302328</v>
      </c>
      <c r="S546" s="16">
        <f t="shared" si="94"/>
        <v>2.9183485335178652E-4</v>
      </c>
      <c r="T546" s="17">
        <f t="shared" si="98"/>
        <v>0.14008072960885753</v>
      </c>
      <c r="U546" s="16">
        <f t="shared" si="99"/>
        <v>73.927038552153036</v>
      </c>
      <c r="V546" s="17">
        <f t="shared" si="100"/>
        <v>0.15579306105782012</v>
      </c>
      <c r="W546" s="16">
        <f t="shared" si="95"/>
        <v>560855.01980815246</v>
      </c>
      <c r="X546">
        <f>('Hybrid Info'!$A$2-Track!P546)*(L546-L545)*1000+X545</f>
        <v>-21556.228927927117</v>
      </c>
    </row>
    <row r="547" spans="1:24">
      <c r="A547" s="16">
        <f t="shared" si="96"/>
        <v>546</v>
      </c>
      <c r="B547" s="17">
        <f t="shared" si="97"/>
        <v>13.411199999999999</v>
      </c>
      <c r="C547" s="16">
        <f>Specification!$G$29</f>
        <v>164.943378</v>
      </c>
      <c r="D547" s="17">
        <f>0.5*Specification!$K$4*Track!B547^2*Specification!$K$3*Specification!$K$2</f>
        <v>93.159842569492653</v>
      </c>
      <c r="E547" s="16">
        <v>0</v>
      </c>
      <c r="F547" s="17">
        <f>Specification!$C$23*9.81*SIN((E547*PI()/180))</f>
        <v>0</v>
      </c>
      <c r="G547" s="18">
        <f>IF(J547=1,VLOOKUP(K547,RPM!$E$2:$H$62,3,FALSE)-F547-E547-D547,IF(J547=2,VLOOKUP(K547,RPM!$H$2:$K$62,3,FALSE)-F547-E547-D547,IF(J547=3,VLOOKUP(K547,RPM!$K$2:$N$62,3,FALSE)-F547-E547-D547)))</f>
        <v>549.56217903827155</v>
      </c>
      <c r="H547" s="19">
        <f>IF(J547=1,Specification!$I$14,IF(J547=2,Specification!$I$15,IF(J547=3,Specification!$I$16)))</f>
        <v>578.93404261974786</v>
      </c>
      <c r="I547" s="16">
        <f>IF(B547=13.4112,0,G547/H547)</f>
        <v>0</v>
      </c>
      <c r="J547" s="17">
        <v>3</v>
      </c>
      <c r="K547" s="16">
        <f>IF(J547=1,VLOOKUP(B547,RPM!$F$2:$H$62,3,TRUE),IF(J547=2,VLOOKUP(B547,RPM!$I$2:$K$62,3,TRUE),IF(J547=3,VLOOKUP(B547,RPM!$L$2:$N$62,3,TRUE))))</f>
        <v>4300</v>
      </c>
      <c r="L547" s="17">
        <f t="shared" si="103"/>
        <v>44.987580893869456</v>
      </c>
      <c r="M547" s="16">
        <f t="shared" si="102"/>
        <v>2.5261249524083507</v>
      </c>
      <c r="N547" s="17">
        <f>VLOOKUP(K547,RPM!$A$2:$D$62,3,FALSE)</f>
        <v>11.4</v>
      </c>
      <c r="O547" s="16">
        <f>VLOOKUP(K547,RPM!$A$2:$D$62,4,FALSE)</f>
        <v>18.894837209302327</v>
      </c>
      <c r="P547" s="17">
        <f t="shared" si="91"/>
        <v>14.089880106976747</v>
      </c>
      <c r="Q547" s="16" cm="1">
        <f t="array" ref="Q547">_xlfn.XLOOKUP(O547,BSFC!$A$2:$A$24,_xlfn.XLOOKUP(K547,BSFC!$B$1:$O$1,BSFC!$B$2:$O$24,,-1),,-1)</f>
        <v>480</v>
      </c>
      <c r="R547" s="17">
        <f t="shared" si="92"/>
        <v>1.8786506809302328</v>
      </c>
      <c r="S547" s="16">
        <f t="shared" si="94"/>
        <v>2.9183485335178652E-4</v>
      </c>
      <c r="T547" s="17">
        <f t="shared" si="98"/>
        <v>0.14008072960885753</v>
      </c>
      <c r="U547" s="16">
        <f t="shared" si="99"/>
        <v>74.06711928176189</v>
      </c>
      <c r="V547" s="17">
        <f t="shared" si="100"/>
        <v>0.15608489591117192</v>
      </c>
      <c r="W547" s="16">
        <f t="shared" si="95"/>
        <v>561905.6252802189</v>
      </c>
      <c r="X547">
        <f>('Hybrid Info'!$A$2-Track!P547)*(L547-L546)*1000+X546</f>
        <v>-21703.078241276533</v>
      </c>
    </row>
    <row r="548" spans="1:24">
      <c r="A548" s="16">
        <f t="shared" si="96"/>
        <v>547</v>
      </c>
      <c r="B548" s="17">
        <f t="shared" si="97"/>
        <v>13.411199999999999</v>
      </c>
      <c r="C548" s="16">
        <f>Specification!$G$29</f>
        <v>164.943378</v>
      </c>
      <c r="D548" s="17">
        <f>0.5*Specification!$K$4*Track!B548^2*Specification!$K$3*Specification!$K$2</f>
        <v>93.159842569492653</v>
      </c>
      <c r="E548" s="16">
        <v>0</v>
      </c>
      <c r="F548" s="17">
        <f>Specification!$C$23*9.81*SIN((E548*PI()/180))</f>
        <v>0</v>
      </c>
      <c r="G548" s="18">
        <f>IF(J548=1,VLOOKUP(K548,RPM!$E$2:$H$62,3,FALSE)-F548-E548-D548,IF(J548=2,VLOOKUP(K548,RPM!$H$2:$K$62,3,FALSE)-F548-E548-D548,IF(J548=3,VLOOKUP(K548,RPM!$K$2:$N$62,3,FALSE)-F548-E548-D548)))</f>
        <v>549.56217903827155</v>
      </c>
      <c r="H548" s="19">
        <f>IF(J548=1,Specification!$I$14,IF(J548=2,Specification!$I$15,IF(J548=3,Specification!$I$16)))</f>
        <v>578.93404261974786</v>
      </c>
      <c r="I548" s="16">
        <f t="shared" ref="I548:I611" si="105">IF(B548=13.4112,0,G548/H548)</f>
        <v>0</v>
      </c>
      <c r="J548" s="17">
        <v>3</v>
      </c>
      <c r="K548" s="16">
        <f>IF(J548=1,VLOOKUP(B548,RPM!$F$2:$H$62,3,TRUE),IF(J548=2,VLOOKUP(B548,RPM!$I$2:$K$62,3,TRUE),IF(J548=3,VLOOKUP(B548,RPM!$L$2:$N$62,3,TRUE))))</f>
        <v>4300</v>
      </c>
      <c r="L548" s="17">
        <f t="shared" si="103"/>
        <v>45.062145436937939</v>
      </c>
      <c r="M548" s="16">
        <f t="shared" si="102"/>
        <v>2.5261249524083507</v>
      </c>
      <c r="N548" s="17">
        <f>VLOOKUP(K548,RPM!$A$2:$D$62,3,FALSE)</f>
        <v>11.4</v>
      </c>
      <c r="O548" s="16">
        <f>VLOOKUP(K548,RPM!$A$2:$D$62,4,FALSE)</f>
        <v>18.894837209302327</v>
      </c>
      <c r="P548" s="17">
        <f t="shared" si="91"/>
        <v>14.089880106976747</v>
      </c>
      <c r="Q548" s="16" cm="1">
        <f t="array" ref="Q548">_xlfn.XLOOKUP(O548,BSFC!$A$2:$A$24,_xlfn.XLOOKUP(K548,BSFC!$B$1:$O$1,BSFC!$B$2:$O$24,,-1),,-1)</f>
        <v>480</v>
      </c>
      <c r="R548" s="17">
        <f t="shared" si="92"/>
        <v>1.8786506809302328</v>
      </c>
      <c r="S548" s="16">
        <f t="shared" si="94"/>
        <v>2.9183485335178652E-4</v>
      </c>
      <c r="T548" s="17">
        <f t="shared" si="98"/>
        <v>0.14008072960885753</v>
      </c>
      <c r="U548" s="16">
        <f t="shared" si="99"/>
        <v>74.207200011370745</v>
      </c>
      <c r="V548" s="17">
        <f t="shared" si="100"/>
        <v>0.15637673076452371</v>
      </c>
      <c r="W548" s="16">
        <f t="shared" si="95"/>
        <v>562956.23075228534</v>
      </c>
      <c r="X548">
        <f>('Hybrid Info'!$A$2-Track!P548)*(L548-L547)*1000+X547</f>
        <v>-21849.927554625949</v>
      </c>
    </row>
    <row r="549" spans="1:24">
      <c r="A549" s="16">
        <f t="shared" si="96"/>
        <v>548</v>
      </c>
      <c r="B549" s="17">
        <f t="shared" si="97"/>
        <v>13.411199999999999</v>
      </c>
      <c r="C549" s="16">
        <f>Specification!$G$29</f>
        <v>164.943378</v>
      </c>
      <c r="D549" s="17">
        <f>0.5*Specification!$K$4*Track!B549^2*Specification!$K$3*Specification!$K$2</f>
        <v>93.159842569492653</v>
      </c>
      <c r="E549" s="16">
        <v>0</v>
      </c>
      <c r="F549" s="17">
        <f>Specification!$C$23*9.81*SIN((E549*PI()/180))</f>
        <v>0</v>
      </c>
      <c r="G549" s="18">
        <f>IF(J549=1,VLOOKUP(K549,RPM!$E$2:$H$62,3,FALSE)-F549-E549-D549,IF(J549=2,VLOOKUP(K549,RPM!$H$2:$K$62,3,FALSE)-F549-E549-D549,IF(J549=3,VLOOKUP(K549,RPM!$K$2:$N$62,3,FALSE)-F549-E549-D549)))</f>
        <v>549.56217903827155</v>
      </c>
      <c r="H549" s="19">
        <f>IF(J549=1,Specification!$I$14,IF(J549=2,Specification!$I$15,IF(J549=3,Specification!$I$16)))</f>
        <v>578.93404261974786</v>
      </c>
      <c r="I549" s="16">
        <f t="shared" si="105"/>
        <v>0</v>
      </c>
      <c r="J549" s="17">
        <v>3</v>
      </c>
      <c r="K549" s="16">
        <f>IF(J549=1,VLOOKUP(B549,RPM!$F$2:$H$62,3,TRUE),IF(J549=2,VLOOKUP(B549,RPM!$I$2:$K$62,3,TRUE),IF(J549=3,VLOOKUP(B549,RPM!$L$2:$N$62,3,TRUE))))</f>
        <v>4300</v>
      </c>
      <c r="L549" s="17">
        <f t="shared" si="103"/>
        <v>45.136709980006422</v>
      </c>
      <c r="M549" s="16">
        <f t="shared" si="102"/>
        <v>2.5261249524083507</v>
      </c>
      <c r="N549" s="17">
        <f>VLOOKUP(K549,RPM!$A$2:$D$62,3,FALSE)</f>
        <v>11.4</v>
      </c>
      <c r="O549" s="16">
        <f>VLOOKUP(K549,RPM!$A$2:$D$62,4,FALSE)</f>
        <v>18.894837209302327</v>
      </c>
      <c r="P549" s="17">
        <f t="shared" si="91"/>
        <v>14.089880106976747</v>
      </c>
      <c r="Q549" s="16" cm="1">
        <f t="array" ref="Q549">_xlfn.XLOOKUP(O549,BSFC!$A$2:$A$24,_xlfn.XLOOKUP(K549,BSFC!$B$1:$O$1,BSFC!$B$2:$O$24,,-1),,-1)</f>
        <v>480</v>
      </c>
      <c r="R549" s="17">
        <f t="shared" si="92"/>
        <v>1.8786506809302328</v>
      </c>
      <c r="S549" s="16">
        <f t="shared" si="94"/>
        <v>2.9183485335178652E-4</v>
      </c>
      <c r="T549" s="17">
        <f t="shared" si="98"/>
        <v>0.14008072960885753</v>
      </c>
      <c r="U549" s="16">
        <f t="shared" si="99"/>
        <v>74.347280740979599</v>
      </c>
      <c r="V549" s="17">
        <f t="shared" si="100"/>
        <v>0.15666856561787551</v>
      </c>
      <c r="W549" s="16">
        <f t="shared" si="95"/>
        <v>564006.83622435189</v>
      </c>
      <c r="X549">
        <f>('Hybrid Info'!$A$2-Track!P549)*(L549-L548)*1000+X548</f>
        <v>-21996.776867975364</v>
      </c>
    </row>
    <row r="550" spans="1:24">
      <c r="A550" s="16">
        <f t="shared" si="96"/>
        <v>549</v>
      </c>
      <c r="B550" s="17">
        <f t="shared" si="97"/>
        <v>13.411199999999999</v>
      </c>
      <c r="C550" s="16">
        <f>Specification!$G$29</f>
        <v>164.943378</v>
      </c>
      <c r="D550" s="17">
        <f>0.5*Specification!$K$4*Track!B550^2*Specification!$K$3*Specification!$K$2</f>
        <v>93.159842569492653</v>
      </c>
      <c r="E550" s="16">
        <v>0</v>
      </c>
      <c r="F550" s="17">
        <f>Specification!$C$23*9.81*SIN((E550*PI()/180))</f>
        <v>0</v>
      </c>
      <c r="G550" s="18">
        <f>IF(J550=1,VLOOKUP(K550,RPM!$E$2:$H$62,3,FALSE)-F550-E550-D550,IF(J550=2,VLOOKUP(K550,RPM!$H$2:$K$62,3,FALSE)-F550-E550-D550,IF(J550=3,VLOOKUP(K550,RPM!$K$2:$N$62,3,FALSE)-F550-E550-D550)))</f>
        <v>549.56217903827155</v>
      </c>
      <c r="H550" s="19">
        <f>IF(J550=1,Specification!$I$14,IF(J550=2,Specification!$I$15,IF(J550=3,Specification!$I$16)))</f>
        <v>578.93404261974786</v>
      </c>
      <c r="I550" s="16">
        <f t="shared" si="105"/>
        <v>0</v>
      </c>
      <c r="J550" s="17">
        <v>3</v>
      </c>
      <c r="K550" s="16">
        <f>IF(J550=1,VLOOKUP(B550,RPM!$F$2:$H$62,3,TRUE),IF(J550=2,VLOOKUP(B550,RPM!$I$2:$K$62,3,TRUE),IF(J550=3,VLOOKUP(B550,RPM!$L$2:$N$62,3,TRUE))))</f>
        <v>4300</v>
      </c>
      <c r="L550" s="17">
        <f t="shared" si="103"/>
        <v>45.211274523074906</v>
      </c>
      <c r="M550" s="16">
        <f t="shared" si="102"/>
        <v>2.5261249524083507</v>
      </c>
      <c r="N550" s="17">
        <f>VLOOKUP(K550,RPM!$A$2:$D$62,3,FALSE)</f>
        <v>11.4</v>
      </c>
      <c r="O550" s="16">
        <f>VLOOKUP(K550,RPM!$A$2:$D$62,4,FALSE)</f>
        <v>18.894837209302327</v>
      </c>
      <c r="P550" s="17">
        <f t="shared" si="91"/>
        <v>14.089880106976747</v>
      </c>
      <c r="Q550" s="16" cm="1">
        <f t="array" ref="Q550">_xlfn.XLOOKUP(O550,BSFC!$A$2:$A$24,_xlfn.XLOOKUP(K550,BSFC!$B$1:$O$1,BSFC!$B$2:$O$24,,-1),,-1)</f>
        <v>480</v>
      </c>
      <c r="R550" s="17">
        <f t="shared" si="92"/>
        <v>1.8786506809302328</v>
      </c>
      <c r="S550" s="16">
        <f t="shared" si="94"/>
        <v>2.9183485335178652E-4</v>
      </c>
      <c r="T550" s="17">
        <f t="shared" si="98"/>
        <v>0.14008072960885753</v>
      </c>
      <c r="U550" s="16">
        <f t="shared" si="99"/>
        <v>74.487361470588453</v>
      </c>
      <c r="V550" s="17">
        <f t="shared" si="100"/>
        <v>0.15696040047122731</v>
      </c>
      <c r="W550" s="16">
        <f t="shared" si="95"/>
        <v>565057.44169641833</v>
      </c>
      <c r="X550">
        <f>('Hybrid Info'!$A$2-Track!P550)*(L550-L549)*1000+X549</f>
        <v>-22143.62618132478</v>
      </c>
    </row>
    <row r="551" spans="1:24">
      <c r="A551" s="16">
        <f t="shared" si="96"/>
        <v>550</v>
      </c>
      <c r="B551" s="17">
        <f t="shared" si="97"/>
        <v>13.411199999999999</v>
      </c>
      <c r="C551" s="16">
        <f>Specification!$G$29</f>
        <v>164.943378</v>
      </c>
      <c r="D551" s="17">
        <f>0.5*Specification!$K$4*Track!B551^2*Specification!$K$3*Specification!$K$2</f>
        <v>93.159842569492653</v>
      </c>
      <c r="E551" s="16">
        <v>-1</v>
      </c>
      <c r="F551" s="17">
        <f>Specification!$C$23*9.81*SIN((E551*PI()/180))</f>
        <v>-95.955295733149597</v>
      </c>
      <c r="G551" s="18">
        <f>IF(J551=1,VLOOKUP(K551,RPM!$E$2:$H$62,3,FALSE)-F551-E551-D551,IF(J551=2,VLOOKUP(K551,RPM!$H$2:$K$62,3,FALSE)-F551-E551-D551,IF(J551=3,VLOOKUP(K551,RPM!$K$2:$N$62,3,FALSE)-F551-E551-D551)))</f>
        <v>646.51747477142112</v>
      </c>
      <c r="H551" s="19">
        <f>IF(J551=1,Specification!$I$14,IF(J551=2,Specification!$I$15,IF(J551=3,Specification!$I$16)))</f>
        <v>578.93404261974786</v>
      </c>
      <c r="I551" s="16">
        <f t="shared" si="105"/>
        <v>0</v>
      </c>
      <c r="J551" s="17">
        <v>3</v>
      </c>
      <c r="K551" s="16">
        <f>IF(J551=1,VLOOKUP(B551,RPM!$F$2:$H$62,3,TRUE),IF(J551=2,VLOOKUP(B551,RPM!$I$2:$K$62,3,TRUE),IF(J551=3,VLOOKUP(B551,RPM!$L$2:$N$62,3,TRUE))))</f>
        <v>4300</v>
      </c>
      <c r="L551" s="17">
        <f t="shared" si="103"/>
        <v>45.285839066143389</v>
      </c>
      <c r="M551" s="16">
        <f t="shared" si="102"/>
        <v>2.5086698874801332</v>
      </c>
      <c r="N551" s="17">
        <f>VLOOKUP(K551,RPM!$A$2:$D$62,3,FALSE)</f>
        <v>11.4</v>
      </c>
      <c r="O551" s="16">
        <f>VLOOKUP(K551,RPM!$A$2:$D$62,4,FALSE)</f>
        <v>18.894837209302327</v>
      </c>
      <c r="P551" s="17">
        <f t="shared" si="91"/>
        <v>14.089880106976747</v>
      </c>
      <c r="Q551" s="16" cm="1">
        <f t="array" ref="Q551">_xlfn.XLOOKUP(O551,BSFC!$A$2:$A$24,_xlfn.XLOOKUP(K551,BSFC!$B$1:$O$1,BSFC!$B$2:$O$24,,-1),,-1)</f>
        <v>480</v>
      </c>
      <c r="R551" s="17">
        <f t="shared" si="92"/>
        <v>1.8786506809302328</v>
      </c>
      <c r="S551" s="16">
        <f t="shared" si="94"/>
        <v>2.9183485335178652E-4</v>
      </c>
      <c r="T551" s="17">
        <f t="shared" si="98"/>
        <v>0.14008072960885753</v>
      </c>
      <c r="U551" s="16">
        <f t="shared" si="99"/>
        <v>74.627442200197308</v>
      </c>
      <c r="V551" s="17">
        <f t="shared" si="100"/>
        <v>0.1572522353245791</v>
      </c>
      <c r="W551" s="16">
        <f t="shared" si="95"/>
        <v>566108.04716848477</v>
      </c>
      <c r="X551">
        <f>('Hybrid Info'!$A$2-Track!P551)*(L551-L550)*1000+X550</f>
        <v>-22290.475494674196</v>
      </c>
    </row>
    <row r="552" spans="1:24">
      <c r="A552" s="16">
        <f t="shared" si="96"/>
        <v>551</v>
      </c>
      <c r="B552" s="17">
        <f t="shared" si="97"/>
        <v>13.411199999999999</v>
      </c>
      <c r="C552" s="16">
        <f>Specification!$G$29</f>
        <v>164.943378</v>
      </c>
      <c r="D552" s="17">
        <f>0.5*Specification!$K$4*Track!B552^2*Specification!$K$3*Specification!$K$2</f>
        <v>93.159842569492653</v>
      </c>
      <c r="E552" s="16">
        <v>-2</v>
      </c>
      <c r="F552" s="17">
        <f>Specification!$C$23*9.81*SIN((E552*PI()/180))</f>
        <v>-191.88136255367905</v>
      </c>
      <c r="G552" s="18">
        <f>IF(J552=1,VLOOKUP(K552,RPM!$E$2:$H$62,3,FALSE)-F552-E552-D552,IF(J552=2,VLOOKUP(K552,RPM!$H$2:$K$62,3,FALSE)-F552-E552-D552,IF(J552=3,VLOOKUP(K552,RPM!$K$2:$N$62,3,FALSE)-F552-E552-D552)))</f>
        <v>743.44354159195063</v>
      </c>
      <c r="H552" s="19">
        <f>IF(J552=1,Specification!$I$14,IF(J552=2,Specification!$I$15,IF(J552=3,Specification!$I$16)))</f>
        <v>578.93404261974786</v>
      </c>
      <c r="I552" s="16">
        <f t="shared" si="105"/>
        <v>0</v>
      </c>
      <c r="J552" s="17">
        <v>3</v>
      </c>
      <c r="K552" s="16">
        <f>IF(J552=1,VLOOKUP(B552,RPM!$F$2:$H$62,3,TRUE),IF(J552=2,VLOOKUP(B552,RPM!$I$2:$K$62,3,TRUE),IF(J552=3,VLOOKUP(B552,RPM!$L$2:$N$62,3,TRUE))))</f>
        <v>4300</v>
      </c>
      <c r="L552" s="17">
        <f t="shared" si="103"/>
        <v>45.360403609211872</v>
      </c>
      <c r="M552" s="16">
        <f t="shared" si="102"/>
        <v>2.4737491179883855</v>
      </c>
      <c r="N552" s="17">
        <f>VLOOKUP(K552,RPM!$A$2:$D$62,3,FALSE)</f>
        <v>11.4</v>
      </c>
      <c r="O552" s="16">
        <f>VLOOKUP(K552,RPM!$A$2:$D$62,4,FALSE)</f>
        <v>18.894837209302327</v>
      </c>
      <c r="P552" s="17">
        <f t="shared" si="91"/>
        <v>14.089880106976747</v>
      </c>
      <c r="Q552" s="16" cm="1">
        <f t="array" ref="Q552">_xlfn.XLOOKUP(O552,BSFC!$A$2:$A$24,_xlfn.XLOOKUP(K552,BSFC!$B$1:$O$1,BSFC!$B$2:$O$24,,-1),,-1)</f>
        <v>480</v>
      </c>
      <c r="R552" s="17">
        <f t="shared" si="92"/>
        <v>1.8786506809302328</v>
      </c>
      <c r="S552" s="16">
        <f t="shared" si="94"/>
        <v>2.9183485335178652E-4</v>
      </c>
      <c r="T552" s="17">
        <f t="shared" si="98"/>
        <v>0.14008072960885753</v>
      </c>
      <c r="U552" s="16">
        <f t="shared" si="99"/>
        <v>74.767522929806162</v>
      </c>
      <c r="V552" s="17">
        <f t="shared" si="100"/>
        <v>0.1575440701779309</v>
      </c>
      <c r="W552" s="16">
        <f t="shared" si="95"/>
        <v>567158.65264055121</v>
      </c>
      <c r="X552">
        <f>('Hybrid Info'!$A$2-Track!P552)*(L552-L551)*1000+X551</f>
        <v>-22437.324808023612</v>
      </c>
    </row>
    <row r="553" spans="1:24">
      <c r="A553" s="16">
        <f t="shared" si="96"/>
        <v>552</v>
      </c>
      <c r="B553" s="17">
        <f t="shared" si="97"/>
        <v>13.411199999999999</v>
      </c>
      <c r="C553" s="16">
        <f>Specification!$G$29</f>
        <v>164.943378</v>
      </c>
      <c r="D553" s="17">
        <f>0.5*Specification!$K$4*Track!B553^2*Specification!$K$3*Specification!$K$2</f>
        <v>93.159842569492653</v>
      </c>
      <c r="E553" s="16">
        <v>-3</v>
      </c>
      <c r="F553" s="17">
        <f>Specification!$C$23*9.81*SIN((E553*PI()/180))</f>
        <v>-287.74898045237813</v>
      </c>
      <c r="G553" s="18">
        <f>IF(J553=1,VLOOKUP(K553,RPM!$E$2:$H$62,3,FALSE)-F553-E553-D553,IF(J553=2,VLOOKUP(K553,RPM!$H$2:$K$62,3,FALSE)-F553-E553-D553,IF(J553=3,VLOOKUP(K553,RPM!$K$2:$N$62,3,FALSE)-F553-E553-D553)))</f>
        <v>840.31115949064974</v>
      </c>
      <c r="H553" s="19">
        <f>IF(J553=1,Specification!$I$14,IF(J553=2,Specification!$I$15,IF(J553=3,Specification!$I$16)))</f>
        <v>578.93404261974786</v>
      </c>
      <c r="I553" s="16">
        <f t="shared" si="105"/>
        <v>0</v>
      </c>
      <c r="J553" s="17">
        <v>3</v>
      </c>
      <c r="K553" s="16">
        <f>IF(J553=1,VLOOKUP(B553,RPM!$F$2:$H$62,3,TRUE),IF(J553=2,VLOOKUP(B553,RPM!$I$2:$K$62,3,TRUE),IF(J553=3,VLOOKUP(B553,RPM!$L$2:$N$62,3,TRUE))))</f>
        <v>4300</v>
      </c>
      <c r="L553" s="17">
        <f t="shared" si="103"/>
        <v>45.434968152280355</v>
      </c>
      <c r="M553" s="16">
        <f t="shared" si="102"/>
        <v>2.4213413387053442</v>
      </c>
      <c r="N553" s="17">
        <f>VLOOKUP(K553,RPM!$A$2:$D$62,3,FALSE)</f>
        <v>11.4</v>
      </c>
      <c r="O553" s="16">
        <f>VLOOKUP(K553,RPM!$A$2:$D$62,4,FALSE)</f>
        <v>18.894837209302327</v>
      </c>
      <c r="P553" s="17">
        <f t="shared" si="91"/>
        <v>14.089880106976747</v>
      </c>
      <c r="Q553" s="16" cm="1">
        <f t="array" ref="Q553">_xlfn.XLOOKUP(O553,BSFC!$A$2:$A$24,_xlfn.XLOOKUP(K553,BSFC!$B$1:$O$1,BSFC!$B$2:$O$24,,-1),,-1)</f>
        <v>480</v>
      </c>
      <c r="R553" s="17">
        <f t="shared" si="92"/>
        <v>1.8786506809302328</v>
      </c>
      <c r="S553" s="16">
        <f t="shared" si="94"/>
        <v>2.9183485335178652E-4</v>
      </c>
      <c r="T553" s="17">
        <f t="shared" si="98"/>
        <v>0.14008072960885753</v>
      </c>
      <c r="U553" s="16">
        <f t="shared" si="99"/>
        <v>74.907603659415017</v>
      </c>
      <c r="V553" s="17">
        <f t="shared" si="100"/>
        <v>0.1578359050312827</v>
      </c>
      <c r="W553" s="16">
        <f t="shared" si="95"/>
        <v>568209.25811261765</v>
      </c>
      <c r="X553">
        <f>('Hybrid Info'!$A$2-Track!P553)*(L553-L552)*1000+X552</f>
        <v>-22584.174121373027</v>
      </c>
    </row>
    <row r="554" spans="1:24">
      <c r="A554" s="16">
        <f t="shared" si="96"/>
        <v>553</v>
      </c>
      <c r="B554" s="17">
        <f t="shared" si="97"/>
        <v>13.411199999999999</v>
      </c>
      <c r="C554" s="16">
        <f>Specification!$G$29</f>
        <v>164.943378</v>
      </c>
      <c r="D554" s="17">
        <f>0.5*Specification!$K$4*Track!B554^2*Specification!$K$3*Specification!$K$2</f>
        <v>93.159842569492653</v>
      </c>
      <c r="E554" s="16">
        <v>-4</v>
      </c>
      <c r="F554" s="17">
        <f>Specification!$C$23*9.81*SIN((E554*PI()/180))</f>
        <v>-383.52894722414453</v>
      </c>
      <c r="G554" s="18">
        <f>IF(J554=1,VLOOKUP(K554,RPM!$E$2:$H$62,3,FALSE)-F554-E554-D554,IF(J554=2,VLOOKUP(K554,RPM!$H$2:$K$62,3,FALSE)-F554-E554-D554,IF(J554=3,VLOOKUP(K554,RPM!$K$2:$N$62,3,FALSE)-F554-E554-D554)))</f>
        <v>937.09112626241608</v>
      </c>
      <c r="H554" s="19">
        <f>IF(J554=1,Specification!$I$14,IF(J554=2,Specification!$I$15,IF(J554=3,Specification!$I$16)))</f>
        <v>578.93404261974786</v>
      </c>
      <c r="I554" s="16">
        <f t="shared" si="105"/>
        <v>0</v>
      </c>
      <c r="J554" s="17">
        <v>3</v>
      </c>
      <c r="K554" s="16">
        <f>IF(J554=1,VLOOKUP(B554,RPM!$F$2:$H$62,3,TRUE),IF(J554=2,VLOOKUP(B554,RPM!$I$2:$K$62,3,TRUE),IF(J554=3,VLOOKUP(B554,RPM!$L$2:$N$62,3,TRUE))))</f>
        <v>4300</v>
      </c>
      <c r="L554" s="17">
        <f t="shared" si="103"/>
        <v>45.509532695348838</v>
      </c>
      <c r="M554" s="16">
        <f t="shared" si="102"/>
        <v>2.3514145267618338</v>
      </c>
      <c r="N554" s="17">
        <f>VLOOKUP(K554,RPM!$A$2:$D$62,3,FALSE)</f>
        <v>11.4</v>
      </c>
      <c r="O554" s="16">
        <f>VLOOKUP(K554,RPM!$A$2:$D$62,4,FALSE)</f>
        <v>18.894837209302327</v>
      </c>
      <c r="P554" s="17">
        <f t="shared" si="91"/>
        <v>14.089880106976747</v>
      </c>
      <c r="Q554" s="16" cm="1">
        <f t="array" ref="Q554">_xlfn.XLOOKUP(O554,BSFC!$A$2:$A$24,_xlfn.XLOOKUP(K554,BSFC!$B$1:$O$1,BSFC!$B$2:$O$24,,-1),,-1)</f>
        <v>480</v>
      </c>
      <c r="R554" s="17">
        <f t="shared" si="92"/>
        <v>1.8786506809302328</v>
      </c>
      <c r="S554" s="16">
        <f t="shared" si="94"/>
        <v>2.9183485335178652E-4</v>
      </c>
      <c r="T554" s="17">
        <f t="shared" si="98"/>
        <v>0.14008072960885753</v>
      </c>
      <c r="U554" s="16">
        <f t="shared" si="99"/>
        <v>75.047684389023871</v>
      </c>
      <c r="V554" s="17">
        <f t="shared" si="100"/>
        <v>0.15812773988463449</v>
      </c>
      <c r="W554" s="16">
        <f t="shared" si="95"/>
        <v>569259.86358468421</v>
      </c>
      <c r="X554">
        <f>('Hybrid Info'!$A$2-Track!P554)*(L554-L553)*1000+X553</f>
        <v>-22731.023434722443</v>
      </c>
    </row>
    <row r="555" spans="1:24">
      <c r="A555" s="16">
        <f t="shared" si="96"/>
        <v>554</v>
      </c>
      <c r="B555" s="17">
        <f t="shared" si="97"/>
        <v>13.411199999999999</v>
      </c>
      <c r="C555" s="16">
        <f>Specification!$G$29</f>
        <v>164.943378</v>
      </c>
      <c r="D555" s="17">
        <f>0.5*Specification!$K$4*Track!B555^2*Specification!$K$3*Specification!$K$2</f>
        <v>93.159842569492653</v>
      </c>
      <c r="E555" s="16">
        <v>-5</v>
      </c>
      <c r="F555" s="17">
        <f>Specification!$C$23*9.81*SIN((E555*PI()/180))</f>
        <v>-479.192087363258</v>
      </c>
      <c r="G555" s="18">
        <f>IF(J555=1,VLOOKUP(K555,RPM!$E$2:$H$62,3,FALSE)-F555-E555-D555,IF(J555=2,VLOOKUP(K555,RPM!$H$2:$K$62,3,FALSE)-F555-E555-D555,IF(J555=3,VLOOKUP(K555,RPM!$K$2:$N$62,3,FALSE)-F555-E555-D555)))</f>
        <v>1033.7542664015295</v>
      </c>
      <c r="H555" s="19">
        <f>IF(J555=1,Specification!$I$14,IF(J555=2,Specification!$I$15,IF(J555=3,Specification!$I$16)))</f>
        <v>578.93404261974786</v>
      </c>
      <c r="I555" s="16">
        <f t="shared" si="105"/>
        <v>0</v>
      </c>
      <c r="J555" s="17">
        <v>3</v>
      </c>
      <c r="K555" s="16">
        <f>IF(J555=1,VLOOKUP(B555,RPM!$F$2:$H$62,3,TRUE),IF(J555=2,VLOOKUP(B555,RPM!$I$2:$K$62,3,TRUE),IF(J555=3,VLOOKUP(B555,RPM!$L$2:$N$62,3,TRUE))))</f>
        <v>4300</v>
      </c>
      <c r="L555" s="17">
        <f t="shared" si="103"/>
        <v>45.584097238417321</v>
      </c>
      <c r="M555" s="16">
        <f t="shared" si="102"/>
        <v>2.2639258632359098</v>
      </c>
      <c r="N555" s="17">
        <f>VLOOKUP(K555,RPM!$A$2:$D$62,3,FALSE)</f>
        <v>11.4</v>
      </c>
      <c r="O555" s="16">
        <f>VLOOKUP(K555,RPM!$A$2:$D$62,4,FALSE)</f>
        <v>18.894837209302327</v>
      </c>
      <c r="P555" s="17">
        <f t="shared" si="91"/>
        <v>14.089880106976747</v>
      </c>
      <c r="Q555" s="16" cm="1">
        <f t="array" ref="Q555">_xlfn.XLOOKUP(O555,BSFC!$A$2:$A$24,_xlfn.XLOOKUP(K555,BSFC!$B$1:$O$1,BSFC!$B$2:$O$24,,-1),,-1)</f>
        <v>480</v>
      </c>
      <c r="R555" s="17">
        <f t="shared" si="92"/>
        <v>1.8786506809302328</v>
      </c>
      <c r="S555" s="16">
        <f t="shared" si="94"/>
        <v>2.9183485335178652E-4</v>
      </c>
      <c r="T555" s="17">
        <f t="shared" si="98"/>
        <v>0.14008072960885753</v>
      </c>
      <c r="U555" s="16">
        <f t="shared" si="99"/>
        <v>75.187765118632726</v>
      </c>
      <c r="V555" s="17">
        <f t="shared" si="100"/>
        <v>0.15841957473798629</v>
      </c>
      <c r="W555" s="16">
        <f t="shared" si="95"/>
        <v>570310.46905675065</v>
      </c>
      <c r="X555">
        <f>('Hybrid Info'!$A$2-Track!P555)*(L555-L554)*1000+X554</f>
        <v>-22877.872748071859</v>
      </c>
    </row>
    <row r="556" spans="1:24">
      <c r="A556" s="16">
        <f t="shared" si="96"/>
        <v>555</v>
      </c>
      <c r="B556" s="17">
        <f t="shared" si="97"/>
        <v>13.411199999999999</v>
      </c>
      <c r="C556" s="16">
        <f>Specification!$G$29</f>
        <v>164.943378</v>
      </c>
      <c r="D556" s="17">
        <f>0.5*Specification!$K$4*Track!B556^2*Specification!$K$3*Specification!$K$2</f>
        <v>93.159842569492653</v>
      </c>
      <c r="E556" s="16">
        <v>-6</v>
      </c>
      <c r="F556" s="17">
        <f>Specification!$C$23*9.81*SIN((E556*PI()/180))</f>
        <v>-574.70926095052266</v>
      </c>
      <c r="G556" s="18">
        <f>IF(J556=1,VLOOKUP(K556,RPM!$E$2:$H$62,3,FALSE)-F556-E556-D556,IF(J556=2,VLOOKUP(K556,RPM!$H$2:$K$62,3,FALSE)-F556-E556-D556,IF(J556=3,VLOOKUP(K556,RPM!$K$2:$N$62,3,FALSE)-F556-E556-D556)))</f>
        <v>1130.2714399887943</v>
      </c>
      <c r="H556" s="19">
        <f>IF(J556=1,Specification!$I$14,IF(J556=2,Specification!$I$15,IF(J556=3,Specification!$I$16)))</f>
        <v>578.93404261974786</v>
      </c>
      <c r="I556" s="16">
        <f t="shared" si="105"/>
        <v>0</v>
      </c>
      <c r="J556" s="17">
        <v>3</v>
      </c>
      <c r="K556" s="16">
        <f>IF(J556=1,VLOOKUP(B556,RPM!$F$2:$H$62,3,TRUE),IF(J556=2,VLOOKUP(B556,RPM!$I$2:$K$62,3,TRUE),IF(J556=3,VLOOKUP(B556,RPM!$L$2:$N$62,3,TRUE))))</f>
        <v>4300</v>
      </c>
      <c r="L556" s="17">
        <f t="shared" si="103"/>
        <v>45.658661781485804</v>
      </c>
      <c r="M556" s="16">
        <f t="shared" si="102"/>
        <v>2.1588216279702332</v>
      </c>
      <c r="N556" s="17">
        <f>VLOOKUP(K556,RPM!$A$2:$D$62,3,FALSE)</f>
        <v>11.4</v>
      </c>
      <c r="O556" s="16">
        <f>VLOOKUP(K556,RPM!$A$2:$D$62,4,FALSE)</f>
        <v>18.894837209302327</v>
      </c>
      <c r="P556" s="17">
        <f t="shared" si="91"/>
        <v>14.089880106976747</v>
      </c>
      <c r="Q556" s="16" cm="1">
        <f t="array" ref="Q556">_xlfn.XLOOKUP(O556,BSFC!$A$2:$A$24,_xlfn.XLOOKUP(K556,BSFC!$B$1:$O$1,BSFC!$B$2:$O$24,,-1),,-1)</f>
        <v>480</v>
      </c>
      <c r="R556" s="17">
        <f t="shared" si="92"/>
        <v>1.8786506809302328</v>
      </c>
      <c r="S556" s="16">
        <f t="shared" si="94"/>
        <v>2.9183485335178652E-4</v>
      </c>
      <c r="T556" s="17">
        <f t="shared" si="98"/>
        <v>0.14008072960885753</v>
      </c>
      <c r="U556" s="16">
        <f t="shared" si="99"/>
        <v>75.32784584824158</v>
      </c>
      <c r="V556" s="17">
        <f t="shared" si="100"/>
        <v>0.15871140959133809</v>
      </c>
      <c r="W556" s="16">
        <f t="shared" si="95"/>
        <v>571361.07452881709</v>
      </c>
      <c r="X556">
        <f>('Hybrid Info'!$A$2-Track!P556)*(L556-L555)*1000+X555</f>
        <v>-23024.722061421275</v>
      </c>
    </row>
    <row r="557" spans="1:24">
      <c r="A557" s="16">
        <f t="shared" si="96"/>
        <v>556</v>
      </c>
      <c r="B557" s="17">
        <f t="shared" si="97"/>
        <v>13.411199999999999</v>
      </c>
      <c r="C557" s="16">
        <f>Specification!$G$29</f>
        <v>164.943378</v>
      </c>
      <c r="D557" s="17">
        <f>0.5*Specification!$K$4*Track!B557^2*Specification!$K$3*Specification!$K$2</f>
        <v>93.159842569492653</v>
      </c>
      <c r="E557" s="16">
        <v>-7</v>
      </c>
      <c r="F557" s="17">
        <f>Specification!$C$23*9.81*SIN((E557*PI()/180))</f>
        <v>-670.05137252956831</v>
      </c>
      <c r="G557" s="18">
        <f>IF(J557=1,VLOOKUP(K557,RPM!$E$2:$H$62,3,FALSE)-F557-E557-D557,IF(J557=2,VLOOKUP(K557,RPM!$H$2:$K$62,3,FALSE)-F557-E557-D557,IF(J557=3,VLOOKUP(K557,RPM!$K$2:$N$62,3,FALSE)-F557-E557-D557)))</f>
        <v>1226.61355156784</v>
      </c>
      <c r="H557" s="19">
        <f>IF(J557=1,Specification!$I$14,IF(J557=2,Specification!$I$15,IF(J557=3,Specification!$I$16)))</f>
        <v>578.93404261974786</v>
      </c>
      <c r="I557" s="16">
        <f t="shared" si="105"/>
        <v>0</v>
      </c>
      <c r="J557" s="17">
        <v>3</v>
      </c>
      <c r="K557" s="16">
        <f>IF(J557=1,VLOOKUP(B557,RPM!$F$2:$H$62,3,TRUE),IF(J557=2,VLOOKUP(B557,RPM!$I$2:$K$62,3,TRUE),IF(J557=3,VLOOKUP(B557,RPM!$L$2:$N$62,3,TRUE))))</f>
        <v>4300</v>
      </c>
      <c r="L557" s="17">
        <f t="shared" si="103"/>
        <v>45.733226324554288</v>
      </c>
      <c r="M557" s="16">
        <f t="shared" si="102"/>
        <v>2.0360370670673285</v>
      </c>
      <c r="N557" s="17">
        <f>VLOOKUP(K557,RPM!$A$2:$D$62,3,FALSE)</f>
        <v>11.4</v>
      </c>
      <c r="O557" s="16">
        <f>VLOOKUP(K557,RPM!$A$2:$D$62,4,FALSE)</f>
        <v>18.894837209302327</v>
      </c>
      <c r="P557" s="17">
        <f t="shared" si="91"/>
        <v>14.089880106976747</v>
      </c>
      <c r="Q557" s="16" cm="1">
        <f t="array" ref="Q557">_xlfn.XLOOKUP(O557,BSFC!$A$2:$A$24,_xlfn.XLOOKUP(K557,BSFC!$B$1:$O$1,BSFC!$B$2:$O$24,,-1),,-1)</f>
        <v>480</v>
      </c>
      <c r="R557" s="17">
        <f t="shared" si="92"/>
        <v>1.8786506809302328</v>
      </c>
      <c r="S557" s="16">
        <f t="shared" si="94"/>
        <v>2.9183485335178652E-4</v>
      </c>
      <c r="T557" s="17">
        <f t="shared" si="98"/>
        <v>0.14008072960885753</v>
      </c>
      <c r="U557" s="16">
        <f t="shared" si="99"/>
        <v>75.467926577850434</v>
      </c>
      <c r="V557" s="17">
        <f t="shared" si="100"/>
        <v>0.15900324444468988</v>
      </c>
      <c r="W557" s="16">
        <f t="shared" si="95"/>
        <v>572411.68000088364</v>
      </c>
      <c r="X557">
        <f>('Hybrid Info'!$A$2-Track!P557)*(L557-L556)*1000+X556</f>
        <v>-23171.57137477069</v>
      </c>
    </row>
    <row r="558" spans="1:24">
      <c r="A558" s="16">
        <f t="shared" si="96"/>
        <v>557</v>
      </c>
      <c r="B558" s="17">
        <f t="shared" si="97"/>
        <v>13.411199999999999</v>
      </c>
      <c r="C558" s="16">
        <f>Specification!$G$29</f>
        <v>164.943378</v>
      </c>
      <c r="D558" s="17">
        <f>0.5*Specification!$K$4*Track!B558^2*Specification!$K$3*Specification!$K$2</f>
        <v>93.159842569492653</v>
      </c>
      <c r="E558" s="16">
        <v>-8</v>
      </c>
      <c r="F558" s="17">
        <f>Specification!$C$23*9.81*SIN((E558*PI()/180))</f>
        <v>-765.1893799696079</v>
      </c>
      <c r="G558" s="18">
        <f>IF(J558=1,VLOOKUP(K558,RPM!$E$2:$H$62,3,FALSE)-F558-E558-D558,IF(J558=2,VLOOKUP(K558,RPM!$H$2:$K$62,3,FALSE)-F558-E558-D558,IF(J558=3,VLOOKUP(K558,RPM!$K$2:$N$62,3,FALSE)-F558-E558-D558)))</f>
        <v>1322.7515590078795</v>
      </c>
      <c r="H558" s="19">
        <f>IF(J558=1,Specification!$I$14,IF(J558=2,Specification!$I$15,IF(J558=3,Specification!$I$16)))</f>
        <v>578.93404261974786</v>
      </c>
      <c r="I558" s="16">
        <f t="shared" si="105"/>
        <v>0</v>
      </c>
      <c r="J558" s="17">
        <v>3</v>
      </c>
      <c r="K558" s="16">
        <f>IF(J558=1,VLOOKUP(B558,RPM!$F$2:$H$62,3,TRUE),IF(J558=2,VLOOKUP(B558,RPM!$I$2:$K$62,3,TRUE),IF(J558=3,VLOOKUP(B558,RPM!$L$2:$N$62,3,TRUE))))</f>
        <v>4300</v>
      </c>
      <c r="L558" s="17">
        <f t="shared" si="103"/>
        <v>45.807790867622771</v>
      </c>
      <c r="M558" s="16">
        <f t="shared" si="102"/>
        <v>1.8954962323649369</v>
      </c>
      <c r="N558" s="17">
        <f>VLOOKUP(K558,RPM!$A$2:$D$62,3,FALSE)</f>
        <v>11.4</v>
      </c>
      <c r="O558" s="16">
        <f>VLOOKUP(K558,RPM!$A$2:$D$62,4,FALSE)</f>
        <v>18.894837209302327</v>
      </c>
      <c r="P558" s="17">
        <f t="shared" si="91"/>
        <v>14.089880106976747</v>
      </c>
      <c r="Q558" s="16" cm="1">
        <f t="array" ref="Q558">_xlfn.XLOOKUP(O558,BSFC!$A$2:$A$24,_xlfn.XLOOKUP(K558,BSFC!$B$1:$O$1,BSFC!$B$2:$O$24,,-1),,-1)</f>
        <v>480</v>
      </c>
      <c r="R558" s="17">
        <f t="shared" si="92"/>
        <v>1.8786506809302328</v>
      </c>
      <c r="S558" s="16">
        <f t="shared" si="94"/>
        <v>2.9183485335178652E-4</v>
      </c>
      <c r="T558" s="17">
        <f t="shared" si="98"/>
        <v>0.14008072960885753</v>
      </c>
      <c r="U558" s="16">
        <f t="shared" si="99"/>
        <v>75.608007307459289</v>
      </c>
      <c r="V558" s="17">
        <f t="shared" si="100"/>
        <v>0.15929507929804168</v>
      </c>
      <c r="W558" s="16">
        <f t="shared" si="95"/>
        <v>573462.28547295008</v>
      </c>
      <c r="X558">
        <f>('Hybrid Info'!$A$2-Track!P558)*(L558-L557)*1000+X557</f>
        <v>-23318.420688120106</v>
      </c>
    </row>
    <row r="559" spans="1:24">
      <c r="A559" s="16">
        <f t="shared" si="96"/>
        <v>558</v>
      </c>
      <c r="B559" s="17">
        <f t="shared" si="97"/>
        <v>13.411199999999999</v>
      </c>
      <c r="C559" s="16">
        <f>Specification!$G$29</f>
        <v>164.943378</v>
      </c>
      <c r="D559" s="17">
        <f>0.5*Specification!$K$4*Track!B559^2*Specification!$K$3*Specification!$K$2</f>
        <v>93.159842569492653</v>
      </c>
      <c r="E559" s="16">
        <v>-8</v>
      </c>
      <c r="F559" s="17">
        <f>Specification!$C$23*9.81*SIN((E559*PI()/180))</f>
        <v>-765.1893799696079</v>
      </c>
      <c r="G559" s="18">
        <f>IF(J559=1,VLOOKUP(K559,RPM!$E$2:$H$62,3,FALSE)-F559-E559-D559,IF(J559=2,VLOOKUP(K559,RPM!$H$2:$K$62,3,FALSE)-F559-E559-D559,IF(J559=3,VLOOKUP(K559,RPM!$K$2:$N$62,3,FALSE)-F559-E559-D559)))</f>
        <v>1322.7515590078795</v>
      </c>
      <c r="H559" s="19">
        <f>IF(J559=1,Specification!$I$14,IF(J559=2,Specification!$I$15,IF(J559=3,Specification!$I$16)))</f>
        <v>578.93404261974786</v>
      </c>
      <c r="I559" s="16">
        <f t="shared" si="105"/>
        <v>0</v>
      </c>
      <c r="J559" s="17">
        <v>3</v>
      </c>
      <c r="K559" s="16">
        <f>IF(J559=1,VLOOKUP(B559,RPM!$F$2:$H$62,3,TRUE),IF(J559=2,VLOOKUP(B559,RPM!$I$2:$K$62,3,TRUE),IF(J559=3,VLOOKUP(B559,RPM!$L$2:$N$62,3,TRUE))))</f>
        <v>4300</v>
      </c>
      <c r="L559" s="17">
        <f t="shared" si="103"/>
        <v>45.882355410691254</v>
      </c>
      <c r="M559" s="16">
        <f t="shared" si="102"/>
        <v>1.7549553976625454</v>
      </c>
      <c r="N559" s="17">
        <f>VLOOKUP(K559,RPM!$A$2:$D$62,3,FALSE)</f>
        <v>11.4</v>
      </c>
      <c r="O559" s="16">
        <f>VLOOKUP(K559,RPM!$A$2:$D$62,4,FALSE)</f>
        <v>18.894837209302327</v>
      </c>
      <c r="P559" s="17">
        <f t="shared" si="91"/>
        <v>14.089880106976747</v>
      </c>
      <c r="Q559" s="16" cm="1">
        <f t="array" ref="Q559">_xlfn.XLOOKUP(O559,BSFC!$A$2:$A$24,_xlfn.XLOOKUP(K559,BSFC!$B$1:$O$1,BSFC!$B$2:$O$24,,-1),,-1)</f>
        <v>480</v>
      </c>
      <c r="R559" s="17">
        <f t="shared" si="92"/>
        <v>1.8786506809302328</v>
      </c>
      <c r="S559" s="16">
        <f t="shared" si="94"/>
        <v>2.9183485335178652E-4</v>
      </c>
      <c r="T559" s="17">
        <f t="shared" si="98"/>
        <v>0.14008072960885753</v>
      </c>
      <c r="U559" s="16">
        <f t="shared" si="99"/>
        <v>75.748088037068143</v>
      </c>
      <c r="V559" s="17">
        <f t="shared" si="100"/>
        <v>0.15958691415139348</v>
      </c>
      <c r="W559" s="16">
        <f t="shared" si="95"/>
        <v>574512.89094501652</v>
      </c>
      <c r="X559">
        <f>('Hybrid Info'!$A$2-Track!P559)*(L559-L558)*1000+X558</f>
        <v>-23465.270001469522</v>
      </c>
    </row>
    <row r="560" spans="1:24">
      <c r="A560" s="16">
        <f t="shared" si="96"/>
        <v>559</v>
      </c>
      <c r="B560" s="17">
        <f t="shared" si="97"/>
        <v>13.411199999999999</v>
      </c>
      <c r="C560" s="16">
        <f>Specification!$G$29</f>
        <v>164.943378</v>
      </c>
      <c r="D560" s="17">
        <f>0.5*Specification!$K$4*Track!B560^2*Specification!$K$3*Specification!$K$2</f>
        <v>93.159842569492653</v>
      </c>
      <c r="E560" s="16">
        <v>-8</v>
      </c>
      <c r="F560" s="17">
        <f>Specification!$C$23*9.81*SIN((E560*PI()/180))</f>
        <v>-765.1893799696079</v>
      </c>
      <c r="G560" s="18">
        <f>IF(J560=1,VLOOKUP(K560,RPM!$E$2:$H$62,3,FALSE)-F560-E560-D560,IF(J560=2,VLOOKUP(K560,RPM!$H$2:$K$62,3,FALSE)-F560-E560-D560,IF(J560=3,VLOOKUP(K560,RPM!$K$2:$N$62,3,FALSE)-F560-E560-D560)))</f>
        <v>1322.7515590078795</v>
      </c>
      <c r="H560" s="19">
        <f>IF(J560=1,Specification!$I$14,IF(J560=2,Specification!$I$15,IF(J560=3,Specification!$I$16)))</f>
        <v>578.93404261974786</v>
      </c>
      <c r="I560" s="16">
        <f t="shared" si="105"/>
        <v>0</v>
      </c>
      <c r="J560" s="17">
        <v>3</v>
      </c>
      <c r="K560" s="16">
        <f>IF(J560=1,VLOOKUP(B560,RPM!$F$2:$H$62,3,TRUE),IF(J560=2,VLOOKUP(B560,RPM!$I$2:$K$62,3,TRUE),IF(J560=3,VLOOKUP(B560,RPM!$L$2:$N$62,3,TRUE))))</f>
        <v>4300</v>
      </c>
      <c r="L560" s="17">
        <f t="shared" si="103"/>
        <v>45.956919953759737</v>
      </c>
      <c r="M560" s="16">
        <f t="shared" si="102"/>
        <v>1.6144145629601538</v>
      </c>
      <c r="N560" s="17">
        <f>VLOOKUP(K560,RPM!$A$2:$D$62,3,FALSE)</f>
        <v>11.4</v>
      </c>
      <c r="O560" s="16">
        <f>VLOOKUP(K560,RPM!$A$2:$D$62,4,FALSE)</f>
        <v>18.894837209302327</v>
      </c>
      <c r="P560" s="17">
        <f t="shared" si="91"/>
        <v>14.089880106976747</v>
      </c>
      <c r="Q560" s="16" cm="1">
        <f t="array" ref="Q560">_xlfn.XLOOKUP(O560,BSFC!$A$2:$A$24,_xlfn.XLOOKUP(K560,BSFC!$B$1:$O$1,BSFC!$B$2:$O$24,,-1),,-1)</f>
        <v>480</v>
      </c>
      <c r="R560" s="17">
        <f t="shared" si="92"/>
        <v>1.8786506809302328</v>
      </c>
      <c r="S560" s="16">
        <f t="shared" si="94"/>
        <v>2.9183485335178652E-4</v>
      </c>
      <c r="T560" s="17">
        <f t="shared" si="98"/>
        <v>0.14008072960885753</v>
      </c>
      <c r="U560" s="16">
        <f t="shared" si="99"/>
        <v>75.888168766676998</v>
      </c>
      <c r="V560" s="17">
        <f t="shared" si="100"/>
        <v>0.15987874900474527</v>
      </c>
      <c r="W560" s="16">
        <f t="shared" si="95"/>
        <v>575563.49641708308</v>
      </c>
      <c r="X560">
        <f>('Hybrid Info'!$A$2-Track!P560)*(L560-L559)*1000+X559</f>
        <v>-23612.119314818938</v>
      </c>
    </row>
    <row r="561" spans="1:24">
      <c r="A561" s="16">
        <f t="shared" si="96"/>
        <v>560</v>
      </c>
      <c r="B561" s="17">
        <f t="shared" si="97"/>
        <v>13.411199999999999</v>
      </c>
      <c r="C561" s="16">
        <f>Specification!$G$29</f>
        <v>164.943378</v>
      </c>
      <c r="D561" s="17">
        <f>0.5*Specification!$K$4*Track!B561^2*Specification!$K$3*Specification!$K$2</f>
        <v>93.159842569492653</v>
      </c>
      <c r="E561" s="16">
        <v>-8</v>
      </c>
      <c r="F561" s="17">
        <f>Specification!$C$23*9.81*SIN((E561*PI()/180))</f>
        <v>-765.1893799696079</v>
      </c>
      <c r="G561" s="18">
        <f>IF(J561=1,VLOOKUP(K561,RPM!$E$2:$H$62,3,FALSE)-F561-E561-D561,IF(J561=2,VLOOKUP(K561,RPM!$H$2:$K$62,3,FALSE)-F561-E561-D561,IF(J561=3,VLOOKUP(K561,RPM!$K$2:$N$62,3,FALSE)-F561-E561-D561)))</f>
        <v>1322.7515590078795</v>
      </c>
      <c r="H561" s="19">
        <f>IF(J561=1,Specification!$I$14,IF(J561=2,Specification!$I$15,IF(J561=3,Specification!$I$16)))</f>
        <v>578.93404261974786</v>
      </c>
      <c r="I561" s="16">
        <f t="shared" si="105"/>
        <v>0</v>
      </c>
      <c r="J561" s="17">
        <v>3</v>
      </c>
      <c r="K561" s="16">
        <f>IF(J561=1,VLOOKUP(B561,RPM!$F$2:$H$62,3,TRUE),IF(J561=2,VLOOKUP(B561,RPM!$I$2:$K$62,3,TRUE),IF(J561=3,VLOOKUP(B561,RPM!$L$2:$N$62,3,TRUE))))</f>
        <v>4300</v>
      </c>
      <c r="L561" s="17">
        <f t="shared" si="103"/>
        <v>46.03148449682822</v>
      </c>
      <c r="M561" s="16">
        <f t="shared" si="102"/>
        <v>1.4738737282577623</v>
      </c>
      <c r="N561" s="17">
        <f>VLOOKUP(K561,RPM!$A$2:$D$62,3,FALSE)</f>
        <v>11.4</v>
      </c>
      <c r="O561" s="16">
        <f>VLOOKUP(K561,RPM!$A$2:$D$62,4,FALSE)</f>
        <v>18.894837209302327</v>
      </c>
      <c r="P561" s="17">
        <f t="shared" si="91"/>
        <v>14.089880106976747</v>
      </c>
      <c r="Q561" s="16" cm="1">
        <f t="array" ref="Q561">_xlfn.XLOOKUP(O561,BSFC!$A$2:$A$24,_xlfn.XLOOKUP(K561,BSFC!$B$1:$O$1,BSFC!$B$2:$O$24,,-1),,-1)</f>
        <v>480</v>
      </c>
      <c r="R561" s="17">
        <f t="shared" si="92"/>
        <v>1.8786506809302328</v>
      </c>
      <c r="S561" s="16">
        <f t="shared" si="94"/>
        <v>2.9183485335178652E-4</v>
      </c>
      <c r="T561" s="17">
        <f t="shared" si="98"/>
        <v>0.14008072960885753</v>
      </c>
      <c r="U561" s="16">
        <f t="shared" si="99"/>
        <v>76.028249496285852</v>
      </c>
      <c r="V561" s="17">
        <f t="shared" si="100"/>
        <v>0.16017058385809707</v>
      </c>
      <c r="W561" s="16">
        <f t="shared" si="95"/>
        <v>576614.10188914952</v>
      </c>
      <c r="X561">
        <f>('Hybrid Info'!$A$2-Track!P561)*(L561-L560)*1000+X560</f>
        <v>-23758.968628168353</v>
      </c>
    </row>
    <row r="562" spans="1:24">
      <c r="A562" s="16">
        <f t="shared" si="96"/>
        <v>561</v>
      </c>
      <c r="B562" s="17">
        <f t="shared" si="97"/>
        <v>13.411199999999999</v>
      </c>
      <c r="C562" s="16">
        <f>Specification!$G$29</f>
        <v>164.943378</v>
      </c>
      <c r="D562" s="17">
        <f>0.5*Specification!$K$4*Track!B562^2*Specification!$K$3*Specification!$K$2</f>
        <v>93.159842569492653</v>
      </c>
      <c r="E562" s="16">
        <v>-8</v>
      </c>
      <c r="F562" s="17">
        <f>Specification!$C$23*9.81*SIN((E562*PI()/180))</f>
        <v>-765.1893799696079</v>
      </c>
      <c r="G562" s="18">
        <f>IF(J562=1,VLOOKUP(K562,RPM!$E$2:$H$62,3,FALSE)-F562-E562-D562,IF(J562=2,VLOOKUP(K562,RPM!$H$2:$K$62,3,FALSE)-F562-E562-D562,IF(J562=3,VLOOKUP(K562,RPM!$K$2:$N$62,3,FALSE)-F562-E562-D562)))</f>
        <v>1322.7515590078795</v>
      </c>
      <c r="H562" s="19">
        <f>IF(J562=1,Specification!$I$14,IF(J562=2,Specification!$I$15,IF(J562=3,Specification!$I$16)))</f>
        <v>578.93404261974786</v>
      </c>
      <c r="I562" s="16">
        <f t="shared" si="105"/>
        <v>0</v>
      </c>
      <c r="J562" s="17">
        <v>3</v>
      </c>
      <c r="K562" s="16">
        <f>IF(J562=1,VLOOKUP(B562,RPM!$F$2:$H$62,3,TRUE),IF(J562=2,VLOOKUP(B562,RPM!$I$2:$K$62,3,TRUE),IF(J562=3,VLOOKUP(B562,RPM!$L$2:$N$62,3,TRUE))))</f>
        <v>4300</v>
      </c>
      <c r="L562" s="17">
        <f t="shared" si="103"/>
        <v>46.106049039896703</v>
      </c>
      <c r="M562" s="16">
        <f t="shared" si="102"/>
        <v>1.3333328935553708</v>
      </c>
      <c r="N562" s="17">
        <f>VLOOKUP(K562,RPM!$A$2:$D$62,3,FALSE)</f>
        <v>11.4</v>
      </c>
      <c r="O562" s="16">
        <f>VLOOKUP(K562,RPM!$A$2:$D$62,4,FALSE)</f>
        <v>18.894837209302327</v>
      </c>
      <c r="P562" s="17">
        <f t="shared" si="91"/>
        <v>14.089880106976747</v>
      </c>
      <c r="Q562" s="16" cm="1">
        <f t="array" ref="Q562">_xlfn.XLOOKUP(O562,BSFC!$A$2:$A$24,_xlfn.XLOOKUP(K562,BSFC!$B$1:$O$1,BSFC!$B$2:$O$24,,-1),,-1)</f>
        <v>480</v>
      </c>
      <c r="R562" s="17">
        <f t="shared" si="92"/>
        <v>1.8786506809302328</v>
      </c>
      <c r="S562" s="16">
        <f t="shared" si="94"/>
        <v>2.9183485335178652E-4</v>
      </c>
      <c r="T562" s="17">
        <f t="shared" si="98"/>
        <v>0.14008072960885753</v>
      </c>
      <c r="U562" s="16">
        <f t="shared" si="99"/>
        <v>76.168330225894707</v>
      </c>
      <c r="V562" s="17">
        <f t="shared" si="100"/>
        <v>0.16046241871144887</v>
      </c>
      <c r="W562" s="16">
        <f t="shared" si="95"/>
        <v>577664.70736121596</v>
      </c>
      <c r="X562">
        <f>('Hybrid Info'!$A$2-Track!P562)*(L562-L561)*1000+X561</f>
        <v>-23905.817941517769</v>
      </c>
    </row>
    <row r="563" spans="1:24">
      <c r="A563" s="16">
        <f t="shared" si="96"/>
        <v>562</v>
      </c>
      <c r="B563" s="17">
        <f t="shared" si="97"/>
        <v>13.411199999999999</v>
      </c>
      <c r="C563" s="16">
        <f>Specification!$G$29</f>
        <v>164.943378</v>
      </c>
      <c r="D563" s="17">
        <f>0.5*Specification!$K$4*Track!B563^2*Specification!$K$3*Specification!$K$2</f>
        <v>93.159842569492653</v>
      </c>
      <c r="E563" s="16">
        <v>-8</v>
      </c>
      <c r="F563" s="17">
        <f>Specification!$C$23*9.81*SIN((E563*PI()/180))</f>
        <v>-765.1893799696079</v>
      </c>
      <c r="G563" s="18">
        <f>IF(J563=1,VLOOKUP(K563,RPM!$E$2:$H$62,3,FALSE)-F563-E563-D563,IF(J563=2,VLOOKUP(K563,RPM!$H$2:$K$62,3,FALSE)-F563-E563-D563,IF(J563=3,VLOOKUP(K563,RPM!$K$2:$N$62,3,FALSE)-F563-E563-D563)))</f>
        <v>1322.7515590078795</v>
      </c>
      <c r="H563" s="19">
        <f>IF(J563=1,Specification!$I$14,IF(J563=2,Specification!$I$15,IF(J563=3,Specification!$I$16)))</f>
        <v>578.93404261974786</v>
      </c>
      <c r="I563" s="16">
        <f t="shared" si="105"/>
        <v>0</v>
      </c>
      <c r="J563" s="17">
        <v>3</v>
      </c>
      <c r="K563" s="16">
        <f>IF(J563=1,VLOOKUP(B563,RPM!$F$2:$H$62,3,TRUE),IF(J563=2,VLOOKUP(B563,RPM!$I$2:$K$62,3,TRUE),IF(J563=3,VLOOKUP(B563,RPM!$L$2:$N$62,3,TRUE))))</f>
        <v>4300</v>
      </c>
      <c r="L563" s="17">
        <f t="shared" si="103"/>
        <v>46.180613582965186</v>
      </c>
      <c r="M563" s="16">
        <f t="shared" si="102"/>
        <v>1.1927920588529792</v>
      </c>
      <c r="N563" s="17">
        <f>VLOOKUP(K563,RPM!$A$2:$D$62,3,FALSE)</f>
        <v>11.4</v>
      </c>
      <c r="O563" s="16">
        <f>VLOOKUP(K563,RPM!$A$2:$D$62,4,FALSE)</f>
        <v>18.894837209302327</v>
      </c>
      <c r="P563" s="17">
        <f t="shared" si="91"/>
        <v>14.089880106976747</v>
      </c>
      <c r="Q563" s="16" cm="1">
        <f t="array" ref="Q563">_xlfn.XLOOKUP(O563,BSFC!$A$2:$A$24,_xlfn.XLOOKUP(K563,BSFC!$B$1:$O$1,BSFC!$B$2:$O$24,,-1),,-1)</f>
        <v>480</v>
      </c>
      <c r="R563" s="17">
        <f t="shared" si="92"/>
        <v>1.8786506809302328</v>
      </c>
      <c r="S563" s="16">
        <f t="shared" si="94"/>
        <v>2.9183485335178652E-4</v>
      </c>
      <c r="T563" s="17">
        <f t="shared" si="98"/>
        <v>0.14008072960885753</v>
      </c>
      <c r="U563" s="16">
        <f t="shared" si="99"/>
        <v>76.308410955503561</v>
      </c>
      <c r="V563" s="17">
        <f t="shared" si="100"/>
        <v>0.16075425356480066</v>
      </c>
      <c r="W563" s="16">
        <f t="shared" si="95"/>
        <v>578715.3128332824</v>
      </c>
      <c r="X563">
        <f>('Hybrid Info'!$A$2-Track!P563)*(L563-L562)*1000+X562</f>
        <v>-24052.667254867185</v>
      </c>
    </row>
    <row r="564" spans="1:24">
      <c r="A564" s="16">
        <f t="shared" si="96"/>
        <v>563</v>
      </c>
      <c r="B564" s="17">
        <f t="shared" si="97"/>
        <v>13.411199999999999</v>
      </c>
      <c r="C564" s="16">
        <f>Specification!$G$29</f>
        <v>164.943378</v>
      </c>
      <c r="D564" s="17">
        <f>0.5*Specification!$K$4*Track!B564^2*Specification!$K$3*Specification!$K$2</f>
        <v>93.159842569492653</v>
      </c>
      <c r="E564" s="16">
        <v>-8</v>
      </c>
      <c r="F564" s="17">
        <f>Specification!$C$23*9.81*SIN((E564*PI()/180))</f>
        <v>-765.1893799696079</v>
      </c>
      <c r="G564" s="18">
        <f>IF(J564=1,VLOOKUP(K564,RPM!$E$2:$H$62,3,FALSE)-F564-E564-D564,IF(J564=2,VLOOKUP(K564,RPM!$H$2:$K$62,3,FALSE)-F564-E564-D564,IF(J564=3,VLOOKUP(K564,RPM!$K$2:$N$62,3,FALSE)-F564-E564-D564)))</f>
        <v>1322.7515590078795</v>
      </c>
      <c r="H564" s="19">
        <f>IF(J564=1,Specification!$I$14,IF(J564=2,Specification!$I$15,IF(J564=3,Specification!$I$16)))</f>
        <v>578.93404261974786</v>
      </c>
      <c r="I564" s="16">
        <f t="shared" si="105"/>
        <v>0</v>
      </c>
      <c r="J564" s="17">
        <v>3</v>
      </c>
      <c r="K564" s="16">
        <f>IF(J564=1,VLOOKUP(B564,RPM!$F$2:$H$62,3,TRUE),IF(J564=2,VLOOKUP(B564,RPM!$I$2:$K$62,3,TRUE),IF(J564=3,VLOOKUP(B564,RPM!$L$2:$N$62,3,TRUE))))</f>
        <v>4300</v>
      </c>
      <c r="L564" s="17">
        <f t="shared" si="103"/>
        <v>46.25517812603367</v>
      </c>
      <c r="M564" s="16">
        <f t="shared" si="102"/>
        <v>1.0522512241505877</v>
      </c>
      <c r="N564" s="17">
        <f>VLOOKUP(K564,RPM!$A$2:$D$62,3,FALSE)</f>
        <v>11.4</v>
      </c>
      <c r="O564" s="16">
        <f>VLOOKUP(K564,RPM!$A$2:$D$62,4,FALSE)</f>
        <v>18.894837209302327</v>
      </c>
      <c r="P564" s="17">
        <f t="shared" si="91"/>
        <v>14.089880106976747</v>
      </c>
      <c r="Q564" s="16" cm="1">
        <f t="array" ref="Q564">_xlfn.XLOOKUP(O564,BSFC!$A$2:$A$24,_xlfn.XLOOKUP(K564,BSFC!$B$1:$O$1,BSFC!$B$2:$O$24,,-1),,-1)</f>
        <v>480</v>
      </c>
      <c r="R564" s="17">
        <f t="shared" si="92"/>
        <v>1.8786506809302328</v>
      </c>
      <c r="S564" s="16">
        <f t="shared" si="94"/>
        <v>2.9183485335178652E-4</v>
      </c>
      <c r="T564" s="17">
        <f t="shared" si="98"/>
        <v>0.14008072960885753</v>
      </c>
      <c r="U564" s="16">
        <f t="shared" si="99"/>
        <v>76.448491685112415</v>
      </c>
      <c r="V564" s="17">
        <f t="shared" si="100"/>
        <v>0.16104608841815246</v>
      </c>
      <c r="W564" s="16">
        <f t="shared" si="95"/>
        <v>579765.91830534884</v>
      </c>
      <c r="X564">
        <f>('Hybrid Info'!$A$2-Track!P564)*(L564-L563)*1000+X563</f>
        <v>-24199.516568216601</v>
      </c>
    </row>
    <row r="565" spans="1:24">
      <c r="A565" s="16">
        <f t="shared" si="96"/>
        <v>564</v>
      </c>
      <c r="B565" s="17">
        <f t="shared" si="97"/>
        <v>13.411199999999999</v>
      </c>
      <c r="C565" s="16">
        <f>Specification!$G$29</f>
        <v>164.943378</v>
      </c>
      <c r="D565" s="17">
        <f>0.5*Specification!$K$4*Track!B565^2*Specification!$K$3*Specification!$K$2</f>
        <v>93.159842569492653</v>
      </c>
      <c r="E565" s="16">
        <v>-8</v>
      </c>
      <c r="F565" s="17">
        <f>Specification!$C$23*9.81*SIN((E565*PI()/180))</f>
        <v>-765.1893799696079</v>
      </c>
      <c r="G565" s="18">
        <f>IF(J565=1,VLOOKUP(K565,RPM!$E$2:$H$62,3,FALSE)-F565-E565-D565,IF(J565=2,VLOOKUP(K565,RPM!$H$2:$K$62,3,FALSE)-F565-E565-D565,IF(J565=3,VLOOKUP(K565,RPM!$K$2:$N$62,3,FALSE)-F565-E565-D565)))</f>
        <v>1322.7515590078795</v>
      </c>
      <c r="H565" s="19">
        <f>IF(J565=1,Specification!$I$14,IF(J565=2,Specification!$I$15,IF(J565=3,Specification!$I$16)))</f>
        <v>578.93404261974786</v>
      </c>
      <c r="I565" s="16">
        <f t="shared" si="105"/>
        <v>0</v>
      </c>
      <c r="J565" s="17">
        <v>3</v>
      </c>
      <c r="K565" s="16">
        <f>IF(J565=1,VLOOKUP(B565,RPM!$F$2:$H$62,3,TRUE),IF(J565=2,VLOOKUP(B565,RPM!$I$2:$K$62,3,TRUE),IF(J565=3,VLOOKUP(B565,RPM!$L$2:$N$62,3,TRUE))))</f>
        <v>4300</v>
      </c>
      <c r="L565" s="17">
        <f t="shared" si="103"/>
        <v>46.329742669102153</v>
      </c>
      <c r="M565" s="16">
        <f t="shared" si="102"/>
        <v>0.91171038944819627</v>
      </c>
      <c r="N565" s="17">
        <f>VLOOKUP(K565,RPM!$A$2:$D$62,3,FALSE)</f>
        <v>11.4</v>
      </c>
      <c r="O565" s="16">
        <f>VLOOKUP(K565,RPM!$A$2:$D$62,4,FALSE)</f>
        <v>18.894837209302327</v>
      </c>
      <c r="P565" s="17">
        <f t="shared" si="91"/>
        <v>14.089880106976747</v>
      </c>
      <c r="Q565" s="16" cm="1">
        <f t="array" ref="Q565">_xlfn.XLOOKUP(O565,BSFC!$A$2:$A$24,_xlfn.XLOOKUP(K565,BSFC!$B$1:$O$1,BSFC!$B$2:$O$24,,-1),,-1)</f>
        <v>480</v>
      </c>
      <c r="R565" s="17">
        <f t="shared" si="92"/>
        <v>1.8786506809302328</v>
      </c>
      <c r="S565" s="16">
        <f t="shared" si="94"/>
        <v>2.9183485335178652E-4</v>
      </c>
      <c r="T565" s="17">
        <f t="shared" si="98"/>
        <v>0.14008072960885753</v>
      </c>
      <c r="U565" s="16">
        <f t="shared" si="99"/>
        <v>76.58857241472127</v>
      </c>
      <c r="V565" s="17">
        <f t="shared" si="100"/>
        <v>0.16133792327150426</v>
      </c>
      <c r="W565" s="16">
        <f t="shared" si="95"/>
        <v>580816.52377741528</v>
      </c>
      <c r="X565">
        <f>('Hybrid Info'!$A$2-Track!P565)*(L565-L564)*1000+X564</f>
        <v>-24346.365881566016</v>
      </c>
    </row>
    <row r="566" spans="1:24">
      <c r="A566" s="16">
        <f t="shared" si="96"/>
        <v>565</v>
      </c>
      <c r="B566" s="17">
        <f t="shared" si="97"/>
        <v>13.411199999999999</v>
      </c>
      <c r="C566" s="16">
        <f>Specification!$G$29</f>
        <v>164.943378</v>
      </c>
      <c r="D566" s="17">
        <f>0.5*Specification!$K$4*Track!B566^2*Specification!$K$3*Specification!$K$2</f>
        <v>93.159842569492653</v>
      </c>
      <c r="E566" s="16">
        <v>-8</v>
      </c>
      <c r="F566" s="17">
        <f>Specification!$C$23*9.81*SIN((E566*PI()/180))</f>
        <v>-765.1893799696079</v>
      </c>
      <c r="G566" s="18">
        <f>IF(J566=1,VLOOKUP(K566,RPM!$E$2:$H$62,3,FALSE)-F566-E566-D566,IF(J566=2,VLOOKUP(K566,RPM!$H$2:$K$62,3,FALSE)-F566-E566-D566,IF(J566=3,VLOOKUP(K566,RPM!$K$2:$N$62,3,FALSE)-F566-E566-D566)))</f>
        <v>1322.7515590078795</v>
      </c>
      <c r="H566" s="19">
        <f>IF(J566=1,Specification!$I$14,IF(J566=2,Specification!$I$15,IF(J566=3,Specification!$I$16)))</f>
        <v>578.93404261974786</v>
      </c>
      <c r="I566" s="16">
        <f t="shared" si="105"/>
        <v>0</v>
      </c>
      <c r="J566" s="17">
        <v>3</v>
      </c>
      <c r="K566" s="16">
        <f>IF(J566=1,VLOOKUP(B566,RPM!$F$2:$H$62,3,TRUE),IF(J566=2,VLOOKUP(B566,RPM!$I$2:$K$62,3,TRUE),IF(J566=3,VLOOKUP(B566,RPM!$L$2:$N$62,3,TRUE))))</f>
        <v>4300</v>
      </c>
      <c r="L566" s="17">
        <f t="shared" si="103"/>
        <v>46.404307212170636</v>
      </c>
      <c r="M566" s="16">
        <f t="shared" si="102"/>
        <v>0.77116955474580484</v>
      </c>
      <c r="N566" s="17">
        <f>VLOOKUP(K566,RPM!$A$2:$D$62,3,FALSE)</f>
        <v>11.4</v>
      </c>
      <c r="O566" s="16">
        <f>VLOOKUP(K566,RPM!$A$2:$D$62,4,FALSE)</f>
        <v>18.894837209302327</v>
      </c>
      <c r="P566" s="17">
        <f t="shared" si="91"/>
        <v>14.089880106976747</v>
      </c>
      <c r="Q566" s="16" cm="1">
        <f t="array" ref="Q566">_xlfn.XLOOKUP(O566,BSFC!$A$2:$A$24,_xlfn.XLOOKUP(K566,BSFC!$B$1:$O$1,BSFC!$B$2:$O$24,,-1),,-1)</f>
        <v>480</v>
      </c>
      <c r="R566" s="17">
        <f t="shared" si="92"/>
        <v>1.8786506809302328</v>
      </c>
      <c r="S566" s="16">
        <f t="shared" si="94"/>
        <v>2.9183485335178652E-4</v>
      </c>
      <c r="T566" s="17">
        <f t="shared" si="98"/>
        <v>0.14008072960885753</v>
      </c>
      <c r="U566" s="16">
        <f t="shared" si="99"/>
        <v>76.728653144330124</v>
      </c>
      <c r="V566" s="17">
        <f t="shared" si="100"/>
        <v>0.16162975812485605</v>
      </c>
      <c r="W566" s="16">
        <f t="shared" si="95"/>
        <v>581867.12924948183</v>
      </c>
      <c r="X566">
        <f>('Hybrid Info'!$A$2-Track!P566)*(L566-L565)*1000+X565</f>
        <v>-24493.215194915432</v>
      </c>
    </row>
    <row r="567" spans="1:24">
      <c r="A567" s="16">
        <f t="shared" si="96"/>
        <v>566</v>
      </c>
      <c r="B567" s="17">
        <f t="shared" si="97"/>
        <v>13.411199999999999</v>
      </c>
      <c r="C567" s="16">
        <f>Specification!$G$29</f>
        <v>164.943378</v>
      </c>
      <c r="D567" s="17">
        <f>0.5*Specification!$K$4*Track!B567^2*Specification!$K$3*Specification!$K$2</f>
        <v>93.159842569492653</v>
      </c>
      <c r="E567" s="16">
        <v>-8</v>
      </c>
      <c r="F567" s="17">
        <f>Specification!$C$23*9.81*SIN((E567*PI()/180))</f>
        <v>-765.1893799696079</v>
      </c>
      <c r="G567" s="18">
        <f>IF(J567=1,VLOOKUP(K567,RPM!$E$2:$H$62,3,FALSE)-F567-E567-D567,IF(J567=2,VLOOKUP(K567,RPM!$H$2:$K$62,3,FALSE)-F567-E567-D567,IF(J567=3,VLOOKUP(K567,RPM!$K$2:$N$62,3,FALSE)-F567-E567-D567)))</f>
        <v>1322.7515590078795</v>
      </c>
      <c r="H567" s="19">
        <f>IF(J567=1,Specification!$I$14,IF(J567=2,Specification!$I$15,IF(J567=3,Specification!$I$16)))</f>
        <v>578.93404261974786</v>
      </c>
      <c r="I567" s="16">
        <f t="shared" si="105"/>
        <v>0</v>
      </c>
      <c r="J567" s="17">
        <v>3</v>
      </c>
      <c r="K567" s="16">
        <f>IF(J567=1,VLOOKUP(B567,RPM!$F$2:$H$62,3,TRUE),IF(J567=2,VLOOKUP(B567,RPM!$I$2:$K$62,3,TRUE),IF(J567=3,VLOOKUP(B567,RPM!$L$2:$N$62,3,TRUE))))</f>
        <v>4300</v>
      </c>
      <c r="L567" s="17">
        <f t="shared" si="103"/>
        <v>46.478871755239119</v>
      </c>
      <c r="M567" s="16">
        <f t="shared" si="102"/>
        <v>0.63062872004341342</v>
      </c>
      <c r="N567" s="17">
        <f>VLOOKUP(K567,RPM!$A$2:$D$62,3,FALSE)</f>
        <v>11.4</v>
      </c>
      <c r="O567" s="16">
        <f>VLOOKUP(K567,RPM!$A$2:$D$62,4,FALSE)</f>
        <v>18.894837209302327</v>
      </c>
      <c r="P567" s="17">
        <f t="shared" si="91"/>
        <v>14.089880106976747</v>
      </c>
      <c r="Q567" s="16" cm="1">
        <f t="array" ref="Q567">_xlfn.XLOOKUP(O567,BSFC!$A$2:$A$24,_xlfn.XLOOKUP(K567,BSFC!$B$1:$O$1,BSFC!$B$2:$O$24,,-1),,-1)</f>
        <v>480</v>
      </c>
      <c r="R567" s="17">
        <f t="shared" si="92"/>
        <v>1.8786506809302328</v>
      </c>
      <c r="S567" s="16">
        <f t="shared" si="94"/>
        <v>2.9183485335178652E-4</v>
      </c>
      <c r="T567" s="17">
        <f t="shared" si="98"/>
        <v>0.14008072960885753</v>
      </c>
      <c r="U567" s="16">
        <f t="shared" si="99"/>
        <v>76.868733873938979</v>
      </c>
      <c r="V567" s="17">
        <f t="shared" si="100"/>
        <v>0.16192159297820785</v>
      </c>
      <c r="W567" s="16">
        <f t="shared" si="95"/>
        <v>582917.73472154827</v>
      </c>
      <c r="X567">
        <f>('Hybrid Info'!$A$2-Track!P567)*(L567-L566)*1000+X566</f>
        <v>-24640.064508264848</v>
      </c>
    </row>
    <row r="568" spans="1:24">
      <c r="A568" s="16">
        <f t="shared" si="96"/>
        <v>567</v>
      </c>
      <c r="B568" s="17">
        <f t="shared" si="97"/>
        <v>13.411199999999999</v>
      </c>
      <c r="C568" s="16">
        <f>Specification!$G$29</f>
        <v>164.943378</v>
      </c>
      <c r="D568" s="17">
        <f>0.5*Specification!$K$4*Track!B568^2*Specification!$K$3*Specification!$K$2</f>
        <v>93.159842569492653</v>
      </c>
      <c r="E568" s="16">
        <v>-8</v>
      </c>
      <c r="F568" s="17">
        <f>Specification!$C$23*9.81*SIN((E568*PI()/180))</f>
        <v>-765.1893799696079</v>
      </c>
      <c r="G568" s="18">
        <f>IF(J568=1,VLOOKUP(K568,RPM!$E$2:$H$62,3,FALSE)-F568-E568-D568,IF(J568=2,VLOOKUP(K568,RPM!$H$2:$K$62,3,FALSE)-F568-E568-D568,IF(J568=3,VLOOKUP(K568,RPM!$K$2:$N$62,3,FALSE)-F568-E568-D568)))</f>
        <v>1322.7515590078795</v>
      </c>
      <c r="H568" s="19">
        <f>IF(J568=1,Specification!$I$14,IF(J568=2,Specification!$I$15,IF(J568=3,Specification!$I$16)))</f>
        <v>578.93404261974786</v>
      </c>
      <c r="I568" s="16">
        <f t="shared" si="105"/>
        <v>0</v>
      </c>
      <c r="J568" s="17">
        <v>3</v>
      </c>
      <c r="K568" s="16">
        <f>IF(J568=1,VLOOKUP(B568,RPM!$F$2:$H$62,3,TRUE),IF(J568=2,VLOOKUP(B568,RPM!$I$2:$K$62,3,TRUE),IF(J568=3,VLOOKUP(B568,RPM!$L$2:$N$62,3,TRUE))))</f>
        <v>4300</v>
      </c>
      <c r="L568" s="17">
        <f t="shared" si="103"/>
        <v>46.553436298307602</v>
      </c>
      <c r="M568" s="16">
        <f t="shared" si="102"/>
        <v>0.49008788534102199</v>
      </c>
      <c r="N568" s="17">
        <f>VLOOKUP(K568,RPM!$A$2:$D$62,3,FALSE)</f>
        <v>11.4</v>
      </c>
      <c r="O568" s="16">
        <f>VLOOKUP(K568,RPM!$A$2:$D$62,4,FALSE)</f>
        <v>18.894837209302327</v>
      </c>
      <c r="P568" s="17">
        <f t="shared" si="91"/>
        <v>14.089880106976747</v>
      </c>
      <c r="Q568" s="16" cm="1">
        <f t="array" ref="Q568">_xlfn.XLOOKUP(O568,BSFC!$A$2:$A$24,_xlfn.XLOOKUP(K568,BSFC!$B$1:$O$1,BSFC!$B$2:$O$24,,-1),,-1)</f>
        <v>480</v>
      </c>
      <c r="R568" s="17">
        <f t="shared" si="92"/>
        <v>1.8786506809302328</v>
      </c>
      <c r="S568" s="16">
        <f t="shared" si="94"/>
        <v>2.9183485335178652E-4</v>
      </c>
      <c r="T568" s="17">
        <f t="shared" si="98"/>
        <v>0.14008072960885753</v>
      </c>
      <c r="U568" s="16">
        <f t="shared" si="99"/>
        <v>77.008814603547833</v>
      </c>
      <c r="V568" s="17">
        <f t="shared" si="100"/>
        <v>0.16221342783155965</v>
      </c>
      <c r="W568" s="16">
        <f t="shared" si="95"/>
        <v>583968.34019361471</v>
      </c>
      <c r="X568">
        <f>('Hybrid Info'!$A$2-Track!P568)*(L568-L567)*1000+X567</f>
        <v>-24786.913821614264</v>
      </c>
    </row>
    <row r="569" spans="1:24">
      <c r="A569" s="16">
        <f t="shared" si="96"/>
        <v>568</v>
      </c>
      <c r="B569" s="17">
        <f t="shared" si="97"/>
        <v>13.411199999999999</v>
      </c>
      <c r="C569" s="16">
        <f>Specification!$G$29</f>
        <v>164.943378</v>
      </c>
      <c r="D569" s="17">
        <f>0.5*Specification!$K$4*Track!B569^2*Specification!$K$3*Specification!$K$2</f>
        <v>93.159842569492653</v>
      </c>
      <c r="E569" s="16">
        <v>-7</v>
      </c>
      <c r="F569" s="17">
        <f>Specification!$C$23*9.81*SIN((E569*PI()/180))</f>
        <v>-670.05137252956831</v>
      </c>
      <c r="G569" s="18">
        <f>IF(J569=1,VLOOKUP(K569,RPM!$E$2:$H$62,3,FALSE)-F569-E569-D569,IF(J569=2,VLOOKUP(K569,RPM!$H$2:$K$62,3,FALSE)-F569-E569-D569,IF(J569=3,VLOOKUP(K569,RPM!$K$2:$N$62,3,FALSE)-F569-E569-D569)))</f>
        <v>1226.61355156784</v>
      </c>
      <c r="H569" s="19">
        <f>IF(J569=1,Specification!$I$14,IF(J569=2,Specification!$I$15,IF(J569=3,Specification!$I$16)))</f>
        <v>578.93404261974786</v>
      </c>
      <c r="I569" s="16">
        <f t="shared" si="105"/>
        <v>0</v>
      </c>
      <c r="J569" s="17">
        <v>3</v>
      </c>
      <c r="K569" s="16">
        <f>IF(J569=1,VLOOKUP(B569,RPM!$F$2:$H$62,3,TRUE),IF(J569=2,VLOOKUP(B569,RPM!$I$2:$K$62,3,TRUE),IF(J569=3,VLOOKUP(B569,RPM!$L$2:$N$62,3,TRUE))))</f>
        <v>4300</v>
      </c>
      <c r="L569" s="17">
        <f t="shared" si="103"/>
        <v>46.628000841376085</v>
      </c>
      <c r="M569" s="16">
        <f t="shared" si="102"/>
        <v>0.36730332443811742</v>
      </c>
      <c r="N569" s="17">
        <f>VLOOKUP(K569,RPM!$A$2:$D$62,3,FALSE)</f>
        <v>11.4</v>
      </c>
      <c r="O569" s="16">
        <f>VLOOKUP(K569,RPM!$A$2:$D$62,4,FALSE)</f>
        <v>18.894837209302327</v>
      </c>
      <c r="P569" s="17">
        <f t="shared" si="91"/>
        <v>14.089880106976747</v>
      </c>
      <c r="Q569" s="16" cm="1">
        <f t="array" ref="Q569">_xlfn.XLOOKUP(O569,BSFC!$A$2:$A$24,_xlfn.XLOOKUP(K569,BSFC!$B$1:$O$1,BSFC!$B$2:$O$24,,-1),,-1)</f>
        <v>480</v>
      </c>
      <c r="R569" s="17">
        <f t="shared" si="92"/>
        <v>1.8786506809302328</v>
      </c>
      <c r="S569" s="16">
        <f t="shared" si="94"/>
        <v>2.9183485335178652E-4</v>
      </c>
      <c r="T569" s="17">
        <f t="shared" si="98"/>
        <v>0.14008072960885753</v>
      </c>
      <c r="U569" s="16">
        <f t="shared" si="99"/>
        <v>77.148895333156688</v>
      </c>
      <c r="V569" s="17">
        <f t="shared" si="100"/>
        <v>0.16250526268491144</v>
      </c>
      <c r="W569" s="16">
        <f t="shared" si="95"/>
        <v>585018.94566568127</v>
      </c>
      <c r="X569">
        <f>('Hybrid Info'!$A$2-Track!P569)*(L569-L568)*1000+X568</f>
        <v>-24933.763134963679</v>
      </c>
    </row>
    <row r="570" spans="1:24">
      <c r="A570" s="16">
        <f t="shared" si="96"/>
        <v>569</v>
      </c>
      <c r="B570" s="17">
        <f t="shared" si="97"/>
        <v>13.411199999999999</v>
      </c>
      <c r="C570" s="16">
        <f>Specification!$G$29</f>
        <v>164.943378</v>
      </c>
      <c r="D570" s="17">
        <f>0.5*Specification!$K$4*Track!B570^2*Specification!$K$3*Specification!$K$2</f>
        <v>93.159842569492653</v>
      </c>
      <c r="E570" s="16">
        <v>-6</v>
      </c>
      <c r="F570" s="17">
        <f>Specification!$C$23*9.81*SIN((E570*PI()/180))</f>
        <v>-574.70926095052266</v>
      </c>
      <c r="G570" s="18">
        <f>IF(J570=1,VLOOKUP(K570,RPM!$E$2:$H$62,3,FALSE)-F570-E570-D570,IF(J570=2,VLOOKUP(K570,RPM!$H$2:$K$62,3,FALSE)-F570-E570-D570,IF(J570=3,VLOOKUP(K570,RPM!$K$2:$N$62,3,FALSE)-F570-E570-D570)))</f>
        <v>1130.2714399887943</v>
      </c>
      <c r="H570" s="19">
        <f>IF(J570=1,Specification!$I$14,IF(J570=2,Specification!$I$15,IF(J570=3,Specification!$I$16)))</f>
        <v>578.93404261974786</v>
      </c>
      <c r="I570" s="16">
        <f t="shared" si="105"/>
        <v>0</v>
      </c>
      <c r="J570" s="17">
        <v>3</v>
      </c>
      <c r="K570" s="16">
        <f>IF(J570=1,VLOOKUP(B570,RPM!$F$2:$H$62,3,TRUE),IF(J570=2,VLOOKUP(B570,RPM!$I$2:$K$62,3,TRUE),IF(J570=3,VLOOKUP(B570,RPM!$L$2:$N$62,3,TRUE))))</f>
        <v>4300</v>
      </c>
      <c r="L570" s="17">
        <f t="shared" si="103"/>
        <v>46.702565384444569</v>
      </c>
      <c r="M570" s="16">
        <f t="shared" si="102"/>
        <v>0.26219908917244095</v>
      </c>
      <c r="N570" s="17">
        <f>VLOOKUP(K570,RPM!$A$2:$D$62,3,FALSE)</f>
        <v>11.4</v>
      </c>
      <c r="O570" s="16">
        <f>VLOOKUP(K570,RPM!$A$2:$D$62,4,FALSE)</f>
        <v>18.894837209302327</v>
      </c>
      <c r="P570" s="17">
        <f t="shared" si="91"/>
        <v>14.089880106976747</v>
      </c>
      <c r="Q570" s="16" cm="1">
        <f t="array" ref="Q570">_xlfn.XLOOKUP(O570,BSFC!$A$2:$A$24,_xlfn.XLOOKUP(K570,BSFC!$B$1:$O$1,BSFC!$B$2:$O$24,,-1),,-1)</f>
        <v>480</v>
      </c>
      <c r="R570" s="17">
        <f t="shared" si="92"/>
        <v>1.8786506809302328</v>
      </c>
      <c r="S570" s="16">
        <f t="shared" si="94"/>
        <v>2.9183485335178652E-4</v>
      </c>
      <c r="T570" s="17">
        <f t="shared" si="98"/>
        <v>0.14008072960885753</v>
      </c>
      <c r="U570" s="16">
        <f t="shared" si="99"/>
        <v>77.288976062765542</v>
      </c>
      <c r="V570" s="17">
        <f t="shared" si="100"/>
        <v>0.16279709753826324</v>
      </c>
      <c r="W570" s="16">
        <f t="shared" si="95"/>
        <v>586069.55113774771</v>
      </c>
      <c r="X570">
        <f>('Hybrid Info'!$A$2-Track!P570)*(L570-L569)*1000+X569</f>
        <v>-25080.612448313095</v>
      </c>
    </row>
    <row r="571" spans="1:24">
      <c r="A571" s="16">
        <f t="shared" si="96"/>
        <v>570</v>
      </c>
      <c r="B571" s="17">
        <f t="shared" si="97"/>
        <v>13.411199999999999</v>
      </c>
      <c r="C571" s="16">
        <f>Specification!$G$29</f>
        <v>164.943378</v>
      </c>
      <c r="D571" s="17">
        <f>0.5*Specification!$K$4*Track!B571^2*Specification!$K$3*Specification!$K$2</f>
        <v>93.159842569492653</v>
      </c>
      <c r="E571" s="16">
        <v>-5</v>
      </c>
      <c r="F571" s="17">
        <f>Specification!$C$23*9.81*SIN((E571*PI()/180))</f>
        <v>-479.192087363258</v>
      </c>
      <c r="G571" s="18">
        <f>IF(J571=1,VLOOKUP(K571,RPM!$E$2:$H$62,3,FALSE)-F571-E571-D571,IF(J571=2,VLOOKUP(K571,RPM!$H$2:$K$62,3,FALSE)-F571-E571-D571,IF(J571=3,VLOOKUP(K571,RPM!$K$2:$N$62,3,FALSE)-F571-E571-D571)))</f>
        <v>1033.7542664015295</v>
      </c>
      <c r="H571" s="19">
        <f>IF(J571=1,Specification!$I$14,IF(J571=2,Specification!$I$15,IF(J571=3,Specification!$I$16)))</f>
        <v>578.93404261974786</v>
      </c>
      <c r="I571" s="16">
        <f t="shared" si="105"/>
        <v>0</v>
      </c>
      <c r="J571" s="17">
        <v>3</v>
      </c>
      <c r="K571" s="16">
        <f>IF(J571=1,VLOOKUP(B571,RPM!$F$2:$H$62,3,TRUE),IF(J571=2,VLOOKUP(B571,RPM!$I$2:$K$62,3,TRUE),IF(J571=3,VLOOKUP(B571,RPM!$L$2:$N$62,3,TRUE))))</f>
        <v>4300</v>
      </c>
      <c r="L571" s="17">
        <f t="shared" si="103"/>
        <v>46.777129927513052</v>
      </c>
      <c r="M571" s="16">
        <f t="shared" si="102"/>
        <v>0.17471042564651695</v>
      </c>
      <c r="N571" s="17">
        <f>VLOOKUP(K571,RPM!$A$2:$D$62,3,FALSE)</f>
        <v>11.4</v>
      </c>
      <c r="O571" s="16">
        <f>VLOOKUP(K571,RPM!$A$2:$D$62,4,FALSE)</f>
        <v>18.894837209302327</v>
      </c>
      <c r="P571" s="17">
        <f t="shared" si="91"/>
        <v>14.089880106976747</v>
      </c>
      <c r="Q571" s="16" cm="1">
        <f t="array" ref="Q571">_xlfn.XLOOKUP(O571,BSFC!$A$2:$A$24,_xlfn.XLOOKUP(K571,BSFC!$B$1:$O$1,BSFC!$B$2:$O$24,,-1),,-1)</f>
        <v>480</v>
      </c>
      <c r="R571" s="17">
        <f t="shared" si="92"/>
        <v>1.8786506809302328</v>
      </c>
      <c r="S571" s="16">
        <f t="shared" si="94"/>
        <v>2.9183485335178652E-4</v>
      </c>
      <c r="T571" s="17">
        <f t="shared" si="98"/>
        <v>0.14008072960885753</v>
      </c>
      <c r="U571" s="16">
        <f t="shared" si="99"/>
        <v>77.429056792374396</v>
      </c>
      <c r="V571" s="17">
        <f t="shared" si="100"/>
        <v>0.16308893239161504</v>
      </c>
      <c r="W571" s="16">
        <f t="shared" si="95"/>
        <v>587120.15660981415</v>
      </c>
      <c r="X571">
        <f>('Hybrid Info'!$A$2-Track!P571)*(L571-L570)*1000+X570</f>
        <v>-25227.461761662511</v>
      </c>
    </row>
    <row r="572" spans="1:24">
      <c r="A572" s="16">
        <f t="shared" si="96"/>
        <v>571</v>
      </c>
      <c r="B572" s="17">
        <f t="shared" si="97"/>
        <v>13.411199999999999</v>
      </c>
      <c r="C572" s="16">
        <f>Specification!$G$29</f>
        <v>164.943378</v>
      </c>
      <c r="D572" s="17">
        <f>0.5*Specification!$K$4*Track!B572^2*Specification!$K$3*Specification!$K$2</f>
        <v>93.159842569492653</v>
      </c>
      <c r="E572" s="16">
        <v>-4</v>
      </c>
      <c r="F572" s="17">
        <f>Specification!$C$23*9.81*SIN((E572*PI()/180))</f>
        <v>-383.52894722414453</v>
      </c>
      <c r="G572" s="18">
        <f>IF(J572=1,VLOOKUP(K572,RPM!$E$2:$H$62,3,FALSE)-F572-E572-D572,IF(J572=2,VLOOKUP(K572,RPM!$H$2:$K$62,3,FALSE)-F572-E572-D572,IF(J572=3,VLOOKUP(K572,RPM!$K$2:$N$62,3,FALSE)-F572-E572-D572)))</f>
        <v>937.09112626241608</v>
      </c>
      <c r="H572" s="19">
        <f>IF(J572=1,Specification!$I$14,IF(J572=2,Specification!$I$15,IF(J572=3,Specification!$I$16)))</f>
        <v>578.93404261974786</v>
      </c>
      <c r="I572" s="16">
        <f t="shared" si="105"/>
        <v>0</v>
      </c>
      <c r="J572" s="17">
        <v>3</v>
      </c>
      <c r="K572" s="16">
        <f>IF(J572=1,VLOOKUP(B572,RPM!$F$2:$H$62,3,TRUE),IF(J572=2,VLOOKUP(B572,RPM!$I$2:$K$62,3,TRUE),IF(J572=3,VLOOKUP(B572,RPM!$L$2:$N$62,3,TRUE))))</f>
        <v>4300</v>
      </c>
      <c r="L572" s="17">
        <f t="shared" si="103"/>
        <v>46.851694470581535</v>
      </c>
      <c r="M572" s="16">
        <f t="shared" si="102"/>
        <v>0.10478361370300654</v>
      </c>
      <c r="N572" s="17">
        <f>VLOOKUP(K572,RPM!$A$2:$D$62,3,FALSE)</f>
        <v>11.4</v>
      </c>
      <c r="O572" s="16">
        <f>VLOOKUP(K572,RPM!$A$2:$D$62,4,FALSE)</f>
        <v>18.894837209302327</v>
      </c>
      <c r="P572" s="17">
        <f t="shared" si="91"/>
        <v>14.089880106976747</v>
      </c>
      <c r="Q572" s="16" cm="1">
        <f t="array" ref="Q572">_xlfn.XLOOKUP(O572,BSFC!$A$2:$A$24,_xlfn.XLOOKUP(K572,BSFC!$B$1:$O$1,BSFC!$B$2:$O$24,,-1),,-1)</f>
        <v>480</v>
      </c>
      <c r="R572" s="17">
        <f t="shared" si="92"/>
        <v>1.8786506809302328</v>
      </c>
      <c r="S572" s="16">
        <f t="shared" si="94"/>
        <v>2.9183485335178652E-4</v>
      </c>
      <c r="T572" s="17">
        <f t="shared" si="98"/>
        <v>0.14008072960885753</v>
      </c>
      <c r="U572" s="16">
        <f t="shared" si="99"/>
        <v>77.569137521983251</v>
      </c>
      <c r="V572" s="17">
        <f t="shared" si="100"/>
        <v>0.16338076724496683</v>
      </c>
      <c r="W572" s="16">
        <f t="shared" si="95"/>
        <v>588170.7620818807</v>
      </c>
      <c r="X572">
        <f>('Hybrid Info'!$A$2-Track!P572)*(L572-L571)*1000+X571</f>
        <v>-25374.311075011927</v>
      </c>
    </row>
    <row r="573" spans="1:24">
      <c r="A573" s="16">
        <f t="shared" si="96"/>
        <v>572</v>
      </c>
      <c r="B573" s="17">
        <f t="shared" si="97"/>
        <v>13.411199999999999</v>
      </c>
      <c r="C573" s="16">
        <f>Specification!$G$29</f>
        <v>164.943378</v>
      </c>
      <c r="D573" s="17">
        <f>0.5*Specification!$K$4*Track!B573^2*Specification!$K$3*Specification!$K$2</f>
        <v>93.159842569492653</v>
      </c>
      <c r="E573" s="16">
        <v>-3</v>
      </c>
      <c r="F573" s="17">
        <f>Specification!$C$23*9.81*SIN((E573*PI()/180))</f>
        <v>-287.74898045237813</v>
      </c>
      <c r="G573" s="18">
        <f>IF(J573=1,VLOOKUP(K573,RPM!$E$2:$H$62,3,FALSE)-F573-E573-D573,IF(J573=2,VLOOKUP(K573,RPM!$H$2:$K$62,3,FALSE)-F573-E573-D573,IF(J573=3,VLOOKUP(K573,RPM!$K$2:$N$62,3,FALSE)-F573-E573-D573)))</f>
        <v>840.31115949064974</v>
      </c>
      <c r="H573" s="19">
        <f>IF(J573=1,Specification!$I$14,IF(J573=2,Specification!$I$15,IF(J573=3,Specification!$I$16)))</f>
        <v>578.93404261974786</v>
      </c>
      <c r="I573" s="16">
        <f t="shared" si="105"/>
        <v>0</v>
      </c>
      <c r="J573" s="17">
        <v>3</v>
      </c>
      <c r="K573" s="16">
        <f>IF(J573=1,VLOOKUP(B573,RPM!$F$2:$H$62,3,TRUE),IF(J573=2,VLOOKUP(B573,RPM!$I$2:$K$62,3,TRUE),IF(J573=3,VLOOKUP(B573,RPM!$L$2:$N$62,3,TRUE))))</f>
        <v>4300</v>
      </c>
      <c r="L573" s="17">
        <f t="shared" si="103"/>
        <v>46.926259013650018</v>
      </c>
      <c r="M573" s="16">
        <f t="shared" si="102"/>
        <v>5.2375834419965343E-2</v>
      </c>
      <c r="N573" s="17">
        <f>VLOOKUP(K573,RPM!$A$2:$D$62,3,FALSE)</f>
        <v>11.4</v>
      </c>
      <c r="O573" s="16">
        <f>VLOOKUP(K573,RPM!$A$2:$D$62,4,FALSE)</f>
        <v>18.894837209302327</v>
      </c>
      <c r="P573" s="17">
        <f t="shared" si="91"/>
        <v>14.089880106976747</v>
      </c>
      <c r="Q573" s="16" cm="1">
        <f t="array" ref="Q573">_xlfn.XLOOKUP(O573,BSFC!$A$2:$A$24,_xlfn.XLOOKUP(K573,BSFC!$B$1:$O$1,BSFC!$B$2:$O$24,,-1),,-1)</f>
        <v>480</v>
      </c>
      <c r="R573" s="17">
        <f t="shared" si="92"/>
        <v>1.8786506809302328</v>
      </c>
      <c r="S573" s="16">
        <f t="shared" si="94"/>
        <v>2.9183485335178652E-4</v>
      </c>
      <c r="T573" s="17">
        <f t="shared" si="98"/>
        <v>0.14008072960885753</v>
      </c>
      <c r="U573" s="16">
        <f t="shared" si="99"/>
        <v>77.709218251592105</v>
      </c>
      <c r="V573" s="17">
        <f t="shared" si="100"/>
        <v>0.16367260209831863</v>
      </c>
      <c r="W573" s="16">
        <f t="shared" si="95"/>
        <v>589221.36755394703</v>
      </c>
      <c r="X573">
        <f>('Hybrid Info'!$A$2-Track!P573)*(L573-L572)*1000+X572</f>
        <v>-25521.160388361342</v>
      </c>
    </row>
    <row r="574" spans="1:24">
      <c r="A574" s="16">
        <f t="shared" si="96"/>
        <v>573</v>
      </c>
      <c r="B574" s="17">
        <f t="shared" si="97"/>
        <v>13.411199999999999</v>
      </c>
      <c r="C574" s="16">
        <f>Specification!$G$29</f>
        <v>164.943378</v>
      </c>
      <c r="D574" s="17">
        <f>0.5*Specification!$K$4*Track!B574^2*Specification!$K$3*Specification!$K$2</f>
        <v>93.159842569492653</v>
      </c>
      <c r="E574" s="16">
        <v>-2</v>
      </c>
      <c r="F574" s="17">
        <f>Specification!$C$23*9.81*SIN((E574*PI()/180))</f>
        <v>-191.88136255367905</v>
      </c>
      <c r="G574" s="18">
        <f>IF(J574=1,VLOOKUP(K574,RPM!$E$2:$H$62,3,FALSE)-F574-E574-D574,IF(J574=2,VLOOKUP(K574,RPM!$H$2:$K$62,3,FALSE)-F574-E574-D574,IF(J574=3,VLOOKUP(K574,RPM!$K$2:$N$62,3,FALSE)-F574-E574-D574)))</f>
        <v>743.44354159195063</v>
      </c>
      <c r="H574" s="19">
        <f>IF(J574=1,Specification!$I$14,IF(J574=2,Specification!$I$15,IF(J574=3,Specification!$I$16)))</f>
        <v>578.93404261974786</v>
      </c>
      <c r="I574" s="16">
        <f t="shared" si="105"/>
        <v>0</v>
      </c>
      <c r="J574" s="17">
        <v>3</v>
      </c>
      <c r="K574" s="16">
        <f>IF(J574=1,VLOOKUP(B574,RPM!$F$2:$H$62,3,TRUE),IF(J574=2,VLOOKUP(B574,RPM!$I$2:$K$62,3,TRUE),IF(J574=3,VLOOKUP(B574,RPM!$L$2:$N$62,3,TRUE))))</f>
        <v>4300</v>
      </c>
      <c r="L574" s="17">
        <f t="shared" si="103"/>
        <v>47.000823556718501</v>
      </c>
      <c r="M574" s="16">
        <f t="shared" si="102"/>
        <v>1.7455064928217613E-2</v>
      </c>
      <c r="N574" s="17">
        <f>VLOOKUP(K574,RPM!$A$2:$D$62,3,FALSE)</f>
        <v>11.4</v>
      </c>
      <c r="O574" s="16">
        <f>VLOOKUP(K574,RPM!$A$2:$D$62,4,FALSE)</f>
        <v>18.894837209302327</v>
      </c>
      <c r="P574" s="17">
        <f t="shared" si="91"/>
        <v>14.089880106976747</v>
      </c>
      <c r="Q574" s="16" cm="1">
        <f t="array" ref="Q574">_xlfn.XLOOKUP(O574,BSFC!$A$2:$A$24,_xlfn.XLOOKUP(K574,BSFC!$B$1:$O$1,BSFC!$B$2:$O$24,,-1),,-1)</f>
        <v>480</v>
      </c>
      <c r="R574" s="17">
        <f t="shared" si="92"/>
        <v>1.8786506809302328</v>
      </c>
      <c r="S574" s="16">
        <f t="shared" si="94"/>
        <v>2.9183485335178652E-4</v>
      </c>
      <c r="T574" s="17">
        <f t="shared" si="98"/>
        <v>0.14008072960885753</v>
      </c>
      <c r="U574" s="16">
        <f t="shared" si="99"/>
        <v>77.84929898120096</v>
      </c>
      <c r="V574" s="17">
        <f t="shared" si="100"/>
        <v>0.16396443695167043</v>
      </c>
      <c r="W574" s="16">
        <f t="shared" si="95"/>
        <v>590271.97302601347</v>
      </c>
      <c r="X574">
        <f>('Hybrid Info'!$A$2-Track!P574)*(L574-L573)*1000+X573</f>
        <v>-25668.009701710758</v>
      </c>
    </row>
    <row r="575" spans="1:24">
      <c r="A575" s="16">
        <f t="shared" si="96"/>
        <v>574</v>
      </c>
      <c r="B575" s="17">
        <f t="shared" si="97"/>
        <v>13.411199999999999</v>
      </c>
      <c r="C575" s="16">
        <f>Specification!$G$29</f>
        <v>164.943378</v>
      </c>
      <c r="D575" s="17">
        <f>0.5*Specification!$K$4*Track!B575^2*Specification!$K$3*Specification!$K$2</f>
        <v>93.159842569492653</v>
      </c>
      <c r="E575" s="16">
        <v>-1</v>
      </c>
      <c r="F575" s="17">
        <f>Specification!$C$23*9.81*SIN((E575*PI()/180))</f>
        <v>-95.955295733149597</v>
      </c>
      <c r="G575" s="18">
        <f>IF(J575=1,VLOOKUP(K575,RPM!$E$2:$H$62,3,FALSE)-F575-E575-D575,IF(J575=2,VLOOKUP(K575,RPM!$H$2:$K$62,3,FALSE)-F575-E575-D575,IF(J575=3,VLOOKUP(K575,RPM!$K$2:$N$62,3,FALSE)-F575-E575-D575)))</f>
        <v>646.51747477142112</v>
      </c>
      <c r="H575" s="19">
        <f>IF(J575=1,Specification!$I$14,IF(J575=2,Specification!$I$15,IF(J575=3,Specification!$I$16)))</f>
        <v>578.93404261974786</v>
      </c>
      <c r="I575" s="16">
        <f t="shared" si="105"/>
        <v>0</v>
      </c>
      <c r="J575" s="17">
        <v>3</v>
      </c>
      <c r="K575" s="16">
        <f>IF(J575=1,VLOOKUP(B575,RPM!$F$2:$H$62,3,TRUE),IF(J575=2,VLOOKUP(B575,RPM!$I$2:$K$62,3,TRUE),IF(J575=3,VLOOKUP(B575,RPM!$L$2:$N$62,3,TRUE))))</f>
        <v>4300</v>
      </c>
      <c r="L575" s="17">
        <f t="shared" si="103"/>
        <v>47.075388099786984</v>
      </c>
      <c r="M575" s="16">
        <v>0</v>
      </c>
      <c r="N575" s="17">
        <f>VLOOKUP(K575,RPM!$A$2:$D$62,3,FALSE)</f>
        <v>11.4</v>
      </c>
      <c r="O575" s="16">
        <f>VLOOKUP(K575,RPM!$A$2:$D$62,4,FALSE)</f>
        <v>18.894837209302327</v>
      </c>
      <c r="P575" s="17">
        <f t="shared" si="91"/>
        <v>14.089880106976747</v>
      </c>
      <c r="Q575" s="16" cm="1">
        <f t="array" ref="Q575">_xlfn.XLOOKUP(O575,BSFC!$A$2:$A$24,_xlfn.XLOOKUP(K575,BSFC!$B$1:$O$1,BSFC!$B$2:$O$24,,-1),,-1)</f>
        <v>480</v>
      </c>
      <c r="R575" s="17">
        <f t="shared" si="92"/>
        <v>1.8786506809302328</v>
      </c>
      <c r="S575" s="16">
        <f t="shared" si="94"/>
        <v>2.9183485335178652E-4</v>
      </c>
      <c r="T575" s="17">
        <f t="shared" si="98"/>
        <v>0.14008072960885753</v>
      </c>
      <c r="U575" s="16">
        <f t="shared" si="99"/>
        <v>77.989379710809814</v>
      </c>
      <c r="V575" s="17">
        <f t="shared" si="100"/>
        <v>0.16425627180502222</v>
      </c>
      <c r="W575" s="16">
        <f t="shared" si="95"/>
        <v>591322.57849808002</v>
      </c>
      <c r="X575">
        <f>('Hybrid Info'!$A$2-Track!P575)*(L575-L574)*1000+X574</f>
        <v>-25814.859015060174</v>
      </c>
    </row>
    <row r="576" spans="1:24">
      <c r="A576" s="16">
        <f t="shared" si="96"/>
        <v>575</v>
      </c>
      <c r="B576" s="17">
        <f t="shared" si="97"/>
        <v>13.411199999999999</v>
      </c>
      <c r="C576" s="16">
        <f>Specification!$G$29</f>
        <v>164.943378</v>
      </c>
      <c r="D576" s="17">
        <f>0.5*Specification!$K$4*Track!B576^2*Specification!$K$3*Specification!$K$2</f>
        <v>93.159842569492653</v>
      </c>
      <c r="E576" s="16">
        <v>0</v>
      </c>
      <c r="F576" s="17">
        <f>Specification!$C$23*9.81*SIN((E576*PI()/180))</f>
        <v>0</v>
      </c>
      <c r="G576" s="18">
        <f>IF(J576=1,VLOOKUP(K576,RPM!$E$2:$H$62,3,FALSE)-F576-E576-D576,IF(J576=2,VLOOKUP(K576,RPM!$H$2:$K$62,3,FALSE)-F576-E576-D576,IF(J576=3,VLOOKUP(K576,RPM!$K$2:$N$62,3,FALSE)-F576-E576-D576)))</f>
        <v>549.56217903827155</v>
      </c>
      <c r="H576" s="19">
        <f>IF(J576=1,Specification!$I$14,IF(J576=2,Specification!$I$15,IF(J576=3,Specification!$I$16)))</f>
        <v>578.93404261974786</v>
      </c>
      <c r="I576" s="16">
        <f t="shared" si="105"/>
        <v>0</v>
      </c>
      <c r="J576" s="17">
        <v>3</v>
      </c>
      <c r="K576" s="16">
        <f>IF(J576=1,VLOOKUP(B576,RPM!$F$2:$H$62,3,TRUE),IF(J576=2,VLOOKUP(B576,RPM!$I$2:$K$62,3,TRUE),IF(J576=3,VLOOKUP(B576,RPM!$L$2:$N$62,3,TRUE))))</f>
        <v>4300</v>
      </c>
      <c r="L576" s="17">
        <f t="shared" si="103"/>
        <v>47.149952642855467</v>
      </c>
      <c r="M576" s="16">
        <f t="shared" si="102"/>
        <v>0</v>
      </c>
      <c r="N576" s="17">
        <f>VLOOKUP(K576,RPM!$A$2:$D$62,3,FALSE)</f>
        <v>11.4</v>
      </c>
      <c r="O576" s="16">
        <f>VLOOKUP(K576,RPM!$A$2:$D$62,4,FALSE)</f>
        <v>18.894837209302327</v>
      </c>
      <c r="P576" s="17">
        <f t="shared" si="91"/>
        <v>14.089880106976747</v>
      </c>
      <c r="Q576" s="16" cm="1">
        <f t="array" ref="Q576">_xlfn.XLOOKUP(O576,BSFC!$A$2:$A$24,_xlfn.XLOOKUP(K576,BSFC!$B$1:$O$1,BSFC!$B$2:$O$24,,-1),,-1)</f>
        <v>480</v>
      </c>
      <c r="R576" s="17">
        <f t="shared" si="92"/>
        <v>1.8786506809302328</v>
      </c>
      <c r="S576" s="16">
        <f t="shared" si="94"/>
        <v>2.9183485335178652E-4</v>
      </c>
      <c r="T576" s="17">
        <f t="shared" si="98"/>
        <v>0.14008072960885753</v>
      </c>
      <c r="U576" s="16">
        <f t="shared" si="99"/>
        <v>78.129460440418669</v>
      </c>
      <c r="V576" s="17">
        <f t="shared" si="100"/>
        <v>0.16454810665837402</v>
      </c>
      <c r="W576" s="16">
        <f t="shared" si="95"/>
        <v>592373.18397014646</v>
      </c>
      <c r="X576">
        <f>('Hybrid Info'!$A$2-Track!P576)*(L576-L575)*1000+X575</f>
        <v>-25961.70832840959</v>
      </c>
    </row>
    <row r="577" spans="1:24">
      <c r="A577" s="16">
        <f t="shared" si="96"/>
        <v>576</v>
      </c>
      <c r="B577" s="17">
        <f t="shared" si="97"/>
        <v>13.411199999999999</v>
      </c>
      <c r="C577" s="16">
        <f>Specification!$G$29</f>
        <v>164.943378</v>
      </c>
      <c r="D577" s="17">
        <f>0.5*Specification!$K$4*Track!B577^2*Specification!$K$3*Specification!$K$2</f>
        <v>93.159842569492653</v>
      </c>
      <c r="E577" s="16">
        <v>0</v>
      </c>
      <c r="F577" s="17">
        <f>Specification!$C$23*9.81*SIN((E577*PI()/180))</f>
        <v>0</v>
      </c>
      <c r="G577" s="18">
        <f>IF(J577=1,VLOOKUP(K577,RPM!$E$2:$H$62,3,FALSE)-F577-E577-D577,IF(J577=2,VLOOKUP(K577,RPM!$H$2:$K$62,3,FALSE)-F577-E577-D577,IF(J577=3,VLOOKUP(K577,RPM!$K$2:$N$62,3,FALSE)-F577-E577-D577)))</f>
        <v>549.56217903827155</v>
      </c>
      <c r="H577" s="19">
        <f>IF(J577=1,Specification!$I$14,IF(J577=2,Specification!$I$15,IF(J577=3,Specification!$I$16)))</f>
        <v>578.93404261974786</v>
      </c>
      <c r="I577" s="16">
        <f t="shared" si="105"/>
        <v>0</v>
      </c>
      <c r="J577" s="17">
        <v>3</v>
      </c>
      <c r="K577" s="16">
        <f>IF(J577=1,VLOOKUP(B577,RPM!$F$2:$H$62,3,TRUE),IF(J577=2,VLOOKUP(B577,RPM!$I$2:$K$62,3,TRUE),IF(J577=3,VLOOKUP(B577,RPM!$L$2:$N$62,3,TRUE))))</f>
        <v>4300</v>
      </c>
      <c r="L577" s="17">
        <f t="shared" si="103"/>
        <v>47.224517185923951</v>
      </c>
      <c r="M577" s="16">
        <f t="shared" si="102"/>
        <v>0</v>
      </c>
      <c r="N577" s="17">
        <f>VLOOKUP(K577,RPM!$A$2:$D$62,3,FALSE)</f>
        <v>11.4</v>
      </c>
      <c r="O577" s="16">
        <f>VLOOKUP(K577,RPM!$A$2:$D$62,4,FALSE)</f>
        <v>18.894837209302327</v>
      </c>
      <c r="P577" s="17">
        <f t="shared" si="91"/>
        <v>14.089880106976747</v>
      </c>
      <c r="Q577" s="16" cm="1">
        <f t="array" ref="Q577">_xlfn.XLOOKUP(O577,BSFC!$A$2:$A$24,_xlfn.XLOOKUP(K577,BSFC!$B$1:$O$1,BSFC!$B$2:$O$24,,-1),,-1)</f>
        <v>480</v>
      </c>
      <c r="R577" s="17">
        <f t="shared" si="92"/>
        <v>1.8786506809302328</v>
      </c>
      <c r="S577" s="16">
        <f t="shared" si="94"/>
        <v>2.9183485335178652E-4</v>
      </c>
      <c r="T577" s="17">
        <f t="shared" si="98"/>
        <v>0.14008072960885753</v>
      </c>
      <c r="U577" s="16">
        <f t="shared" si="99"/>
        <v>78.269541170027523</v>
      </c>
      <c r="V577" s="17">
        <f t="shared" si="100"/>
        <v>0.16483994151172582</v>
      </c>
      <c r="W577" s="16">
        <f t="shared" si="95"/>
        <v>593423.7894422129</v>
      </c>
      <c r="X577">
        <f>('Hybrid Info'!$A$2-Track!P577)*(L577-L576)*1000+X576</f>
        <v>-26108.557641759005</v>
      </c>
    </row>
    <row r="578" spans="1:24">
      <c r="A578" s="16">
        <f t="shared" si="96"/>
        <v>577</v>
      </c>
      <c r="B578" s="17">
        <f t="shared" si="97"/>
        <v>13.411199999999999</v>
      </c>
      <c r="C578" s="16">
        <f>Specification!$G$29</f>
        <v>164.943378</v>
      </c>
      <c r="D578" s="17">
        <f>0.5*Specification!$K$4*Track!B578^2*Specification!$K$3*Specification!$K$2</f>
        <v>93.159842569492653</v>
      </c>
      <c r="E578" s="16">
        <v>0</v>
      </c>
      <c r="F578" s="17">
        <f>Specification!$C$23*9.81*SIN((E578*PI()/180))</f>
        <v>0</v>
      </c>
      <c r="G578" s="18">
        <f>IF(J578=1,VLOOKUP(K578,RPM!$E$2:$H$62,3,FALSE)-F578-E578-D578,IF(J578=2,VLOOKUP(K578,RPM!$H$2:$K$62,3,FALSE)-F578-E578-D578,IF(J578=3,VLOOKUP(K578,RPM!$K$2:$N$62,3,FALSE)-F578-E578-D578)))</f>
        <v>549.56217903827155</v>
      </c>
      <c r="H578" s="19">
        <f>IF(J578=1,Specification!$I$14,IF(J578=2,Specification!$I$15,IF(J578=3,Specification!$I$16)))</f>
        <v>578.93404261974786</v>
      </c>
      <c r="I578" s="16">
        <f t="shared" si="105"/>
        <v>0</v>
      </c>
      <c r="J578" s="17">
        <v>3</v>
      </c>
      <c r="K578" s="16">
        <f>IF(J578=1,VLOOKUP(B578,RPM!$F$2:$H$62,3,TRUE),IF(J578=2,VLOOKUP(B578,RPM!$I$2:$K$62,3,TRUE),IF(J578=3,VLOOKUP(B578,RPM!$L$2:$N$62,3,TRUE))))</f>
        <v>4300</v>
      </c>
      <c r="L578" s="17">
        <f t="shared" si="103"/>
        <v>47.299081728992434</v>
      </c>
      <c r="M578" s="16">
        <f t="shared" si="102"/>
        <v>0</v>
      </c>
      <c r="N578" s="17">
        <f>VLOOKUP(K578,RPM!$A$2:$D$62,3,FALSE)</f>
        <v>11.4</v>
      </c>
      <c r="O578" s="16">
        <f>VLOOKUP(K578,RPM!$A$2:$D$62,4,FALSE)</f>
        <v>18.894837209302327</v>
      </c>
      <c r="P578" s="17">
        <f t="shared" ref="P578:P641" si="106">O578*0.7457</f>
        <v>14.089880106976747</v>
      </c>
      <c r="Q578" s="16" cm="1">
        <f t="array" ref="Q578">_xlfn.XLOOKUP(O578,BSFC!$A$2:$A$24,_xlfn.XLOOKUP(K578,BSFC!$B$1:$O$1,BSFC!$B$2:$O$24,,-1),,-1)</f>
        <v>480</v>
      </c>
      <c r="R578" s="17">
        <f t="shared" ref="R578:R641" si="107">Q578*P578/3600</f>
        <v>1.8786506809302328</v>
      </c>
      <c r="S578" s="16">
        <f t="shared" si="94"/>
        <v>2.9183485335178652E-4</v>
      </c>
      <c r="T578" s="17">
        <f t="shared" si="98"/>
        <v>0.14008072960885753</v>
      </c>
      <c r="U578" s="16">
        <f t="shared" si="99"/>
        <v>78.409621899636377</v>
      </c>
      <c r="V578" s="17">
        <f t="shared" si="100"/>
        <v>0.16513177636507761</v>
      </c>
      <c r="W578" s="16">
        <f t="shared" si="95"/>
        <v>594474.39491427946</v>
      </c>
      <c r="X578">
        <f>('Hybrid Info'!$A$2-Track!P578)*(L578-L577)*1000+X577</f>
        <v>-26255.406955108421</v>
      </c>
    </row>
    <row r="579" spans="1:24">
      <c r="A579" s="16">
        <f t="shared" si="96"/>
        <v>578</v>
      </c>
      <c r="B579" s="17">
        <f t="shared" si="97"/>
        <v>13.411199999999999</v>
      </c>
      <c r="C579" s="16">
        <f>Specification!$G$29</f>
        <v>164.943378</v>
      </c>
      <c r="D579" s="17">
        <f>0.5*Specification!$K$4*Track!B579^2*Specification!$K$3*Specification!$K$2</f>
        <v>93.159842569492653</v>
      </c>
      <c r="E579" s="16">
        <v>0</v>
      </c>
      <c r="F579" s="17">
        <f>Specification!$C$23*9.81*SIN((E579*PI()/180))</f>
        <v>0</v>
      </c>
      <c r="G579" s="18">
        <f>IF(J579=1,VLOOKUP(K579,RPM!$E$2:$H$62,3,FALSE)-F579-E579-D579,IF(J579=2,VLOOKUP(K579,RPM!$H$2:$K$62,3,FALSE)-F579-E579-D579,IF(J579=3,VLOOKUP(K579,RPM!$K$2:$N$62,3,FALSE)-F579-E579-D579)))</f>
        <v>549.56217903827155</v>
      </c>
      <c r="H579" s="19">
        <f>IF(J579=1,Specification!$I$14,IF(J579=2,Specification!$I$15,IF(J579=3,Specification!$I$16)))</f>
        <v>578.93404261974786</v>
      </c>
      <c r="I579" s="16">
        <f t="shared" si="105"/>
        <v>0</v>
      </c>
      <c r="J579" s="17">
        <v>3</v>
      </c>
      <c r="K579" s="16">
        <f>IF(J579=1,VLOOKUP(B579,RPM!$F$2:$H$62,3,TRUE),IF(J579=2,VLOOKUP(B579,RPM!$I$2:$K$62,3,TRUE),IF(J579=3,VLOOKUP(B579,RPM!$L$2:$N$62,3,TRUE))))</f>
        <v>4300</v>
      </c>
      <c r="L579" s="17">
        <f t="shared" si="103"/>
        <v>47.373646272060917</v>
      </c>
      <c r="M579" s="16">
        <f t="shared" si="102"/>
        <v>0</v>
      </c>
      <c r="N579" s="17">
        <f>VLOOKUP(K579,RPM!$A$2:$D$62,3,FALSE)</f>
        <v>11.4</v>
      </c>
      <c r="O579" s="16">
        <f>VLOOKUP(K579,RPM!$A$2:$D$62,4,FALSE)</f>
        <v>18.894837209302327</v>
      </c>
      <c r="P579" s="17">
        <f t="shared" si="106"/>
        <v>14.089880106976747</v>
      </c>
      <c r="Q579" s="16" cm="1">
        <f t="array" ref="Q579">_xlfn.XLOOKUP(O579,BSFC!$A$2:$A$24,_xlfn.XLOOKUP(K579,BSFC!$B$1:$O$1,BSFC!$B$2:$O$24,,-1),,-1)</f>
        <v>480</v>
      </c>
      <c r="R579" s="17">
        <f t="shared" si="107"/>
        <v>1.8786506809302328</v>
      </c>
      <c r="S579" s="16">
        <f t="shared" ref="S579:S642" si="108">(L579-L578)/3600*P579</f>
        <v>2.9183485335178652E-4</v>
      </c>
      <c r="T579" s="17">
        <f t="shared" si="98"/>
        <v>0.14008072960885753</v>
      </c>
      <c r="U579" s="16">
        <f t="shared" si="99"/>
        <v>78.549702629245232</v>
      </c>
      <c r="V579" s="17">
        <f t="shared" si="100"/>
        <v>0.16542361121842941</v>
      </c>
      <c r="W579" s="16">
        <f t="shared" ref="W579:W642" si="109">V579*1000*3600</f>
        <v>595525.0003863459</v>
      </c>
      <c r="X579">
        <f>('Hybrid Info'!$A$2-Track!P579)*(L579-L578)*1000+X578</f>
        <v>-26402.256268457837</v>
      </c>
    </row>
    <row r="580" spans="1:24">
      <c r="A580" s="16">
        <f t="shared" ref="A580:A643" si="110">A579+1</f>
        <v>579</v>
      </c>
      <c r="B580" s="17">
        <f t="shared" ref="B580:B643" si="111">IF(SQRT(B579^2+2*I579)&gt;13.4112,13.4112,SQRT(B579^2+2*I579))</f>
        <v>13.411199999999999</v>
      </c>
      <c r="C580" s="16">
        <f>Specification!$G$29</f>
        <v>164.943378</v>
      </c>
      <c r="D580" s="17">
        <f>0.5*Specification!$K$4*Track!B580^2*Specification!$K$3*Specification!$K$2</f>
        <v>93.159842569492653</v>
      </c>
      <c r="E580" s="16">
        <v>0</v>
      </c>
      <c r="F580" s="17">
        <f>Specification!$C$23*9.81*SIN((E580*PI()/180))</f>
        <v>0</v>
      </c>
      <c r="G580" s="18">
        <f>IF(J580=1,VLOOKUP(K580,RPM!$E$2:$H$62,3,FALSE)-F580-E580-D580,IF(J580=2,VLOOKUP(K580,RPM!$H$2:$K$62,3,FALSE)-F580-E580-D580,IF(J580=3,VLOOKUP(K580,RPM!$K$2:$N$62,3,FALSE)-F580-E580-D580)))</f>
        <v>549.56217903827155</v>
      </c>
      <c r="H580" s="19">
        <f>IF(J580=1,Specification!$I$14,IF(J580=2,Specification!$I$15,IF(J580=3,Specification!$I$16)))</f>
        <v>578.93404261974786</v>
      </c>
      <c r="I580" s="16">
        <f t="shared" si="105"/>
        <v>0</v>
      </c>
      <c r="J580" s="17">
        <v>3</v>
      </c>
      <c r="K580" s="16">
        <f>IF(J580=1,VLOOKUP(B580,RPM!$F$2:$H$62,3,TRUE),IF(J580=2,VLOOKUP(B580,RPM!$I$2:$K$62,3,TRUE),IF(J580=3,VLOOKUP(B580,RPM!$L$2:$N$62,3,TRUE))))</f>
        <v>4300</v>
      </c>
      <c r="L580" s="17">
        <f t="shared" si="103"/>
        <v>47.4482108151294</v>
      </c>
      <c r="M580" s="16">
        <f t="shared" si="102"/>
        <v>0</v>
      </c>
      <c r="N580" s="17">
        <f>VLOOKUP(K580,RPM!$A$2:$D$62,3,FALSE)</f>
        <v>11.4</v>
      </c>
      <c r="O580" s="16">
        <f>VLOOKUP(K580,RPM!$A$2:$D$62,4,FALSE)</f>
        <v>18.894837209302327</v>
      </c>
      <c r="P580" s="17">
        <f t="shared" si="106"/>
        <v>14.089880106976747</v>
      </c>
      <c r="Q580" s="16" cm="1">
        <f t="array" ref="Q580">_xlfn.XLOOKUP(O580,BSFC!$A$2:$A$24,_xlfn.XLOOKUP(K580,BSFC!$B$1:$O$1,BSFC!$B$2:$O$24,,-1),,-1)</f>
        <v>480</v>
      </c>
      <c r="R580" s="17">
        <f t="shared" si="107"/>
        <v>1.8786506809302328</v>
      </c>
      <c r="S580" s="16">
        <f t="shared" si="108"/>
        <v>2.9183485335178652E-4</v>
      </c>
      <c r="T580" s="17">
        <f t="shared" ref="T580:T643" si="112">S580*Q580</f>
        <v>0.14008072960885753</v>
      </c>
      <c r="U580" s="16">
        <f t="shared" ref="U580:U643" si="113">U579+T580</f>
        <v>78.689783358854086</v>
      </c>
      <c r="V580" s="17">
        <f t="shared" si="100"/>
        <v>0.16571544607178121</v>
      </c>
      <c r="W580" s="16">
        <f t="shared" si="109"/>
        <v>596575.60585841234</v>
      </c>
      <c r="X580">
        <f>('Hybrid Info'!$A$2-Track!P580)*(L580-L579)*1000+X579</f>
        <v>-26549.105581807253</v>
      </c>
    </row>
    <row r="581" spans="1:24">
      <c r="A581" s="16">
        <f t="shared" si="110"/>
        <v>580</v>
      </c>
      <c r="B581" s="17">
        <f t="shared" si="111"/>
        <v>13.411199999999999</v>
      </c>
      <c r="C581" s="16">
        <f>Specification!$G$29</f>
        <v>164.943378</v>
      </c>
      <c r="D581" s="17">
        <f>0.5*Specification!$K$4*Track!B581^2*Specification!$K$3*Specification!$K$2</f>
        <v>93.159842569492653</v>
      </c>
      <c r="E581" s="16">
        <v>0</v>
      </c>
      <c r="F581" s="17">
        <f>Specification!$C$23*9.81*SIN((E581*PI()/180))</f>
        <v>0</v>
      </c>
      <c r="G581" s="18">
        <f>IF(J581=1,VLOOKUP(K581,RPM!$E$2:$H$62,3,FALSE)-F581-E581-D581,IF(J581=2,VLOOKUP(K581,RPM!$H$2:$K$62,3,FALSE)-F581-E581-D581,IF(J581=3,VLOOKUP(K581,RPM!$K$2:$N$62,3,FALSE)-F581-E581-D581)))</f>
        <v>549.56217903827155</v>
      </c>
      <c r="H581" s="19">
        <f>IF(J581=1,Specification!$I$14,IF(J581=2,Specification!$I$15,IF(J581=3,Specification!$I$16)))</f>
        <v>578.93404261974786</v>
      </c>
      <c r="I581" s="16">
        <f t="shared" si="105"/>
        <v>0</v>
      </c>
      <c r="J581" s="17">
        <v>3</v>
      </c>
      <c r="K581" s="16">
        <f>IF(J581=1,VLOOKUP(B581,RPM!$F$2:$H$62,3,TRUE),IF(J581=2,VLOOKUP(B581,RPM!$I$2:$K$62,3,TRUE),IF(J581=3,VLOOKUP(B581,RPM!$L$2:$N$62,3,TRUE))))</f>
        <v>4300</v>
      </c>
      <c r="L581" s="17">
        <f t="shared" si="103"/>
        <v>47.522775358197883</v>
      </c>
      <c r="M581" s="16">
        <f t="shared" si="102"/>
        <v>0</v>
      </c>
      <c r="N581" s="17">
        <f>VLOOKUP(K581,RPM!$A$2:$D$62,3,FALSE)</f>
        <v>11.4</v>
      </c>
      <c r="O581" s="16">
        <f>VLOOKUP(K581,RPM!$A$2:$D$62,4,FALSE)</f>
        <v>18.894837209302327</v>
      </c>
      <c r="P581" s="17">
        <f t="shared" si="106"/>
        <v>14.089880106976747</v>
      </c>
      <c r="Q581" s="16" cm="1">
        <f t="array" ref="Q581">_xlfn.XLOOKUP(O581,BSFC!$A$2:$A$24,_xlfn.XLOOKUP(K581,BSFC!$B$1:$O$1,BSFC!$B$2:$O$24,,-1),,-1)</f>
        <v>480</v>
      </c>
      <c r="R581" s="17">
        <f t="shared" si="107"/>
        <v>1.8786506809302328</v>
      </c>
      <c r="S581" s="16">
        <f t="shared" si="108"/>
        <v>2.9183485335178652E-4</v>
      </c>
      <c r="T581" s="17">
        <f t="shared" si="112"/>
        <v>0.14008072960885753</v>
      </c>
      <c r="U581" s="16">
        <f t="shared" si="113"/>
        <v>78.829864088462941</v>
      </c>
      <c r="V581" s="17">
        <f t="shared" ref="V581:V644" si="114">V580+S581</f>
        <v>0.16600728092513301</v>
      </c>
      <c r="W581" s="16">
        <f t="shared" si="109"/>
        <v>597626.21133047889</v>
      </c>
      <c r="X581">
        <f>('Hybrid Info'!$A$2-Track!P581)*(L581-L580)*1000+X580</f>
        <v>-26695.954895156668</v>
      </c>
    </row>
    <row r="582" spans="1:24">
      <c r="A582" s="16">
        <f t="shared" si="110"/>
        <v>581</v>
      </c>
      <c r="B582" s="17">
        <f t="shared" si="111"/>
        <v>13.411199999999999</v>
      </c>
      <c r="C582" s="16">
        <f>Specification!$G$29</f>
        <v>164.943378</v>
      </c>
      <c r="D582" s="17">
        <f>0.5*Specification!$K$4*Track!B582^2*Specification!$K$3*Specification!$K$2</f>
        <v>93.159842569492653</v>
      </c>
      <c r="E582" s="16">
        <v>0</v>
      </c>
      <c r="F582" s="17">
        <f>Specification!$C$23*9.81*SIN((E582*PI()/180))</f>
        <v>0</v>
      </c>
      <c r="G582" s="18">
        <f>IF(J582=1,VLOOKUP(K582,RPM!$E$2:$H$62,3,FALSE)-F582-E582-D582,IF(J582=2,VLOOKUP(K582,RPM!$H$2:$K$62,3,FALSE)-F582-E582-D582,IF(J582=3,VLOOKUP(K582,RPM!$K$2:$N$62,3,FALSE)-F582-E582-D582)))</f>
        <v>549.56217903827155</v>
      </c>
      <c r="H582" s="19">
        <f>IF(J582=1,Specification!$I$14,IF(J582=2,Specification!$I$15,IF(J582=3,Specification!$I$16)))</f>
        <v>578.93404261974786</v>
      </c>
      <c r="I582" s="16">
        <f t="shared" si="105"/>
        <v>0</v>
      </c>
      <c r="J582" s="17">
        <v>3</v>
      </c>
      <c r="K582" s="16">
        <f>IF(J582=1,VLOOKUP(B582,RPM!$F$2:$H$62,3,TRUE),IF(J582=2,VLOOKUP(B582,RPM!$I$2:$K$62,3,TRUE),IF(J582=3,VLOOKUP(B582,RPM!$L$2:$N$62,3,TRUE))))</f>
        <v>4300</v>
      </c>
      <c r="L582" s="17">
        <f t="shared" si="103"/>
        <v>47.597339901266366</v>
      </c>
      <c r="M582" s="16">
        <f t="shared" si="102"/>
        <v>0</v>
      </c>
      <c r="N582" s="17">
        <f>VLOOKUP(K582,RPM!$A$2:$D$62,3,FALSE)</f>
        <v>11.4</v>
      </c>
      <c r="O582" s="16">
        <f>VLOOKUP(K582,RPM!$A$2:$D$62,4,FALSE)</f>
        <v>18.894837209302327</v>
      </c>
      <c r="P582" s="17">
        <f t="shared" si="106"/>
        <v>14.089880106976747</v>
      </c>
      <c r="Q582" s="16" cm="1">
        <f t="array" ref="Q582">_xlfn.XLOOKUP(O582,BSFC!$A$2:$A$24,_xlfn.XLOOKUP(K582,BSFC!$B$1:$O$1,BSFC!$B$2:$O$24,,-1),,-1)</f>
        <v>480</v>
      </c>
      <c r="R582" s="17">
        <f t="shared" si="107"/>
        <v>1.8786506809302328</v>
      </c>
      <c r="S582" s="16">
        <f t="shared" si="108"/>
        <v>2.9183485335178652E-4</v>
      </c>
      <c r="T582" s="17">
        <f t="shared" si="112"/>
        <v>0.14008072960885753</v>
      </c>
      <c r="U582" s="16">
        <f t="shared" si="113"/>
        <v>78.969944818071795</v>
      </c>
      <c r="V582" s="17">
        <f t="shared" si="114"/>
        <v>0.1662991157784848</v>
      </c>
      <c r="W582" s="16">
        <f t="shared" si="109"/>
        <v>598676.81680254533</v>
      </c>
      <c r="X582">
        <f>('Hybrid Info'!$A$2-Track!P582)*(L582-L581)*1000+X581</f>
        <v>-26842.804208506084</v>
      </c>
    </row>
    <row r="583" spans="1:24">
      <c r="A583" s="16">
        <f t="shared" si="110"/>
        <v>582</v>
      </c>
      <c r="B583" s="17">
        <f t="shared" si="111"/>
        <v>13.411199999999999</v>
      </c>
      <c r="C583" s="16">
        <f>Specification!$G$29</f>
        <v>164.943378</v>
      </c>
      <c r="D583" s="17">
        <f>0.5*Specification!$K$4*Track!B583^2*Specification!$K$3*Specification!$K$2</f>
        <v>93.159842569492653</v>
      </c>
      <c r="E583" s="16">
        <v>0</v>
      </c>
      <c r="F583" s="17">
        <f>Specification!$C$23*9.81*SIN((E583*PI()/180))</f>
        <v>0</v>
      </c>
      <c r="G583" s="18">
        <f>IF(J583=1,VLOOKUP(K583,RPM!$E$2:$H$62,3,FALSE)-F583-E583-D583,IF(J583=2,VLOOKUP(K583,RPM!$H$2:$K$62,3,FALSE)-F583-E583-D583,IF(J583=3,VLOOKUP(K583,RPM!$K$2:$N$62,3,FALSE)-F583-E583-D583)))</f>
        <v>549.56217903827155</v>
      </c>
      <c r="H583" s="19">
        <f>IF(J583=1,Specification!$I$14,IF(J583=2,Specification!$I$15,IF(J583=3,Specification!$I$16)))</f>
        <v>578.93404261974786</v>
      </c>
      <c r="I583" s="16">
        <f t="shared" si="105"/>
        <v>0</v>
      </c>
      <c r="J583" s="17">
        <v>3</v>
      </c>
      <c r="K583" s="16">
        <f>IF(J583=1,VLOOKUP(B583,RPM!$F$2:$H$62,3,TRUE),IF(J583=2,VLOOKUP(B583,RPM!$I$2:$K$62,3,TRUE),IF(J583=3,VLOOKUP(B583,RPM!$L$2:$N$62,3,TRUE))))</f>
        <v>4300</v>
      </c>
      <c r="L583" s="17">
        <f t="shared" si="103"/>
        <v>47.671904444334849</v>
      </c>
      <c r="M583" s="16">
        <f t="shared" si="102"/>
        <v>0</v>
      </c>
      <c r="N583" s="17">
        <f>VLOOKUP(K583,RPM!$A$2:$D$62,3,FALSE)</f>
        <v>11.4</v>
      </c>
      <c r="O583" s="16">
        <f>VLOOKUP(K583,RPM!$A$2:$D$62,4,FALSE)</f>
        <v>18.894837209302327</v>
      </c>
      <c r="P583" s="17">
        <f t="shared" si="106"/>
        <v>14.089880106976747</v>
      </c>
      <c r="Q583" s="16" cm="1">
        <f t="array" ref="Q583">_xlfn.XLOOKUP(O583,BSFC!$A$2:$A$24,_xlfn.XLOOKUP(K583,BSFC!$B$1:$O$1,BSFC!$B$2:$O$24,,-1),,-1)</f>
        <v>480</v>
      </c>
      <c r="R583" s="17">
        <f t="shared" si="107"/>
        <v>1.8786506809302328</v>
      </c>
      <c r="S583" s="16">
        <f t="shared" si="108"/>
        <v>2.9183485335178652E-4</v>
      </c>
      <c r="T583" s="17">
        <f t="shared" si="112"/>
        <v>0.14008072960885753</v>
      </c>
      <c r="U583" s="16">
        <f t="shared" si="113"/>
        <v>79.11002554768065</v>
      </c>
      <c r="V583" s="17">
        <f t="shared" si="114"/>
        <v>0.1665909506318366</v>
      </c>
      <c r="W583" s="16">
        <f t="shared" si="109"/>
        <v>599727.42227461177</v>
      </c>
      <c r="X583">
        <f>('Hybrid Info'!$A$2-Track!P583)*(L583-L582)*1000+X582</f>
        <v>-26989.6535218555</v>
      </c>
    </row>
    <row r="584" spans="1:24">
      <c r="A584" s="16">
        <f t="shared" si="110"/>
        <v>583</v>
      </c>
      <c r="B584" s="17">
        <f t="shared" si="111"/>
        <v>13.411199999999999</v>
      </c>
      <c r="C584" s="16">
        <f>Specification!$G$29</f>
        <v>164.943378</v>
      </c>
      <c r="D584" s="17">
        <f>0.5*Specification!$K$4*Track!B584^2*Specification!$K$3*Specification!$K$2</f>
        <v>93.159842569492653</v>
      </c>
      <c r="E584" s="16">
        <v>0</v>
      </c>
      <c r="F584" s="17">
        <f>Specification!$C$23*9.81*SIN((E584*PI()/180))</f>
        <v>0</v>
      </c>
      <c r="G584" s="18">
        <f>IF(J584=1,VLOOKUP(K584,RPM!$E$2:$H$62,3,FALSE)-F584-E584-D584,IF(J584=2,VLOOKUP(K584,RPM!$H$2:$K$62,3,FALSE)-F584-E584-D584,IF(J584=3,VLOOKUP(K584,RPM!$K$2:$N$62,3,FALSE)-F584-E584-D584)))</f>
        <v>549.56217903827155</v>
      </c>
      <c r="H584" s="19">
        <f>IF(J584=1,Specification!$I$14,IF(J584=2,Specification!$I$15,IF(J584=3,Specification!$I$16)))</f>
        <v>578.93404261974786</v>
      </c>
      <c r="I584" s="16">
        <f t="shared" si="105"/>
        <v>0</v>
      </c>
      <c r="J584" s="17">
        <v>3</v>
      </c>
      <c r="K584" s="16">
        <f>IF(J584=1,VLOOKUP(B584,RPM!$F$2:$H$62,3,TRUE),IF(J584=2,VLOOKUP(B584,RPM!$I$2:$K$62,3,TRUE),IF(J584=3,VLOOKUP(B584,RPM!$L$2:$N$62,3,TRUE))))</f>
        <v>4300</v>
      </c>
      <c r="L584" s="17">
        <f t="shared" si="103"/>
        <v>47.746468987403333</v>
      </c>
      <c r="M584" s="16">
        <f t="shared" si="102"/>
        <v>0</v>
      </c>
      <c r="N584" s="17">
        <f>VLOOKUP(K584,RPM!$A$2:$D$62,3,FALSE)</f>
        <v>11.4</v>
      </c>
      <c r="O584" s="16">
        <f>VLOOKUP(K584,RPM!$A$2:$D$62,4,FALSE)</f>
        <v>18.894837209302327</v>
      </c>
      <c r="P584" s="17">
        <f t="shared" si="106"/>
        <v>14.089880106976747</v>
      </c>
      <c r="Q584" s="16" cm="1">
        <f t="array" ref="Q584">_xlfn.XLOOKUP(O584,BSFC!$A$2:$A$24,_xlfn.XLOOKUP(K584,BSFC!$B$1:$O$1,BSFC!$B$2:$O$24,,-1),,-1)</f>
        <v>480</v>
      </c>
      <c r="R584" s="17">
        <f t="shared" si="107"/>
        <v>1.8786506809302328</v>
      </c>
      <c r="S584" s="16">
        <f t="shared" si="108"/>
        <v>2.9183485335178652E-4</v>
      </c>
      <c r="T584" s="17">
        <f t="shared" si="112"/>
        <v>0.14008072960885753</v>
      </c>
      <c r="U584" s="16">
        <f t="shared" si="113"/>
        <v>79.250106277289504</v>
      </c>
      <c r="V584" s="17">
        <f t="shared" si="114"/>
        <v>0.1668827854851884</v>
      </c>
      <c r="W584" s="16">
        <f t="shared" si="109"/>
        <v>600778.02774667821</v>
      </c>
      <c r="X584">
        <f>('Hybrid Info'!$A$2-Track!P584)*(L584-L583)*1000+X583</f>
        <v>-27136.502835204916</v>
      </c>
    </row>
    <row r="585" spans="1:24">
      <c r="A585" s="16">
        <f t="shared" si="110"/>
        <v>584</v>
      </c>
      <c r="B585" s="17">
        <f t="shared" si="111"/>
        <v>13.411199999999999</v>
      </c>
      <c r="C585" s="16">
        <f>Specification!$G$29</f>
        <v>164.943378</v>
      </c>
      <c r="D585" s="17">
        <f>0.5*Specification!$K$4*Track!B585^2*Specification!$K$3*Specification!$K$2</f>
        <v>93.159842569492653</v>
      </c>
      <c r="E585" s="16">
        <v>0</v>
      </c>
      <c r="F585" s="17">
        <f>Specification!$C$23*9.81*SIN((E585*PI()/180))</f>
        <v>0</v>
      </c>
      <c r="G585" s="18">
        <f>IF(J585=1,VLOOKUP(K585,RPM!$E$2:$H$62,3,FALSE)-F585-E585-D585,IF(J585=2,VLOOKUP(K585,RPM!$H$2:$K$62,3,FALSE)-F585-E585-D585,IF(J585=3,VLOOKUP(K585,RPM!$K$2:$N$62,3,FALSE)-F585-E585-D585)))</f>
        <v>549.56217903827155</v>
      </c>
      <c r="H585" s="19">
        <f>IF(J585=1,Specification!$I$14,IF(J585=2,Specification!$I$15,IF(J585=3,Specification!$I$16)))</f>
        <v>578.93404261974786</v>
      </c>
      <c r="I585" s="16">
        <f t="shared" si="105"/>
        <v>0</v>
      </c>
      <c r="J585" s="17">
        <v>3</v>
      </c>
      <c r="K585" s="16">
        <f>IF(J585=1,VLOOKUP(B585,RPM!$F$2:$H$62,3,TRUE),IF(J585=2,VLOOKUP(B585,RPM!$I$2:$K$62,3,TRUE),IF(J585=3,VLOOKUP(B585,RPM!$L$2:$N$62,3,TRUE))))</f>
        <v>4300</v>
      </c>
      <c r="L585" s="17">
        <f t="shared" si="103"/>
        <v>47.821033530471816</v>
      </c>
      <c r="M585" s="16">
        <f t="shared" si="102"/>
        <v>0</v>
      </c>
      <c r="N585" s="17">
        <f>VLOOKUP(K585,RPM!$A$2:$D$62,3,FALSE)</f>
        <v>11.4</v>
      </c>
      <c r="O585" s="16">
        <f>VLOOKUP(K585,RPM!$A$2:$D$62,4,FALSE)</f>
        <v>18.894837209302327</v>
      </c>
      <c r="P585" s="17">
        <f t="shared" si="106"/>
        <v>14.089880106976747</v>
      </c>
      <c r="Q585" s="16" cm="1">
        <f t="array" ref="Q585">_xlfn.XLOOKUP(O585,BSFC!$A$2:$A$24,_xlfn.XLOOKUP(K585,BSFC!$B$1:$O$1,BSFC!$B$2:$O$24,,-1),,-1)</f>
        <v>480</v>
      </c>
      <c r="R585" s="17">
        <f t="shared" si="107"/>
        <v>1.8786506809302328</v>
      </c>
      <c r="S585" s="16">
        <f t="shared" si="108"/>
        <v>2.9183485335178652E-4</v>
      </c>
      <c r="T585" s="17">
        <f t="shared" si="112"/>
        <v>0.14008072960885753</v>
      </c>
      <c r="U585" s="16">
        <f t="shared" si="113"/>
        <v>79.390187006898358</v>
      </c>
      <c r="V585" s="17">
        <f t="shared" si="114"/>
        <v>0.16717462033854019</v>
      </c>
      <c r="W585" s="16">
        <f t="shared" si="109"/>
        <v>601828.63321874465</v>
      </c>
      <c r="X585">
        <f>('Hybrid Info'!$A$2-Track!P585)*(L585-L584)*1000+X584</f>
        <v>-27283.352148554332</v>
      </c>
    </row>
    <row r="586" spans="1:24">
      <c r="A586" s="16">
        <f t="shared" si="110"/>
        <v>585</v>
      </c>
      <c r="B586" s="17">
        <f t="shared" si="111"/>
        <v>13.411199999999999</v>
      </c>
      <c r="C586" s="16">
        <f>Specification!$G$29</f>
        <v>164.943378</v>
      </c>
      <c r="D586" s="17">
        <f>0.5*Specification!$K$4*Track!B586^2*Specification!$K$3*Specification!$K$2</f>
        <v>93.159842569492653</v>
      </c>
      <c r="E586" s="16">
        <v>0</v>
      </c>
      <c r="F586" s="17">
        <f>Specification!$C$23*9.81*SIN((E586*PI()/180))</f>
        <v>0</v>
      </c>
      <c r="G586" s="18">
        <f>IF(J586=1,VLOOKUP(K586,RPM!$E$2:$H$62,3,FALSE)-F586-E586-D586,IF(J586=2,VLOOKUP(K586,RPM!$H$2:$K$62,3,FALSE)-F586-E586-D586,IF(J586=3,VLOOKUP(K586,RPM!$K$2:$N$62,3,FALSE)-F586-E586-D586)))</f>
        <v>549.56217903827155</v>
      </c>
      <c r="H586" s="19">
        <f>IF(J586=1,Specification!$I$14,IF(J586=2,Specification!$I$15,IF(J586=3,Specification!$I$16)))</f>
        <v>578.93404261974786</v>
      </c>
      <c r="I586" s="16">
        <f t="shared" si="105"/>
        <v>0</v>
      </c>
      <c r="J586" s="17">
        <v>3</v>
      </c>
      <c r="K586" s="16">
        <f>IF(J586=1,VLOOKUP(B586,RPM!$F$2:$H$62,3,TRUE),IF(J586=2,VLOOKUP(B586,RPM!$I$2:$K$62,3,TRUE),IF(J586=3,VLOOKUP(B586,RPM!$L$2:$N$62,3,TRUE))))</f>
        <v>4300</v>
      </c>
      <c r="L586" s="17">
        <f t="shared" si="103"/>
        <v>47.895598073540299</v>
      </c>
      <c r="M586" s="16">
        <f t="shared" si="102"/>
        <v>0</v>
      </c>
      <c r="N586" s="17">
        <f>VLOOKUP(K586,RPM!$A$2:$D$62,3,FALSE)</f>
        <v>11.4</v>
      </c>
      <c r="O586" s="16">
        <f>VLOOKUP(K586,RPM!$A$2:$D$62,4,FALSE)</f>
        <v>18.894837209302327</v>
      </c>
      <c r="P586" s="17">
        <f t="shared" si="106"/>
        <v>14.089880106976747</v>
      </c>
      <c r="Q586" s="16" cm="1">
        <f t="array" ref="Q586">_xlfn.XLOOKUP(O586,BSFC!$A$2:$A$24,_xlfn.XLOOKUP(K586,BSFC!$B$1:$O$1,BSFC!$B$2:$O$24,,-1),,-1)</f>
        <v>480</v>
      </c>
      <c r="R586" s="17">
        <f t="shared" si="107"/>
        <v>1.8786506809302328</v>
      </c>
      <c r="S586" s="16">
        <f t="shared" si="108"/>
        <v>2.9183485335178652E-4</v>
      </c>
      <c r="T586" s="17">
        <f t="shared" si="112"/>
        <v>0.14008072960885753</v>
      </c>
      <c r="U586" s="16">
        <f t="shared" si="113"/>
        <v>79.530267736507213</v>
      </c>
      <c r="V586" s="17">
        <f t="shared" si="114"/>
        <v>0.16746645519189199</v>
      </c>
      <c r="W586" s="16">
        <f t="shared" si="109"/>
        <v>602879.23869081109</v>
      </c>
      <c r="X586">
        <f>('Hybrid Info'!$A$2-Track!P586)*(L586-L585)*1000+X585</f>
        <v>-27430.201461903747</v>
      </c>
    </row>
    <row r="587" spans="1:24">
      <c r="A587" s="16">
        <f t="shared" si="110"/>
        <v>586</v>
      </c>
      <c r="B587" s="17">
        <f t="shared" si="111"/>
        <v>13.411199999999999</v>
      </c>
      <c r="C587" s="16">
        <f>Specification!$G$29</f>
        <v>164.943378</v>
      </c>
      <c r="D587" s="17">
        <f>0.5*Specification!$K$4*Track!B587^2*Specification!$K$3*Specification!$K$2</f>
        <v>93.159842569492653</v>
      </c>
      <c r="E587" s="16">
        <v>0</v>
      </c>
      <c r="F587" s="17">
        <f>Specification!$C$23*9.81*SIN((E587*PI()/180))</f>
        <v>0</v>
      </c>
      <c r="G587" s="18">
        <f>IF(J587=1,VLOOKUP(K587,RPM!$E$2:$H$62,3,FALSE)-F587-E587-D587,IF(J587=2,VLOOKUP(K587,RPM!$H$2:$K$62,3,FALSE)-F587-E587-D587,IF(J587=3,VLOOKUP(K587,RPM!$K$2:$N$62,3,FALSE)-F587-E587-D587)))</f>
        <v>549.56217903827155</v>
      </c>
      <c r="H587" s="19">
        <f>IF(J587=1,Specification!$I$14,IF(J587=2,Specification!$I$15,IF(J587=3,Specification!$I$16)))</f>
        <v>578.93404261974786</v>
      </c>
      <c r="I587" s="16">
        <f t="shared" si="105"/>
        <v>0</v>
      </c>
      <c r="J587" s="17">
        <v>3</v>
      </c>
      <c r="K587" s="16">
        <f>IF(J587=1,VLOOKUP(B587,RPM!$F$2:$H$62,3,TRUE),IF(J587=2,VLOOKUP(B587,RPM!$I$2:$K$62,3,TRUE),IF(J587=3,VLOOKUP(B587,RPM!$L$2:$N$62,3,TRUE))))</f>
        <v>4300</v>
      </c>
      <c r="L587" s="17">
        <f t="shared" si="103"/>
        <v>47.970162616608782</v>
      </c>
      <c r="M587" s="16">
        <f t="shared" ref="M587:M650" si="115">TAN(E587*PI()/180)+M586</f>
        <v>0</v>
      </c>
      <c r="N587" s="17">
        <f>VLOOKUP(K587,RPM!$A$2:$D$62,3,FALSE)</f>
        <v>11.4</v>
      </c>
      <c r="O587" s="16">
        <f>VLOOKUP(K587,RPM!$A$2:$D$62,4,FALSE)</f>
        <v>18.894837209302327</v>
      </c>
      <c r="P587" s="17">
        <f t="shared" si="106"/>
        <v>14.089880106976747</v>
      </c>
      <c r="Q587" s="16" cm="1">
        <f t="array" ref="Q587">_xlfn.XLOOKUP(O587,BSFC!$A$2:$A$24,_xlfn.XLOOKUP(K587,BSFC!$B$1:$O$1,BSFC!$B$2:$O$24,,-1),,-1)</f>
        <v>480</v>
      </c>
      <c r="R587" s="17">
        <f t="shared" si="107"/>
        <v>1.8786506809302328</v>
      </c>
      <c r="S587" s="16">
        <f t="shared" si="108"/>
        <v>2.9183485335178652E-4</v>
      </c>
      <c r="T587" s="17">
        <f t="shared" si="112"/>
        <v>0.14008072960885753</v>
      </c>
      <c r="U587" s="16">
        <f t="shared" si="113"/>
        <v>79.670348466116067</v>
      </c>
      <c r="V587" s="17">
        <f t="shared" si="114"/>
        <v>0.16775829004524379</v>
      </c>
      <c r="W587" s="16">
        <f t="shared" si="109"/>
        <v>603929.84416287765</v>
      </c>
      <c r="X587">
        <f>('Hybrid Info'!$A$2-Track!P587)*(L587-L586)*1000+X586</f>
        <v>-27577.050775253163</v>
      </c>
    </row>
    <row r="588" spans="1:24">
      <c r="A588" s="16">
        <f t="shared" si="110"/>
        <v>587</v>
      </c>
      <c r="B588" s="17">
        <f t="shared" si="111"/>
        <v>13.411199999999999</v>
      </c>
      <c r="C588" s="16">
        <f>Specification!$G$29</f>
        <v>164.943378</v>
      </c>
      <c r="D588" s="17">
        <f>0.5*Specification!$K$4*Track!B588^2*Specification!$K$3*Specification!$K$2</f>
        <v>93.159842569492653</v>
      </c>
      <c r="E588" s="16">
        <v>0</v>
      </c>
      <c r="F588" s="17">
        <f>Specification!$C$23*9.81*SIN((E588*PI()/180))</f>
        <v>0</v>
      </c>
      <c r="G588" s="18">
        <f>IF(J588=1,VLOOKUP(K588,RPM!$E$2:$H$62,3,FALSE)-F588-E588-D588,IF(J588=2,VLOOKUP(K588,RPM!$H$2:$K$62,3,FALSE)-F588-E588-D588,IF(J588=3,VLOOKUP(K588,RPM!$K$2:$N$62,3,FALSE)-F588-E588-D588)))</f>
        <v>549.56217903827155</v>
      </c>
      <c r="H588" s="19">
        <f>IF(J588=1,Specification!$I$14,IF(J588=2,Specification!$I$15,IF(J588=3,Specification!$I$16)))</f>
        <v>578.93404261974786</v>
      </c>
      <c r="I588" s="16">
        <f t="shared" si="105"/>
        <v>0</v>
      </c>
      <c r="J588" s="17">
        <v>3</v>
      </c>
      <c r="K588" s="16">
        <f>IF(J588=1,VLOOKUP(B588,RPM!$F$2:$H$62,3,TRUE),IF(J588=2,VLOOKUP(B588,RPM!$I$2:$K$62,3,TRUE),IF(J588=3,VLOOKUP(B588,RPM!$L$2:$N$62,3,TRUE))))</f>
        <v>4300</v>
      </c>
      <c r="L588" s="17">
        <f t="shared" si="103"/>
        <v>48.044727159677265</v>
      </c>
      <c r="M588" s="16">
        <f t="shared" si="115"/>
        <v>0</v>
      </c>
      <c r="N588" s="17">
        <f>VLOOKUP(K588,RPM!$A$2:$D$62,3,FALSE)</f>
        <v>11.4</v>
      </c>
      <c r="O588" s="16">
        <f>VLOOKUP(K588,RPM!$A$2:$D$62,4,FALSE)</f>
        <v>18.894837209302327</v>
      </c>
      <c r="P588" s="17">
        <f t="shared" si="106"/>
        <v>14.089880106976747</v>
      </c>
      <c r="Q588" s="16" cm="1">
        <f t="array" ref="Q588">_xlfn.XLOOKUP(O588,BSFC!$A$2:$A$24,_xlfn.XLOOKUP(K588,BSFC!$B$1:$O$1,BSFC!$B$2:$O$24,,-1),,-1)</f>
        <v>480</v>
      </c>
      <c r="R588" s="17">
        <f t="shared" si="107"/>
        <v>1.8786506809302328</v>
      </c>
      <c r="S588" s="16">
        <f t="shared" si="108"/>
        <v>2.9183485335178652E-4</v>
      </c>
      <c r="T588" s="17">
        <f t="shared" si="112"/>
        <v>0.14008072960885753</v>
      </c>
      <c r="U588" s="16">
        <f t="shared" si="113"/>
        <v>79.810429195724922</v>
      </c>
      <c r="V588" s="17">
        <f t="shared" si="114"/>
        <v>0.16805012489859558</v>
      </c>
      <c r="W588" s="16">
        <f t="shared" si="109"/>
        <v>604980.44963494409</v>
      </c>
      <c r="X588">
        <f>('Hybrid Info'!$A$2-Track!P588)*(L588-L587)*1000+X587</f>
        <v>-27723.900088602579</v>
      </c>
    </row>
    <row r="589" spans="1:24">
      <c r="A589" s="16">
        <f t="shared" si="110"/>
        <v>588</v>
      </c>
      <c r="B589" s="17">
        <f t="shared" si="111"/>
        <v>13.411199999999999</v>
      </c>
      <c r="C589" s="16">
        <f>Specification!$G$29</f>
        <v>164.943378</v>
      </c>
      <c r="D589" s="17">
        <f>0.5*Specification!$K$4*Track!B589^2*Specification!$K$3*Specification!$K$2</f>
        <v>93.159842569492653</v>
      </c>
      <c r="E589" s="16">
        <v>0</v>
      </c>
      <c r="F589" s="17">
        <f>Specification!$C$23*9.81*SIN((E589*PI()/180))</f>
        <v>0</v>
      </c>
      <c r="G589" s="18">
        <f>IF(J589=1,VLOOKUP(K589,RPM!$E$2:$H$62,3,FALSE)-F589-E589-D589,IF(J589=2,VLOOKUP(K589,RPM!$H$2:$K$62,3,FALSE)-F589-E589-D589,IF(J589=3,VLOOKUP(K589,RPM!$K$2:$N$62,3,FALSE)-F589-E589-D589)))</f>
        <v>549.56217903827155</v>
      </c>
      <c r="H589" s="19">
        <f>IF(J589=1,Specification!$I$14,IF(J589=2,Specification!$I$15,IF(J589=3,Specification!$I$16)))</f>
        <v>578.93404261974786</v>
      </c>
      <c r="I589" s="16">
        <f t="shared" si="105"/>
        <v>0</v>
      </c>
      <c r="J589" s="17">
        <v>3</v>
      </c>
      <c r="K589" s="16">
        <f>IF(J589=1,VLOOKUP(B589,RPM!$F$2:$H$62,3,TRUE),IF(J589=2,VLOOKUP(B589,RPM!$I$2:$K$62,3,TRUE),IF(J589=3,VLOOKUP(B589,RPM!$L$2:$N$62,3,TRUE))))</f>
        <v>4300</v>
      </c>
      <c r="L589" s="17">
        <f t="shared" ref="L589:L652" si="116">IF(I589=0,ABS(1/B589)+L588,IF(ABS(B590-B589)=0,1/B589+L588,ABS((B590-B589)/I589)+L588))</f>
        <v>48.119291702745748</v>
      </c>
      <c r="M589" s="16">
        <f t="shared" si="115"/>
        <v>0</v>
      </c>
      <c r="N589" s="17">
        <f>VLOOKUP(K589,RPM!$A$2:$D$62,3,FALSE)</f>
        <v>11.4</v>
      </c>
      <c r="O589" s="16">
        <f>VLOOKUP(K589,RPM!$A$2:$D$62,4,FALSE)</f>
        <v>18.894837209302327</v>
      </c>
      <c r="P589" s="17">
        <f t="shared" si="106"/>
        <v>14.089880106976747</v>
      </c>
      <c r="Q589" s="16" cm="1">
        <f t="array" ref="Q589">_xlfn.XLOOKUP(O589,BSFC!$A$2:$A$24,_xlfn.XLOOKUP(K589,BSFC!$B$1:$O$1,BSFC!$B$2:$O$24,,-1),,-1)</f>
        <v>480</v>
      </c>
      <c r="R589" s="17">
        <f t="shared" si="107"/>
        <v>1.8786506809302328</v>
      </c>
      <c r="S589" s="16">
        <f t="shared" si="108"/>
        <v>2.9183485335178652E-4</v>
      </c>
      <c r="T589" s="17">
        <f t="shared" si="112"/>
        <v>0.14008072960885753</v>
      </c>
      <c r="U589" s="16">
        <f t="shared" si="113"/>
        <v>79.950509925333776</v>
      </c>
      <c r="V589" s="17">
        <f t="shared" si="114"/>
        <v>0.16834195975194738</v>
      </c>
      <c r="W589" s="16">
        <f t="shared" si="109"/>
        <v>606031.05510701053</v>
      </c>
      <c r="X589">
        <f>('Hybrid Info'!$A$2-Track!P589)*(L589-L588)*1000+X588</f>
        <v>-27870.749401951995</v>
      </c>
    </row>
    <row r="590" spans="1:24">
      <c r="A590" s="16">
        <f t="shared" si="110"/>
        <v>589</v>
      </c>
      <c r="B590" s="17">
        <f t="shared" si="111"/>
        <v>13.411199999999999</v>
      </c>
      <c r="C590" s="16">
        <f>Specification!$G$29</f>
        <v>164.943378</v>
      </c>
      <c r="D590" s="17">
        <f>0.5*Specification!$K$4*Track!B590^2*Specification!$K$3*Specification!$K$2</f>
        <v>93.159842569492653</v>
      </c>
      <c r="E590" s="16">
        <v>0</v>
      </c>
      <c r="F590" s="17">
        <f>Specification!$C$23*9.81*SIN((E590*PI()/180))</f>
        <v>0</v>
      </c>
      <c r="G590" s="18">
        <f>IF(J590=1,VLOOKUP(K590,RPM!$E$2:$H$62,3,FALSE)-F590-E590-D590,IF(J590=2,VLOOKUP(K590,RPM!$H$2:$K$62,3,FALSE)-F590-E590-D590,IF(J590=3,VLOOKUP(K590,RPM!$K$2:$N$62,3,FALSE)-F590-E590-D590)))</f>
        <v>549.56217903827155</v>
      </c>
      <c r="H590" s="19">
        <f>IF(J590=1,Specification!$I$14,IF(J590=2,Specification!$I$15,IF(J590=3,Specification!$I$16)))</f>
        <v>578.93404261974786</v>
      </c>
      <c r="I590" s="16">
        <f t="shared" si="105"/>
        <v>0</v>
      </c>
      <c r="J590" s="17">
        <v>3</v>
      </c>
      <c r="K590" s="16">
        <f>IF(J590=1,VLOOKUP(B590,RPM!$F$2:$H$62,3,TRUE),IF(J590=2,VLOOKUP(B590,RPM!$I$2:$K$62,3,TRUE),IF(J590=3,VLOOKUP(B590,RPM!$L$2:$N$62,3,TRUE))))</f>
        <v>4300</v>
      </c>
      <c r="L590" s="17">
        <f t="shared" si="116"/>
        <v>48.193856245814231</v>
      </c>
      <c r="M590" s="16">
        <f t="shared" si="115"/>
        <v>0</v>
      </c>
      <c r="N590" s="17">
        <f>VLOOKUP(K590,RPM!$A$2:$D$62,3,FALSE)</f>
        <v>11.4</v>
      </c>
      <c r="O590" s="16">
        <f>VLOOKUP(K590,RPM!$A$2:$D$62,4,FALSE)</f>
        <v>18.894837209302327</v>
      </c>
      <c r="P590" s="17">
        <f t="shared" si="106"/>
        <v>14.089880106976747</v>
      </c>
      <c r="Q590" s="16" cm="1">
        <f t="array" ref="Q590">_xlfn.XLOOKUP(O590,BSFC!$A$2:$A$24,_xlfn.XLOOKUP(K590,BSFC!$B$1:$O$1,BSFC!$B$2:$O$24,,-1),,-1)</f>
        <v>480</v>
      </c>
      <c r="R590" s="17">
        <f t="shared" si="107"/>
        <v>1.8786506809302328</v>
      </c>
      <c r="S590" s="16">
        <f t="shared" si="108"/>
        <v>2.9183485335178652E-4</v>
      </c>
      <c r="T590" s="17">
        <f t="shared" si="112"/>
        <v>0.14008072960885753</v>
      </c>
      <c r="U590" s="16">
        <f t="shared" si="113"/>
        <v>80.090590654942631</v>
      </c>
      <c r="V590" s="17">
        <f t="shared" si="114"/>
        <v>0.16863379460529918</v>
      </c>
      <c r="W590" s="16">
        <f t="shared" si="109"/>
        <v>607081.66057907708</v>
      </c>
      <c r="X590">
        <f>('Hybrid Info'!$A$2-Track!P590)*(L590-L589)*1000+X589</f>
        <v>-28017.59871530141</v>
      </c>
    </row>
    <row r="591" spans="1:24">
      <c r="A591" s="16">
        <f t="shared" si="110"/>
        <v>590</v>
      </c>
      <c r="B591" s="17">
        <f t="shared" si="111"/>
        <v>13.411199999999999</v>
      </c>
      <c r="C591" s="16">
        <f>Specification!$G$29</f>
        <v>164.943378</v>
      </c>
      <c r="D591" s="17">
        <f>0.5*Specification!$K$4*Track!B591^2*Specification!$K$3*Specification!$K$2</f>
        <v>93.159842569492653</v>
      </c>
      <c r="E591" s="16">
        <v>0</v>
      </c>
      <c r="F591" s="17">
        <f>Specification!$C$23*9.81*SIN((E591*PI()/180))</f>
        <v>0</v>
      </c>
      <c r="G591" s="18">
        <f>IF(J591=1,VLOOKUP(K591,RPM!$E$2:$H$62,3,FALSE)-F591-E591-D591,IF(J591=2,VLOOKUP(K591,RPM!$H$2:$K$62,3,FALSE)-F591-E591-D591,IF(J591=3,VLOOKUP(K591,RPM!$K$2:$N$62,3,FALSE)-F591-E591-D591)))</f>
        <v>549.56217903827155</v>
      </c>
      <c r="H591" s="19">
        <f>IF(J591=1,Specification!$I$14,IF(J591=2,Specification!$I$15,IF(J591=3,Specification!$I$16)))</f>
        <v>578.93404261974786</v>
      </c>
      <c r="I591" s="16">
        <f t="shared" si="105"/>
        <v>0</v>
      </c>
      <c r="J591" s="17">
        <v>3</v>
      </c>
      <c r="K591" s="16">
        <f>IF(J591=1,VLOOKUP(B591,RPM!$F$2:$H$62,3,TRUE),IF(J591=2,VLOOKUP(B591,RPM!$I$2:$K$62,3,TRUE),IF(J591=3,VLOOKUP(B591,RPM!$L$2:$N$62,3,TRUE))))</f>
        <v>4300</v>
      </c>
      <c r="L591" s="17">
        <f t="shared" si="116"/>
        <v>48.268420788882715</v>
      </c>
      <c r="M591" s="16">
        <f t="shared" si="115"/>
        <v>0</v>
      </c>
      <c r="N591" s="17">
        <f>VLOOKUP(K591,RPM!$A$2:$D$62,3,FALSE)</f>
        <v>11.4</v>
      </c>
      <c r="O591" s="16">
        <f>VLOOKUP(K591,RPM!$A$2:$D$62,4,FALSE)</f>
        <v>18.894837209302327</v>
      </c>
      <c r="P591" s="17">
        <f t="shared" si="106"/>
        <v>14.089880106976747</v>
      </c>
      <c r="Q591" s="16" cm="1">
        <f t="array" ref="Q591">_xlfn.XLOOKUP(O591,BSFC!$A$2:$A$24,_xlfn.XLOOKUP(K591,BSFC!$B$1:$O$1,BSFC!$B$2:$O$24,,-1),,-1)</f>
        <v>480</v>
      </c>
      <c r="R591" s="17">
        <f t="shared" si="107"/>
        <v>1.8786506809302328</v>
      </c>
      <c r="S591" s="16">
        <f t="shared" si="108"/>
        <v>2.9183485335178652E-4</v>
      </c>
      <c r="T591" s="17">
        <f t="shared" si="112"/>
        <v>0.14008072960885753</v>
      </c>
      <c r="U591" s="16">
        <f t="shared" si="113"/>
        <v>80.230671384551485</v>
      </c>
      <c r="V591" s="17">
        <f t="shared" si="114"/>
        <v>0.16892562945865097</v>
      </c>
      <c r="W591" s="16">
        <f t="shared" si="109"/>
        <v>608132.26605114352</v>
      </c>
      <c r="X591">
        <f>('Hybrid Info'!$A$2-Track!P591)*(L591-L590)*1000+X590</f>
        <v>-28164.448028650826</v>
      </c>
    </row>
    <row r="592" spans="1:24">
      <c r="A592" s="16">
        <f t="shared" si="110"/>
        <v>591</v>
      </c>
      <c r="B592" s="17">
        <f t="shared" si="111"/>
        <v>13.411199999999999</v>
      </c>
      <c r="C592" s="16">
        <f>Specification!$G$29</f>
        <v>164.943378</v>
      </c>
      <c r="D592" s="17">
        <f>0.5*Specification!$K$4*Track!B592^2*Specification!$K$3*Specification!$K$2</f>
        <v>93.159842569492653</v>
      </c>
      <c r="E592" s="16">
        <v>0</v>
      </c>
      <c r="F592" s="17">
        <f>Specification!$C$23*9.81*SIN((E592*PI()/180))</f>
        <v>0</v>
      </c>
      <c r="G592" s="18">
        <f>IF(J592=1,VLOOKUP(K592,RPM!$E$2:$H$62,3,FALSE)-F592-E592-D592,IF(J592=2,VLOOKUP(K592,RPM!$H$2:$K$62,3,FALSE)-F592-E592-D592,IF(J592=3,VLOOKUP(K592,RPM!$K$2:$N$62,3,FALSE)-F592-E592-D592)))</f>
        <v>549.56217903827155</v>
      </c>
      <c r="H592" s="19">
        <f>IF(J592=1,Specification!$I$14,IF(J592=2,Specification!$I$15,IF(J592=3,Specification!$I$16)))</f>
        <v>578.93404261974786</v>
      </c>
      <c r="I592" s="16">
        <f t="shared" si="105"/>
        <v>0</v>
      </c>
      <c r="J592" s="17">
        <v>3</v>
      </c>
      <c r="K592" s="16">
        <f>IF(J592=1,VLOOKUP(B592,RPM!$F$2:$H$62,3,TRUE),IF(J592=2,VLOOKUP(B592,RPM!$I$2:$K$62,3,TRUE),IF(J592=3,VLOOKUP(B592,RPM!$L$2:$N$62,3,TRUE))))</f>
        <v>4300</v>
      </c>
      <c r="L592" s="17">
        <f t="shared" si="116"/>
        <v>48.342985331951198</v>
      </c>
      <c r="M592" s="16">
        <f t="shared" si="115"/>
        <v>0</v>
      </c>
      <c r="N592" s="17">
        <f>VLOOKUP(K592,RPM!$A$2:$D$62,3,FALSE)</f>
        <v>11.4</v>
      </c>
      <c r="O592" s="16">
        <f>VLOOKUP(K592,RPM!$A$2:$D$62,4,FALSE)</f>
        <v>18.894837209302327</v>
      </c>
      <c r="P592" s="17">
        <f t="shared" si="106"/>
        <v>14.089880106976747</v>
      </c>
      <c r="Q592" s="16" cm="1">
        <f t="array" ref="Q592">_xlfn.XLOOKUP(O592,BSFC!$A$2:$A$24,_xlfn.XLOOKUP(K592,BSFC!$B$1:$O$1,BSFC!$B$2:$O$24,,-1),,-1)</f>
        <v>480</v>
      </c>
      <c r="R592" s="17">
        <f t="shared" si="107"/>
        <v>1.8786506809302328</v>
      </c>
      <c r="S592" s="16">
        <f t="shared" si="108"/>
        <v>2.9183485335178652E-4</v>
      </c>
      <c r="T592" s="17">
        <f t="shared" si="112"/>
        <v>0.14008072960885753</v>
      </c>
      <c r="U592" s="16">
        <f t="shared" si="113"/>
        <v>80.370752114160339</v>
      </c>
      <c r="V592" s="17">
        <f t="shared" si="114"/>
        <v>0.16921746431200277</v>
      </c>
      <c r="W592" s="16">
        <f t="shared" si="109"/>
        <v>609182.87152320996</v>
      </c>
      <c r="X592">
        <f>('Hybrid Info'!$A$2-Track!P592)*(L592-L591)*1000+X591</f>
        <v>-28311.297342000242</v>
      </c>
    </row>
    <row r="593" spans="1:24">
      <c r="A593" s="16">
        <f t="shared" si="110"/>
        <v>592</v>
      </c>
      <c r="B593" s="17">
        <f t="shared" si="111"/>
        <v>13.411199999999999</v>
      </c>
      <c r="C593" s="16">
        <f>Specification!$G$29</f>
        <v>164.943378</v>
      </c>
      <c r="D593" s="17">
        <f>0.5*Specification!$K$4*Track!B593^2*Specification!$K$3*Specification!$K$2</f>
        <v>93.159842569492653</v>
      </c>
      <c r="E593" s="16">
        <v>0</v>
      </c>
      <c r="F593" s="17">
        <f>Specification!$C$23*9.81*SIN((E593*PI()/180))</f>
        <v>0</v>
      </c>
      <c r="G593" s="18">
        <f>IF(J593=1,VLOOKUP(K593,RPM!$E$2:$H$62,3,FALSE)-F593-E593-D593,IF(J593=2,VLOOKUP(K593,RPM!$H$2:$K$62,3,FALSE)-F593-E593-D593,IF(J593=3,VLOOKUP(K593,RPM!$K$2:$N$62,3,FALSE)-F593-E593-D593)))</f>
        <v>549.56217903827155</v>
      </c>
      <c r="H593" s="19">
        <f>IF(J593=1,Specification!$I$14,IF(J593=2,Specification!$I$15,IF(J593=3,Specification!$I$16)))</f>
        <v>578.93404261974786</v>
      </c>
      <c r="I593" s="16">
        <f t="shared" si="105"/>
        <v>0</v>
      </c>
      <c r="J593" s="17">
        <v>3</v>
      </c>
      <c r="K593" s="16">
        <f>IF(J593=1,VLOOKUP(B593,RPM!$F$2:$H$62,3,TRUE),IF(J593=2,VLOOKUP(B593,RPM!$I$2:$K$62,3,TRUE),IF(J593=3,VLOOKUP(B593,RPM!$L$2:$N$62,3,TRUE))))</f>
        <v>4300</v>
      </c>
      <c r="L593" s="17">
        <f t="shared" si="116"/>
        <v>48.417549875019681</v>
      </c>
      <c r="M593" s="16">
        <f t="shared" si="115"/>
        <v>0</v>
      </c>
      <c r="N593" s="17">
        <f>VLOOKUP(K593,RPM!$A$2:$D$62,3,FALSE)</f>
        <v>11.4</v>
      </c>
      <c r="O593" s="16">
        <f>VLOOKUP(K593,RPM!$A$2:$D$62,4,FALSE)</f>
        <v>18.894837209302327</v>
      </c>
      <c r="P593" s="17">
        <f t="shared" si="106"/>
        <v>14.089880106976747</v>
      </c>
      <c r="Q593" s="16" cm="1">
        <f t="array" ref="Q593">_xlfn.XLOOKUP(O593,BSFC!$A$2:$A$24,_xlfn.XLOOKUP(K593,BSFC!$B$1:$O$1,BSFC!$B$2:$O$24,,-1),,-1)</f>
        <v>480</v>
      </c>
      <c r="R593" s="17">
        <f t="shared" si="107"/>
        <v>1.8786506809302328</v>
      </c>
      <c r="S593" s="16">
        <f t="shared" si="108"/>
        <v>2.9183485335178652E-4</v>
      </c>
      <c r="T593" s="17">
        <f t="shared" si="112"/>
        <v>0.14008072960885753</v>
      </c>
      <c r="U593" s="16">
        <f t="shared" si="113"/>
        <v>80.510832843769194</v>
      </c>
      <c r="V593" s="17">
        <f t="shared" si="114"/>
        <v>0.16950929916535457</v>
      </c>
      <c r="W593" s="16">
        <f t="shared" si="109"/>
        <v>610233.47699527652</v>
      </c>
      <c r="X593">
        <f>('Hybrid Info'!$A$2-Track!P593)*(L593-L592)*1000+X592</f>
        <v>-28458.146655349658</v>
      </c>
    </row>
    <row r="594" spans="1:24">
      <c r="A594" s="16">
        <f t="shared" si="110"/>
        <v>593</v>
      </c>
      <c r="B594" s="17">
        <f t="shared" si="111"/>
        <v>13.411199999999999</v>
      </c>
      <c r="C594" s="16">
        <f>Specification!$G$29</f>
        <v>164.943378</v>
      </c>
      <c r="D594" s="17">
        <f>0.5*Specification!$K$4*Track!B594^2*Specification!$K$3*Specification!$K$2</f>
        <v>93.159842569492653</v>
      </c>
      <c r="E594" s="16">
        <v>0</v>
      </c>
      <c r="F594" s="17">
        <f>Specification!$C$23*9.81*SIN((E594*PI()/180))</f>
        <v>0</v>
      </c>
      <c r="G594" s="18">
        <f>IF(J594=1,VLOOKUP(K594,RPM!$E$2:$H$62,3,FALSE)-F594-E594-D594,IF(J594=2,VLOOKUP(K594,RPM!$H$2:$K$62,3,FALSE)-F594-E594-D594,IF(J594=3,VLOOKUP(K594,RPM!$K$2:$N$62,3,FALSE)-F594-E594-D594)))</f>
        <v>549.56217903827155</v>
      </c>
      <c r="H594" s="19">
        <f>IF(J594=1,Specification!$I$14,IF(J594=2,Specification!$I$15,IF(J594=3,Specification!$I$16)))</f>
        <v>578.93404261974786</v>
      </c>
      <c r="I594" s="16">
        <f t="shared" si="105"/>
        <v>0</v>
      </c>
      <c r="J594" s="17">
        <v>3</v>
      </c>
      <c r="K594" s="16">
        <f>IF(J594=1,VLOOKUP(B594,RPM!$F$2:$H$62,3,TRUE),IF(J594=2,VLOOKUP(B594,RPM!$I$2:$K$62,3,TRUE),IF(J594=3,VLOOKUP(B594,RPM!$L$2:$N$62,3,TRUE))))</f>
        <v>4300</v>
      </c>
      <c r="L594" s="17">
        <f t="shared" si="116"/>
        <v>48.492114418088164</v>
      </c>
      <c r="M594" s="16">
        <f t="shared" si="115"/>
        <v>0</v>
      </c>
      <c r="N594" s="17">
        <f>VLOOKUP(K594,RPM!$A$2:$D$62,3,FALSE)</f>
        <v>11.4</v>
      </c>
      <c r="O594" s="16">
        <f>VLOOKUP(K594,RPM!$A$2:$D$62,4,FALSE)</f>
        <v>18.894837209302327</v>
      </c>
      <c r="P594" s="17">
        <f t="shared" si="106"/>
        <v>14.089880106976747</v>
      </c>
      <c r="Q594" s="16" cm="1">
        <f t="array" ref="Q594">_xlfn.XLOOKUP(O594,BSFC!$A$2:$A$24,_xlfn.XLOOKUP(K594,BSFC!$B$1:$O$1,BSFC!$B$2:$O$24,,-1),,-1)</f>
        <v>480</v>
      </c>
      <c r="R594" s="17">
        <f t="shared" si="107"/>
        <v>1.8786506809302328</v>
      </c>
      <c r="S594" s="16">
        <f t="shared" si="108"/>
        <v>2.9183485335178652E-4</v>
      </c>
      <c r="T594" s="17">
        <f t="shared" si="112"/>
        <v>0.14008072960885753</v>
      </c>
      <c r="U594" s="16">
        <f t="shared" si="113"/>
        <v>80.650913573378048</v>
      </c>
      <c r="V594" s="17">
        <f t="shared" si="114"/>
        <v>0.16980113401870636</v>
      </c>
      <c r="W594" s="16">
        <f t="shared" si="109"/>
        <v>611284.08246734296</v>
      </c>
      <c r="X594">
        <f>('Hybrid Info'!$A$2-Track!P594)*(L594-L593)*1000+X593</f>
        <v>-28604.995968699073</v>
      </c>
    </row>
    <row r="595" spans="1:24">
      <c r="A595" s="16">
        <f t="shared" si="110"/>
        <v>594</v>
      </c>
      <c r="B595" s="17">
        <f t="shared" si="111"/>
        <v>13.411199999999999</v>
      </c>
      <c r="C595" s="16">
        <f>Specification!$G$29</f>
        <v>164.943378</v>
      </c>
      <c r="D595" s="17">
        <f>0.5*Specification!$K$4*Track!B595^2*Specification!$K$3*Specification!$K$2</f>
        <v>93.159842569492653</v>
      </c>
      <c r="E595" s="16">
        <v>1</v>
      </c>
      <c r="F595" s="17">
        <f>Specification!$C$23*9.81*SIN((E595*PI()/180))</f>
        <v>95.955295733149597</v>
      </c>
      <c r="G595" s="18">
        <f>IF(J595=1,VLOOKUP(K595,RPM!$E$2:$H$62,3,FALSE)-F595-E595-D595,IF(J595=2,VLOOKUP(K595,RPM!$H$2:$K$62,3,FALSE)-F595-E595-D595,IF(J595=3,VLOOKUP(K595,RPM!$K$2:$N$62,3,FALSE)-F595-E595-D595)))</f>
        <v>452.60688330512198</v>
      </c>
      <c r="H595" s="19">
        <f>IF(J595=1,Specification!$I$14,IF(J595=2,Specification!$I$15,IF(J595=3,Specification!$I$16)))</f>
        <v>578.93404261974786</v>
      </c>
      <c r="I595" s="16">
        <f t="shared" si="105"/>
        <v>0</v>
      </c>
      <c r="J595" s="17">
        <v>3</v>
      </c>
      <c r="K595" s="16">
        <f>IF(J595=1,VLOOKUP(B595,RPM!$F$2:$H$62,3,TRUE),IF(J595=2,VLOOKUP(B595,RPM!$I$2:$K$62,3,TRUE),IF(J595=3,VLOOKUP(B595,RPM!$L$2:$N$62,3,TRUE))))</f>
        <v>4300</v>
      </c>
      <c r="L595" s="17">
        <f t="shared" si="116"/>
        <v>48.566678961156647</v>
      </c>
      <c r="M595" s="16">
        <f t="shared" si="115"/>
        <v>1.7455064928217585E-2</v>
      </c>
      <c r="N595" s="17">
        <f>VLOOKUP(K595,RPM!$A$2:$D$62,3,FALSE)</f>
        <v>11.4</v>
      </c>
      <c r="O595" s="16">
        <f>VLOOKUP(K595,RPM!$A$2:$D$62,4,FALSE)</f>
        <v>18.894837209302327</v>
      </c>
      <c r="P595" s="17">
        <f t="shared" si="106"/>
        <v>14.089880106976747</v>
      </c>
      <c r="Q595" s="16" cm="1">
        <f t="array" ref="Q595">_xlfn.XLOOKUP(O595,BSFC!$A$2:$A$24,_xlfn.XLOOKUP(K595,BSFC!$B$1:$O$1,BSFC!$B$2:$O$24,,-1),,-1)</f>
        <v>480</v>
      </c>
      <c r="R595" s="17">
        <f t="shared" si="107"/>
        <v>1.8786506809302328</v>
      </c>
      <c r="S595" s="16">
        <f t="shared" si="108"/>
        <v>2.9183485335178652E-4</v>
      </c>
      <c r="T595" s="17">
        <f t="shared" si="112"/>
        <v>0.14008072960885753</v>
      </c>
      <c r="U595" s="16">
        <f t="shared" si="113"/>
        <v>80.790994302986903</v>
      </c>
      <c r="V595" s="17">
        <f t="shared" si="114"/>
        <v>0.17009296887205816</v>
      </c>
      <c r="W595" s="16">
        <f t="shared" si="109"/>
        <v>612334.6879394094</v>
      </c>
      <c r="X595">
        <f>('Hybrid Info'!$A$2-Track!P595)*(L595-L594)*1000+X594</f>
        <v>-28751.845282048489</v>
      </c>
    </row>
    <row r="596" spans="1:24">
      <c r="A596" s="16">
        <f t="shared" si="110"/>
        <v>595</v>
      </c>
      <c r="B596" s="17">
        <f t="shared" si="111"/>
        <v>13.411199999999999</v>
      </c>
      <c r="C596" s="16">
        <f>Specification!$G$29</f>
        <v>164.943378</v>
      </c>
      <c r="D596" s="17">
        <f>0.5*Specification!$K$4*Track!B596^2*Specification!$K$3*Specification!$K$2</f>
        <v>93.159842569492653</v>
      </c>
      <c r="E596" s="16">
        <v>2</v>
      </c>
      <c r="F596" s="17">
        <f>Specification!$C$23*9.81*SIN((E596*PI()/180))</f>
        <v>191.88136255367905</v>
      </c>
      <c r="G596" s="18">
        <f>IF(J596=1,VLOOKUP(K596,RPM!$E$2:$H$62,3,FALSE)-F596-E596-D596,IF(J596=2,VLOOKUP(K596,RPM!$H$2:$K$62,3,FALSE)-F596-E596-D596,IF(J596=3,VLOOKUP(K596,RPM!$K$2:$N$62,3,FALSE)-F596-E596-D596)))</f>
        <v>355.68081648459247</v>
      </c>
      <c r="H596" s="19">
        <f>IF(J596=1,Specification!$I$14,IF(J596=2,Specification!$I$15,IF(J596=3,Specification!$I$16)))</f>
        <v>578.93404261974786</v>
      </c>
      <c r="I596" s="16">
        <f t="shared" si="105"/>
        <v>0</v>
      </c>
      <c r="J596" s="17">
        <v>3</v>
      </c>
      <c r="K596" s="16">
        <f>IF(J596=1,VLOOKUP(B596,RPM!$F$2:$H$62,3,TRUE),IF(J596=2,VLOOKUP(B596,RPM!$I$2:$K$62,3,TRUE),IF(J596=3,VLOOKUP(B596,RPM!$L$2:$N$62,3,TRUE))))</f>
        <v>4300</v>
      </c>
      <c r="L596" s="17">
        <f t="shared" si="116"/>
        <v>48.64124350422513</v>
      </c>
      <c r="M596" s="16">
        <f t="shared" si="115"/>
        <v>5.2375834419965316E-2</v>
      </c>
      <c r="N596" s="17">
        <f>VLOOKUP(K596,RPM!$A$2:$D$62,3,FALSE)</f>
        <v>11.4</v>
      </c>
      <c r="O596" s="16">
        <f>VLOOKUP(K596,RPM!$A$2:$D$62,4,FALSE)</f>
        <v>18.894837209302327</v>
      </c>
      <c r="P596" s="17">
        <f t="shared" si="106"/>
        <v>14.089880106976747</v>
      </c>
      <c r="Q596" s="16" cm="1">
        <f t="array" ref="Q596">_xlfn.XLOOKUP(O596,BSFC!$A$2:$A$24,_xlfn.XLOOKUP(K596,BSFC!$B$1:$O$1,BSFC!$B$2:$O$24,,-1),,-1)</f>
        <v>480</v>
      </c>
      <c r="R596" s="17">
        <f t="shared" si="107"/>
        <v>1.8786506809302328</v>
      </c>
      <c r="S596" s="16">
        <f t="shared" si="108"/>
        <v>2.9183485335178652E-4</v>
      </c>
      <c r="T596" s="17">
        <f t="shared" si="112"/>
        <v>0.14008072960885753</v>
      </c>
      <c r="U596" s="16">
        <f t="shared" si="113"/>
        <v>80.931075032595757</v>
      </c>
      <c r="V596" s="17">
        <f t="shared" si="114"/>
        <v>0.17038480372540996</v>
      </c>
      <c r="W596" s="16">
        <f t="shared" si="109"/>
        <v>613385.29341147584</v>
      </c>
      <c r="X596">
        <f>('Hybrid Info'!$A$2-Track!P596)*(L596-L595)*1000+X595</f>
        <v>-28898.694595397905</v>
      </c>
    </row>
    <row r="597" spans="1:24">
      <c r="A597" s="16">
        <f t="shared" si="110"/>
        <v>596</v>
      </c>
      <c r="B597" s="17">
        <f t="shared" si="111"/>
        <v>13.411199999999999</v>
      </c>
      <c r="C597" s="16">
        <f>Specification!$G$29</f>
        <v>164.943378</v>
      </c>
      <c r="D597" s="17">
        <f>0.5*Specification!$K$4*Track!B597^2*Specification!$K$3*Specification!$K$2</f>
        <v>93.159842569492653</v>
      </c>
      <c r="E597" s="16">
        <v>3</v>
      </c>
      <c r="F597" s="17">
        <f>Specification!$C$23*9.81*SIN((E597*PI()/180))</f>
        <v>287.74898045237813</v>
      </c>
      <c r="G597" s="18">
        <f>IF(J597=1,VLOOKUP(K597,RPM!$E$2:$H$62,3,FALSE)-F597-E597-D597,IF(J597=2,VLOOKUP(K597,RPM!$H$2:$K$62,3,FALSE)-F597-E597-D597,IF(J597=3,VLOOKUP(K597,RPM!$K$2:$N$62,3,FALSE)-F597-E597-D597)))</f>
        <v>258.81319858589342</v>
      </c>
      <c r="H597" s="19">
        <f>IF(J597=1,Specification!$I$14,IF(J597=2,Specification!$I$15,IF(J597=3,Specification!$I$16)))</f>
        <v>578.93404261974786</v>
      </c>
      <c r="I597" s="16">
        <f t="shared" si="105"/>
        <v>0</v>
      </c>
      <c r="J597" s="17">
        <v>3</v>
      </c>
      <c r="K597" s="16">
        <f>IF(J597=1,VLOOKUP(B597,RPM!$F$2:$H$62,3,TRUE),IF(J597=2,VLOOKUP(B597,RPM!$I$2:$K$62,3,TRUE),IF(J597=3,VLOOKUP(B597,RPM!$L$2:$N$62,3,TRUE))))</f>
        <v>4300</v>
      </c>
      <c r="L597" s="17">
        <f t="shared" si="116"/>
        <v>48.715808047293613</v>
      </c>
      <c r="M597" s="16">
        <f t="shared" si="115"/>
        <v>0.10478361370300651</v>
      </c>
      <c r="N597" s="17">
        <f>VLOOKUP(K597,RPM!$A$2:$D$62,3,FALSE)</f>
        <v>11.4</v>
      </c>
      <c r="O597" s="16">
        <f>VLOOKUP(K597,RPM!$A$2:$D$62,4,FALSE)</f>
        <v>18.894837209302327</v>
      </c>
      <c r="P597" s="17">
        <f t="shared" si="106"/>
        <v>14.089880106976747</v>
      </c>
      <c r="Q597" s="16" cm="1">
        <f t="array" ref="Q597">_xlfn.XLOOKUP(O597,BSFC!$A$2:$A$24,_xlfn.XLOOKUP(K597,BSFC!$B$1:$O$1,BSFC!$B$2:$O$24,,-1),,-1)</f>
        <v>480</v>
      </c>
      <c r="R597" s="17">
        <f t="shared" si="107"/>
        <v>1.8786506809302328</v>
      </c>
      <c r="S597" s="16">
        <f t="shared" si="108"/>
        <v>2.9183485335178652E-4</v>
      </c>
      <c r="T597" s="17">
        <f t="shared" si="112"/>
        <v>0.14008072960885753</v>
      </c>
      <c r="U597" s="16">
        <f t="shared" si="113"/>
        <v>81.071155762204612</v>
      </c>
      <c r="V597" s="17">
        <f t="shared" si="114"/>
        <v>0.17067663857876175</v>
      </c>
      <c r="W597" s="16">
        <f t="shared" si="109"/>
        <v>614435.89888354228</v>
      </c>
      <c r="X597">
        <f>('Hybrid Info'!$A$2-Track!P597)*(L597-L596)*1000+X596</f>
        <v>-29045.543908747321</v>
      </c>
    </row>
    <row r="598" spans="1:24">
      <c r="A598" s="16">
        <f t="shared" si="110"/>
        <v>597</v>
      </c>
      <c r="B598" s="17">
        <f t="shared" si="111"/>
        <v>13.411199999999999</v>
      </c>
      <c r="C598" s="16">
        <f>Specification!$G$29</f>
        <v>164.943378</v>
      </c>
      <c r="D598" s="17">
        <f>0.5*Specification!$K$4*Track!B598^2*Specification!$K$3*Specification!$K$2</f>
        <v>93.159842569492653</v>
      </c>
      <c r="E598" s="16">
        <v>4</v>
      </c>
      <c r="F598" s="17">
        <f>Specification!$C$23*9.81*SIN((E598*PI()/180))</f>
        <v>383.52894722414453</v>
      </c>
      <c r="G598" s="18">
        <f>IF(J598=1,VLOOKUP(K598,RPM!$E$2:$H$62,3,FALSE)-F598-E598-D598,IF(J598=2,VLOOKUP(K598,RPM!$H$2:$K$62,3,FALSE)-F598-E598-D598,IF(J598=3,VLOOKUP(K598,RPM!$K$2:$N$62,3,FALSE)-F598-E598-D598)))</f>
        <v>162.03323181412702</v>
      </c>
      <c r="H598" s="19">
        <f>IF(J598=1,Specification!$I$14,IF(J598=2,Specification!$I$15,IF(J598=3,Specification!$I$16)))</f>
        <v>578.93404261974786</v>
      </c>
      <c r="I598" s="16">
        <f t="shared" si="105"/>
        <v>0</v>
      </c>
      <c r="J598" s="17">
        <v>3</v>
      </c>
      <c r="K598" s="16">
        <f>IF(J598=1,VLOOKUP(B598,RPM!$F$2:$H$62,3,TRUE),IF(J598=2,VLOOKUP(B598,RPM!$I$2:$K$62,3,TRUE),IF(J598=3,VLOOKUP(B598,RPM!$L$2:$N$62,3,TRUE))))</f>
        <v>4300</v>
      </c>
      <c r="L598" s="17">
        <f t="shared" si="116"/>
        <v>48.790372590362097</v>
      </c>
      <c r="M598" s="16">
        <f t="shared" si="115"/>
        <v>0.17471042564651693</v>
      </c>
      <c r="N598" s="17">
        <f>VLOOKUP(K598,RPM!$A$2:$D$62,3,FALSE)</f>
        <v>11.4</v>
      </c>
      <c r="O598" s="16">
        <f>VLOOKUP(K598,RPM!$A$2:$D$62,4,FALSE)</f>
        <v>18.894837209302327</v>
      </c>
      <c r="P598" s="17">
        <f t="shared" si="106"/>
        <v>14.089880106976747</v>
      </c>
      <c r="Q598" s="16" cm="1">
        <f t="array" ref="Q598">_xlfn.XLOOKUP(O598,BSFC!$A$2:$A$24,_xlfn.XLOOKUP(K598,BSFC!$B$1:$O$1,BSFC!$B$2:$O$24,,-1),,-1)</f>
        <v>480</v>
      </c>
      <c r="R598" s="17">
        <f t="shared" si="107"/>
        <v>1.8786506809302328</v>
      </c>
      <c r="S598" s="16">
        <f t="shared" si="108"/>
        <v>2.9183485335178652E-4</v>
      </c>
      <c r="T598" s="17">
        <f t="shared" si="112"/>
        <v>0.14008072960885753</v>
      </c>
      <c r="U598" s="16">
        <f t="shared" si="113"/>
        <v>81.211236491813466</v>
      </c>
      <c r="V598" s="17">
        <f t="shared" si="114"/>
        <v>0.17096847343211355</v>
      </c>
      <c r="W598" s="16">
        <f t="shared" si="109"/>
        <v>615486.50435560872</v>
      </c>
      <c r="X598">
        <f>('Hybrid Info'!$A$2-Track!P598)*(L598-L597)*1000+X597</f>
        <v>-29192.393222096736</v>
      </c>
    </row>
    <row r="599" spans="1:24">
      <c r="A599" s="16">
        <f t="shared" si="110"/>
        <v>598</v>
      </c>
      <c r="B599" s="17">
        <f t="shared" si="111"/>
        <v>13.411199999999999</v>
      </c>
      <c r="C599" s="16">
        <f>Specification!$G$29</f>
        <v>164.943378</v>
      </c>
      <c r="D599" s="17">
        <f>0.5*Specification!$K$4*Track!B599^2*Specification!$K$3*Specification!$K$2</f>
        <v>93.159842569492653</v>
      </c>
      <c r="E599" s="16">
        <v>5</v>
      </c>
      <c r="F599" s="17">
        <f>Specification!$C$23*9.81*SIN((E599*PI()/180))</f>
        <v>479.192087363258</v>
      </c>
      <c r="G599" s="18">
        <f>IF(J599=1,VLOOKUP(K599,RPM!$E$2:$H$62,3,FALSE)-F599-E599-D599,IF(J599=2,VLOOKUP(K599,RPM!$H$2:$K$62,3,FALSE)-F599-E599-D599,IF(J599=3,VLOOKUP(K599,RPM!$K$2:$N$62,3,FALSE)-F599-E599-D599)))</f>
        <v>204.29317692889163</v>
      </c>
      <c r="H599" s="19">
        <f>IF(J599=1,Specification!$I$14,IF(J599=2,Specification!$I$15,IF(J599=3,Specification!$I$16)))</f>
        <v>582.50936296077191</v>
      </c>
      <c r="I599" s="16">
        <f t="shared" si="105"/>
        <v>0</v>
      </c>
      <c r="J599" s="17">
        <v>2</v>
      </c>
      <c r="K599" s="16">
        <f>IF(J599=1,VLOOKUP(B599,RPM!$F$2:$H$62,3,TRUE),IF(J599=2,VLOOKUP(B599,RPM!$I$2:$K$62,3,TRUE),IF(J599=3,VLOOKUP(B599,RPM!$L$2:$N$62,3,TRUE))))</f>
        <v>7000</v>
      </c>
      <c r="L599" s="17">
        <f t="shared" si="116"/>
        <v>48.86493713343058</v>
      </c>
      <c r="M599" s="16">
        <f t="shared" si="115"/>
        <v>0.26219908917244095</v>
      </c>
      <c r="N599" s="17">
        <f>VLOOKUP(K599,RPM!$A$2:$D$62,3,FALSE)</f>
        <v>13</v>
      </c>
      <c r="O599" s="16">
        <f>VLOOKUP(K599,RPM!$A$2:$D$62,4,FALSE)</f>
        <v>13.235857142857142</v>
      </c>
      <c r="P599" s="17">
        <f t="shared" si="106"/>
        <v>9.8699786714285711</v>
      </c>
      <c r="Q599" s="16" cm="1">
        <f t="array" ref="Q599">_xlfn.XLOOKUP(O599,BSFC!$A$2:$A$24,_xlfn.XLOOKUP(K599,BSFC!$B$1:$O$1,BSFC!$B$2:$O$24,,-1),,-1)</f>
        <v>520</v>
      </c>
      <c r="R599" s="17">
        <f t="shared" si="107"/>
        <v>1.425663585873016</v>
      </c>
      <c r="S599" s="16">
        <f t="shared" si="108"/>
        <v>2.0443068048076269E-4</v>
      </c>
      <c r="T599" s="17">
        <f t="shared" si="112"/>
        <v>0.10630395384999659</v>
      </c>
      <c r="U599" s="16">
        <f t="shared" si="113"/>
        <v>81.317540445663468</v>
      </c>
      <c r="V599" s="17">
        <f t="shared" si="114"/>
        <v>0.17117290411259431</v>
      </c>
      <c r="W599" s="16">
        <f t="shared" si="109"/>
        <v>616222.45480533945</v>
      </c>
      <c r="X599">
        <f>('Hybrid Info'!$A$2-Track!P599)*(L599-L598)*1000+X598</f>
        <v>-29024.587513110469</v>
      </c>
    </row>
    <row r="600" spans="1:24">
      <c r="A600" s="16">
        <f t="shared" si="110"/>
        <v>599</v>
      </c>
      <c r="B600" s="17">
        <f t="shared" si="111"/>
        <v>13.411199999999999</v>
      </c>
      <c r="C600" s="16">
        <f>Specification!$G$29</f>
        <v>164.943378</v>
      </c>
      <c r="D600" s="17">
        <f>0.5*Specification!$K$4*Track!B600^2*Specification!$K$3*Specification!$K$2</f>
        <v>93.159842569492653</v>
      </c>
      <c r="E600" s="16">
        <v>6</v>
      </c>
      <c r="F600" s="17">
        <f>Specification!$C$23*9.81*SIN((E600*PI()/180))</f>
        <v>574.70926095052266</v>
      </c>
      <c r="G600" s="18">
        <f>IF(J600=1,VLOOKUP(K600,RPM!$E$2:$H$62,3,FALSE)-F600-E600-D600,IF(J600=2,VLOOKUP(K600,RPM!$H$2:$K$62,3,FALSE)-F600-E600-D600,IF(J600=3,VLOOKUP(K600,RPM!$K$2:$N$62,3,FALSE)-F600-E600-D600)))</f>
        <v>107.77600334162695</v>
      </c>
      <c r="H600" s="19">
        <f>IF(J600=1,Specification!$I$14,IF(J600=2,Specification!$I$15,IF(J600=3,Specification!$I$16)))</f>
        <v>582.50936296077191</v>
      </c>
      <c r="I600" s="16">
        <f t="shared" si="105"/>
        <v>0</v>
      </c>
      <c r="J600" s="17">
        <v>2</v>
      </c>
      <c r="K600" s="16">
        <f>IF(J600=1,VLOOKUP(B600,RPM!$F$2:$H$62,3,TRUE),IF(J600=2,VLOOKUP(B600,RPM!$I$2:$K$62,3,TRUE),IF(J600=3,VLOOKUP(B600,RPM!$L$2:$N$62,3,TRUE))))</f>
        <v>7000</v>
      </c>
      <c r="L600" s="17">
        <f t="shared" si="116"/>
        <v>48.939501676499063</v>
      </c>
      <c r="M600" s="16">
        <f t="shared" si="115"/>
        <v>0.36730332443811742</v>
      </c>
      <c r="N600" s="17">
        <f>VLOOKUP(K600,RPM!$A$2:$D$62,3,FALSE)</f>
        <v>13</v>
      </c>
      <c r="O600" s="16">
        <f>VLOOKUP(K600,RPM!$A$2:$D$62,4,FALSE)</f>
        <v>13.235857142857142</v>
      </c>
      <c r="P600" s="17">
        <f t="shared" si="106"/>
        <v>9.8699786714285711</v>
      </c>
      <c r="Q600" s="16" cm="1">
        <f t="array" ref="Q600">_xlfn.XLOOKUP(O600,BSFC!$A$2:$A$24,_xlfn.XLOOKUP(K600,BSFC!$B$1:$O$1,BSFC!$B$2:$O$24,,-1),,-1)</f>
        <v>520</v>
      </c>
      <c r="R600" s="17">
        <f t="shared" si="107"/>
        <v>1.425663585873016</v>
      </c>
      <c r="S600" s="16">
        <f t="shared" si="108"/>
        <v>2.0443068048076269E-4</v>
      </c>
      <c r="T600" s="17">
        <f t="shared" si="112"/>
        <v>0.10630395384999659</v>
      </c>
      <c r="U600" s="16">
        <f t="shared" si="113"/>
        <v>81.42384439951347</v>
      </c>
      <c r="V600" s="17">
        <f t="shared" si="114"/>
        <v>0.17137733479307507</v>
      </c>
      <c r="W600" s="16">
        <f t="shared" si="109"/>
        <v>616958.40525507031</v>
      </c>
      <c r="X600">
        <f>('Hybrid Info'!$A$2-Track!P600)*(L600-L599)*1000+X599</f>
        <v>-28856.781804124203</v>
      </c>
    </row>
    <row r="601" spans="1:24">
      <c r="A601" s="16">
        <f t="shared" si="110"/>
        <v>600</v>
      </c>
      <c r="B601" s="17">
        <f t="shared" si="111"/>
        <v>13.411199999999999</v>
      </c>
      <c r="C601" s="16">
        <f>Specification!$G$29</f>
        <v>164.943378</v>
      </c>
      <c r="D601" s="17">
        <f>0.5*Specification!$K$4*Track!B601^2*Specification!$K$3*Specification!$K$2</f>
        <v>93.159842569492653</v>
      </c>
      <c r="E601" s="16">
        <v>7</v>
      </c>
      <c r="F601" s="17">
        <f>Specification!$C$23*9.81*SIN((E601*PI()/180))</f>
        <v>670.05137252956831</v>
      </c>
      <c r="G601" s="18">
        <f>IF(J601=1,VLOOKUP(K601,RPM!$E$2:$H$62,3,FALSE)-F601-E601-D601,IF(J601=2,VLOOKUP(K601,RPM!$H$2:$K$62,3,FALSE)-F601-E601-D601,IF(J601=3,VLOOKUP(K601,RPM!$K$2:$N$62,3,FALSE)-F601-E601-D601)))</f>
        <v>11.433891762581297</v>
      </c>
      <c r="H601" s="19">
        <f>IF(J601=1,Specification!$I$14,IF(J601=2,Specification!$I$15,IF(J601=3,Specification!$I$16)))</f>
        <v>582.50936296077191</v>
      </c>
      <c r="I601" s="16">
        <f t="shared" si="105"/>
        <v>0</v>
      </c>
      <c r="J601" s="17">
        <v>2</v>
      </c>
      <c r="K601" s="16">
        <f>IF(J601=1,VLOOKUP(B601,RPM!$F$2:$H$62,3,TRUE),IF(J601=2,VLOOKUP(B601,RPM!$I$2:$K$62,3,TRUE),IF(J601=3,VLOOKUP(B601,RPM!$L$2:$N$62,3,TRUE))))</f>
        <v>7000</v>
      </c>
      <c r="L601" s="17">
        <f t="shared" si="116"/>
        <v>49.014066219567546</v>
      </c>
      <c r="M601" s="16">
        <f t="shared" si="115"/>
        <v>0.49008788534102199</v>
      </c>
      <c r="N601" s="17">
        <f>VLOOKUP(K601,RPM!$A$2:$D$62,3,FALSE)</f>
        <v>13</v>
      </c>
      <c r="O601" s="16">
        <f>VLOOKUP(K601,RPM!$A$2:$D$62,4,FALSE)</f>
        <v>13.235857142857142</v>
      </c>
      <c r="P601" s="17">
        <f t="shared" si="106"/>
        <v>9.8699786714285711</v>
      </c>
      <c r="Q601" s="16" cm="1">
        <f t="array" ref="Q601">_xlfn.XLOOKUP(O601,BSFC!$A$2:$A$24,_xlfn.XLOOKUP(K601,BSFC!$B$1:$O$1,BSFC!$B$2:$O$24,,-1),,-1)</f>
        <v>520</v>
      </c>
      <c r="R601" s="17">
        <f t="shared" si="107"/>
        <v>1.425663585873016</v>
      </c>
      <c r="S601" s="16">
        <f t="shared" si="108"/>
        <v>2.0443068048076269E-4</v>
      </c>
      <c r="T601" s="17">
        <f t="shared" si="112"/>
        <v>0.10630395384999659</v>
      </c>
      <c r="U601" s="16">
        <f t="shared" si="113"/>
        <v>81.530148353363472</v>
      </c>
      <c r="V601" s="17">
        <f t="shared" si="114"/>
        <v>0.17158176547355583</v>
      </c>
      <c r="W601" s="16">
        <f t="shared" si="109"/>
        <v>617694.35570480104</v>
      </c>
      <c r="X601">
        <f>('Hybrid Info'!$A$2-Track!P601)*(L601-L600)*1000+X600</f>
        <v>-28688.976095137936</v>
      </c>
    </row>
    <row r="602" spans="1:24">
      <c r="A602" s="16">
        <f t="shared" si="110"/>
        <v>601</v>
      </c>
      <c r="B602" s="17">
        <f t="shared" si="111"/>
        <v>13.411199999999999</v>
      </c>
      <c r="C602" s="16">
        <f>Specification!$G$29</f>
        <v>164.943378</v>
      </c>
      <c r="D602" s="17">
        <f>0.5*Specification!$K$4*Track!B602^2*Specification!$K$3*Specification!$K$2</f>
        <v>93.159842569492653</v>
      </c>
      <c r="E602" s="16">
        <v>8</v>
      </c>
      <c r="F602" s="17">
        <f>Specification!$C$23*9.81*SIN((E602*PI()/180))</f>
        <v>765.1893799696079</v>
      </c>
      <c r="G602" s="18">
        <f>IF(J602=1,VLOOKUP(K602,RPM!$E$2:$H$62,3,FALSE)-F602-E602-D602,IF(J602=2,VLOOKUP(K602,RPM!$H$2:$K$62,3,FALSE)-F602-E602-D602,IF(J602=3,VLOOKUP(K602,RPM!$K$2:$N$62,3,FALSE)-F602-E602-D602)))</f>
        <v>-84.70411567745829</v>
      </c>
      <c r="H602" s="19">
        <f>IF(J602=1,Specification!$I$14,IF(J602=2,Specification!$I$15,IF(J602=3,Specification!$I$16)))</f>
        <v>582.50936296077191</v>
      </c>
      <c r="I602" s="16">
        <f t="shared" si="105"/>
        <v>0</v>
      </c>
      <c r="J602" s="17">
        <v>2</v>
      </c>
      <c r="K602" s="16">
        <f>IF(J602=1,VLOOKUP(B602,RPM!$F$2:$H$62,3,TRUE),IF(J602=2,VLOOKUP(B602,RPM!$I$2:$K$62,3,TRUE),IF(J602=3,VLOOKUP(B602,RPM!$L$2:$N$62,3,TRUE))))</f>
        <v>7000</v>
      </c>
      <c r="L602" s="17">
        <f t="shared" si="116"/>
        <v>49.088630762636029</v>
      </c>
      <c r="M602" s="16">
        <f t="shared" si="115"/>
        <v>0.63062872004341342</v>
      </c>
      <c r="N602" s="17">
        <f>VLOOKUP(K602,RPM!$A$2:$D$62,3,FALSE)</f>
        <v>13</v>
      </c>
      <c r="O602" s="16">
        <f>VLOOKUP(K602,RPM!$A$2:$D$62,4,FALSE)</f>
        <v>13.235857142857142</v>
      </c>
      <c r="P602" s="17">
        <f t="shared" si="106"/>
        <v>9.8699786714285711</v>
      </c>
      <c r="Q602" s="16" cm="1">
        <f t="array" ref="Q602">_xlfn.XLOOKUP(O602,BSFC!$A$2:$A$24,_xlfn.XLOOKUP(K602,BSFC!$B$1:$O$1,BSFC!$B$2:$O$24,,-1),,-1)</f>
        <v>520</v>
      </c>
      <c r="R602" s="17">
        <f t="shared" si="107"/>
        <v>1.425663585873016</v>
      </c>
      <c r="S602" s="16">
        <f t="shared" si="108"/>
        <v>2.0443068048076269E-4</v>
      </c>
      <c r="T602" s="17">
        <f t="shared" si="112"/>
        <v>0.10630395384999659</v>
      </c>
      <c r="U602" s="16">
        <f t="shared" si="113"/>
        <v>81.636452307213474</v>
      </c>
      <c r="V602" s="17">
        <f t="shared" si="114"/>
        <v>0.17178619615403659</v>
      </c>
      <c r="W602" s="16">
        <f t="shared" si="109"/>
        <v>618430.30615453166</v>
      </c>
      <c r="X602">
        <f>('Hybrid Info'!$A$2-Track!P602)*(L602-L601)*1000+X601</f>
        <v>-28521.170386151669</v>
      </c>
    </row>
    <row r="603" spans="1:24">
      <c r="A603" s="16">
        <f t="shared" si="110"/>
        <v>602</v>
      </c>
      <c r="B603" s="17">
        <f t="shared" si="111"/>
        <v>13.411199999999999</v>
      </c>
      <c r="C603" s="16">
        <f>Specification!$G$29</f>
        <v>164.943378</v>
      </c>
      <c r="D603" s="17">
        <f>0.5*Specification!$K$4*Track!B603^2*Specification!$K$3*Specification!$K$2</f>
        <v>93.159842569492653</v>
      </c>
      <c r="E603" s="16">
        <v>8</v>
      </c>
      <c r="F603" s="17">
        <f>Specification!$C$23*9.81*SIN((E603*PI()/180))</f>
        <v>765.1893799696079</v>
      </c>
      <c r="G603" s="18">
        <f>IF(J603=1,VLOOKUP(K603,RPM!$E$2:$H$62,3,FALSE)-F603-E603-D603,IF(J603=2,VLOOKUP(K603,RPM!$H$2:$K$62,3,FALSE)-F603-E603-D603,IF(J603=3,VLOOKUP(K603,RPM!$K$2:$N$62,3,FALSE)-F603-E603-D603)))</f>
        <v>-84.70411567745829</v>
      </c>
      <c r="H603" s="19">
        <f>IF(J603=1,Specification!$I$14,IF(J603=2,Specification!$I$15,IF(J603=3,Specification!$I$16)))</f>
        <v>582.50936296077191</v>
      </c>
      <c r="I603" s="16">
        <f t="shared" si="105"/>
        <v>0</v>
      </c>
      <c r="J603" s="17">
        <v>2</v>
      </c>
      <c r="K603" s="16">
        <f>IF(J603=1,VLOOKUP(B603,RPM!$F$2:$H$62,3,TRUE),IF(J603=2,VLOOKUP(B603,RPM!$I$2:$K$62,3,TRUE),IF(J603=3,VLOOKUP(B603,RPM!$L$2:$N$62,3,TRUE))))</f>
        <v>7000</v>
      </c>
      <c r="L603" s="17">
        <f t="shared" si="116"/>
        <v>49.163195305704512</v>
      </c>
      <c r="M603" s="16">
        <f t="shared" si="115"/>
        <v>0.77116955474580484</v>
      </c>
      <c r="N603" s="17">
        <f>VLOOKUP(K603,RPM!$A$2:$D$62,3,FALSE)</f>
        <v>13</v>
      </c>
      <c r="O603" s="16">
        <f>VLOOKUP(K603,RPM!$A$2:$D$62,4,FALSE)</f>
        <v>13.235857142857142</v>
      </c>
      <c r="P603" s="17">
        <f t="shared" si="106"/>
        <v>9.8699786714285711</v>
      </c>
      <c r="Q603" s="16" cm="1">
        <f t="array" ref="Q603">_xlfn.XLOOKUP(O603,BSFC!$A$2:$A$24,_xlfn.XLOOKUP(K603,BSFC!$B$1:$O$1,BSFC!$B$2:$O$24,,-1),,-1)</f>
        <v>520</v>
      </c>
      <c r="R603" s="17">
        <f t="shared" si="107"/>
        <v>1.425663585873016</v>
      </c>
      <c r="S603" s="16">
        <f t="shared" si="108"/>
        <v>2.0443068048076269E-4</v>
      </c>
      <c r="T603" s="17">
        <f t="shared" si="112"/>
        <v>0.10630395384999659</v>
      </c>
      <c r="U603" s="16">
        <f t="shared" si="113"/>
        <v>81.742756261063477</v>
      </c>
      <c r="V603" s="17">
        <f t="shared" si="114"/>
        <v>0.17199062683451735</v>
      </c>
      <c r="W603" s="16">
        <f t="shared" si="109"/>
        <v>619166.25660426239</v>
      </c>
      <c r="X603">
        <f>('Hybrid Info'!$A$2-Track!P603)*(L603-L602)*1000+X602</f>
        <v>-28353.364677165402</v>
      </c>
    </row>
    <row r="604" spans="1:24">
      <c r="A604" s="16">
        <f t="shared" si="110"/>
        <v>603</v>
      </c>
      <c r="B604" s="17">
        <f t="shared" si="111"/>
        <v>13.411199999999999</v>
      </c>
      <c r="C604" s="16">
        <f>Specification!$G$29</f>
        <v>164.943378</v>
      </c>
      <c r="D604" s="17">
        <f>0.5*Specification!$K$4*Track!B604^2*Specification!$K$3*Specification!$K$2</f>
        <v>93.159842569492653</v>
      </c>
      <c r="E604" s="16">
        <v>8</v>
      </c>
      <c r="F604" s="17">
        <f>Specification!$C$23*9.81*SIN((E604*PI()/180))</f>
        <v>765.1893799696079</v>
      </c>
      <c r="G604" s="18">
        <f>IF(J604=1,VLOOKUP(K604,RPM!$E$2:$H$62,3,FALSE)-F604-E604-D604,IF(J604=2,VLOOKUP(K604,RPM!$H$2:$K$62,3,FALSE)-F604-E604-D604,IF(J604=3,VLOOKUP(K604,RPM!$K$2:$N$62,3,FALSE)-F604-E604-D604)))</f>
        <v>-84.70411567745829</v>
      </c>
      <c r="H604" s="19">
        <f>IF(J604=1,Specification!$I$14,IF(J604=2,Specification!$I$15,IF(J604=3,Specification!$I$16)))</f>
        <v>582.50936296077191</v>
      </c>
      <c r="I604" s="16">
        <f t="shared" si="105"/>
        <v>0</v>
      </c>
      <c r="J604" s="17">
        <v>2</v>
      </c>
      <c r="K604" s="16">
        <f>IF(J604=1,VLOOKUP(B604,RPM!$F$2:$H$62,3,TRUE),IF(J604=2,VLOOKUP(B604,RPM!$I$2:$K$62,3,TRUE),IF(J604=3,VLOOKUP(B604,RPM!$L$2:$N$62,3,TRUE))))</f>
        <v>7000</v>
      </c>
      <c r="L604" s="17">
        <f t="shared" si="116"/>
        <v>49.237759848772995</v>
      </c>
      <c r="M604" s="16">
        <f t="shared" si="115"/>
        <v>0.91171038944819627</v>
      </c>
      <c r="N604" s="17">
        <f>VLOOKUP(K604,RPM!$A$2:$D$62,3,FALSE)</f>
        <v>13</v>
      </c>
      <c r="O604" s="16">
        <f>VLOOKUP(K604,RPM!$A$2:$D$62,4,FALSE)</f>
        <v>13.235857142857142</v>
      </c>
      <c r="P604" s="17">
        <f t="shared" si="106"/>
        <v>9.8699786714285711</v>
      </c>
      <c r="Q604" s="16" cm="1">
        <f t="array" ref="Q604">_xlfn.XLOOKUP(O604,BSFC!$A$2:$A$24,_xlfn.XLOOKUP(K604,BSFC!$B$1:$O$1,BSFC!$B$2:$O$24,,-1),,-1)</f>
        <v>520</v>
      </c>
      <c r="R604" s="17">
        <f t="shared" si="107"/>
        <v>1.425663585873016</v>
      </c>
      <c r="S604" s="16">
        <f t="shared" si="108"/>
        <v>2.0443068048076269E-4</v>
      </c>
      <c r="T604" s="17">
        <f t="shared" si="112"/>
        <v>0.10630395384999659</v>
      </c>
      <c r="U604" s="16">
        <f t="shared" si="113"/>
        <v>81.849060214913479</v>
      </c>
      <c r="V604" s="17">
        <f t="shared" si="114"/>
        <v>0.17219505751499811</v>
      </c>
      <c r="W604" s="16">
        <f t="shared" si="109"/>
        <v>619902.20705399325</v>
      </c>
      <c r="X604">
        <f>('Hybrid Info'!$A$2-Track!P604)*(L604-L603)*1000+X603</f>
        <v>-28185.558968179135</v>
      </c>
    </row>
    <row r="605" spans="1:24">
      <c r="A605" s="16">
        <f t="shared" si="110"/>
        <v>604</v>
      </c>
      <c r="B605" s="17">
        <f t="shared" si="111"/>
        <v>13.411199999999999</v>
      </c>
      <c r="C605" s="16">
        <f>Specification!$G$29</f>
        <v>164.943378</v>
      </c>
      <c r="D605" s="17">
        <f>0.5*Specification!$K$4*Track!B605^2*Specification!$K$3*Specification!$K$2</f>
        <v>93.159842569492653</v>
      </c>
      <c r="E605" s="16">
        <v>8</v>
      </c>
      <c r="F605" s="17">
        <f>Specification!$C$23*9.81*SIN((E605*PI()/180))</f>
        <v>765.1893799696079</v>
      </c>
      <c r="G605" s="18">
        <f>IF(J605=1,VLOOKUP(K605,RPM!$E$2:$H$62,3,FALSE)-F605-E605-D605,IF(J605=2,VLOOKUP(K605,RPM!$H$2:$K$62,3,FALSE)-F605-E605-D605,IF(J605=3,VLOOKUP(K605,RPM!$K$2:$N$62,3,FALSE)-F605-E605-D605)))</f>
        <v>-84.70411567745829</v>
      </c>
      <c r="H605" s="19">
        <f>IF(J605=1,Specification!$I$14,IF(J605=2,Specification!$I$15,IF(J605=3,Specification!$I$16)))</f>
        <v>582.50936296077191</v>
      </c>
      <c r="I605" s="16">
        <f t="shared" si="105"/>
        <v>0</v>
      </c>
      <c r="J605" s="17">
        <v>2</v>
      </c>
      <c r="K605" s="16">
        <f>IF(J605=1,VLOOKUP(B605,RPM!$F$2:$H$62,3,TRUE),IF(J605=2,VLOOKUP(B605,RPM!$I$2:$K$62,3,TRUE),IF(J605=3,VLOOKUP(B605,RPM!$L$2:$N$62,3,TRUE))))</f>
        <v>7000</v>
      </c>
      <c r="L605" s="17">
        <f t="shared" si="116"/>
        <v>49.312324391841479</v>
      </c>
      <c r="M605" s="16">
        <f t="shared" si="115"/>
        <v>1.0522512241505877</v>
      </c>
      <c r="N605" s="17">
        <f>VLOOKUP(K605,RPM!$A$2:$D$62,3,FALSE)</f>
        <v>13</v>
      </c>
      <c r="O605" s="16">
        <f>VLOOKUP(K605,RPM!$A$2:$D$62,4,FALSE)</f>
        <v>13.235857142857142</v>
      </c>
      <c r="P605" s="17">
        <f t="shared" si="106"/>
        <v>9.8699786714285711</v>
      </c>
      <c r="Q605" s="16" cm="1">
        <f t="array" ref="Q605">_xlfn.XLOOKUP(O605,BSFC!$A$2:$A$24,_xlfn.XLOOKUP(K605,BSFC!$B$1:$O$1,BSFC!$B$2:$O$24,,-1),,-1)</f>
        <v>520</v>
      </c>
      <c r="R605" s="17">
        <f t="shared" si="107"/>
        <v>1.425663585873016</v>
      </c>
      <c r="S605" s="16">
        <f t="shared" si="108"/>
        <v>2.0443068048076269E-4</v>
      </c>
      <c r="T605" s="17">
        <f t="shared" si="112"/>
        <v>0.10630395384999659</v>
      </c>
      <c r="U605" s="16">
        <f t="shared" si="113"/>
        <v>81.955364168763481</v>
      </c>
      <c r="V605" s="17">
        <f t="shared" si="114"/>
        <v>0.17239948819547887</v>
      </c>
      <c r="W605" s="16">
        <f t="shared" si="109"/>
        <v>620638.15750372398</v>
      </c>
      <c r="X605">
        <f>('Hybrid Info'!$A$2-Track!P605)*(L605-L604)*1000+X604</f>
        <v>-28017.753259192868</v>
      </c>
    </row>
    <row r="606" spans="1:24">
      <c r="A606" s="16">
        <f t="shared" si="110"/>
        <v>605</v>
      </c>
      <c r="B606" s="17">
        <f t="shared" si="111"/>
        <v>13.411199999999999</v>
      </c>
      <c r="C606" s="16">
        <f>Specification!$G$29</f>
        <v>164.943378</v>
      </c>
      <c r="D606" s="17">
        <f>0.5*Specification!$K$4*Track!B606^2*Specification!$K$3*Specification!$K$2</f>
        <v>93.159842569492653</v>
      </c>
      <c r="E606" s="16">
        <v>8</v>
      </c>
      <c r="F606" s="17">
        <f>Specification!$C$23*9.81*SIN((E606*PI()/180))</f>
        <v>765.1893799696079</v>
      </c>
      <c r="G606" s="18">
        <f>IF(J606=1,VLOOKUP(K606,RPM!$E$2:$H$62,3,FALSE)-F606-E606-D606,IF(J606=2,VLOOKUP(K606,RPM!$H$2:$K$62,3,FALSE)-F606-E606-D606,IF(J606=3,VLOOKUP(K606,RPM!$K$2:$N$62,3,FALSE)-F606-E606-D606)))</f>
        <v>-84.70411567745829</v>
      </c>
      <c r="H606" s="19">
        <f>IF(J606=1,Specification!$I$14,IF(J606=2,Specification!$I$15,IF(J606=3,Specification!$I$16)))</f>
        <v>582.50936296077191</v>
      </c>
      <c r="I606" s="16">
        <f t="shared" si="105"/>
        <v>0</v>
      </c>
      <c r="J606" s="17">
        <v>2</v>
      </c>
      <c r="K606" s="16">
        <f>IF(J606=1,VLOOKUP(B606,RPM!$F$2:$H$62,3,TRUE),IF(J606=2,VLOOKUP(B606,RPM!$I$2:$K$62,3,TRUE),IF(J606=3,VLOOKUP(B606,RPM!$L$2:$N$62,3,TRUE))))</f>
        <v>7000</v>
      </c>
      <c r="L606" s="17">
        <f t="shared" si="116"/>
        <v>49.386888934909962</v>
      </c>
      <c r="M606" s="16">
        <f t="shared" si="115"/>
        <v>1.1927920588529792</v>
      </c>
      <c r="N606" s="17">
        <f>VLOOKUP(K606,RPM!$A$2:$D$62,3,FALSE)</f>
        <v>13</v>
      </c>
      <c r="O606" s="16">
        <f>VLOOKUP(K606,RPM!$A$2:$D$62,4,FALSE)</f>
        <v>13.235857142857142</v>
      </c>
      <c r="P606" s="17">
        <f t="shared" si="106"/>
        <v>9.8699786714285711</v>
      </c>
      <c r="Q606" s="16" cm="1">
        <f t="array" ref="Q606">_xlfn.XLOOKUP(O606,BSFC!$A$2:$A$24,_xlfn.XLOOKUP(K606,BSFC!$B$1:$O$1,BSFC!$B$2:$O$24,,-1),,-1)</f>
        <v>520</v>
      </c>
      <c r="R606" s="17">
        <f t="shared" si="107"/>
        <v>1.425663585873016</v>
      </c>
      <c r="S606" s="16">
        <f t="shared" si="108"/>
        <v>2.0443068048076269E-4</v>
      </c>
      <c r="T606" s="17">
        <f t="shared" si="112"/>
        <v>0.10630395384999659</v>
      </c>
      <c r="U606" s="16">
        <f t="shared" si="113"/>
        <v>82.061668122613483</v>
      </c>
      <c r="V606" s="17">
        <f t="shared" si="114"/>
        <v>0.17260391887595963</v>
      </c>
      <c r="W606" s="16">
        <f t="shared" si="109"/>
        <v>621374.10795345472</v>
      </c>
      <c r="X606">
        <f>('Hybrid Info'!$A$2-Track!P606)*(L606-L605)*1000+X605</f>
        <v>-27849.947550206602</v>
      </c>
    </row>
    <row r="607" spans="1:24">
      <c r="A607" s="16">
        <f t="shared" si="110"/>
        <v>606</v>
      </c>
      <c r="B607" s="17">
        <f t="shared" si="111"/>
        <v>13.411199999999999</v>
      </c>
      <c r="C607" s="16">
        <f>Specification!$G$29</f>
        <v>164.943378</v>
      </c>
      <c r="D607" s="17">
        <f>0.5*Specification!$K$4*Track!B607^2*Specification!$K$3*Specification!$K$2</f>
        <v>93.159842569492653</v>
      </c>
      <c r="E607" s="16">
        <v>8</v>
      </c>
      <c r="F607" s="17">
        <f>Specification!$C$23*9.81*SIN((E607*PI()/180))</f>
        <v>765.1893799696079</v>
      </c>
      <c r="G607" s="18">
        <f>IF(J607=1,VLOOKUP(K607,RPM!$E$2:$H$62,3,FALSE)-F607-E607-D607,IF(J607=2,VLOOKUP(K607,RPM!$H$2:$K$62,3,FALSE)-F607-E607-D607,IF(J607=3,VLOOKUP(K607,RPM!$K$2:$N$62,3,FALSE)-F607-E607-D607)))</f>
        <v>-84.70411567745829</v>
      </c>
      <c r="H607" s="19">
        <f>IF(J607=1,Specification!$I$14,IF(J607=2,Specification!$I$15,IF(J607=3,Specification!$I$16)))</f>
        <v>582.50936296077191</v>
      </c>
      <c r="I607" s="16">
        <f t="shared" si="105"/>
        <v>0</v>
      </c>
      <c r="J607" s="17">
        <v>2</v>
      </c>
      <c r="K607" s="16">
        <f>IF(J607=1,VLOOKUP(B607,RPM!$F$2:$H$62,3,TRUE),IF(J607=2,VLOOKUP(B607,RPM!$I$2:$K$62,3,TRUE),IF(J607=3,VLOOKUP(B607,RPM!$L$2:$N$62,3,TRUE))))</f>
        <v>7000</v>
      </c>
      <c r="L607" s="17">
        <f t="shared" si="116"/>
        <v>49.461453477978445</v>
      </c>
      <c r="M607" s="16">
        <f t="shared" si="115"/>
        <v>1.3333328935553708</v>
      </c>
      <c r="N607" s="17">
        <f>VLOOKUP(K607,RPM!$A$2:$D$62,3,FALSE)</f>
        <v>13</v>
      </c>
      <c r="O607" s="16">
        <f>VLOOKUP(K607,RPM!$A$2:$D$62,4,FALSE)</f>
        <v>13.235857142857142</v>
      </c>
      <c r="P607" s="17">
        <f t="shared" si="106"/>
        <v>9.8699786714285711</v>
      </c>
      <c r="Q607" s="16" cm="1">
        <f t="array" ref="Q607">_xlfn.XLOOKUP(O607,BSFC!$A$2:$A$24,_xlfn.XLOOKUP(K607,BSFC!$B$1:$O$1,BSFC!$B$2:$O$24,,-1),,-1)</f>
        <v>520</v>
      </c>
      <c r="R607" s="17">
        <f t="shared" si="107"/>
        <v>1.425663585873016</v>
      </c>
      <c r="S607" s="16">
        <f t="shared" si="108"/>
        <v>2.0443068048076269E-4</v>
      </c>
      <c r="T607" s="17">
        <f t="shared" si="112"/>
        <v>0.10630395384999659</v>
      </c>
      <c r="U607" s="16">
        <f t="shared" si="113"/>
        <v>82.167972076463485</v>
      </c>
      <c r="V607" s="17">
        <f t="shared" si="114"/>
        <v>0.17280834955644039</v>
      </c>
      <c r="W607" s="16">
        <f t="shared" si="109"/>
        <v>622110.05840318545</v>
      </c>
      <c r="X607">
        <f>('Hybrid Info'!$A$2-Track!P607)*(L607-L606)*1000+X606</f>
        <v>-27682.141841220335</v>
      </c>
    </row>
    <row r="608" spans="1:24">
      <c r="A608" s="16">
        <f t="shared" si="110"/>
        <v>607</v>
      </c>
      <c r="B608" s="17">
        <f t="shared" si="111"/>
        <v>13.411199999999999</v>
      </c>
      <c r="C608" s="16">
        <f>Specification!$G$29</f>
        <v>164.943378</v>
      </c>
      <c r="D608" s="17">
        <f>0.5*Specification!$K$4*Track!B608^2*Specification!$K$3*Specification!$K$2</f>
        <v>93.159842569492653</v>
      </c>
      <c r="E608" s="16">
        <v>8</v>
      </c>
      <c r="F608" s="17">
        <f>Specification!$C$23*9.81*SIN((E608*PI()/180))</f>
        <v>765.1893799696079</v>
      </c>
      <c r="G608" s="18">
        <f>IF(J608=1,VLOOKUP(K608,RPM!$E$2:$H$62,3,FALSE)-F608-E608-D608,IF(J608=2,VLOOKUP(K608,RPM!$H$2:$K$62,3,FALSE)-F608-E608-D608,IF(J608=3,VLOOKUP(K608,RPM!$K$2:$N$62,3,FALSE)-F608-E608-D608)))</f>
        <v>-84.70411567745829</v>
      </c>
      <c r="H608" s="19">
        <f>IF(J608=1,Specification!$I$14,IF(J608=2,Specification!$I$15,IF(J608=3,Specification!$I$16)))</f>
        <v>582.50936296077191</v>
      </c>
      <c r="I608" s="16">
        <f t="shared" si="105"/>
        <v>0</v>
      </c>
      <c r="J608" s="17">
        <v>2</v>
      </c>
      <c r="K608" s="16">
        <f>IF(J608=1,VLOOKUP(B608,RPM!$F$2:$H$62,3,TRUE),IF(J608=2,VLOOKUP(B608,RPM!$I$2:$K$62,3,TRUE),IF(J608=3,VLOOKUP(B608,RPM!$L$2:$N$62,3,TRUE))))</f>
        <v>7000</v>
      </c>
      <c r="L608" s="17">
        <f t="shared" si="116"/>
        <v>49.536018021046928</v>
      </c>
      <c r="M608" s="16">
        <f t="shared" si="115"/>
        <v>1.4738737282577623</v>
      </c>
      <c r="N608" s="17">
        <f>VLOOKUP(K608,RPM!$A$2:$D$62,3,FALSE)</f>
        <v>13</v>
      </c>
      <c r="O608" s="16">
        <f>VLOOKUP(K608,RPM!$A$2:$D$62,4,FALSE)</f>
        <v>13.235857142857142</v>
      </c>
      <c r="P608" s="17">
        <f t="shared" si="106"/>
        <v>9.8699786714285711</v>
      </c>
      <c r="Q608" s="16" cm="1">
        <f t="array" ref="Q608">_xlfn.XLOOKUP(O608,BSFC!$A$2:$A$24,_xlfn.XLOOKUP(K608,BSFC!$B$1:$O$1,BSFC!$B$2:$O$24,,-1),,-1)</f>
        <v>520</v>
      </c>
      <c r="R608" s="17">
        <f t="shared" si="107"/>
        <v>1.425663585873016</v>
      </c>
      <c r="S608" s="16">
        <f t="shared" si="108"/>
        <v>2.0443068048076269E-4</v>
      </c>
      <c r="T608" s="17">
        <f t="shared" si="112"/>
        <v>0.10630395384999659</v>
      </c>
      <c r="U608" s="16">
        <f t="shared" si="113"/>
        <v>82.274276030313487</v>
      </c>
      <c r="V608" s="17">
        <f t="shared" si="114"/>
        <v>0.17301278023692115</v>
      </c>
      <c r="W608" s="16">
        <f t="shared" si="109"/>
        <v>622846.00885291607</v>
      </c>
      <c r="X608">
        <f>('Hybrid Info'!$A$2-Track!P608)*(L608-L607)*1000+X607</f>
        <v>-27514.336132234068</v>
      </c>
    </row>
    <row r="609" spans="1:24">
      <c r="A609" s="16">
        <f t="shared" si="110"/>
        <v>608</v>
      </c>
      <c r="B609" s="17">
        <f t="shared" si="111"/>
        <v>13.411199999999999</v>
      </c>
      <c r="C609" s="16">
        <f>Specification!$G$29</f>
        <v>164.943378</v>
      </c>
      <c r="D609" s="17">
        <f>0.5*Specification!$K$4*Track!B609^2*Specification!$K$3*Specification!$K$2</f>
        <v>93.159842569492653</v>
      </c>
      <c r="E609" s="16">
        <v>8</v>
      </c>
      <c r="F609" s="17">
        <f>Specification!$C$23*9.81*SIN((E609*PI()/180))</f>
        <v>765.1893799696079</v>
      </c>
      <c r="G609" s="18">
        <f>IF(J609=1,VLOOKUP(K609,RPM!$E$2:$H$62,3,FALSE)-F609-E609-D609,IF(J609=2,VLOOKUP(K609,RPM!$H$2:$K$62,3,FALSE)-F609-E609-D609,IF(J609=3,VLOOKUP(K609,RPM!$K$2:$N$62,3,FALSE)-F609-E609-D609)))</f>
        <v>-84.70411567745829</v>
      </c>
      <c r="H609" s="19">
        <f>IF(J609=1,Specification!$I$14,IF(J609=2,Specification!$I$15,IF(J609=3,Specification!$I$16)))</f>
        <v>582.50936296077191</v>
      </c>
      <c r="I609" s="16">
        <f t="shared" si="105"/>
        <v>0</v>
      </c>
      <c r="J609" s="17">
        <v>2</v>
      </c>
      <c r="K609" s="16">
        <f>IF(J609=1,VLOOKUP(B609,RPM!$F$2:$H$62,3,TRUE),IF(J609=2,VLOOKUP(B609,RPM!$I$2:$K$62,3,TRUE),IF(J609=3,VLOOKUP(B609,RPM!$L$2:$N$62,3,TRUE))))</f>
        <v>7000</v>
      </c>
      <c r="L609" s="17">
        <f t="shared" si="116"/>
        <v>49.610582564115411</v>
      </c>
      <c r="M609" s="16">
        <f t="shared" si="115"/>
        <v>1.6144145629601538</v>
      </c>
      <c r="N609" s="17">
        <f>VLOOKUP(K609,RPM!$A$2:$D$62,3,FALSE)</f>
        <v>13</v>
      </c>
      <c r="O609" s="16">
        <f>VLOOKUP(K609,RPM!$A$2:$D$62,4,FALSE)</f>
        <v>13.235857142857142</v>
      </c>
      <c r="P609" s="17">
        <f t="shared" si="106"/>
        <v>9.8699786714285711</v>
      </c>
      <c r="Q609" s="16" cm="1">
        <f t="array" ref="Q609">_xlfn.XLOOKUP(O609,BSFC!$A$2:$A$24,_xlfn.XLOOKUP(K609,BSFC!$B$1:$O$1,BSFC!$B$2:$O$24,,-1),,-1)</f>
        <v>520</v>
      </c>
      <c r="R609" s="17">
        <f t="shared" si="107"/>
        <v>1.425663585873016</v>
      </c>
      <c r="S609" s="16">
        <f t="shared" si="108"/>
        <v>2.0443068048076269E-4</v>
      </c>
      <c r="T609" s="17">
        <f t="shared" si="112"/>
        <v>0.10630395384999659</v>
      </c>
      <c r="U609" s="16">
        <f t="shared" si="113"/>
        <v>82.380579984163489</v>
      </c>
      <c r="V609" s="17">
        <f t="shared" si="114"/>
        <v>0.17321721091740191</v>
      </c>
      <c r="W609" s="16">
        <f t="shared" si="109"/>
        <v>623581.95930264692</v>
      </c>
      <c r="X609">
        <f>('Hybrid Info'!$A$2-Track!P609)*(L609-L608)*1000+X608</f>
        <v>-27346.530423247801</v>
      </c>
    </row>
    <row r="610" spans="1:24">
      <c r="A610" s="16">
        <f t="shared" si="110"/>
        <v>609</v>
      </c>
      <c r="B610" s="17">
        <f t="shared" si="111"/>
        <v>13.411199999999999</v>
      </c>
      <c r="C610" s="16">
        <f>Specification!$G$29</f>
        <v>164.943378</v>
      </c>
      <c r="D610" s="17">
        <f>0.5*Specification!$K$4*Track!B610^2*Specification!$K$3*Specification!$K$2</f>
        <v>93.159842569492653</v>
      </c>
      <c r="E610" s="16">
        <v>8</v>
      </c>
      <c r="F610" s="17">
        <f>Specification!$C$23*9.81*SIN((E610*PI()/180))</f>
        <v>765.1893799696079</v>
      </c>
      <c r="G610" s="18">
        <f>IF(J610=1,VLOOKUP(K610,RPM!$E$2:$H$62,3,FALSE)-F610-E610-D610,IF(J610=2,VLOOKUP(K610,RPM!$H$2:$K$62,3,FALSE)-F610-E610-D610,IF(J610=3,VLOOKUP(K610,RPM!$K$2:$N$62,3,FALSE)-F610-E610-D610)))</f>
        <v>-84.70411567745829</v>
      </c>
      <c r="H610" s="19">
        <f>IF(J610=1,Specification!$I$14,IF(J610=2,Specification!$I$15,IF(J610=3,Specification!$I$16)))</f>
        <v>582.50936296077191</v>
      </c>
      <c r="I610" s="16">
        <f t="shared" si="105"/>
        <v>0</v>
      </c>
      <c r="J610" s="17">
        <v>2</v>
      </c>
      <c r="K610" s="16">
        <f>IF(J610=1,VLOOKUP(B610,RPM!$F$2:$H$62,3,TRUE),IF(J610=2,VLOOKUP(B610,RPM!$I$2:$K$62,3,TRUE),IF(J610=3,VLOOKUP(B610,RPM!$L$2:$N$62,3,TRUE))))</f>
        <v>7000</v>
      </c>
      <c r="L610" s="17">
        <f t="shared" si="116"/>
        <v>49.685147107183894</v>
      </c>
      <c r="M610" s="16">
        <f t="shared" si="115"/>
        <v>1.7549553976625454</v>
      </c>
      <c r="N610" s="17">
        <f>VLOOKUP(K610,RPM!$A$2:$D$62,3,FALSE)</f>
        <v>13</v>
      </c>
      <c r="O610" s="16">
        <f>VLOOKUP(K610,RPM!$A$2:$D$62,4,FALSE)</f>
        <v>13.235857142857142</v>
      </c>
      <c r="P610" s="17">
        <f t="shared" si="106"/>
        <v>9.8699786714285711</v>
      </c>
      <c r="Q610" s="16" cm="1">
        <f t="array" ref="Q610">_xlfn.XLOOKUP(O610,BSFC!$A$2:$A$24,_xlfn.XLOOKUP(K610,BSFC!$B$1:$O$1,BSFC!$B$2:$O$24,,-1),,-1)</f>
        <v>520</v>
      </c>
      <c r="R610" s="17">
        <f t="shared" si="107"/>
        <v>1.425663585873016</v>
      </c>
      <c r="S610" s="16">
        <f t="shared" si="108"/>
        <v>2.0443068048076269E-4</v>
      </c>
      <c r="T610" s="17">
        <f t="shared" si="112"/>
        <v>0.10630395384999659</v>
      </c>
      <c r="U610" s="16">
        <f t="shared" si="113"/>
        <v>82.486883938013492</v>
      </c>
      <c r="V610" s="17">
        <f t="shared" si="114"/>
        <v>0.17342164159788268</v>
      </c>
      <c r="W610" s="16">
        <f t="shared" si="109"/>
        <v>624317.90975237766</v>
      </c>
      <c r="X610">
        <f>('Hybrid Info'!$A$2-Track!P610)*(L610-L609)*1000+X609</f>
        <v>-27178.724714261534</v>
      </c>
    </row>
    <row r="611" spans="1:24">
      <c r="A611" s="16">
        <f t="shared" si="110"/>
        <v>610</v>
      </c>
      <c r="B611" s="17">
        <f t="shared" si="111"/>
        <v>13.411199999999999</v>
      </c>
      <c r="C611" s="16">
        <f>Specification!$G$29</f>
        <v>164.943378</v>
      </c>
      <c r="D611" s="17">
        <f>0.5*Specification!$K$4*Track!B611^2*Specification!$K$3*Specification!$K$2</f>
        <v>93.159842569492653</v>
      </c>
      <c r="E611" s="16">
        <v>8</v>
      </c>
      <c r="F611" s="17">
        <f>Specification!$C$23*9.81*SIN((E611*PI()/180))</f>
        <v>765.1893799696079</v>
      </c>
      <c r="G611" s="18">
        <f>IF(J611=1,VLOOKUP(K611,RPM!$E$2:$H$62,3,FALSE)-F611-E611-D611,IF(J611=2,VLOOKUP(K611,RPM!$H$2:$K$62,3,FALSE)-F611-E611-D611,IF(J611=3,VLOOKUP(K611,RPM!$K$2:$N$62,3,FALSE)-F611-E611-D611)))</f>
        <v>-84.70411567745829</v>
      </c>
      <c r="H611" s="19">
        <f>IF(J611=1,Specification!$I$14,IF(J611=2,Specification!$I$15,IF(J611=3,Specification!$I$16)))</f>
        <v>582.50936296077191</v>
      </c>
      <c r="I611" s="16">
        <f t="shared" si="105"/>
        <v>0</v>
      </c>
      <c r="J611" s="17">
        <v>2</v>
      </c>
      <c r="K611" s="16">
        <f>IF(J611=1,VLOOKUP(B611,RPM!$F$2:$H$62,3,TRUE),IF(J611=2,VLOOKUP(B611,RPM!$I$2:$K$62,3,TRUE),IF(J611=3,VLOOKUP(B611,RPM!$L$2:$N$62,3,TRUE))))</f>
        <v>7000</v>
      </c>
      <c r="L611" s="17">
        <f t="shared" si="116"/>
        <v>49.759711650252378</v>
      </c>
      <c r="M611" s="16">
        <f t="shared" si="115"/>
        <v>1.8954962323649369</v>
      </c>
      <c r="N611" s="17">
        <f>VLOOKUP(K611,RPM!$A$2:$D$62,3,FALSE)</f>
        <v>13</v>
      </c>
      <c r="O611" s="16">
        <f>VLOOKUP(K611,RPM!$A$2:$D$62,4,FALSE)</f>
        <v>13.235857142857142</v>
      </c>
      <c r="P611" s="17">
        <f t="shared" si="106"/>
        <v>9.8699786714285711</v>
      </c>
      <c r="Q611" s="16" cm="1">
        <f t="array" ref="Q611">_xlfn.XLOOKUP(O611,BSFC!$A$2:$A$24,_xlfn.XLOOKUP(K611,BSFC!$B$1:$O$1,BSFC!$B$2:$O$24,,-1),,-1)</f>
        <v>520</v>
      </c>
      <c r="R611" s="17">
        <f t="shared" si="107"/>
        <v>1.425663585873016</v>
      </c>
      <c r="S611" s="16">
        <f t="shared" si="108"/>
        <v>2.0443068048076269E-4</v>
      </c>
      <c r="T611" s="17">
        <f t="shared" si="112"/>
        <v>0.10630395384999659</v>
      </c>
      <c r="U611" s="16">
        <f t="shared" si="113"/>
        <v>82.593187891863494</v>
      </c>
      <c r="V611" s="17">
        <f t="shared" si="114"/>
        <v>0.17362607227836344</v>
      </c>
      <c r="W611" s="16">
        <f t="shared" si="109"/>
        <v>625053.86020210839</v>
      </c>
      <c r="X611">
        <f>('Hybrid Info'!$A$2-Track!P611)*(L611-L610)*1000+X610</f>
        <v>-27010.919005275267</v>
      </c>
    </row>
    <row r="612" spans="1:24">
      <c r="A612" s="16">
        <f t="shared" si="110"/>
        <v>611</v>
      </c>
      <c r="B612" s="17">
        <f t="shared" si="111"/>
        <v>13.411199999999999</v>
      </c>
      <c r="C612" s="16">
        <f>Specification!$G$29</f>
        <v>164.943378</v>
      </c>
      <c r="D612" s="17">
        <f>0.5*Specification!$K$4*Track!B612^2*Specification!$K$3*Specification!$K$2</f>
        <v>93.159842569492653</v>
      </c>
      <c r="E612" s="16">
        <v>8</v>
      </c>
      <c r="F612" s="17">
        <f>Specification!$C$23*9.81*SIN((E612*PI()/180))</f>
        <v>765.1893799696079</v>
      </c>
      <c r="G612" s="18">
        <f>IF(J612=1,VLOOKUP(K612,RPM!$E$2:$H$62,3,FALSE)-F612-E612-D612,IF(J612=2,VLOOKUP(K612,RPM!$H$2:$K$62,3,FALSE)-F612-E612-D612,IF(J612=3,VLOOKUP(K612,RPM!$K$2:$N$62,3,FALSE)-F612-E612-D612)))</f>
        <v>-84.70411567745829</v>
      </c>
      <c r="H612" s="19">
        <f>IF(J612=1,Specification!$I$14,IF(J612=2,Specification!$I$15,IF(J612=3,Specification!$I$16)))</f>
        <v>582.50936296077191</v>
      </c>
      <c r="I612" s="16">
        <f t="shared" ref="I612:I675" si="117">IF(B612=13.4112,0,G612/H612)</f>
        <v>0</v>
      </c>
      <c r="J612" s="17">
        <v>2</v>
      </c>
      <c r="K612" s="16">
        <f>IF(J612=1,VLOOKUP(B612,RPM!$F$2:$H$62,3,TRUE),IF(J612=2,VLOOKUP(B612,RPM!$I$2:$K$62,3,TRUE),IF(J612=3,VLOOKUP(B612,RPM!$L$2:$N$62,3,TRUE))))</f>
        <v>7000</v>
      </c>
      <c r="L612" s="17">
        <f t="shared" si="116"/>
        <v>49.834276193320861</v>
      </c>
      <c r="M612" s="16">
        <f t="shared" si="115"/>
        <v>2.0360370670673285</v>
      </c>
      <c r="N612" s="17">
        <f>VLOOKUP(K612,RPM!$A$2:$D$62,3,FALSE)</f>
        <v>13</v>
      </c>
      <c r="O612" s="16">
        <f>VLOOKUP(K612,RPM!$A$2:$D$62,4,FALSE)</f>
        <v>13.235857142857142</v>
      </c>
      <c r="P612" s="17">
        <f t="shared" si="106"/>
        <v>9.8699786714285711</v>
      </c>
      <c r="Q612" s="16" cm="1">
        <f t="array" ref="Q612">_xlfn.XLOOKUP(O612,BSFC!$A$2:$A$24,_xlfn.XLOOKUP(K612,BSFC!$B$1:$O$1,BSFC!$B$2:$O$24,,-1),,-1)</f>
        <v>520</v>
      </c>
      <c r="R612" s="17">
        <f t="shared" si="107"/>
        <v>1.425663585873016</v>
      </c>
      <c r="S612" s="16">
        <f t="shared" si="108"/>
        <v>2.0443068048076269E-4</v>
      </c>
      <c r="T612" s="17">
        <f t="shared" si="112"/>
        <v>0.10630395384999659</v>
      </c>
      <c r="U612" s="16">
        <f t="shared" si="113"/>
        <v>82.699491845713496</v>
      </c>
      <c r="V612" s="17">
        <f t="shared" si="114"/>
        <v>0.1738305029588442</v>
      </c>
      <c r="W612" s="16">
        <f t="shared" si="109"/>
        <v>625789.81065183913</v>
      </c>
      <c r="X612">
        <f>('Hybrid Info'!$A$2-Track!P612)*(L612-L611)*1000+X611</f>
        <v>-26843.113296289001</v>
      </c>
    </row>
    <row r="613" spans="1:24">
      <c r="A613" s="16">
        <f t="shared" si="110"/>
        <v>612</v>
      </c>
      <c r="B613" s="17">
        <f t="shared" si="111"/>
        <v>13.411199999999999</v>
      </c>
      <c r="C613" s="16">
        <f>Specification!$G$29</f>
        <v>164.943378</v>
      </c>
      <c r="D613" s="17">
        <f>0.5*Specification!$K$4*Track!B613^2*Specification!$K$3*Specification!$K$2</f>
        <v>93.159842569492653</v>
      </c>
      <c r="E613" s="16">
        <v>7</v>
      </c>
      <c r="F613" s="17">
        <f>Specification!$C$23*9.81*SIN((E613*PI()/180))</f>
        <v>670.05137252956831</v>
      </c>
      <c r="G613" s="18">
        <f>IF(J613=1,VLOOKUP(K613,RPM!$E$2:$H$62,3,FALSE)-F613-E613-D613,IF(J613=2,VLOOKUP(K613,RPM!$H$2:$K$62,3,FALSE)-F613-E613-D613,IF(J613=3,VLOOKUP(K613,RPM!$K$2:$N$62,3,FALSE)-F613-E613-D613)))</f>
        <v>11.433891762581297</v>
      </c>
      <c r="H613" s="19">
        <f>IF(J613=1,Specification!$I$14,IF(J613=2,Specification!$I$15,IF(J613=3,Specification!$I$16)))</f>
        <v>582.50936296077191</v>
      </c>
      <c r="I613" s="16">
        <f t="shared" si="117"/>
        <v>0</v>
      </c>
      <c r="J613" s="17">
        <v>2</v>
      </c>
      <c r="K613" s="16">
        <f>IF(J613=1,VLOOKUP(B613,RPM!$F$2:$H$62,3,TRUE),IF(J613=2,VLOOKUP(B613,RPM!$I$2:$K$62,3,TRUE),IF(J613=3,VLOOKUP(B613,RPM!$L$2:$N$62,3,TRUE))))</f>
        <v>7000</v>
      </c>
      <c r="L613" s="17">
        <f t="shared" si="116"/>
        <v>49.908840736389344</v>
      </c>
      <c r="M613" s="16">
        <f t="shared" si="115"/>
        <v>2.1588216279702332</v>
      </c>
      <c r="N613" s="17">
        <f>VLOOKUP(K613,RPM!$A$2:$D$62,3,FALSE)</f>
        <v>13</v>
      </c>
      <c r="O613" s="16">
        <f>VLOOKUP(K613,RPM!$A$2:$D$62,4,FALSE)</f>
        <v>13.235857142857142</v>
      </c>
      <c r="P613" s="17">
        <f t="shared" si="106"/>
        <v>9.8699786714285711</v>
      </c>
      <c r="Q613" s="16" cm="1">
        <f t="array" ref="Q613">_xlfn.XLOOKUP(O613,BSFC!$A$2:$A$24,_xlfn.XLOOKUP(K613,BSFC!$B$1:$O$1,BSFC!$B$2:$O$24,,-1),,-1)</f>
        <v>520</v>
      </c>
      <c r="R613" s="17">
        <f t="shared" si="107"/>
        <v>1.425663585873016</v>
      </c>
      <c r="S613" s="16">
        <f t="shared" si="108"/>
        <v>2.0443068048076269E-4</v>
      </c>
      <c r="T613" s="17">
        <f t="shared" si="112"/>
        <v>0.10630395384999659</v>
      </c>
      <c r="U613" s="16">
        <f t="shared" si="113"/>
        <v>82.805795799563498</v>
      </c>
      <c r="V613" s="17">
        <f t="shared" si="114"/>
        <v>0.17403493363932496</v>
      </c>
      <c r="W613" s="16">
        <f t="shared" si="109"/>
        <v>626525.76110156986</v>
      </c>
      <c r="X613">
        <f>('Hybrid Info'!$A$2-Track!P613)*(L613-L612)*1000+X612</f>
        <v>-26675.307587302734</v>
      </c>
    </row>
    <row r="614" spans="1:24">
      <c r="A614" s="16">
        <f t="shared" si="110"/>
        <v>613</v>
      </c>
      <c r="B614" s="17">
        <f t="shared" si="111"/>
        <v>13.411199999999999</v>
      </c>
      <c r="C614" s="16">
        <f>Specification!$G$29</f>
        <v>164.943378</v>
      </c>
      <c r="D614" s="17">
        <f>0.5*Specification!$K$4*Track!B614^2*Specification!$K$3*Specification!$K$2</f>
        <v>93.159842569492653</v>
      </c>
      <c r="E614" s="16">
        <v>6</v>
      </c>
      <c r="F614" s="17">
        <f>Specification!$C$23*9.81*SIN((E614*PI()/180))</f>
        <v>574.70926095052266</v>
      </c>
      <c r="G614" s="18">
        <f>IF(J614=1,VLOOKUP(K614,RPM!$E$2:$H$62,3,FALSE)-F614-E614-D614,IF(J614=2,VLOOKUP(K614,RPM!$H$2:$K$62,3,FALSE)-F614-E614-D614,IF(J614=3,VLOOKUP(K614,RPM!$K$2:$N$62,3,FALSE)-F614-E614-D614)))</f>
        <v>107.77600334162695</v>
      </c>
      <c r="H614" s="19">
        <f>IF(J614=1,Specification!$I$14,IF(J614=2,Specification!$I$15,IF(J614=3,Specification!$I$16)))</f>
        <v>582.50936296077191</v>
      </c>
      <c r="I614" s="16">
        <f t="shared" si="117"/>
        <v>0</v>
      </c>
      <c r="J614" s="17">
        <v>2</v>
      </c>
      <c r="K614" s="16">
        <f>IF(J614=1,VLOOKUP(B614,RPM!$F$2:$H$62,3,TRUE),IF(J614=2,VLOOKUP(B614,RPM!$I$2:$K$62,3,TRUE),IF(J614=3,VLOOKUP(B614,RPM!$L$2:$N$62,3,TRUE))))</f>
        <v>7000</v>
      </c>
      <c r="L614" s="17">
        <f t="shared" si="116"/>
        <v>49.983405279457827</v>
      </c>
      <c r="M614" s="16">
        <f t="shared" si="115"/>
        <v>2.2639258632359098</v>
      </c>
      <c r="N614" s="17">
        <f>VLOOKUP(K614,RPM!$A$2:$D$62,3,FALSE)</f>
        <v>13</v>
      </c>
      <c r="O614" s="16">
        <f>VLOOKUP(K614,RPM!$A$2:$D$62,4,FALSE)</f>
        <v>13.235857142857142</v>
      </c>
      <c r="P614" s="17">
        <f t="shared" si="106"/>
        <v>9.8699786714285711</v>
      </c>
      <c r="Q614" s="16" cm="1">
        <f t="array" ref="Q614">_xlfn.XLOOKUP(O614,BSFC!$A$2:$A$24,_xlfn.XLOOKUP(K614,BSFC!$B$1:$O$1,BSFC!$B$2:$O$24,,-1),,-1)</f>
        <v>520</v>
      </c>
      <c r="R614" s="17">
        <f t="shared" si="107"/>
        <v>1.425663585873016</v>
      </c>
      <c r="S614" s="16">
        <f t="shared" si="108"/>
        <v>2.0443068048076269E-4</v>
      </c>
      <c r="T614" s="17">
        <f t="shared" si="112"/>
        <v>0.10630395384999659</v>
      </c>
      <c r="U614" s="16">
        <f t="shared" si="113"/>
        <v>82.9120997534135</v>
      </c>
      <c r="V614" s="17">
        <f t="shared" si="114"/>
        <v>0.17423936431980572</v>
      </c>
      <c r="W614" s="16">
        <f t="shared" si="109"/>
        <v>627261.7115513006</v>
      </c>
      <c r="X614">
        <f>('Hybrid Info'!$A$2-Track!P614)*(L614-L613)*1000+X613</f>
        <v>-26507.501878316467</v>
      </c>
    </row>
    <row r="615" spans="1:24">
      <c r="A615" s="16">
        <f t="shared" si="110"/>
        <v>614</v>
      </c>
      <c r="B615" s="17">
        <f t="shared" si="111"/>
        <v>13.411199999999999</v>
      </c>
      <c r="C615" s="16">
        <f>Specification!$G$29</f>
        <v>164.943378</v>
      </c>
      <c r="D615" s="17">
        <f>0.5*Specification!$K$4*Track!B615^2*Specification!$K$3*Specification!$K$2</f>
        <v>93.159842569492653</v>
      </c>
      <c r="E615" s="16">
        <v>5</v>
      </c>
      <c r="F615" s="17">
        <f>Specification!$C$23*9.81*SIN((E615*PI()/180))</f>
        <v>479.192087363258</v>
      </c>
      <c r="G615" s="18">
        <f>IF(J615=1,VLOOKUP(K615,RPM!$E$2:$H$62,3,FALSE)-F615-E615-D615,IF(J615=2,VLOOKUP(K615,RPM!$H$2:$K$62,3,FALSE)-F615-E615-D615,IF(J615=3,VLOOKUP(K615,RPM!$K$2:$N$62,3,FALSE)-F615-E615-D615)))</f>
        <v>204.29317692889163</v>
      </c>
      <c r="H615" s="19">
        <f>IF(J615=1,Specification!$I$14,IF(J615=2,Specification!$I$15,IF(J615=3,Specification!$I$16)))</f>
        <v>582.50936296077191</v>
      </c>
      <c r="I615" s="16">
        <f t="shared" si="117"/>
        <v>0</v>
      </c>
      <c r="J615" s="17">
        <v>2</v>
      </c>
      <c r="K615" s="16">
        <f>IF(J615=1,VLOOKUP(B615,RPM!$F$2:$H$62,3,TRUE),IF(J615=2,VLOOKUP(B615,RPM!$I$2:$K$62,3,TRUE),IF(J615=3,VLOOKUP(B615,RPM!$L$2:$N$62,3,TRUE))))</f>
        <v>7000</v>
      </c>
      <c r="L615" s="17">
        <f t="shared" si="116"/>
        <v>50.05796982252631</v>
      </c>
      <c r="M615" s="16">
        <f t="shared" si="115"/>
        <v>2.3514145267618338</v>
      </c>
      <c r="N615" s="17">
        <f>VLOOKUP(K615,RPM!$A$2:$D$62,3,FALSE)</f>
        <v>13</v>
      </c>
      <c r="O615" s="16">
        <f>VLOOKUP(K615,RPM!$A$2:$D$62,4,FALSE)</f>
        <v>13.235857142857142</v>
      </c>
      <c r="P615" s="17">
        <f t="shared" si="106"/>
        <v>9.8699786714285711</v>
      </c>
      <c r="Q615" s="16" cm="1">
        <f t="array" ref="Q615">_xlfn.XLOOKUP(O615,BSFC!$A$2:$A$24,_xlfn.XLOOKUP(K615,BSFC!$B$1:$O$1,BSFC!$B$2:$O$24,,-1),,-1)</f>
        <v>520</v>
      </c>
      <c r="R615" s="17">
        <f t="shared" si="107"/>
        <v>1.425663585873016</v>
      </c>
      <c r="S615" s="16">
        <f t="shared" si="108"/>
        <v>2.0443068048076269E-4</v>
      </c>
      <c r="T615" s="17">
        <f t="shared" si="112"/>
        <v>0.10630395384999659</v>
      </c>
      <c r="U615" s="16">
        <f t="shared" si="113"/>
        <v>83.018403707263502</v>
      </c>
      <c r="V615" s="17">
        <f t="shared" si="114"/>
        <v>0.17444379500028648</v>
      </c>
      <c r="W615" s="16">
        <f t="shared" si="109"/>
        <v>627997.66200103133</v>
      </c>
      <c r="X615">
        <f>('Hybrid Info'!$A$2-Track!P615)*(L615-L614)*1000+X614</f>
        <v>-26339.6961693302</v>
      </c>
    </row>
    <row r="616" spans="1:24">
      <c r="A616" s="16">
        <f t="shared" si="110"/>
        <v>615</v>
      </c>
      <c r="B616" s="17">
        <f t="shared" si="111"/>
        <v>13.411199999999999</v>
      </c>
      <c r="C616" s="16">
        <f>Specification!$G$29</f>
        <v>164.943378</v>
      </c>
      <c r="D616" s="17">
        <f>0.5*Specification!$K$4*Track!B616^2*Specification!$K$3*Specification!$K$2</f>
        <v>93.159842569492653</v>
      </c>
      <c r="E616" s="16">
        <v>4</v>
      </c>
      <c r="F616" s="17">
        <f>Specification!$C$23*9.81*SIN((E616*PI()/180))</f>
        <v>383.52894722414453</v>
      </c>
      <c r="G616" s="18">
        <f>IF(J616=1,VLOOKUP(K616,RPM!$E$2:$H$62,3,FALSE)-F616-E616-D616,IF(J616=2,VLOOKUP(K616,RPM!$H$2:$K$62,3,FALSE)-F616-E616-D616,IF(J616=3,VLOOKUP(K616,RPM!$K$2:$N$62,3,FALSE)-F616-E616-D616)))</f>
        <v>162.03323181412702</v>
      </c>
      <c r="H616" s="19">
        <f>IF(J616=1,Specification!$I$14,IF(J616=2,Specification!$I$15,IF(J616=3,Specification!$I$16)))</f>
        <v>578.93404261974786</v>
      </c>
      <c r="I616" s="16">
        <f t="shared" si="117"/>
        <v>0</v>
      </c>
      <c r="J616" s="17">
        <v>3</v>
      </c>
      <c r="K616" s="16">
        <f>IF(J616=1,VLOOKUP(B616,RPM!$F$2:$H$62,3,TRUE),IF(J616=2,VLOOKUP(B616,RPM!$I$2:$K$62,3,TRUE),IF(J616=3,VLOOKUP(B616,RPM!$L$2:$N$62,3,TRUE))))</f>
        <v>4300</v>
      </c>
      <c r="L616" s="17">
        <f t="shared" si="116"/>
        <v>50.132534365594793</v>
      </c>
      <c r="M616" s="16">
        <f t="shared" si="115"/>
        <v>2.4213413387053442</v>
      </c>
      <c r="N616" s="17">
        <f>VLOOKUP(K616,RPM!$A$2:$D$62,3,FALSE)</f>
        <v>11.4</v>
      </c>
      <c r="O616" s="16">
        <f>VLOOKUP(K616,RPM!$A$2:$D$62,4,FALSE)</f>
        <v>18.894837209302327</v>
      </c>
      <c r="P616" s="17">
        <f t="shared" si="106"/>
        <v>14.089880106976747</v>
      </c>
      <c r="Q616" s="16" cm="1">
        <f t="array" ref="Q616">_xlfn.XLOOKUP(O616,BSFC!$A$2:$A$24,_xlfn.XLOOKUP(K616,BSFC!$B$1:$O$1,BSFC!$B$2:$O$24,,-1),,-1)</f>
        <v>480</v>
      </c>
      <c r="R616" s="17">
        <f t="shared" si="107"/>
        <v>1.8786506809302328</v>
      </c>
      <c r="S616" s="16">
        <f t="shared" si="108"/>
        <v>2.9183485335178652E-4</v>
      </c>
      <c r="T616" s="17">
        <f t="shared" si="112"/>
        <v>0.14008072960885753</v>
      </c>
      <c r="U616" s="16">
        <f t="shared" si="113"/>
        <v>83.158484436872357</v>
      </c>
      <c r="V616" s="17">
        <f t="shared" si="114"/>
        <v>0.17473562985363827</v>
      </c>
      <c r="W616" s="16">
        <f t="shared" si="109"/>
        <v>629048.26747309777</v>
      </c>
      <c r="X616">
        <f>('Hybrid Info'!$A$2-Track!P616)*(L616-L615)*1000+X615</f>
        <v>-26486.545482679616</v>
      </c>
    </row>
    <row r="617" spans="1:24">
      <c r="A617" s="16">
        <f t="shared" si="110"/>
        <v>616</v>
      </c>
      <c r="B617" s="17">
        <f t="shared" si="111"/>
        <v>13.411199999999999</v>
      </c>
      <c r="C617" s="16">
        <f>Specification!$G$29</f>
        <v>164.943378</v>
      </c>
      <c r="D617" s="17">
        <f>0.5*Specification!$K$4*Track!B617^2*Specification!$K$3*Specification!$K$2</f>
        <v>93.159842569492653</v>
      </c>
      <c r="E617" s="16">
        <v>3</v>
      </c>
      <c r="F617" s="17">
        <f>Specification!$C$23*9.81*SIN((E617*PI()/180))</f>
        <v>287.74898045237813</v>
      </c>
      <c r="G617" s="18">
        <f>IF(J617=1,VLOOKUP(K617,RPM!$E$2:$H$62,3,FALSE)-F617-E617-D617,IF(J617=2,VLOOKUP(K617,RPM!$H$2:$K$62,3,FALSE)-F617-E617-D617,IF(J617=3,VLOOKUP(K617,RPM!$K$2:$N$62,3,FALSE)-F617-E617-D617)))</f>
        <v>258.81319858589342</v>
      </c>
      <c r="H617" s="19">
        <f>IF(J617=1,Specification!$I$14,IF(J617=2,Specification!$I$15,IF(J617=3,Specification!$I$16)))</f>
        <v>578.93404261974786</v>
      </c>
      <c r="I617" s="16">
        <f t="shared" si="117"/>
        <v>0</v>
      </c>
      <c r="J617" s="17">
        <v>3</v>
      </c>
      <c r="K617" s="16">
        <f>IF(J617=1,VLOOKUP(B617,RPM!$F$2:$H$62,3,TRUE),IF(J617=2,VLOOKUP(B617,RPM!$I$2:$K$62,3,TRUE),IF(J617=3,VLOOKUP(B617,RPM!$L$2:$N$62,3,TRUE))))</f>
        <v>4300</v>
      </c>
      <c r="L617" s="17">
        <f t="shared" si="116"/>
        <v>50.207098908663276</v>
      </c>
      <c r="M617" s="16">
        <f t="shared" si="115"/>
        <v>2.4737491179883855</v>
      </c>
      <c r="N617" s="17">
        <f>VLOOKUP(K617,RPM!$A$2:$D$62,3,FALSE)</f>
        <v>11.4</v>
      </c>
      <c r="O617" s="16">
        <f>VLOOKUP(K617,RPM!$A$2:$D$62,4,FALSE)</f>
        <v>18.894837209302327</v>
      </c>
      <c r="P617" s="17">
        <f t="shared" si="106"/>
        <v>14.089880106976747</v>
      </c>
      <c r="Q617" s="16" cm="1">
        <f t="array" ref="Q617">_xlfn.XLOOKUP(O617,BSFC!$A$2:$A$24,_xlfn.XLOOKUP(K617,BSFC!$B$1:$O$1,BSFC!$B$2:$O$24,,-1),,-1)</f>
        <v>480</v>
      </c>
      <c r="R617" s="17">
        <f t="shared" si="107"/>
        <v>1.8786506809302328</v>
      </c>
      <c r="S617" s="16">
        <f t="shared" si="108"/>
        <v>2.9183485335178652E-4</v>
      </c>
      <c r="T617" s="17">
        <f t="shared" si="112"/>
        <v>0.14008072960885753</v>
      </c>
      <c r="U617" s="16">
        <f t="shared" si="113"/>
        <v>83.298565166481211</v>
      </c>
      <c r="V617" s="17">
        <f t="shared" si="114"/>
        <v>0.17502746470699007</v>
      </c>
      <c r="W617" s="16">
        <f t="shared" si="109"/>
        <v>630098.87294516421</v>
      </c>
      <c r="X617">
        <f>('Hybrid Info'!$A$2-Track!P617)*(L617-L616)*1000+X616</f>
        <v>-26633.394796029032</v>
      </c>
    </row>
    <row r="618" spans="1:24">
      <c r="A618" s="16">
        <f t="shared" si="110"/>
        <v>617</v>
      </c>
      <c r="B618" s="17">
        <f t="shared" si="111"/>
        <v>13.411199999999999</v>
      </c>
      <c r="C618" s="16">
        <f>Specification!$G$29</f>
        <v>164.943378</v>
      </c>
      <c r="D618" s="17">
        <f>0.5*Specification!$K$4*Track!B618^2*Specification!$K$3*Specification!$K$2</f>
        <v>93.159842569492653</v>
      </c>
      <c r="E618" s="16">
        <v>2</v>
      </c>
      <c r="F618" s="17">
        <f>Specification!$C$23*9.81*SIN((E618*PI()/180))</f>
        <v>191.88136255367905</v>
      </c>
      <c r="G618" s="18">
        <f>IF(J618=1,VLOOKUP(K618,RPM!$E$2:$H$62,3,FALSE)-F618-E618-D618,IF(J618=2,VLOOKUP(K618,RPM!$H$2:$K$62,3,FALSE)-F618-E618-D618,IF(J618=3,VLOOKUP(K618,RPM!$K$2:$N$62,3,FALSE)-F618-E618-D618)))</f>
        <v>355.68081648459247</v>
      </c>
      <c r="H618" s="19">
        <f>IF(J618=1,Specification!$I$14,IF(J618=2,Specification!$I$15,IF(J618=3,Specification!$I$16)))</f>
        <v>578.93404261974786</v>
      </c>
      <c r="I618" s="16">
        <f t="shared" si="117"/>
        <v>0</v>
      </c>
      <c r="J618" s="17">
        <v>3</v>
      </c>
      <c r="K618" s="16">
        <f>IF(J618=1,VLOOKUP(B618,RPM!$F$2:$H$62,3,TRUE),IF(J618=2,VLOOKUP(B618,RPM!$I$2:$K$62,3,TRUE),IF(J618=3,VLOOKUP(B618,RPM!$L$2:$N$62,3,TRUE))))</f>
        <v>4300</v>
      </c>
      <c r="L618" s="17">
        <f t="shared" si="116"/>
        <v>50.28166345173176</v>
      </c>
      <c r="M618" s="16">
        <f t="shared" si="115"/>
        <v>2.5086698874801332</v>
      </c>
      <c r="N618" s="17">
        <f>VLOOKUP(K618,RPM!$A$2:$D$62,3,FALSE)</f>
        <v>11.4</v>
      </c>
      <c r="O618" s="16">
        <f>VLOOKUP(K618,RPM!$A$2:$D$62,4,FALSE)</f>
        <v>18.894837209302327</v>
      </c>
      <c r="P618" s="17">
        <f t="shared" si="106"/>
        <v>14.089880106976747</v>
      </c>
      <c r="Q618" s="16" cm="1">
        <f t="array" ref="Q618">_xlfn.XLOOKUP(O618,BSFC!$A$2:$A$24,_xlfn.XLOOKUP(K618,BSFC!$B$1:$O$1,BSFC!$B$2:$O$24,,-1),,-1)</f>
        <v>480</v>
      </c>
      <c r="R618" s="17">
        <f t="shared" si="107"/>
        <v>1.8786506809302328</v>
      </c>
      <c r="S618" s="16">
        <f t="shared" si="108"/>
        <v>2.9183485335178652E-4</v>
      </c>
      <c r="T618" s="17">
        <f t="shared" si="112"/>
        <v>0.14008072960885753</v>
      </c>
      <c r="U618" s="16">
        <f t="shared" si="113"/>
        <v>83.438645896090065</v>
      </c>
      <c r="V618" s="17">
        <f t="shared" si="114"/>
        <v>0.17531929956034187</v>
      </c>
      <c r="W618" s="16">
        <f t="shared" si="109"/>
        <v>631149.47841723077</v>
      </c>
      <c r="X618">
        <f>('Hybrid Info'!$A$2-Track!P618)*(L618-L617)*1000+X617</f>
        <v>-26780.244109378447</v>
      </c>
    </row>
    <row r="619" spans="1:24">
      <c r="A619" s="16">
        <f t="shared" si="110"/>
        <v>618</v>
      </c>
      <c r="B619" s="17">
        <f t="shared" si="111"/>
        <v>13.411199999999999</v>
      </c>
      <c r="C619" s="16">
        <f>Specification!$G$29</f>
        <v>164.943378</v>
      </c>
      <c r="D619" s="17">
        <f>0.5*Specification!$K$4*Track!B619^2*Specification!$K$3*Specification!$K$2</f>
        <v>93.159842569492653</v>
      </c>
      <c r="E619" s="16">
        <v>1</v>
      </c>
      <c r="F619" s="17">
        <f>Specification!$C$23*9.81*SIN((E619*PI()/180))</f>
        <v>95.955295733149597</v>
      </c>
      <c r="G619" s="18">
        <f>IF(J619=1,VLOOKUP(K619,RPM!$E$2:$H$62,3,FALSE)-F619-E619-D619,IF(J619=2,VLOOKUP(K619,RPM!$H$2:$K$62,3,FALSE)-F619-E619-D619,IF(J619=3,VLOOKUP(K619,RPM!$K$2:$N$62,3,FALSE)-F619-E619-D619)))</f>
        <v>452.60688330512198</v>
      </c>
      <c r="H619" s="19">
        <f>IF(J619=1,Specification!$I$14,IF(J619=2,Specification!$I$15,IF(J619=3,Specification!$I$16)))</f>
        <v>578.93404261974786</v>
      </c>
      <c r="I619" s="16">
        <f t="shared" si="117"/>
        <v>0</v>
      </c>
      <c r="J619" s="17">
        <v>3</v>
      </c>
      <c r="K619" s="16">
        <f>IF(J619=1,VLOOKUP(B619,RPM!$F$2:$H$62,3,TRUE),IF(J619=2,VLOOKUP(B619,RPM!$I$2:$K$62,3,TRUE),IF(J619=3,VLOOKUP(B619,RPM!$L$2:$N$62,3,TRUE))))</f>
        <v>4300</v>
      </c>
      <c r="L619" s="17">
        <f t="shared" si="116"/>
        <v>50.356227994800243</v>
      </c>
      <c r="M619" s="16">
        <f t="shared" si="115"/>
        <v>2.5261249524083507</v>
      </c>
      <c r="N619" s="17">
        <f>VLOOKUP(K619,RPM!$A$2:$D$62,3,FALSE)</f>
        <v>11.4</v>
      </c>
      <c r="O619" s="16">
        <f>VLOOKUP(K619,RPM!$A$2:$D$62,4,FALSE)</f>
        <v>18.894837209302327</v>
      </c>
      <c r="P619" s="17">
        <f t="shared" si="106"/>
        <v>14.089880106976747</v>
      </c>
      <c r="Q619" s="16" cm="1">
        <f t="array" ref="Q619">_xlfn.XLOOKUP(O619,BSFC!$A$2:$A$24,_xlfn.XLOOKUP(K619,BSFC!$B$1:$O$1,BSFC!$B$2:$O$24,,-1),,-1)</f>
        <v>480</v>
      </c>
      <c r="R619" s="17">
        <f t="shared" si="107"/>
        <v>1.8786506809302328</v>
      </c>
      <c r="S619" s="16">
        <f t="shared" si="108"/>
        <v>2.9183485335178652E-4</v>
      </c>
      <c r="T619" s="17">
        <f t="shared" si="112"/>
        <v>0.14008072960885753</v>
      </c>
      <c r="U619" s="16">
        <f t="shared" si="113"/>
        <v>83.57872662569892</v>
      </c>
      <c r="V619" s="17">
        <f t="shared" si="114"/>
        <v>0.17561113441369366</v>
      </c>
      <c r="W619" s="16">
        <f t="shared" si="109"/>
        <v>632200.08388929721</v>
      </c>
      <c r="X619">
        <f>('Hybrid Info'!$A$2-Track!P619)*(L619-L618)*1000+X618</f>
        <v>-26927.093422727863</v>
      </c>
    </row>
    <row r="620" spans="1:24">
      <c r="A620" s="16">
        <f t="shared" si="110"/>
        <v>619</v>
      </c>
      <c r="B620" s="17">
        <f t="shared" si="111"/>
        <v>13.411199999999999</v>
      </c>
      <c r="C620" s="16">
        <f>Specification!$G$29</f>
        <v>164.943378</v>
      </c>
      <c r="D620" s="17">
        <f>0.5*Specification!$K$4*Track!B620^2*Specification!$K$3*Specification!$K$2</f>
        <v>93.159842569492653</v>
      </c>
      <c r="E620" s="16">
        <v>0</v>
      </c>
      <c r="F620" s="17">
        <f>Specification!$C$23*9.81*SIN((E620*PI()/180))</f>
        <v>0</v>
      </c>
      <c r="G620" s="18">
        <f>IF(J620=1,VLOOKUP(K620,RPM!$E$2:$H$62,3,FALSE)-F620-E620-D620,IF(J620=2,VLOOKUP(K620,RPM!$H$2:$K$62,3,FALSE)-F620-E620-D620,IF(J620=3,VLOOKUP(K620,RPM!$K$2:$N$62,3,FALSE)-F620-E620-D620)))</f>
        <v>549.56217903827155</v>
      </c>
      <c r="H620" s="19">
        <f>IF(J620=1,Specification!$I$14,IF(J620=2,Specification!$I$15,IF(J620=3,Specification!$I$16)))</f>
        <v>578.93404261974786</v>
      </c>
      <c r="I620" s="16">
        <f t="shared" si="117"/>
        <v>0</v>
      </c>
      <c r="J620" s="17">
        <v>3</v>
      </c>
      <c r="K620" s="16">
        <f>IF(J620=1,VLOOKUP(B620,RPM!$F$2:$H$62,3,TRUE),IF(J620=2,VLOOKUP(B620,RPM!$I$2:$K$62,3,TRUE),IF(J620=3,VLOOKUP(B620,RPM!$L$2:$N$62,3,TRUE))))</f>
        <v>4300</v>
      </c>
      <c r="L620" s="17">
        <f t="shared" si="116"/>
        <v>50.430792537868726</v>
      </c>
      <c r="M620" s="16">
        <f t="shared" si="115"/>
        <v>2.5261249524083507</v>
      </c>
      <c r="N620" s="17">
        <f>VLOOKUP(K620,RPM!$A$2:$D$62,3,FALSE)</f>
        <v>11.4</v>
      </c>
      <c r="O620" s="16">
        <f>VLOOKUP(K620,RPM!$A$2:$D$62,4,FALSE)</f>
        <v>18.894837209302327</v>
      </c>
      <c r="P620" s="17">
        <f t="shared" si="106"/>
        <v>14.089880106976747</v>
      </c>
      <c r="Q620" s="16" cm="1">
        <f t="array" ref="Q620">_xlfn.XLOOKUP(O620,BSFC!$A$2:$A$24,_xlfn.XLOOKUP(K620,BSFC!$B$1:$O$1,BSFC!$B$2:$O$24,,-1),,-1)</f>
        <v>480</v>
      </c>
      <c r="R620" s="17">
        <f t="shared" si="107"/>
        <v>1.8786506809302328</v>
      </c>
      <c r="S620" s="16">
        <f t="shared" si="108"/>
        <v>2.9183485335178652E-4</v>
      </c>
      <c r="T620" s="17">
        <f t="shared" si="112"/>
        <v>0.14008072960885753</v>
      </c>
      <c r="U620" s="16">
        <f t="shared" si="113"/>
        <v>83.718807355307774</v>
      </c>
      <c r="V620" s="17">
        <f t="shared" si="114"/>
        <v>0.17590296926704546</v>
      </c>
      <c r="W620" s="16">
        <f t="shared" si="109"/>
        <v>633250.68936136365</v>
      </c>
      <c r="X620">
        <f>('Hybrid Info'!$A$2-Track!P620)*(L620-L619)*1000+X619</f>
        <v>-27073.942736077279</v>
      </c>
    </row>
    <row r="621" spans="1:24">
      <c r="A621" s="16">
        <f t="shared" si="110"/>
        <v>620</v>
      </c>
      <c r="B621" s="17">
        <f t="shared" si="111"/>
        <v>13.411199999999999</v>
      </c>
      <c r="C621" s="16">
        <f>Specification!$G$29</f>
        <v>164.943378</v>
      </c>
      <c r="D621" s="17">
        <f>0.5*Specification!$K$4*Track!B621^2*Specification!$K$3*Specification!$K$2</f>
        <v>93.159842569492653</v>
      </c>
      <c r="E621" s="16">
        <v>0</v>
      </c>
      <c r="F621" s="17">
        <f>Specification!$C$23*9.81*SIN((E621*PI()/180))</f>
        <v>0</v>
      </c>
      <c r="G621" s="18">
        <f>IF(J621=1,VLOOKUP(K621,RPM!$E$2:$H$62,3,FALSE)-F621-E621-D621,IF(J621=2,VLOOKUP(K621,RPM!$H$2:$K$62,3,FALSE)-F621-E621-D621,IF(J621=3,VLOOKUP(K621,RPM!$K$2:$N$62,3,FALSE)-F621-E621-D621)))</f>
        <v>549.56217903827155</v>
      </c>
      <c r="H621" s="19">
        <f>IF(J621=1,Specification!$I$14,IF(J621=2,Specification!$I$15,IF(J621=3,Specification!$I$16)))</f>
        <v>578.93404261974786</v>
      </c>
      <c r="I621" s="16">
        <f t="shared" si="117"/>
        <v>0</v>
      </c>
      <c r="J621" s="17">
        <v>3</v>
      </c>
      <c r="K621" s="16">
        <f>IF(J621=1,VLOOKUP(B621,RPM!$F$2:$H$62,3,TRUE),IF(J621=2,VLOOKUP(B621,RPM!$I$2:$K$62,3,TRUE),IF(J621=3,VLOOKUP(B621,RPM!$L$2:$N$62,3,TRUE))))</f>
        <v>4300</v>
      </c>
      <c r="L621" s="17">
        <f t="shared" si="116"/>
        <v>50.505357080937209</v>
      </c>
      <c r="M621" s="16">
        <f t="shared" si="115"/>
        <v>2.5261249524083507</v>
      </c>
      <c r="N621" s="17">
        <f>VLOOKUP(K621,RPM!$A$2:$D$62,3,FALSE)</f>
        <v>11.4</v>
      </c>
      <c r="O621" s="16">
        <f>VLOOKUP(K621,RPM!$A$2:$D$62,4,FALSE)</f>
        <v>18.894837209302327</v>
      </c>
      <c r="P621" s="17">
        <f t="shared" si="106"/>
        <v>14.089880106976747</v>
      </c>
      <c r="Q621" s="16" cm="1">
        <f t="array" ref="Q621">_xlfn.XLOOKUP(O621,BSFC!$A$2:$A$24,_xlfn.XLOOKUP(K621,BSFC!$B$1:$O$1,BSFC!$B$2:$O$24,,-1),,-1)</f>
        <v>480</v>
      </c>
      <c r="R621" s="17">
        <f t="shared" si="107"/>
        <v>1.8786506809302328</v>
      </c>
      <c r="S621" s="16">
        <f t="shared" si="108"/>
        <v>2.9183485335178652E-4</v>
      </c>
      <c r="T621" s="17">
        <f t="shared" si="112"/>
        <v>0.14008072960885753</v>
      </c>
      <c r="U621" s="16">
        <f t="shared" si="113"/>
        <v>83.858888084916629</v>
      </c>
      <c r="V621" s="17">
        <f t="shared" si="114"/>
        <v>0.17619480412039726</v>
      </c>
      <c r="W621" s="16">
        <f t="shared" si="109"/>
        <v>634301.29483343021</v>
      </c>
      <c r="X621">
        <f>('Hybrid Info'!$A$2-Track!P621)*(L621-L620)*1000+X620</f>
        <v>-27220.792049426695</v>
      </c>
    </row>
    <row r="622" spans="1:24">
      <c r="A622" s="16">
        <f t="shared" si="110"/>
        <v>621</v>
      </c>
      <c r="B622" s="17">
        <f t="shared" si="111"/>
        <v>13.411199999999999</v>
      </c>
      <c r="C622" s="16">
        <f>Specification!$G$29</f>
        <v>164.943378</v>
      </c>
      <c r="D622" s="17">
        <f>0.5*Specification!$K$4*Track!B622^2*Specification!$K$3*Specification!$K$2</f>
        <v>93.159842569492653</v>
      </c>
      <c r="E622" s="16">
        <v>0</v>
      </c>
      <c r="F622" s="17">
        <f>Specification!$C$23*9.81*SIN((E622*PI()/180))</f>
        <v>0</v>
      </c>
      <c r="G622" s="18">
        <f>IF(J622=1,VLOOKUP(K622,RPM!$E$2:$H$62,3,FALSE)-F622-E622-D622,IF(J622=2,VLOOKUP(K622,RPM!$H$2:$K$62,3,FALSE)-F622-E622-D622,IF(J622=3,VLOOKUP(K622,RPM!$K$2:$N$62,3,FALSE)-F622-E622-D622)))</f>
        <v>549.56217903827155</v>
      </c>
      <c r="H622" s="19">
        <f>IF(J622=1,Specification!$I$14,IF(J622=2,Specification!$I$15,IF(J622=3,Specification!$I$16)))</f>
        <v>578.93404261974786</v>
      </c>
      <c r="I622" s="16">
        <f t="shared" si="117"/>
        <v>0</v>
      </c>
      <c r="J622" s="17">
        <v>3</v>
      </c>
      <c r="K622" s="16">
        <f>IF(J622=1,VLOOKUP(B622,RPM!$F$2:$H$62,3,TRUE),IF(J622=2,VLOOKUP(B622,RPM!$I$2:$K$62,3,TRUE),IF(J622=3,VLOOKUP(B622,RPM!$L$2:$N$62,3,TRUE))))</f>
        <v>4300</v>
      </c>
      <c r="L622" s="17">
        <f t="shared" si="116"/>
        <v>50.579921624005692</v>
      </c>
      <c r="M622" s="16">
        <f t="shared" si="115"/>
        <v>2.5261249524083507</v>
      </c>
      <c r="N622" s="17">
        <f>VLOOKUP(K622,RPM!$A$2:$D$62,3,FALSE)</f>
        <v>11.4</v>
      </c>
      <c r="O622" s="16">
        <f>VLOOKUP(K622,RPM!$A$2:$D$62,4,FALSE)</f>
        <v>18.894837209302327</v>
      </c>
      <c r="P622" s="17">
        <f t="shared" si="106"/>
        <v>14.089880106976747</v>
      </c>
      <c r="Q622" s="16" cm="1">
        <f t="array" ref="Q622">_xlfn.XLOOKUP(O622,BSFC!$A$2:$A$24,_xlfn.XLOOKUP(K622,BSFC!$B$1:$O$1,BSFC!$B$2:$O$24,,-1),,-1)</f>
        <v>480</v>
      </c>
      <c r="R622" s="17">
        <f t="shared" si="107"/>
        <v>1.8786506809302328</v>
      </c>
      <c r="S622" s="16">
        <f t="shared" si="108"/>
        <v>2.9183485335178652E-4</v>
      </c>
      <c r="T622" s="17">
        <f t="shared" si="112"/>
        <v>0.14008072960885753</v>
      </c>
      <c r="U622" s="16">
        <f t="shared" si="113"/>
        <v>83.998968814525483</v>
      </c>
      <c r="V622" s="17">
        <f t="shared" si="114"/>
        <v>0.17648663897374905</v>
      </c>
      <c r="W622" s="16">
        <f t="shared" si="109"/>
        <v>635351.90030549665</v>
      </c>
      <c r="X622">
        <f>('Hybrid Info'!$A$2-Track!P622)*(L622-L621)*1000+X621</f>
        <v>-27367.64136277611</v>
      </c>
    </row>
    <row r="623" spans="1:24">
      <c r="A623" s="16">
        <f t="shared" si="110"/>
        <v>622</v>
      </c>
      <c r="B623" s="17">
        <f t="shared" si="111"/>
        <v>13.411199999999999</v>
      </c>
      <c r="C623" s="16">
        <f>Specification!$G$29</f>
        <v>164.943378</v>
      </c>
      <c r="D623" s="17">
        <f>0.5*Specification!$K$4*Track!B623^2*Specification!$K$3*Specification!$K$2</f>
        <v>93.159842569492653</v>
      </c>
      <c r="E623" s="16">
        <v>0</v>
      </c>
      <c r="F623" s="17">
        <f>Specification!$C$23*9.81*SIN((E623*PI()/180))</f>
        <v>0</v>
      </c>
      <c r="G623" s="18">
        <f>IF(J623=1,VLOOKUP(K623,RPM!$E$2:$H$62,3,FALSE)-F623-E623-D623,IF(J623=2,VLOOKUP(K623,RPM!$H$2:$K$62,3,FALSE)-F623-E623-D623,IF(J623=3,VLOOKUP(K623,RPM!$K$2:$N$62,3,FALSE)-F623-E623-D623)))</f>
        <v>549.56217903827155</v>
      </c>
      <c r="H623" s="19">
        <f>IF(J623=1,Specification!$I$14,IF(J623=2,Specification!$I$15,IF(J623=3,Specification!$I$16)))</f>
        <v>578.93404261974786</v>
      </c>
      <c r="I623" s="16">
        <f t="shared" si="117"/>
        <v>0</v>
      </c>
      <c r="J623" s="17">
        <v>3</v>
      </c>
      <c r="K623" s="16">
        <f>IF(J623=1,VLOOKUP(B623,RPM!$F$2:$H$62,3,TRUE),IF(J623=2,VLOOKUP(B623,RPM!$I$2:$K$62,3,TRUE),IF(J623=3,VLOOKUP(B623,RPM!$L$2:$N$62,3,TRUE))))</f>
        <v>4300</v>
      </c>
      <c r="L623" s="17">
        <f t="shared" si="116"/>
        <v>50.654486167074175</v>
      </c>
      <c r="M623" s="16">
        <f t="shared" si="115"/>
        <v>2.5261249524083507</v>
      </c>
      <c r="N623" s="17">
        <f>VLOOKUP(K623,RPM!$A$2:$D$62,3,FALSE)</f>
        <v>11.4</v>
      </c>
      <c r="O623" s="16">
        <f>VLOOKUP(K623,RPM!$A$2:$D$62,4,FALSE)</f>
        <v>18.894837209302327</v>
      </c>
      <c r="P623" s="17">
        <f t="shared" si="106"/>
        <v>14.089880106976747</v>
      </c>
      <c r="Q623" s="16" cm="1">
        <f t="array" ref="Q623">_xlfn.XLOOKUP(O623,BSFC!$A$2:$A$24,_xlfn.XLOOKUP(K623,BSFC!$B$1:$O$1,BSFC!$B$2:$O$24,,-1),,-1)</f>
        <v>480</v>
      </c>
      <c r="R623" s="17">
        <f t="shared" si="107"/>
        <v>1.8786506809302328</v>
      </c>
      <c r="S623" s="16">
        <f t="shared" si="108"/>
        <v>2.9183485335178652E-4</v>
      </c>
      <c r="T623" s="17">
        <f t="shared" si="112"/>
        <v>0.14008072960885753</v>
      </c>
      <c r="U623" s="16">
        <f t="shared" si="113"/>
        <v>84.139049544134338</v>
      </c>
      <c r="V623" s="17">
        <f t="shared" si="114"/>
        <v>0.17677847382710085</v>
      </c>
      <c r="W623" s="16">
        <f t="shared" si="109"/>
        <v>636402.50577756297</v>
      </c>
      <c r="X623">
        <f>('Hybrid Info'!$A$2-Track!P623)*(L623-L622)*1000+X622</f>
        <v>-27514.490676125526</v>
      </c>
    </row>
    <row r="624" spans="1:24">
      <c r="A624" s="16">
        <f t="shared" si="110"/>
        <v>623</v>
      </c>
      <c r="B624" s="17">
        <f t="shared" si="111"/>
        <v>13.411199999999999</v>
      </c>
      <c r="C624" s="16">
        <f>Specification!$G$29</f>
        <v>164.943378</v>
      </c>
      <c r="D624" s="17">
        <f>0.5*Specification!$K$4*Track!B624^2*Specification!$K$3*Specification!$K$2</f>
        <v>93.159842569492653</v>
      </c>
      <c r="E624" s="16">
        <v>-1</v>
      </c>
      <c r="F624" s="17">
        <f>Specification!$C$23*9.81*SIN((E624*PI()/180))</f>
        <v>-95.955295733149597</v>
      </c>
      <c r="G624" s="18">
        <f>IF(J624=1,VLOOKUP(K624,RPM!$E$2:$H$62,3,FALSE)-F624-E624-D624,IF(J624=2,VLOOKUP(K624,RPM!$H$2:$K$62,3,FALSE)-F624-E624-D624,IF(J624=3,VLOOKUP(K624,RPM!$K$2:$N$62,3,FALSE)-F624-E624-D624)))</f>
        <v>646.51747477142112</v>
      </c>
      <c r="H624" s="19">
        <f>IF(J624=1,Specification!$I$14,IF(J624=2,Specification!$I$15,IF(J624=3,Specification!$I$16)))</f>
        <v>578.93404261974786</v>
      </c>
      <c r="I624" s="16">
        <f t="shared" si="117"/>
        <v>0</v>
      </c>
      <c r="J624" s="17">
        <v>3</v>
      </c>
      <c r="K624" s="16">
        <f>IF(J624=1,VLOOKUP(B624,RPM!$F$2:$H$62,3,TRUE),IF(J624=2,VLOOKUP(B624,RPM!$I$2:$K$62,3,TRUE),IF(J624=3,VLOOKUP(B624,RPM!$L$2:$N$62,3,TRUE))))</f>
        <v>4300</v>
      </c>
      <c r="L624" s="17">
        <f t="shared" si="116"/>
        <v>50.729050710142658</v>
      </c>
      <c r="M624" s="16">
        <f t="shared" si="115"/>
        <v>2.5086698874801332</v>
      </c>
      <c r="N624" s="17">
        <f>VLOOKUP(K624,RPM!$A$2:$D$62,3,FALSE)</f>
        <v>11.4</v>
      </c>
      <c r="O624" s="16">
        <f>VLOOKUP(K624,RPM!$A$2:$D$62,4,FALSE)</f>
        <v>18.894837209302327</v>
      </c>
      <c r="P624" s="17">
        <f t="shared" si="106"/>
        <v>14.089880106976747</v>
      </c>
      <c r="Q624" s="16" cm="1">
        <f t="array" ref="Q624">_xlfn.XLOOKUP(O624,BSFC!$A$2:$A$24,_xlfn.XLOOKUP(K624,BSFC!$B$1:$O$1,BSFC!$B$2:$O$24,,-1),,-1)</f>
        <v>480</v>
      </c>
      <c r="R624" s="17">
        <f t="shared" si="107"/>
        <v>1.8786506809302328</v>
      </c>
      <c r="S624" s="16">
        <f t="shared" si="108"/>
        <v>2.9183485335178652E-4</v>
      </c>
      <c r="T624" s="17">
        <f t="shared" si="112"/>
        <v>0.14008072960885753</v>
      </c>
      <c r="U624" s="16">
        <f t="shared" si="113"/>
        <v>84.279130273743192</v>
      </c>
      <c r="V624" s="17">
        <f t="shared" si="114"/>
        <v>0.17707030868045265</v>
      </c>
      <c r="W624" s="16">
        <f t="shared" si="109"/>
        <v>637453.11124962952</v>
      </c>
      <c r="X624">
        <f>('Hybrid Info'!$A$2-Track!P624)*(L624-L623)*1000+X623</f>
        <v>-27661.339989474942</v>
      </c>
    </row>
    <row r="625" spans="1:24">
      <c r="A625" s="16">
        <f t="shared" si="110"/>
        <v>624</v>
      </c>
      <c r="B625" s="17">
        <f t="shared" si="111"/>
        <v>13.411199999999999</v>
      </c>
      <c r="C625" s="16">
        <f>Specification!$G$29</f>
        <v>164.943378</v>
      </c>
      <c r="D625" s="17">
        <f>0.5*Specification!$K$4*Track!B625^2*Specification!$K$3*Specification!$K$2</f>
        <v>93.159842569492653</v>
      </c>
      <c r="E625" s="16">
        <v>-2</v>
      </c>
      <c r="F625" s="17">
        <f>Specification!$C$23*9.81*SIN((E625*PI()/180))</f>
        <v>-191.88136255367905</v>
      </c>
      <c r="G625" s="18">
        <f>IF(J625=1,VLOOKUP(K625,RPM!$E$2:$H$62,3,FALSE)-F625-E625-D625,IF(J625=2,VLOOKUP(K625,RPM!$H$2:$K$62,3,FALSE)-F625-E625-D625,IF(J625=3,VLOOKUP(K625,RPM!$K$2:$N$62,3,FALSE)-F625-E625-D625)))</f>
        <v>743.44354159195063</v>
      </c>
      <c r="H625" s="19">
        <f>IF(J625=1,Specification!$I$14,IF(J625=2,Specification!$I$15,IF(J625=3,Specification!$I$16)))</f>
        <v>578.93404261974786</v>
      </c>
      <c r="I625" s="16">
        <f t="shared" si="117"/>
        <v>0</v>
      </c>
      <c r="J625" s="17">
        <v>3</v>
      </c>
      <c r="K625" s="16">
        <f>IF(J625=1,VLOOKUP(B625,RPM!$F$2:$H$62,3,TRUE),IF(J625=2,VLOOKUP(B625,RPM!$I$2:$K$62,3,TRUE),IF(J625=3,VLOOKUP(B625,RPM!$L$2:$N$62,3,TRUE))))</f>
        <v>4300</v>
      </c>
      <c r="L625" s="17">
        <f t="shared" si="116"/>
        <v>50.803615253211142</v>
      </c>
      <c r="M625" s="16">
        <f t="shared" si="115"/>
        <v>2.4737491179883855</v>
      </c>
      <c r="N625" s="17">
        <f>VLOOKUP(K625,RPM!$A$2:$D$62,3,FALSE)</f>
        <v>11.4</v>
      </c>
      <c r="O625" s="16">
        <f>VLOOKUP(K625,RPM!$A$2:$D$62,4,FALSE)</f>
        <v>18.894837209302327</v>
      </c>
      <c r="P625" s="17">
        <f t="shared" si="106"/>
        <v>14.089880106976747</v>
      </c>
      <c r="Q625" s="16" cm="1">
        <f t="array" ref="Q625">_xlfn.XLOOKUP(O625,BSFC!$A$2:$A$24,_xlfn.XLOOKUP(K625,BSFC!$B$1:$O$1,BSFC!$B$2:$O$24,,-1),,-1)</f>
        <v>480</v>
      </c>
      <c r="R625" s="17">
        <f t="shared" si="107"/>
        <v>1.8786506809302328</v>
      </c>
      <c r="S625" s="16">
        <f t="shared" si="108"/>
        <v>2.9183485335178652E-4</v>
      </c>
      <c r="T625" s="17">
        <f t="shared" si="112"/>
        <v>0.14008072960885753</v>
      </c>
      <c r="U625" s="16">
        <f t="shared" si="113"/>
        <v>84.419211003352046</v>
      </c>
      <c r="V625" s="17">
        <f t="shared" si="114"/>
        <v>0.17736214353380444</v>
      </c>
      <c r="W625" s="16">
        <f t="shared" si="109"/>
        <v>638503.71672169596</v>
      </c>
      <c r="X625">
        <f>('Hybrid Info'!$A$2-Track!P625)*(L625-L624)*1000+X624</f>
        <v>-27808.189302824358</v>
      </c>
    </row>
    <row r="626" spans="1:24">
      <c r="A626" s="16">
        <f t="shared" si="110"/>
        <v>625</v>
      </c>
      <c r="B626" s="17">
        <f t="shared" si="111"/>
        <v>13.411199999999999</v>
      </c>
      <c r="C626" s="16">
        <f>Specification!$G$29</f>
        <v>164.943378</v>
      </c>
      <c r="D626" s="17">
        <f>0.5*Specification!$K$4*Track!B626^2*Specification!$K$3*Specification!$K$2</f>
        <v>93.159842569492653</v>
      </c>
      <c r="E626" s="16">
        <v>-3</v>
      </c>
      <c r="F626" s="17">
        <f>Specification!$C$23*9.81*SIN((E626*PI()/180))</f>
        <v>-287.74898045237813</v>
      </c>
      <c r="G626" s="18">
        <f>IF(J626=1,VLOOKUP(K626,RPM!$E$2:$H$62,3,FALSE)-F626-E626-D626,IF(J626=2,VLOOKUP(K626,RPM!$H$2:$K$62,3,FALSE)-F626-E626-D626,IF(J626=3,VLOOKUP(K626,RPM!$K$2:$N$62,3,FALSE)-F626-E626-D626)))</f>
        <v>840.31115949064974</v>
      </c>
      <c r="H626" s="19">
        <f>IF(J626=1,Specification!$I$14,IF(J626=2,Specification!$I$15,IF(J626=3,Specification!$I$16)))</f>
        <v>578.93404261974786</v>
      </c>
      <c r="I626" s="16">
        <f t="shared" si="117"/>
        <v>0</v>
      </c>
      <c r="J626" s="17">
        <v>3</v>
      </c>
      <c r="K626" s="16">
        <f>IF(J626=1,VLOOKUP(B626,RPM!$F$2:$H$62,3,TRUE),IF(J626=2,VLOOKUP(B626,RPM!$I$2:$K$62,3,TRUE),IF(J626=3,VLOOKUP(B626,RPM!$L$2:$N$62,3,TRUE))))</f>
        <v>4300</v>
      </c>
      <c r="L626" s="17">
        <f t="shared" si="116"/>
        <v>50.878179796279625</v>
      </c>
      <c r="M626" s="16">
        <f t="shared" si="115"/>
        <v>2.4213413387053442</v>
      </c>
      <c r="N626" s="17">
        <f>VLOOKUP(K626,RPM!$A$2:$D$62,3,FALSE)</f>
        <v>11.4</v>
      </c>
      <c r="O626" s="16">
        <f>VLOOKUP(K626,RPM!$A$2:$D$62,4,FALSE)</f>
        <v>18.894837209302327</v>
      </c>
      <c r="P626" s="17">
        <f t="shared" si="106"/>
        <v>14.089880106976747</v>
      </c>
      <c r="Q626" s="16" cm="1">
        <f t="array" ref="Q626">_xlfn.XLOOKUP(O626,BSFC!$A$2:$A$24,_xlfn.XLOOKUP(K626,BSFC!$B$1:$O$1,BSFC!$B$2:$O$24,,-1),,-1)</f>
        <v>480</v>
      </c>
      <c r="R626" s="17">
        <f t="shared" si="107"/>
        <v>1.8786506809302328</v>
      </c>
      <c r="S626" s="16">
        <f t="shared" si="108"/>
        <v>2.9183485335178652E-4</v>
      </c>
      <c r="T626" s="17">
        <f t="shared" si="112"/>
        <v>0.14008072960885753</v>
      </c>
      <c r="U626" s="16">
        <f t="shared" si="113"/>
        <v>84.559291732960901</v>
      </c>
      <c r="V626" s="17">
        <f t="shared" si="114"/>
        <v>0.17765397838715624</v>
      </c>
      <c r="W626" s="16">
        <f t="shared" si="109"/>
        <v>639554.3221937624</v>
      </c>
      <c r="X626">
        <f>('Hybrid Info'!$A$2-Track!P626)*(L626-L625)*1000+X625</f>
        <v>-27955.038616173773</v>
      </c>
    </row>
    <row r="627" spans="1:24">
      <c r="A627" s="16">
        <f t="shared" si="110"/>
        <v>626</v>
      </c>
      <c r="B627" s="17">
        <f t="shared" si="111"/>
        <v>13.411199999999999</v>
      </c>
      <c r="C627" s="16">
        <f>Specification!$G$29</f>
        <v>164.943378</v>
      </c>
      <c r="D627" s="17">
        <f>0.5*Specification!$K$4*Track!B627^2*Specification!$K$3*Specification!$K$2</f>
        <v>93.159842569492653</v>
      </c>
      <c r="E627" s="16">
        <v>-4</v>
      </c>
      <c r="F627" s="17">
        <f>Specification!$C$23*9.81*SIN((E627*PI()/180))</f>
        <v>-383.52894722414453</v>
      </c>
      <c r="G627" s="18">
        <f>IF(J627=1,VLOOKUP(K627,RPM!$E$2:$H$62,3,FALSE)-F627-E627-D627,IF(J627=2,VLOOKUP(K627,RPM!$H$2:$K$62,3,FALSE)-F627-E627-D627,IF(J627=3,VLOOKUP(K627,RPM!$K$2:$N$62,3,FALSE)-F627-E627-D627)))</f>
        <v>937.09112626241608</v>
      </c>
      <c r="H627" s="19">
        <f>IF(J627=1,Specification!$I$14,IF(J627=2,Specification!$I$15,IF(J627=3,Specification!$I$16)))</f>
        <v>578.93404261974786</v>
      </c>
      <c r="I627" s="16">
        <f t="shared" si="117"/>
        <v>0</v>
      </c>
      <c r="J627" s="17">
        <v>3</v>
      </c>
      <c r="K627" s="16">
        <f>IF(J627=1,VLOOKUP(B627,RPM!$F$2:$H$62,3,TRUE),IF(J627=2,VLOOKUP(B627,RPM!$I$2:$K$62,3,TRUE),IF(J627=3,VLOOKUP(B627,RPM!$L$2:$N$62,3,TRUE))))</f>
        <v>4300</v>
      </c>
      <c r="L627" s="17">
        <f t="shared" si="116"/>
        <v>50.952744339348108</v>
      </c>
      <c r="M627" s="16">
        <f t="shared" si="115"/>
        <v>2.3514145267618338</v>
      </c>
      <c r="N627" s="17">
        <f>VLOOKUP(K627,RPM!$A$2:$D$62,3,FALSE)</f>
        <v>11.4</v>
      </c>
      <c r="O627" s="16">
        <f>VLOOKUP(K627,RPM!$A$2:$D$62,4,FALSE)</f>
        <v>18.894837209302327</v>
      </c>
      <c r="P627" s="17">
        <f t="shared" si="106"/>
        <v>14.089880106976747</v>
      </c>
      <c r="Q627" s="16" cm="1">
        <f t="array" ref="Q627">_xlfn.XLOOKUP(O627,BSFC!$A$2:$A$24,_xlfn.XLOOKUP(K627,BSFC!$B$1:$O$1,BSFC!$B$2:$O$24,,-1),,-1)</f>
        <v>480</v>
      </c>
      <c r="R627" s="17">
        <f t="shared" si="107"/>
        <v>1.8786506809302328</v>
      </c>
      <c r="S627" s="16">
        <f t="shared" si="108"/>
        <v>2.9183485335178652E-4</v>
      </c>
      <c r="T627" s="17">
        <f t="shared" si="112"/>
        <v>0.14008072960885753</v>
      </c>
      <c r="U627" s="16">
        <f t="shared" si="113"/>
        <v>84.699372462569755</v>
      </c>
      <c r="V627" s="17">
        <f t="shared" si="114"/>
        <v>0.17794581324050804</v>
      </c>
      <c r="W627" s="16">
        <f t="shared" si="109"/>
        <v>640604.92766582896</v>
      </c>
      <c r="X627">
        <f>('Hybrid Info'!$A$2-Track!P627)*(L627-L626)*1000+X626</f>
        <v>-28101.887929523189</v>
      </c>
    </row>
    <row r="628" spans="1:24">
      <c r="A628" s="16">
        <f t="shared" si="110"/>
        <v>627</v>
      </c>
      <c r="B628" s="17">
        <f t="shared" si="111"/>
        <v>13.411199999999999</v>
      </c>
      <c r="C628" s="16">
        <f>Specification!$G$29</f>
        <v>164.943378</v>
      </c>
      <c r="D628" s="17">
        <f>0.5*Specification!$K$4*Track!B628^2*Specification!$K$3*Specification!$K$2</f>
        <v>93.159842569492653</v>
      </c>
      <c r="E628" s="16">
        <v>-5</v>
      </c>
      <c r="F628" s="17">
        <f>Specification!$C$23*9.81*SIN((E628*PI()/180))</f>
        <v>-479.192087363258</v>
      </c>
      <c r="G628" s="18">
        <f>IF(J628=1,VLOOKUP(K628,RPM!$E$2:$H$62,3,FALSE)-F628-E628-D628,IF(J628=2,VLOOKUP(K628,RPM!$H$2:$K$62,3,FALSE)-F628-E628-D628,IF(J628=3,VLOOKUP(K628,RPM!$K$2:$N$62,3,FALSE)-F628-E628-D628)))</f>
        <v>1033.7542664015295</v>
      </c>
      <c r="H628" s="19">
        <f>IF(J628=1,Specification!$I$14,IF(J628=2,Specification!$I$15,IF(J628=3,Specification!$I$16)))</f>
        <v>578.93404261974786</v>
      </c>
      <c r="I628" s="16">
        <f t="shared" si="117"/>
        <v>0</v>
      </c>
      <c r="J628" s="17">
        <v>3</v>
      </c>
      <c r="K628" s="16">
        <f>IF(J628=1,VLOOKUP(B628,RPM!$F$2:$H$62,3,TRUE),IF(J628=2,VLOOKUP(B628,RPM!$I$2:$K$62,3,TRUE),IF(J628=3,VLOOKUP(B628,RPM!$L$2:$N$62,3,TRUE))))</f>
        <v>4300</v>
      </c>
      <c r="L628" s="17">
        <f t="shared" si="116"/>
        <v>51.027308882416591</v>
      </c>
      <c r="M628" s="16">
        <f t="shared" si="115"/>
        <v>2.2639258632359098</v>
      </c>
      <c r="N628" s="17">
        <f>VLOOKUP(K628,RPM!$A$2:$D$62,3,FALSE)</f>
        <v>11.4</v>
      </c>
      <c r="O628" s="16">
        <f>VLOOKUP(K628,RPM!$A$2:$D$62,4,FALSE)</f>
        <v>18.894837209302327</v>
      </c>
      <c r="P628" s="17">
        <f t="shared" si="106"/>
        <v>14.089880106976747</v>
      </c>
      <c r="Q628" s="16" cm="1">
        <f t="array" ref="Q628">_xlfn.XLOOKUP(O628,BSFC!$A$2:$A$24,_xlfn.XLOOKUP(K628,BSFC!$B$1:$O$1,BSFC!$B$2:$O$24,,-1),,-1)</f>
        <v>480</v>
      </c>
      <c r="R628" s="17">
        <f t="shared" si="107"/>
        <v>1.8786506809302328</v>
      </c>
      <c r="S628" s="16">
        <f t="shared" si="108"/>
        <v>2.9183485335178652E-4</v>
      </c>
      <c r="T628" s="17">
        <f t="shared" si="112"/>
        <v>0.14008072960885753</v>
      </c>
      <c r="U628" s="16">
        <f t="shared" si="113"/>
        <v>84.83945319217861</v>
      </c>
      <c r="V628" s="17">
        <f t="shared" si="114"/>
        <v>0.17823764809385984</v>
      </c>
      <c r="W628" s="16">
        <f t="shared" si="109"/>
        <v>641655.5331378954</v>
      </c>
      <c r="X628">
        <f>('Hybrid Info'!$A$2-Track!P628)*(L628-L627)*1000+X627</f>
        <v>-28248.737242872605</v>
      </c>
    </row>
    <row r="629" spans="1:24">
      <c r="A629" s="16">
        <f t="shared" si="110"/>
        <v>628</v>
      </c>
      <c r="B629" s="17">
        <f t="shared" si="111"/>
        <v>13.411199999999999</v>
      </c>
      <c r="C629" s="16">
        <f>Specification!$G$29</f>
        <v>164.943378</v>
      </c>
      <c r="D629" s="17">
        <f>0.5*Specification!$K$4*Track!B629^2*Specification!$K$3*Specification!$K$2</f>
        <v>93.159842569492653</v>
      </c>
      <c r="E629" s="16">
        <v>-6</v>
      </c>
      <c r="F629" s="17">
        <f>Specification!$C$23*9.81*SIN((E629*PI()/180))</f>
        <v>-574.70926095052266</v>
      </c>
      <c r="G629" s="18">
        <f>IF(J629=1,VLOOKUP(K629,RPM!$E$2:$H$62,3,FALSE)-F629-E629-D629,IF(J629=2,VLOOKUP(K629,RPM!$H$2:$K$62,3,FALSE)-F629-E629-D629,IF(J629=3,VLOOKUP(K629,RPM!$K$2:$N$62,3,FALSE)-F629-E629-D629)))</f>
        <v>1130.2714399887943</v>
      </c>
      <c r="H629" s="19">
        <f>IF(J629=1,Specification!$I$14,IF(J629=2,Specification!$I$15,IF(J629=3,Specification!$I$16)))</f>
        <v>578.93404261974786</v>
      </c>
      <c r="I629" s="16">
        <f t="shared" si="117"/>
        <v>0</v>
      </c>
      <c r="J629" s="17">
        <v>3</v>
      </c>
      <c r="K629" s="16">
        <f>IF(J629=1,VLOOKUP(B629,RPM!$F$2:$H$62,3,TRUE),IF(J629=2,VLOOKUP(B629,RPM!$I$2:$K$62,3,TRUE),IF(J629=3,VLOOKUP(B629,RPM!$L$2:$N$62,3,TRUE))))</f>
        <v>4300</v>
      </c>
      <c r="L629" s="17">
        <f t="shared" si="116"/>
        <v>51.101873425485074</v>
      </c>
      <c r="M629" s="16">
        <f t="shared" si="115"/>
        <v>2.1588216279702332</v>
      </c>
      <c r="N629" s="17">
        <f>VLOOKUP(K629,RPM!$A$2:$D$62,3,FALSE)</f>
        <v>11.4</v>
      </c>
      <c r="O629" s="16">
        <f>VLOOKUP(K629,RPM!$A$2:$D$62,4,FALSE)</f>
        <v>18.894837209302327</v>
      </c>
      <c r="P629" s="17">
        <f t="shared" si="106"/>
        <v>14.089880106976747</v>
      </c>
      <c r="Q629" s="16" cm="1">
        <f t="array" ref="Q629">_xlfn.XLOOKUP(O629,BSFC!$A$2:$A$24,_xlfn.XLOOKUP(K629,BSFC!$B$1:$O$1,BSFC!$B$2:$O$24,,-1),,-1)</f>
        <v>480</v>
      </c>
      <c r="R629" s="17">
        <f t="shared" si="107"/>
        <v>1.8786506809302328</v>
      </c>
      <c r="S629" s="16">
        <f t="shared" si="108"/>
        <v>2.9183485335178652E-4</v>
      </c>
      <c r="T629" s="17">
        <f t="shared" si="112"/>
        <v>0.14008072960885753</v>
      </c>
      <c r="U629" s="16">
        <f t="shared" si="113"/>
        <v>84.979533921787464</v>
      </c>
      <c r="V629" s="17">
        <f t="shared" si="114"/>
        <v>0.17852948294721163</v>
      </c>
      <c r="W629" s="16">
        <f t="shared" si="109"/>
        <v>642706.13860996184</v>
      </c>
      <c r="X629">
        <f>('Hybrid Info'!$A$2-Track!P629)*(L629-L628)*1000+X628</f>
        <v>-28395.586556222021</v>
      </c>
    </row>
    <row r="630" spans="1:24">
      <c r="A630" s="16">
        <f t="shared" si="110"/>
        <v>629</v>
      </c>
      <c r="B630" s="17">
        <f t="shared" si="111"/>
        <v>13.411199999999999</v>
      </c>
      <c r="C630" s="16">
        <f>Specification!$G$29</f>
        <v>164.943378</v>
      </c>
      <c r="D630" s="17">
        <f>0.5*Specification!$K$4*Track!B630^2*Specification!$K$3*Specification!$K$2</f>
        <v>93.159842569492653</v>
      </c>
      <c r="E630" s="16">
        <v>-7</v>
      </c>
      <c r="F630" s="17">
        <f>Specification!$C$23*9.81*SIN((E630*PI()/180))</f>
        <v>-670.05137252956831</v>
      </c>
      <c r="G630" s="18">
        <f>IF(J630=1,VLOOKUP(K630,RPM!$E$2:$H$62,3,FALSE)-F630-E630-D630,IF(J630=2,VLOOKUP(K630,RPM!$H$2:$K$62,3,FALSE)-F630-E630-D630,IF(J630=3,VLOOKUP(K630,RPM!$K$2:$N$62,3,FALSE)-F630-E630-D630)))</f>
        <v>1226.61355156784</v>
      </c>
      <c r="H630" s="19">
        <f>IF(J630=1,Specification!$I$14,IF(J630=2,Specification!$I$15,IF(J630=3,Specification!$I$16)))</f>
        <v>578.93404261974786</v>
      </c>
      <c r="I630" s="16">
        <f t="shared" si="117"/>
        <v>0</v>
      </c>
      <c r="J630" s="17">
        <v>3</v>
      </c>
      <c r="K630" s="16">
        <f>IF(J630=1,VLOOKUP(B630,RPM!$F$2:$H$62,3,TRUE),IF(J630=2,VLOOKUP(B630,RPM!$I$2:$K$62,3,TRUE),IF(J630=3,VLOOKUP(B630,RPM!$L$2:$N$62,3,TRUE))))</f>
        <v>4300</v>
      </c>
      <c r="L630" s="17">
        <f t="shared" si="116"/>
        <v>51.176437968553557</v>
      </c>
      <c r="M630" s="16">
        <f t="shared" si="115"/>
        <v>2.0360370670673285</v>
      </c>
      <c r="N630" s="17">
        <f>VLOOKUP(K630,RPM!$A$2:$D$62,3,FALSE)</f>
        <v>11.4</v>
      </c>
      <c r="O630" s="16">
        <f>VLOOKUP(K630,RPM!$A$2:$D$62,4,FALSE)</f>
        <v>18.894837209302327</v>
      </c>
      <c r="P630" s="17">
        <f t="shared" si="106"/>
        <v>14.089880106976747</v>
      </c>
      <c r="Q630" s="16" cm="1">
        <f t="array" ref="Q630">_xlfn.XLOOKUP(O630,BSFC!$A$2:$A$24,_xlfn.XLOOKUP(K630,BSFC!$B$1:$O$1,BSFC!$B$2:$O$24,,-1),,-1)</f>
        <v>480</v>
      </c>
      <c r="R630" s="17">
        <f t="shared" si="107"/>
        <v>1.8786506809302328</v>
      </c>
      <c r="S630" s="16">
        <f t="shared" si="108"/>
        <v>2.9183485335178652E-4</v>
      </c>
      <c r="T630" s="17">
        <f t="shared" si="112"/>
        <v>0.14008072960885753</v>
      </c>
      <c r="U630" s="16">
        <f t="shared" si="113"/>
        <v>85.119614651396319</v>
      </c>
      <c r="V630" s="17">
        <f t="shared" si="114"/>
        <v>0.17882131780056343</v>
      </c>
      <c r="W630" s="16">
        <f t="shared" si="109"/>
        <v>643756.7440820284</v>
      </c>
      <c r="X630">
        <f>('Hybrid Info'!$A$2-Track!P630)*(L630-L629)*1000+X629</f>
        <v>-28542.435869571436</v>
      </c>
    </row>
    <row r="631" spans="1:24">
      <c r="A631" s="16">
        <f t="shared" si="110"/>
        <v>630</v>
      </c>
      <c r="B631" s="17">
        <f t="shared" si="111"/>
        <v>13.411199999999999</v>
      </c>
      <c r="C631" s="16">
        <f>Specification!$G$29</f>
        <v>164.943378</v>
      </c>
      <c r="D631" s="17">
        <f>0.5*Specification!$K$4*Track!B631^2*Specification!$K$3*Specification!$K$2</f>
        <v>93.159842569492653</v>
      </c>
      <c r="E631" s="16">
        <v>-8</v>
      </c>
      <c r="F631" s="17">
        <f>Specification!$C$23*9.81*SIN((E631*PI()/180))</f>
        <v>-765.1893799696079</v>
      </c>
      <c r="G631" s="18">
        <f>IF(J631=1,VLOOKUP(K631,RPM!$E$2:$H$62,3,FALSE)-F631-E631-D631,IF(J631=2,VLOOKUP(K631,RPM!$H$2:$K$62,3,FALSE)-F631-E631-D631,IF(J631=3,VLOOKUP(K631,RPM!$K$2:$N$62,3,FALSE)-F631-E631-D631)))</f>
        <v>1322.7515590078795</v>
      </c>
      <c r="H631" s="19">
        <f>IF(J631=1,Specification!$I$14,IF(J631=2,Specification!$I$15,IF(J631=3,Specification!$I$16)))</f>
        <v>578.93404261974786</v>
      </c>
      <c r="I631" s="16">
        <f t="shared" si="117"/>
        <v>0</v>
      </c>
      <c r="J631" s="17">
        <v>3</v>
      </c>
      <c r="K631" s="16">
        <f>IF(J631=1,VLOOKUP(B631,RPM!$F$2:$H$62,3,TRUE),IF(J631=2,VLOOKUP(B631,RPM!$I$2:$K$62,3,TRUE),IF(J631=3,VLOOKUP(B631,RPM!$L$2:$N$62,3,TRUE))))</f>
        <v>4300</v>
      </c>
      <c r="L631" s="17">
        <f t="shared" si="116"/>
        <v>51.25100251162204</v>
      </c>
      <c r="M631" s="16">
        <f t="shared" si="115"/>
        <v>1.8954962323649369</v>
      </c>
      <c r="N631" s="17">
        <f>VLOOKUP(K631,RPM!$A$2:$D$62,3,FALSE)</f>
        <v>11.4</v>
      </c>
      <c r="O631" s="16">
        <f>VLOOKUP(K631,RPM!$A$2:$D$62,4,FALSE)</f>
        <v>18.894837209302327</v>
      </c>
      <c r="P631" s="17">
        <f t="shared" si="106"/>
        <v>14.089880106976747</v>
      </c>
      <c r="Q631" s="16" cm="1">
        <f t="array" ref="Q631">_xlfn.XLOOKUP(O631,BSFC!$A$2:$A$24,_xlfn.XLOOKUP(K631,BSFC!$B$1:$O$1,BSFC!$B$2:$O$24,,-1),,-1)</f>
        <v>480</v>
      </c>
      <c r="R631" s="17">
        <f t="shared" si="107"/>
        <v>1.8786506809302328</v>
      </c>
      <c r="S631" s="16">
        <f t="shared" si="108"/>
        <v>2.9183485335178652E-4</v>
      </c>
      <c r="T631" s="17">
        <f t="shared" si="112"/>
        <v>0.14008072960885753</v>
      </c>
      <c r="U631" s="16">
        <f t="shared" si="113"/>
        <v>85.259695381005173</v>
      </c>
      <c r="V631" s="17">
        <f t="shared" si="114"/>
        <v>0.17911315265391523</v>
      </c>
      <c r="W631" s="16">
        <f t="shared" si="109"/>
        <v>644807.34955409484</v>
      </c>
      <c r="X631">
        <f>('Hybrid Info'!$A$2-Track!P631)*(L631-L630)*1000+X630</f>
        <v>-28689.285182920852</v>
      </c>
    </row>
    <row r="632" spans="1:24">
      <c r="A632" s="16">
        <f t="shared" si="110"/>
        <v>631</v>
      </c>
      <c r="B632" s="17">
        <f t="shared" si="111"/>
        <v>13.411199999999999</v>
      </c>
      <c r="C632" s="16">
        <f>Specification!$G$29</f>
        <v>164.943378</v>
      </c>
      <c r="D632" s="17">
        <f>0.5*Specification!$K$4*Track!B632^2*Specification!$K$3*Specification!$K$2</f>
        <v>93.159842569492653</v>
      </c>
      <c r="E632" s="16">
        <v>-8</v>
      </c>
      <c r="F632" s="17">
        <f>Specification!$C$23*9.81*SIN((E632*PI()/180))</f>
        <v>-765.1893799696079</v>
      </c>
      <c r="G632" s="18">
        <f>IF(J632=1,VLOOKUP(K632,RPM!$E$2:$H$62,3,FALSE)-F632-E632-D632,IF(J632=2,VLOOKUP(K632,RPM!$H$2:$K$62,3,FALSE)-F632-E632-D632,IF(J632=3,VLOOKUP(K632,RPM!$K$2:$N$62,3,FALSE)-F632-E632-D632)))</f>
        <v>1322.7515590078795</v>
      </c>
      <c r="H632" s="19">
        <f>IF(J632=1,Specification!$I$14,IF(J632=2,Specification!$I$15,IF(J632=3,Specification!$I$16)))</f>
        <v>578.93404261974786</v>
      </c>
      <c r="I632" s="16">
        <f t="shared" si="117"/>
        <v>0</v>
      </c>
      <c r="J632" s="17">
        <v>3</v>
      </c>
      <c r="K632" s="16">
        <f>IF(J632=1,VLOOKUP(B632,RPM!$F$2:$H$62,3,TRUE),IF(J632=2,VLOOKUP(B632,RPM!$I$2:$K$62,3,TRUE),IF(J632=3,VLOOKUP(B632,RPM!$L$2:$N$62,3,TRUE))))</f>
        <v>4300</v>
      </c>
      <c r="L632" s="17">
        <f t="shared" si="116"/>
        <v>51.325567054690524</v>
      </c>
      <c r="M632" s="16">
        <f t="shared" si="115"/>
        <v>1.7549553976625454</v>
      </c>
      <c r="N632" s="17">
        <f>VLOOKUP(K632,RPM!$A$2:$D$62,3,FALSE)</f>
        <v>11.4</v>
      </c>
      <c r="O632" s="16">
        <f>VLOOKUP(K632,RPM!$A$2:$D$62,4,FALSE)</f>
        <v>18.894837209302327</v>
      </c>
      <c r="P632" s="17">
        <f t="shared" si="106"/>
        <v>14.089880106976747</v>
      </c>
      <c r="Q632" s="16" cm="1">
        <f t="array" ref="Q632">_xlfn.XLOOKUP(O632,BSFC!$A$2:$A$24,_xlfn.XLOOKUP(K632,BSFC!$B$1:$O$1,BSFC!$B$2:$O$24,,-1),,-1)</f>
        <v>480</v>
      </c>
      <c r="R632" s="17">
        <f t="shared" si="107"/>
        <v>1.8786506809302328</v>
      </c>
      <c r="S632" s="16">
        <f t="shared" si="108"/>
        <v>2.9183485335178652E-4</v>
      </c>
      <c r="T632" s="17">
        <f t="shared" si="112"/>
        <v>0.14008072960885753</v>
      </c>
      <c r="U632" s="16">
        <f t="shared" si="113"/>
        <v>85.399776110614027</v>
      </c>
      <c r="V632" s="17">
        <f t="shared" si="114"/>
        <v>0.17940498750726702</v>
      </c>
      <c r="W632" s="16">
        <f t="shared" si="109"/>
        <v>645857.95502616127</v>
      </c>
      <c r="X632">
        <f>('Hybrid Info'!$A$2-Track!P632)*(L632-L631)*1000+X631</f>
        <v>-28836.134496270268</v>
      </c>
    </row>
    <row r="633" spans="1:24">
      <c r="A633" s="16">
        <f t="shared" si="110"/>
        <v>632</v>
      </c>
      <c r="B633" s="17">
        <f t="shared" si="111"/>
        <v>13.411199999999999</v>
      </c>
      <c r="C633" s="16">
        <f>Specification!$G$29</f>
        <v>164.943378</v>
      </c>
      <c r="D633" s="17">
        <f>0.5*Specification!$K$4*Track!B633^2*Specification!$K$3*Specification!$K$2</f>
        <v>93.159842569492653</v>
      </c>
      <c r="E633" s="16">
        <v>-8</v>
      </c>
      <c r="F633" s="17">
        <f>Specification!$C$23*9.81*SIN((E633*PI()/180))</f>
        <v>-765.1893799696079</v>
      </c>
      <c r="G633" s="18">
        <f>IF(J633=1,VLOOKUP(K633,RPM!$E$2:$H$62,3,FALSE)-F633-E633-D633,IF(J633=2,VLOOKUP(K633,RPM!$H$2:$K$62,3,FALSE)-F633-E633-D633,IF(J633=3,VLOOKUP(K633,RPM!$K$2:$N$62,3,FALSE)-F633-E633-D633)))</f>
        <v>1322.7515590078795</v>
      </c>
      <c r="H633" s="19">
        <f>IF(J633=1,Specification!$I$14,IF(J633=2,Specification!$I$15,IF(J633=3,Specification!$I$16)))</f>
        <v>578.93404261974786</v>
      </c>
      <c r="I633" s="16">
        <f t="shared" si="117"/>
        <v>0</v>
      </c>
      <c r="J633" s="17">
        <v>3</v>
      </c>
      <c r="K633" s="16">
        <f>IF(J633=1,VLOOKUP(B633,RPM!$F$2:$H$62,3,TRUE),IF(J633=2,VLOOKUP(B633,RPM!$I$2:$K$62,3,TRUE),IF(J633=3,VLOOKUP(B633,RPM!$L$2:$N$62,3,TRUE))))</f>
        <v>4300</v>
      </c>
      <c r="L633" s="17">
        <f t="shared" si="116"/>
        <v>51.400131597759007</v>
      </c>
      <c r="M633" s="16">
        <f t="shared" si="115"/>
        <v>1.6144145629601538</v>
      </c>
      <c r="N633" s="17">
        <f>VLOOKUP(K633,RPM!$A$2:$D$62,3,FALSE)</f>
        <v>11.4</v>
      </c>
      <c r="O633" s="16">
        <f>VLOOKUP(K633,RPM!$A$2:$D$62,4,FALSE)</f>
        <v>18.894837209302327</v>
      </c>
      <c r="P633" s="17">
        <f t="shared" si="106"/>
        <v>14.089880106976747</v>
      </c>
      <c r="Q633" s="16" cm="1">
        <f t="array" ref="Q633">_xlfn.XLOOKUP(O633,BSFC!$A$2:$A$24,_xlfn.XLOOKUP(K633,BSFC!$B$1:$O$1,BSFC!$B$2:$O$24,,-1),,-1)</f>
        <v>480</v>
      </c>
      <c r="R633" s="17">
        <f t="shared" si="107"/>
        <v>1.8786506809302328</v>
      </c>
      <c r="S633" s="16">
        <f t="shared" si="108"/>
        <v>2.9183485335178652E-4</v>
      </c>
      <c r="T633" s="17">
        <f t="shared" si="112"/>
        <v>0.14008072960885753</v>
      </c>
      <c r="U633" s="16">
        <f t="shared" si="113"/>
        <v>85.539856840222882</v>
      </c>
      <c r="V633" s="17">
        <f t="shared" si="114"/>
        <v>0.17969682236061882</v>
      </c>
      <c r="W633" s="16">
        <f t="shared" si="109"/>
        <v>646908.56049822771</v>
      </c>
      <c r="X633">
        <f>('Hybrid Info'!$A$2-Track!P633)*(L633-L632)*1000+X632</f>
        <v>-28982.983809619684</v>
      </c>
    </row>
    <row r="634" spans="1:24">
      <c r="A634" s="16">
        <f t="shared" si="110"/>
        <v>633</v>
      </c>
      <c r="B634" s="17">
        <f t="shared" si="111"/>
        <v>13.411199999999999</v>
      </c>
      <c r="C634" s="16">
        <f>Specification!$G$29</f>
        <v>164.943378</v>
      </c>
      <c r="D634" s="17">
        <f>0.5*Specification!$K$4*Track!B634^2*Specification!$K$3*Specification!$K$2</f>
        <v>93.159842569492653</v>
      </c>
      <c r="E634" s="16">
        <v>-8</v>
      </c>
      <c r="F634" s="17">
        <f>Specification!$C$23*9.81*SIN((E634*PI()/180))</f>
        <v>-765.1893799696079</v>
      </c>
      <c r="G634" s="18">
        <f>IF(J634=1,VLOOKUP(K634,RPM!$E$2:$H$62,3,FALSE)-F634-E634-D634,IF(J634=2,VLOOKUP(K634,RPM!$H$2:$K$62,3,FALSE)-F634-E634-D634,IF(J634=3,VLOOKUP(K634,RPM!$K$2:$N$62,3,FALSE)-F634-E634-D634)))</f>
        <v>1322.7515590078795</v>
      </c>
      <c r="H634" s="19">
        <f>IF(J634=1,Specification!$I$14,IF(J634=2,Specification!$I$15,IF(J634=3,Specification!$I$16)))</f>
        <v>578.93404261974786</v>
      </c>
      <c r="I634" s="16">
        <f t="shared" si="117"/>
        <v>0</v>
      </c>
      <c r="J634" s="17">
        <v>3</v>
      </c>
      <c r="K634" s="16">
        <f>IF(J634=1,VLOOKUP(B634,RPM!$F$2:$H$62,3,TRUE),IF(J634=2,VLOOKUP(B634,RPM!$I$2:$K$62,3,TRUE),IF(J634=3,VLOOKUP(B634,RPM!$L$2:$N$62,3,TRUE))))</f>
        <v>4300</v>
      </c>
      <c r="L634" s="17">
        <f t="shared" si="116"/>
        <v>51.47469614082749</v>
      </c>
      <c r="M634" s="16">
        <f t="shared" si="115"/>
        <v>1.4738737282577623</v>
      </c>
      <c r="N634" s="17">
        <f>VLOOKUP(K634,RPM!$A$2:$D$62,3,FALSE)</f>
        <v>11.4</v>
      </c>
      <c r="O634" s="16">
        <f>VLOOKUP(K634,RPM!$A$2:$D$62,4,FALSE)</f>
        <v>18.894837209302327</v>
      </c>
      <c r="P634" s="17">
        <f t="shared" si="106"/>
        <v>14.089880106976747</v>
      </c>
      <c r="Q634" s="16" cm="1">
        <f t="array" ref="Q634">_xlfn.XLOOKUP(O634,BSFC!$A$2:$A$24,_xlfn.XLOOKUP(K634,BSFC!$B$1:$O$1,BSFC!$B$2:$O$24,,-1),,-1)</f>
        <v>480</v>
      </c>
      <c r="R634" s="17">
        <f t="shared" si="107"/>
        <v>1.8786506809302328</v>
      </c>
      <c r="S634" s="16">
        <f t="shared" si="108"/>
        <v>2.9183485335178652E-4</v>
      </c>
      <c r="T634" s="17">
        <f t="shared" si="112"/>
        <v>0.14008072960885753</v>
      </c>
      <c r="U634" s="16">
        <f t="shared" si="113"/>
        <v>85.679937569831736</v>
      </c>
      <c r="V634" s="17">
        <f t="shared" si="114"/>
        <v>0.17998865721397062</v>
      </c>
      <c r="W634" s="16">
        <f t="shared" si="109"/>
        <v>647959.16597029415</v>
      </c>
      <c r="X634">
        <f>('Hybrid Info'!$A$2-Track!P634)*(L634-L633)*1000+X633</f>
        <v>-29129.833122969099</v>
      </c>
    </row>
    <row r="635" spans="1:24">
      <c r="A635" s="16">
        <f t="shared" si="110"/>
        <v>634</v>
      </c>
      <c r="B635" s="17">
        <f t="shared" si="111"/>
        <v>13.411199999999999</v>
      </c>
      <c r="C635" s="16">
        <f>Specification!$G$29</f>
        <v>164.943378</v>
      </c>
      <c r="D635" s="17">
        <f>0.5*Specification!$K$4*Track!B635^2*Specification!$K$3*Specification!$K$2</f>
        <v>93.159842569492653</v>
      </c>
      <c r="E635" s="16">
        <v>-8</v>
      </c>
      <c r="F635" s="17">
        <f>Specification!$C$23*9.81*SIN((E635*PI()/180))</f>
        <v>-765.1893799696079</v>
      </c>
      <c r="G635" s="18">
        <f>IF(J635=1,VLOOKUP(K635,RPM!$E$2:$H$62,3,FALSE)-F635-E635-D635,IF(J635=2,VLOOKUP(K635,RPM!$H$2:$K$62,3,FALSE)-F635-E635-D635,IF(J635=3,VLOOKUP(K635,RPM!$K$2:$N$62,3,FALSE)-F635-E635-D635)))</f>
        <v>1322.7515590078795</v>
      </c>
      <c r="H635" s="19">
        <f>IF(J635=1,Specification!$I$14,IF(J635=2,Specification!$I$15,IF(J635=3,Specification!$I$16)))</f>
        <v>578.93404261974786</v>
      </c>
      <c r="I635" s="16">
        <f t="shared" si="117"/>
        <v>0</v>
      </c>
      <c r="J635" s="17">
        <v>3</v>
      </c>
      <c r="K635" s="16">
        <f>IF(J635=1,VLOOKUP(B635,RPM!$F$2:$H$62,3,TRUE),IF(J635=2,VLOOKUP(B635,RPM!$I$2:$K$62,3,TRUE),IF(J635=3,VLOOKUP(B635,RPM!$L$2:$N$62,3,TRUE))))</f>
        <v>4300</v>
      </c>
      <c r="L635" s="17">
        <f t="shared" si="116"/>
        <v>51.549260683895973</v>
      </c>
      <c r="M635" s="16">
        <f t="shared" si="115"/>
        <v>1.3333328935553708</v>
      </c>
      <c r="N635" s="17">
        <f>VLOOKUP(K635,RPM!$A$2:$D$62,3,FALSE)</f>
        <v>11.4</v>
      </c>
      <c r="O635" s="16">
        <f>VLOOKUP(K635,RPM!$A$2:$D$62,4,FALSE)</f>
        <v>18.894837209302327</v>
      </c>
      <c r="P635" s="17">
        <f t="shared" si="106"/>
        <v>14.089880106976747</v>
      </c>
      <c r="Q635" s="16" cm="1">
        <f t="array" ref="Q635">_xlfn.XLOOKUP(O635,BSFC!$A$2:$A$24,_xlfn.XLOOKUP(K635,BSFC!$B$1:$O$1,BSFC!$B$2:$O$24,,-1),,-1)</f>
        <v>480</v>
      </c>
      <c r="R635" s="17">
        <f t="shared" si="107"/>
        <v>1.8786506809302328</v>
      </c>
      <c r="S635" s="16">
        <f t="shared" si="108"/>
        <v>2.9183485335178652E-4</v>
      </c>
      <c r="T635" s="17">
        <f t="shared" si="112"/>
        <v>0.14008072960885753</v>
      </c>
      <c r="U635" s="16">
        <f t="shared" si="113"/>
        <v>85.820018299440591</v>
      </c>
      <c r="V635" s="17">
        <f t="shared" si="114"/>
        <v>0.18028049206732241</v>
      </c>
      <c r="W635" s="16">
        <f t="shared" si="109"/>
        <v>649009.77144236059</v>
      </c>
      <c r="X635">
        <f>('Hybrid Info'!$A$2-Track!P635)*(L635-L634)*1000+X634</f>
        <v>-29276.682436318515</v>
      </c>
    </row>
    <row r="636" spans="1:24">
      <c r="A636" s="16">
        <f t="shared" si="110"/>
        <v>635</v>
      </c>
      <c r="B636" s="17">
        <f t="shared" si="111"/>
        <v>13.411199999999999</v>
      </c>
      <c r="C636" s="16">
        <f>Specification!$G$29</f>
        <v>164.943378</v>
      </c>
      <c r="D636" s="17">
        <f>0.5*Specification!$K$4*Track!B636^2*Specification!$K$3*Specification!$K$2</f>
        <v>93.159842569492653</v>
      </c>
      <c r="E636" s="16">
        <v>-8</v>
      </c>
      <c r="F636" s="17">
        <f>Specification!$C$23*9.81*SIN((E636*PI()/180))</f>
        <v>-765.1893799696079</v>
      </c>
      <c r="G636" s="18">
        <f>IF(J636=1,VLOOKUP(K636,RPM!$E$2:$H$62,3,FALSE)-F636-E636-D636,IF(J636=2,VLOOKUP(K636,RPM!$H$2:$K$62,3,FALSE)-F636-E636-D636,IF(J636=3,VLOOKUP(K636,RPM!$K$2:$N$62,3,FALSE)-F636-E636-D636)))</f>
        <v>1322.7515590078795</v>
      </c>
      <c r="H636" s="19">
        <f>IF(J636=1,Specification!$I$14,IF(J636=2,Specification!$I$15,IF(J636=3,Specification!$I$16)))</f>
        <v>578.93404261974786</v>
      </c>
      <c r="I636" s="16">
        <f t="shared" si="117"/>
        <v>0</v>
      </c>
      <c r="J636" s="17">
        <v>3</v>
      </c>
      <c r="K636" s="16">
        <f>IF(J636=1,VLOOKUP(B636,RPM!$F$2:$H$62,3,TRUE),IF(J636=2,VLOOKUP(B636,RPM!$I$2:$K$62,3,TRUE),IF(J636=3,VLOOKUP(B636,RPM!$L$2:$N$62,3,TRUE))))</f>
        <v>4300</v>
      </c>
      <c r="L636" s="17">
        <f t="shared" si="116"/>
        <v>51.623825226964456</v>
      </c>
      <c r="M636" s="16">
        <f t="shared" si="115"/>
        <v>1.1927920588529792</v>
      </c>
      <c r="N636" s="17">
        <f>VLOOKUP(K636,RPM!$A$2:$D$62,3,FALSE)</f>
        <v>11.4</v>
      </c>
      <c r="O636" s="16">
        <f>VLOOKUP(K636,RPM!$A$2:$D$62,4,FALSE)</f>
        <v>18.894837209302327</v>
      </c>
      <c r="P636" s="17">
        <f t="shared" si="106"/>
        <v>14.089880106976747</v>
      </c>
      <c r="Q636" s="16" cm="1">
        <f t="array" ref="Q636">_xlfn.XLOOKUP(O636,BSFC!$A$2:$A$24,_xlfn.XLOOKUP(K636,BSFC!$B$1:$O$1,BSFC!$B$2:$O$24,,-1),,-1)</f>
        <v>480</v>
      </c>
      <c r="R636" s="17">
        <f t="shared" si="107"/>
        <v>1.8786506809302328</v>
      </c>
      <c r="S636" s="16">
        <f t="shared" si="108"/>
        <v>2.9183485335178652E-4</v>
      </c>
      <c r="T636" s="17">
        <f t="shared" si="112"/>
        <v>0.14008072960885753</v>
      </c>
      <c r="U636" s="16">
        <f t="shared" si="113"/>
        <v>85.960099029049445</v>
      </c>
      <c r="V636" s="17">
        <f t="shared" si="114"/>
        <v>0.18057232692067421</v>
      </c>
      <c r="W636" s="16">
        <f t="shared" si="109"/>
        <v>650060.37691442715</v>
      </c>
      <c r="X636">
        <f>('Hybrid Info'!$A$2-Track!P636)*(L636-L635)*1000+X635</f>
        <v>-29423.531749667931</v>
      </c>
    </row>
    <row r="637" spans="1:24">
      <c r="A637" s="16">
        <f t="shared" si="110"/>
        <v>636</v>
      </c>
      <c r="B637" s="17">
        <f t="shared" si="111"/>
        <v>13.411199999999999</v>
      </c>
      <c r="C637" s="16">
        <f>Specification!$G$29</f>
        <v>164.943378</v>
      </c>
      <c r="D637" s="17">
        <f>0.5*Specification!$K$4*Track!B637^2*Specification!$K$3*Specification!$K$2</f>
        <v>93.159842569492653</v>
      </c>
      <c r="E637" s="16">
        <v>-8</v>
      </c>
      <c r="F637" s="17">
        <f>Specification!$C$23*9.81*SIN((E637*PI()/180))</f>
        <v>-765.1893799696079</v>
      </c>
      <c r="G637" s="18">
        <f>IF(J637=1,VLOOKUP(K637,RPM!$E$2:$H$62,3,FALSE)-F637-E637-D637,IF(J637=2,VLOOKUP(K637,RPM!$H$2:$K$62,3,FALSE)-F637-E637-D637,IF(J637=3,VLOOKUP(K637,RPM!$K$2:$N$62,3,FALSE)-F637-E637-D637)))</f>
        <v>1322.7515590078795</v>
      </c>
      <c r="H637" s="19">
        <f>IF(J637=1,Specification!$I$14,IF(J637=2,Specification!$I$15,IF(J637=3,Specification!$I$16)))</f>
        <v>578.93404261974786</v>
      </c>
      <c r="I637" s="16">
        <f t="shared" si="117"/>
        <v>0</v>
      </c>
      <c r="J637" s="17">
        <v>3</v>
      </c>
      <c r="K637" s="16">
        <f>IF(J637=1,VLOOKUP(B637,RPM!$F$2:$H$62,3,TRUE),IF(J637=2,VLOOKUP(B637,RPM!$I$2:$K$62,3,TRUE),IF(J637=3,VLOOKUP(B637,RPM!$L$2:$N$62,3,TRUE))))</f>
        <v>4300</v>
      </c>
      <c r="L637" s="17">
        <f t="shared" si="116"/>
        <v>51.698389770032939</v>
      </c>
      <c r="M637" s="16">
        <f t="shared" si="115"/>
        <v>1.0522512241505877</v>
      </c>
      <c r="N637" s="17">
        <f>VLOOKUP(K637,RPM!$A$2:$D$62,3,FALSE)</f>
        <v>11.4</v>
      </c>
      <c r="O637" s="16">
        <f>VLOOKUP(K637,RPM!$A$2:$D$62,4,FALSE)</f>
        <v>18.894837209302327</v>
      </c>
      <c r="P637" s="17">
        <f t="shared" si="106"/>
        <v>14.089880106976747</v>
      </c>
      <c r="Q637" s="16" cm="1">
        <f t="array" ref="Q637">_xlfn.XLOOKUP(O637,BSFC!$A$2:$A$24,_xlfn.XLOOKUP(K637,BSFC!$B$1:$O$1,BSFC!$B$2:$O$24,,-1),,-1)</f>
        <v>480</v>
      </c>
      <c r="R637" s="17">
        <f t="shared" si="107"/>
        <v>1.8786506809302328</v>
      </c>
      <c r="S637" s="16">
        <f t="shared" si="108"/>
        <v>2.9183485335178652E-4</v>
      </c>
      <c r="T637" s="17">
        <f t="shared" si="112"/>
        <v>0.14008072960885753</v>
      </c>
      <c r="U637" s="16">
        <f t="shared" si="113"/>
        <v>86.1001797586583</v>
      </c>
      <c r="V637" s="17">
        <f t="shared" si="114"/>
        <v>0.18086416177402601</v>
      </c>
      <c r="W637" s="16">
        <f t="shared" si="109"/>
        <v>651110.98238649359</v>
      </c>
      <c r="X637">
        <f>('Hybrid Info'!$A$2-Track!P637)*(L637-L636)*1000+X636</f>
        <v>-29570.381063017347</v>
      </c>
    </row>
    <row r="638" spans="1:24">
      <c r="A638" s="16">
        <f t="shared" si="110"/>
        <v>637</v>
      </c>
      <c r="B638" s="17">
        <f t="shared" si="111"/>
        <v>13.411199999999999</v>
      </c>
      <c r="C638" s="16">
        <f>Specification!$G$29</f>
        <v>164.943378</v>
      </c>
      <c r="D638" s="17">
        <f>0.5*Specification!$K$4*Track!B638^2*Specification!$K$3*Specification!$K$2</f>
        <v>93.159842569492653</v>
      </c>
      <c r="E638" s="16">
        <v>-8</v>
      </c>
      <c r="F638" s="17">
        <f>Specification!$C$23*9.81*SIN((E638*PI()/180))</f>
        <v>-765.1893799696079</v>
      </c>
      <c r="G638" s="18">
        <f>IF(J638=1,VLOOKUP(K638,RPM!$E$2:$H$62,3,FALSE)-F638-E638-D638,IF(J638=2,VLOOKUP(K638,RPM!$H$2:$K$62,3,FALSE)-F638-E638-D638,IF(J638=3,VLOOKUP(K638,RPM!$K$2:$N$62,3,FALSE)-F638-E638-D638)))</f>
        <v>1322.7515590078795</v>
      </c>
      <c r="H638" s="19">
        <f>IF(J638=1,Specification!$I$14,IF(J638=2,Specification!$I$15,IF(J638=3,Specification!$I$16)))</f>
        <v>578.93404261974786</v>
      </c>
      <c r="I638" s="16">
        <f t="shared" si="117"/>
        <v>0</v>
      </c>
      <c r="J638" s="17">
        <v>3</v>
      </c>
      <c r="K638" s="16">
        <f>IF(J638=1,VLOOKUP(B638,RPM!$F$2:$H$62,3,TRUE),IF(J638=2,VLOOKUP(B638,RPM!$I$2:$K$62,3,TRUE),IF(J638=3,VLOOKUP(B638,RPM!$L$2:$N$62,3,TRUE))))</f>
        <v>4300</v>
      </c>
      <c r="L638" s="17">
        <f t="shared" si="116"/>
        <v>51.772954313101422</v>
      </c>
      <c r="M638" s="16">
        <f t="shared" si="115"/>
        <v>0.91171038944819627</v>
      </c>
      <c r="N638" s="17">
        <f>VLOOKUP(K638,RPM!$A$2:$D$62,3,FALSE)</f>
        <v>11.4</v>
      </c>
      <c r="O638" s="16">
        <f>VLOOKUP(K638,RPM!$A$2:$D$62,4,FALSE)</f>
        <v>18.894837209302327</v>
      </c>
      <c r="P638" s="17">
        <f t="shared" si="106"/>
        <v>14.089880106976747</v>
      </c>
      <c r="Q638" s="16" cm="1">
        <f t="array" ref="Q638">_xlfn.XLOOKUP(O638,BSFC!$A$2:$A$24,_xlfn.XLOOKUP(K638,BSFC!$B$1:$O$1,BSFC!$B$2:$O$24,,-1),,-1)</f>
        <v>480</v>
      </c>
      <c r="R638" s="17">
        <f t="shared" si="107"/>
        <v>1.8786506809302328</v>
      </c>
      <c r="S638" s="16">
        <f t="shared" si="108"/>
        <v>2.9183485335178652E-4</v>
      </c>
      <c r="T638" s="17">
        <f t="shared" si="112"/>
        <v>0.14008072960885753</v>
      </c>
      <c r="U638" s="16">
        <f t="shared" si="113"/>
        <v>86.240260488267154</v>
      </c>
      <c r="V638" s="17">
        <f t="shared" si="114"/>
        <v>0.1811559966273778</v>
      </c>
      <c r="W638" s="16">
        <f t="shared" si="109"/>
        <v>652161.58785856003</v>
      </c>
      <c r="X638">
        <f>('Hybrid Info'!$A$2-Track!P638)*(L638-L637)*1000+X637</f>
        <v>-29717.230376366762</v>
      </c>
    </row>
    <row r="639" spans="1:24">
      <c r="A639" s="16">
        <f t="shared" si="110"/>
        <v>638</v>
      </c>
      <c r="B639" s="17">
        <f t="shared" si="111"/>
        <v>13.411199999999999</v>
      </c>
      <c r="C639" s="16">
        <f>Specification!$G$29</f>
        <v>164.943378</v>
      </c>
      <c r="D639" s="17">
        <f>0.5*Specification!$K$4*Track!B639^2*Specification!$K$3*Specification!$K$2</f>
        <v>93.159842569492653</v>
      </c>
      <c r="E639" s="16">
        <v>-8</v>
      </c>
      <c r="F639" s="17">
        <f>Specification!$C$23*9.81*SIN((E639*PI()/180))</f>
        <v>-765.1893799696079</v>
      </c>
      <c r="G639" s="18">
        <f>IF(J639=1,VLOOKUP(K639,RPM!$E$2:$H$62,3,FALSE)-F639-E639-D639,IF(J639=2,VLOOKUP(K639,RPM!$H$2:$K$62,3,FALSE)-F639-E639-D639,IF(J639=3,VLOOKUP(K639,RPM!$K$2:$N$62,3,FALSE)-F639-E639-D639)))</f>
        <v>1322.7515590078795</v>
      </c>
      <c r="H639" s="19">
        <f>IF(J639=1,Specification!$I$14,IF(J639=2,Specification!$I$15,IF(J639=3,Specification!$I$16)))</f>
        <v>578.93404261974786</v>
      </c>
      <c r="I639" s="16">
        <f t="shared" si="117"/>
        <v>0</v>
      </c>
      <c r="J639" s="17">
        <v>3</v>
      </c>
      <c r="K639" s="16">
        <f>IF(J639=1,VLOOKUP(B639,RPM!$F$2:$H$62,3,TRUE),IF(J639=2,VLOOKUP(B639,RPM!$I$2:$K$62,3,TRUE),IF(J639=3,VLOOKUP(B639,RPM!$L$2:$N$62,3,TRUE))))</f>
        <v>4300</v>
      </c>
      <c r="L639" s="17">
        <f t="shared" si="116"/>
        <v>51.847518856169906</v>
      </c>
      <c r="M639" s="16">
        <f t="shared" si="115"/>
        <v>0.77116955474580484</v>
      </c>
      <c r="N639" s="17">
        <f>VLOOKUP(K639,RPM!$A$2:$D$62,3,FALSE)</f>
        <v>11.4</v>
      </c>
      <c r="O639" s="16">
        <f>VLOOKUP(K639,RPM!$A$2:$D$62,4,FALSE)</f>
        <v>18.894837209302327</v>
      </c>
      <c r="P639" s="17">
        <f t="shared" si="106"/>
        <v>14.089880106976747</v>
      </c>
      <c r="Q639" s="16" cm="1">
        <f t="array" ref="Q639">_xlfn.XLOOKUP(O639,BSFC!$A$2:$A$24,_xlfn.XLOOKUP(K639,BSFC!$B$1:$O$1,BSFC!$B$2:$O$24,,-1),,-1)</f>
        <v>480</v>
      </c>
      <c r="R639" s="17">
        <f t="shared" si="107"/>
        <v>1.8786506809302328</v>
      </c>
      <c r="S639" s="16">
        <f t="shared" si="108"/>
        <v>2.9183485335178652E-4</v>
      </c>
      <c r="T639" s="17">
        <f t="shared" si="112"/>
        <v>0.14008072960885753</v>
      </c>
      <c r="U639" s="16">
        <f t="shared" si="113"/>
        <v>86.380341217876008</v>
      </c>
      <c r="V639" s="17">
        <f t="shared" si="114"/>
        <v>0.1814478314807296</v>
      </c>
      <c r="W639" s="16">
        <f t="shared" si="109"/>
        <v>653212.19333062659</v>
      </c>
      <c r="X639">
        <f>('Hybrid Info'!$A$2-Track!P639)*(L639-L638)*1000+X638</f>
        <v>-29864.079689716178</v>
      </c>
    </row>
    <row r="640" spans="1:24">
      <c r="A640" s="16">
        <f t="shared" si="110"/>
        <v>639</v>
      </c>
      <c r="B640" s="17">
        <f t="shared" si="111"/>
        <v>13.411199999999999</v>
      </c>
      <c r="C640" s="16">
        <f>Specification!$G$29</f>
        <v>164.943378</v>
      </c>
      <c r="D640" s="17">
        <f>0.5*Specification!$K$4*Track!B640^2*Specification!$K$3*Specification!$K$2</f>
        <v>93.159842569492653</v>
      </c>
      <c r="E640" s="16">
        <v>-8</v>
      </c>
      <c r="F640" s="17">
        <f>Specification!$C$23*9.81*SIN((E640*PI()/180))</f>
        <v>-765.1893799696079</v>
      </c>
      <c r="G640" s="18">
        <f>IF(J640=1,VLOOKUP(K640,RPM!$E$2:$H$62,3,FALSE)-F640-E640-D640,IF(J640=2,VLOOKUP(K640,RPM!$H$2:$K$62,3,FALSE)-F640-E640-D640,IF(J640=3,VLOOKUP(K640,RPM!$K$2:$N$62,3,FALSE)-F640-E640-D640)))</f>
        <v>1322.7515590078795</v>
      </c>
      <c r="H640" s="19">
        <f>IF(J640=1,Specification!$I$14,IF(J640=2,Specification!$I$15,IF(J640=3,Specification!$I$16)))</f>
        <v>578.93404261974786</v>
      </c>
      <c r="I640" s="16">
        <f t="shared" si="117"/>
        <v>0</v>
      </c>
      <c r="J640" s="17">
        <v>3</v>
      </c>
      <c r="K640" s="16">
        <f>IF(J640=1,VLOOKUP(B640,RPM!$F$2:$H$62,3,TRUE),IF(J640=2,VLOOKUP(B640,RPM!$I$2:$K$62,3,TRUE),IF(J640=3,VLOOKUP(B640,RPM!$L$2:$N$62,3,TRUE))))</f>
        <v>4300</v>
      </c>
      <c r="L640" s="17">
        <f t="shared" si="116"/>
        <v>51.922083399238389</v>
      </c>
      <c r="M640" s="16">
        <f t="shared" si="115"/>
        <v>0.63062872004341342</v>
      </c>
      <c r="N640" s="17">
        <f>VLOOKUP(K640,RPM!$A$2:$D$62,3,FALSE)</f>
        <v>11.4</v>
      </c>
      <c r="O640" s="16">
        <f>VLOOKUP(K640,RPM!$A$2:$D$62,4,FALSE)</f>
        <v>18.894837209302327</v>
      </c>
      <c r="P640" s="17">
        <f t="shared" si="106"/>
        <v>14.089880106976747</v>
      </c>
      <c r="Q640" s="16" cm="1">
        <f t="array" ref="Q640">_xlfn.XLOOKUP(O640,BSFC!$A$2:$A$24,_xlfn.XLOOKUP(K640,BSFC!$B$1:$O$1,BSFC!$B$2:$O$24,,-1),,-1)</f>
        <v>480</v>
      </c>
      <c r="R640" s="17">
        <f t="shared" si="107"/>
        <v>1.8786506809302328</v>
      </c>
      <c r="S640" s="16">
        <f t="shared" si="108"/>
        <v>2.9183485335178652E-4</v>
      </c>
      <c r="T640" s="17">
        <f t="shared" si="112"/>
        <v>0.14008072960885753</v>
      </c>
      <c r="U640" s="16">
        <f t="shared" si="113"/>
        <v>86.520421947484863</v>
      </c>
      <c r="V640" s="17">
        <f t="shared" si="114"/>
        <v>0.1817396663340814</v>
      </c>
      <c r="W640" s="16">
        <f t="shared" si="109"/>
        <v>654262.79880269303</v>
      </c>
      <c r="X640">
        <f>('Hybrid Info'!$A$2-Track!P640)*(L640-L639)*1000+X639</f>
        <v>-30010.929003065594</v>
      </c>
    </row>
    <row r="641" spans="1:24">
      <c r="A641" s="16">
        <f t="shared" si="110"/>
        <v>640</v>
      </c>
      <c r="B641" s="17">
        <f t="shared" si="111"/>
        <v>13.411199999999999</v>
      </c>
      <c r="C641" s="16">
        <f>Specification!$G$29</f>
        <v>164.943378</v>
      </c>
      <c r="D641" s="17">
        <f>0.5*Specification!$K$4*Track!B641^2*Specification!$K$3*Specification!$K$2</f>
        <v>93.159842569492653</v>
      </c>
      <c r="E641" s="16">
        <v>-8</v>
      </c>
      <c r="F641" s="17">
        <f>Specification!$C$23*9.81*SIN((E641*PI()/180))</f>
        <v>-765.1893799696079</v>
      </c>
      <c r="G641" s="18">
        <f>IF(J641=1,VLOOKUP(K641,RPM!$E$2:$H$62,3,FALSE)-F641-E641-D641,IF(J641=2,VLOOKUP(K641,RPM!$H$2:$K$62,3,FALSE)-F641-E641-D641,IF(J641=3,VLOOKUP(K641,RPM!$K$2:$N$62,3,FALSE)-F641-E641-D641)))</f>
        <v>1322.7515590078795</v>
      </c>
      <c r="H641" s="19">
        <f>IF(J641=1,Specification!$I$14,IF(J641=2,Specification!$I$15,IF(J641=3,Specification!$I$16)))</f>
        <v>578.93404261974786</v>
      </c>
      <c r="I641" s="16">
        <f t="shared" si="117"/>
        <v>0</v>
      </c>
      <c r="J641" s="17">
        <v>3</v>
      </c>
      <c r="K641" s="16">
        <f>IF(J641=1,VLOOKUP(B641,RPM!$F$2:$H$62,3,TRUE),IF(J641=2,VLOOKUP(B641,RPM!$I$2:$K$62,3,TRUE),IF(J641=3,VLOOKUP(B641,RPM!$L$2:$N$62,3,TRUE))))</f>
        <v>4300</v>
      </c>
      <c r="L641" s="17">
        <f t="shared" si="116"/>
        <v>51.996647942306872</v>
      </c>
      <c r="M641" s="16">
        <f t="shared" si="115"/>
        <v>0.49008788534102199</v>
      </c>
      <c r="N641" s="17">
        <f>VLOOKUP(K641,RPM!$A$2:$D$62,3,FALSE)</f>
        <v>11.4</v>
      </c>
      <c r="O641" s="16">
        <f>VLOOKUP(K641,RPM!$A$2:$D$62,4,FALSE)</f>
        <v>18.894837209302327</v>
      </c>
      <c r="P641" s="17">
        <f t="shared" si="106"/>
        <v>14.089880106976747</v>
      </c>
      <c r="Q641" s="16" cm="1">
        <f t="array" ref="Q641">_xlfn.XLOOKUP(O641,BSFC!$A$2:$A$24,_xlfn.XLOOKUP(K641,BSFC!$B$1:$O$1,BSFC!$B$2:$O$24,,-1),,-1)</f>
        <v>480</v>
      </c>
      <c r="R641" s="17">
        <f t="shared" si="107"/>
        <v>1.8786506809302328</v>
      </c>
      <c r="S641" s="16">
        <f t="shared" si="108"/>
        <v>2.9183485335178652E-4</v>
      </c>
      <c r="T641" s="17">
        <f t="shared" si="112"/>
        <v>0.14008072960885753</v>
      </c>
      <c r="U641" s="16">
        <f t="shared" si="113"/>
        <v>86.660502677093717</v>
      </c>
      <c r="V641" s="17">
        <f t="shared" si="114"/>
        <v>0.18203150118743319</v>
      </c>
      <c r="W641" s="16">
        <f t="shared" si="109"/>
        <v>655313.40427475946</v>
      </c>
      <c r="X641">
        <f>('Hybrid Info'!$A$2-Track!P641)*(L641-L640)*1000+X640</f>
        <v>-30157.77831641501</v>
      </c>
    </row>
    <row r="642" spans="1:24">
      <c r="A642" s="16">
        <f t="shared" si="110"/>
        <v>641</v>
      </c>
      <c r="B642" s="17">
        <f t="shared" si="111"/>
        <v>13.411199999999999</v>
      </c>
      <c r="C642" s="16">
        <f>Specification!$G$29</f>
        <v>164.943378</v>
      </c>
      <c r="D642" s="17">
        <f>0.5*Specification!$K$4*Track!B642^2*Specification!$K$3*Specification!$K$2</f>
        <v>93.159842569492653</v>
      </c>
      <c r="E642" s="16">
        <v>-7</v>
      </c>
      <c r="F642" s="17">
        <f>Specification!$C$23*9.81*SIN((E642*PI()/180))</f>
        <v>-670.05137252956831</v>
      </c>
      <c r="G642" s="18">
        <f>IF(J642=1,VLOOKUP(K642,RPM!$E$2:$H$62,3,FALSE)-F642-E642-D642,IF(J642=2,VLOOKUP(K642,RPM!$H$2:$K$62,3,FALSE)-F642-E642-D642,IF(J642=3,VLOOKUP(K642,RPM!$K$2:$N$62,3,FALSE)-F642-E642-D642)))</f>
        <v>1226.61355156784</v>
      </c>
      <c r="H642" s="19">
        <f>IF(J642=1,Specification!$I$14,IF(J642=2,Specification!$I$15,IF(J642=3,Specification!$I$16)))</f>
        <v>578.93404261974786</v>
      </c>
      <c r="I642" s="16">
        <f t="shared" si="117"/>
        <v>0</v>
      </c>
      <c r="J642" s="17">
        <v>3</v>
      </c>
      <c r="K642" s="16">
        <f>IF(J642=1,VLOOKUP(B642,RPM!$F$2:$H$62,3,TRUE),IF(J642=2,VLOOKUP(B642,RPM!$I$2:$K$62,3,TRUE),IF(J642=3,VLOOKUP(B642,RPM!$L$2:$N$62,3,TRUE))))</f>
        <v>4300</v>
      </c>
      <c r="L642" s="17">
        <f t="shared" si="116"/>
        <v>52.071212485375355</v>
      </c>
      <c r="M642" s="16">
        <f t="shared" si="115"/>
        <v>0.36730332443811742</v>
      </c>
      <c r="N642" s="17">
        <f>VLOOKUP(K642,RPM!$A$2:$D$62,3,FALSE)</f>
        <v>11.4</v>
      </c>
      <c r="O642" s="16">
        <f>VLOOKUP(K642,RPM!$A$2:$D$62,4,FALSE)</f>
        <v>18.894837209302327</v>
      </c>
      <c r="P642" s="17">
        <f t="shared" ref="P642:P705" si="118">O642*0.7457</f>
        <v>14.089880106976747</v>
      </c>
      <c r="Q642" s="16" cm="1">
        <f t="array" ref="Q642">_xlfn.XLOOKUP(O642,BSFC!$A$2:$A$24,_xlfn.XLOOKUP(K642,BSFC!$B$1:$O$1,BSFC!$B$2:$O$24,,-1),,-1)</f>
        <v>480</v>
      </c>
      <c r="R642" s="17">
        <f t="shared" ref="R642:R705" si="119">Q642*P642/3600</f>
        <v>1.8786506809302328</v>
      </c>
      <c r="S642" s="16">
        <f t="shared" si="108"/>
        <v>2.9183485335178652E-4</v>
      </c>
      <c r="T642" s="17">
        <f t="shared" si="112"/>
        <v>0.14008072960885753</v>
      </c>
      <c r="U642" s="16">
        <f t="shared" si="113"/>
        <v>86.800583406702572</v>
      </c>
      <c r="V642" s="17">
        <f t="shared" si="114"/>
        <v>0.18232333604078499</v>
      </c>
      <c r="W642" s="16">
        <f t="shared" si="109"/>
        <v>656364.00974682602</v>
      </c>
      <c r="X642">
        <f>('Hybrid Info'!$A$2-Track!P642)*(L642-L641)*1000+X641</f>
        <v>-30304.627629764425</v>
      </c>
    </row>
    <row r="643" spans="1:24">
      <c r="A643" s="16">
        <f t="shared" si="110"/>
        <v>642</v>
      </c>
      <c r="B643" s="17">
        <f t="shared" si="111"/>
        <v>13.411199999999999</v>
      </c>
      <c r="C643" s="16">
        <f>Specification!$G$29</f>
        <v>164.943378</v>
      </c>
      <c r="D643" s="17">
        <f>0.5*Specification!$K$4*Track!B643^2*Specification!$K$3*Specification!$K$2</f>
        <v>93.159842569492653</v>
      </c>
      <c r="E643" s="16">
        <v>-6</v>
      </c>
      <c r="F643" s="17">
        <f>Specification!$C$23*9.81*SIN((E643*PI()/180))</f>
        <v>-574.70926095052266</v>
      </c>
      <c r="G643" s="18">
        <f>IF(J643=1,VLOOKUP(K643,RPM!$E$2:$H$62,3,FALSE)-F643-E643-D643,IF(J643=2,VLOOKUP(K643,RPM!$H$2:$K$62,3,FALSE)-F643-E643-D643,IF(J643=3,VLOOKUP(K643,RPM!$K$2:$N$62,3,FALSE)-F643-E643-D643)))</f>
        <v>1130.2714399887943</v>
      </c>
      <c r="H643" s="19">
        <f>IF(J643=1,Specification!$I$14,IF(J643=2,Specification!$I$15,IF(J643=3,Specification!$I$16)))</f>
        <v>578.93404261974786</v>
      </c>
      <c r="I643" s="16">
        <f t="shared" si="117"/>
        <v>0</v>
      </c>
      <c r="J643" s="17">
        <v>3</v>
      </c>
      <c r="K643" s="16">
        <f>IF(J643=1,VLOOKUP(B643,RPM!$F$2:$H$62,3,TRUE),IF(J643=2,VLOOKUP(B643,RPM!$I$2:$K$62,3,TRUE),IF(J643=3,VLOOKUP(B643,RPM!$L$2:$N$62,3,TRUE))))</f>
        <v>4300</v>
      </c>
      <c r="L643" s="17">
        <f t="shared" si="116"/>
        <v>52.145777028443838</v>
      </c>
      <c r="M643" s="16">
        <f t="shared" si="115"/>
        <v>0.26219908917244095</v>
      </c>
      <c r="N643" s="17">
        <f>VLOOKUP(K643,RPM!$A$2:$D$62,3,FALSE)</f>
        <v>11.4</v>
      </c>
      <c r="O643" s="16">
        <f>VLOOKUP(K643,RPM!$A$2:$D$62,4,FALSE)</f>
        <v>18.894837209302327</v>
      </c>
      <c r="P643" s="17">
        <f t="shared" si="118"/>
        <v>14.089880106976747</v>
      </c>
      <c r="Q643" s="16" cm="1">
        <f t="array" ref="Q643">_xlfn.XLOOKUP(O643,BSFC!$A$2:$A$24,_xlfn.XLOOKUP(K643,BSFC!$B$1:$O$1,BSFC!$B$2:$O$24,,-1),,-1)</f>
        <v>480</v>
      </c>
      <c r="R643" s="17">
        <f t="shared" si="119"/>
        <v>1.8786506809302328</v>
      </c>
      <c r="S643" s="16">
        <f t="shared" ref="S643:S706" si="120">(L643-L642)/3600*P643</f>
        <v>2.9183485335178652E-4</v>
      </c>
      <c r="T643" s="17">
        <f t="shared" si="112"/>
        <v>0.14008072960885753</v>
      </c>
      <c r="U643" s="16">
        <f t="shared" si="113"/>
        <v>86.940664136311426</v>
      </c>
      <c r="V643" s="17">
        <f t="shared" si="114"/>
        <v>0.18261517089413679</v>
      </c>
      <c r="W643" s="16">
        <f t="shared" ref="W643:W706" si="121">V643*1000*3600</f>
        <v>657414.61521889246</v>
      </c>
      <c r="X643">
        <f>('Hybrid Info'!$A$2-Track!P643)*(L643-L642)*1000+X642</f>
        <v>-30451.476943113841</v>
      </c>
    </row>
    <row r="644" spans="1:24">
      <c r="A644" s="16">
        <f t="shared" ref="A644:A707" si="122">A643+1</f>
        <v>643</v>
      </c>
      <c r="B644" s="17">
        <f t="shared" ref="B644:B690" si="123">IF(SQRT(B643^2+2*I643)&gt;13.4112,13.4112,SQRT(B643^2+2*I643))</f>
        <v>13.411199999999999</v>
      </c>
      <c r="C644" s="16">
        <f>Specification!$G$29</f>
        <v>164.943378</v>
      </c>
      <c r="D644" s="17">
        <f>0.5*Specification!$K$4*Track!B644^2*Specification!$K$3*Specification!$K$2</f>
        <v>93.159842569492653</v>
      </c>
      <c r="E644" s="16">
        <v>-5</v>
      </c>
      <c r="F644" s="17">
        <f>Specification!$C$23*9.81*SIN((E644*PI()/180))</f>
        <v>-479.192087363258</v>
      </c>
      <c r="G644" s="18">
        <f>IF(J644=1,VLOOKUP(K644,RPM!$E$2:$H$62,3,FALSE)-F644-E644-D644,IF(J644=2,VLOOKUP(K644,RPM!$H$2:$K$62,3,FALSE)-F644-E644-D644,IF(J644=3,VLOOKUP(K644,RPM!$K$2:$N$62,3,FALSE)-F644-E644-D644)))</f>
        <v>1033.7542664015295</v>
      </c>
      <c r="H644" s="19">
        <f>IF(J644=1,Specification!$I$14,IF(J644=2,Specification!$I$15,IF(J644=3,Specification!$I$16)))</f>
        <v>578.93404261974786</v>
      </c>
      <c r="I644" s="16">
        <f t="shared" si="117"/>
        <v>0</v>
      </c>
      <c r="J644" s="17">
        <v>3</v>
      </c>
      <c r="K644" s="16">
        <f>IF(J644=1,VLOOKUP(B644,RPM!$F$2:$H$62,3,TRUE),IF(J644=2,VLOOKUP(B644,RPM!$I$2:$K$62,3,TRUE),IF(J644=3,VLOOKUP(B644,RPM!$L$2:$N$62,3,TRUE))))</f>
        <v>4300</v>
      </c>
      <c r="L644" s="17">
        <f t="shared" si="116"/>
        <v>52.220341571512321</v>
      </c>
      <c r="M644" s="16">
        <f t="shared" si="115"/>
        <v>0.17471042564651695</v>
      </c>
      <c r="N644" s="17">
        <f>VLOOKUP(K644,RPM!$A$2:$D$62,3,FALSE)</f>
        <v>11.4</v>
      </c>
      <c r="O644" s="16">
        <f>VLOOKUP(K644,RPM!$A$2:$D$62,4,FALSE)</f>
        <v>18.894837209302327</v>
      </c>
      <c r="P644" s="17">
        <f t="shared" si="118"/>
        <v>14.089880106976747</v>
      </c>
      <c r="Q644" s="16" cm="1">
        <f t="array" ref="Q644">_xlfn.XLOOKUP(O644,BSFC!$A$2:$A$24,_xlfn.XLOOKUP(K644,BSFC!$B$1:$O$1,BSFC!$B$2:$O$24,,-1),,-1)</f>
        <v>480</v>
      </c>
      <c r="R644" s="17">
        <f t="shared" si="119"/>
        <v>1.8786506809302328</v>
      </c>
      <c r="S644" s="16">
        <f t="shared" si="120"/>
        <v>2.9183485335178652E-4</v>
      </c>
      <c r="T644" s="17">
        <f t="shared" ref="T644:T707" si="124">S644*Q644</f>
        <v>0.14008072960885753</v>
      </c>
      <c r="U644" s="16">
        <f t="shared" ref="U644:U707" si="125">U643+T644</f>
        <v>87.080744865920281</v>
      </c>
      <c r="V644" s="17">
        <f t="shared" si="114"/>
        <v>0.18290700574748858</v>
      </c>
      <c r="W644" s="16">
        <f t="shared" si="121"/>
        <v>658465.2206909589</v>
      </c>
      <c r="X644">
        <f>('Hybrid Info'!$A$2-Track!P644)*(L644-L643)*1000+X643</f>
        <v>-30598.326256463257</v>
      </c>
    </row>
    <row r="645" spans="1:24">
      <c r="A645" s="16">
        <f t="shared" si="122"/>
        <v>644</v>
      </c>
      <c r="B645" s="17">
        <f t="shared" si="123"/>
        <v>13.411199999999999</v>
      </c>
      <c r="C645" s="16">
        <f>Specification!$G$29</f>
        <v>164.943378</v>
      </c>
      <c r="D645" s="17">
        <f>0.5*Specification!$K$4*Track!B645^2*Specification!$K$3*Specification!$K$2</f>
        <v>93.159842569492653</v>
      </c>
      <c r="E645" s="16">
        <v>-4</v>
      </c>
      <c r="F645" s="17">
        <f>Specification!$C$23*9.81*SIN((E645*PI()/180))</f>
        <v>-383.52894722414453</v>
      </c>
      <c r="G645" s="18">
        <f>IF(J645=1,VLOOKUP(K645,RPM!$E$2:$H$62,3,FALSE)-F645-E645-D645,IF(J645=2,VLOOKUP(K645,RPM!$H$2:$K$62,3,FALSE)-F645-E645-D645,IF(J645=3,VLOOKUP(K645,RPM!$K$2:$N$62,3,FALSE)-F645-E645-D645)))</f>
        <v>937.09112626241608</v>
      </c>
      <c r="H645" s="19">
        <f>IF(J645=1,Specification!$I$14,IF(J645=2,Specification!$I$15,IF(J645=3,Specification!$I$16)))</f>
        <v>578.93404261974786</v>
      </c>
      <c r="I645" s="16">
        <f t="shared" si="117"/>
        <v>0</v>
      </c>
      <c r="J645" s="17">
        <v>3</v>
      </c>
      <c r="K645" s="16">
        <f>IF(J645=1,VLOOKUP(B645,RPM!$F$2:$H$62,3,TRUE),IF(J645=2,VLOOKUP(B645,RPM!$I$2:$K$62,3,TRUE),IF(J645=3,VLOOKUP(B645,RPM!$L$2:$N$62,3,TRUE))))</f>
        <v>4300</v>
      </c>
      <c r="L645" s="17">
        <f t="shared" si="116"/>
        <v>52.294906114580805</v>
      </c>
      <c r="M645" s="16">
        <f t="shared" si="115"/>
        <v>0.10478361370300654</v>
      </c>
      <c r="N645" s="17">
        <f>VLOOKUP(K645,RPM!$A$2:$D$62,3,FALSE)</f>
        <v>11.4</v>
      </c>
      <c r="O645" s="16">
        <f>VLOOKUP(K645,RPM!$A$2:$D$62,4,FALSE)</f>
        <v>18.894837209302327</v>
      </c>
      <c r="P645" s="17">
        <f t="shared" si="118"/>
        <v>14.089880106976747</v>
      </c>
      <c r="Q645" s="16" cm="1">
        <f t="array" ref="Q645">_xlfn.XLOOKUP(O645,BSFC!$A$2:$A$24,_xlfn.XLOOKUP(K645,BSFC!$B$1:$O$1,BSFC!$B$2:$O$24,,-1),,-1)</f>
        <v>480</v>
      </c>
      <c r="R645" s="17">
        <f t="shared" si="119"/>
        <v>1.8786506809302328</v>
      </c>
      <c r="S645" s="16">
        <f t="shared" si="120"/>
        <v>2.9183485335178652E-4</v>
      </c>
      <c r="T645" s="17">
        <f t="shared" si="124"/>
        <v>0.14008072960885753</v>
      </c>
      <c r="U645" s="16">
        <f t="shared" si="125"/>
        <v>87.220825595529135</v>
      </c>
      <c r="V645" s="17">
        <f t="shared" ref="V645:V708" si="126">V644+S645</f>
        <v>0.18319884060084038</v>
      </c>
      <c r="W645" s="16">
        <f t="shared" si="121"/>
        <v>659515.82616302534</v>
      </c>
      <c r="X645">
        <f>('Hybrid Info'!$A$2-Track!P645)*(L645-L644)*1000+X644</f>
        <v>-30745.175569812673</v>
      </c>
    </row>
    <row r="646" spans="1:24">
      <c r="A646" s="16">
        <f t="shared" si="122"/>
        <v>645</v>
      </c>
      <c r="B646" s="17">
        <f t="shared" si="123"/>
        <v>13.411199999999999</v>
      </c>
      <c r="C646" s="16">
        <f>Specification!$G$29</f>
        <v>164.943378</v>
      </c>
      <c r="D646" s="17">
        <f>0.5*Specification!$K$4*Track!B646^2*Specification!$K$3*Specification!$K$2</f>
        <v>93.159842569492653</v>
      </c>
      <c r="E646" s="16">
        <v>-3</v>
      </c>
      <c r="F646" s="17">
        <f>Specification!$C$23*9.81*SIN((E646*PI()/180))</f>
        <v>-287.74898045237813</v>
      </c>
      <c r="G646" s="18">
        <f>IF(J646=1,VLOOKUP(K646,RPM!$E$2:$H$62,3,FALSE)-F646-E646-D646,IF(J646=2,VLOOKUP(K646,RPM!$H$2:$K$62,3,FALSE)-F646-E646-D646,IF(J646=3,VLOOKUP(K646,RPM!$K$2:$N$62,3,FALSE)-F646-E646-D646)))</f>
        <v>840.31115949064974</v>
      </c>
      <c r="H646" s="19">
        <f>IF(J646=1,Specification!$I$14,IF(J646=2,Specification!$I$15,IF(J646=3,Specification!$I$16)))</f>
        <v>578.93404261974786</v>
      </c>
      <c r="I646" s="16">
        <f t="shared" si="117"/>
        <v>0</v>
      </c>
      <c r="J646" s="17">
        <v>3</v>
      </c>
      <c r="K646" s="16">
        <f>IF(J646=1,VLOOKUP(B646,RPM!$F$2:$H$62,3,TRUE),IF(J646=2,VLOOKUP(B646,RPM!$I$2:$K$62,3,TRUE),IF(J646=3,VLOOKUP(B646,RPM!$L$2:$N$62,3,TRUE))))</f>
        <v>4300</v>
      </c>
      <c r="L646" s="17">
        <f t="shared" si="116"/>
        <v>52.369470657649288</v>
      </c>
      <c r="M646" s="16">
        <f t="shared" si="115"/>
        <v>5.2375834419965343E-2</v>
      </c>
      <c r="N646" s="17">
        <f>VLOOKUP(K646,RPM!$A$2:$D$62,3,FALSE)</f>
        <v>11.4</v>
      </c>
      <c r="O646" s="16">
        <f>VLOOKUP(K646,RPM!$A$2:$D$62,4,FALSE)</f>
        <v>18.894837209302327</v>
      </c>
      <c r="P646" s="17">
        <f t="shared" si="118"/>
        <v>14.089880106976747</v>
      </c>
      <c r="Q646" s="16" cm="1">
        <f t="array" ref="Q646">_xlfn.XLOOKUP(O646,BSFC!$A$2:$A$24,_xlfn.XLOOKUP(K646,BSFC!$B$1:$O$1,BSFC!$B$2:$O$24,,-1),,-1)</f>
        <v>480</v>
      </c>
      <c r="R646" s="17">
        <f t="shared" si="119"/>
        <v>1.8786506809302328</v>
      </c>
      <c r="S646" s="16">
        <f t="shared" si="120"/>
        <v>2.9183485335178652E-4</v>
      </c>
      <c r="T646" s="17">
        <f t="shared" si="124"/>
        <v>0.14008072960885753</v>
      </c>
      <c r="U646" s="16">
        <f t="shared" si="125"/>
        <v>87.360906325137989</v>
      </c>
      <c r="V646" s="17">
        <f t="shared" si="126"/>
        <v>0.18349067545419218</v>
      </c>
      <c r="W646" s="16">
        <f t="shared" si="121"/>
        <v>660566.43163509178</v>
      </c>
      <c r="X646">
        <f>('Hybrid Info'!$A$2-Track!P646)*(L646-L645)*1000+X645</f>
        <v>-30892.024883162088</v>
      </c>
    </row>
    <row r="647" spans="1:24">
      <c r="A647" s="16">
        <f t="shared" si="122"/>
        <v>646</v>
      </c>
      <c r="B647" s="17">
        <f t="shared" si="123"/>
        <v>13.411199999999999</v>
      </c>
      <c r="C647" s="16">
        <f>Specification!$G$29</f>
        <v>164.943378</v>
      </c>
      <c r="D647" s="17">
        <f>0.5*Specification!$K$4*Track!B647^2*Specification!$K$3*Specification!$K$2</f>
        <v>93.159842569492653</v>
      </c>
      <c r="E647" s="16">
        <v>-2</v>
      </c>
      <c r="F647" s="17">
        <f>Specification!$C$23*9.81*SIN((E647*PI()/180))</f>
        <v>-191.88136255367905</v>
      </c>
      <c r="G647" s="18">
        <f>IF(J647=1,VLOOKUP(K647,RPM!$E$2:$H$62,3,FALSE)-F647-E647-D647,IF(J647=2,VLOOKUP(K647,RPM!$H$2:$K$62,3,FALSE)-F647-E647-D647,IF(J647=3,VLOOKUP(K647,RPM!$K$2:$N$62,3,FALSE)-F647-E647-D647)))</f>
        <v>743.44354159195063</v>
      </c>
      <c r="H647" s="19">
        <f>IF(J647=1,Specification!$I$14,IF(J647=2,Specification!$I$15,IF(J647=3,Specification!$I$16)))</f>
        <v>578.93404261974786</v>
      </c>
      <c r="I647" s="16">
        <f t="shared" si="117"/>
        <v>0</v>
      </c>
      <c r="J647" s="17">
        <v>3</v>
      </c>
      <c r="K647" s="16">
        <f>IF(J647=1,VLOOKUP(B647,RPM!$F$2:$H$62,3,TRUE),IF(J647=2,VLOOKUP(B647,RPM!$I$2:$K$62,3,TRUE),IF(J647=3,VLOOKUP(B647,RPM!$L$2:$N$62,3,TRUE))))</f>
        <v>4300</v>
      </c>
      <c r="L647" s="17">
        <f t="shared" si="116"/>
        <v>52.444035200717771</v>
      </c>
      <c r="M647" s="16">
        <f t="shared" si="115"/>
        <v>1.7455064928217613E-2</v>
      </c>
      <c r="N647" s="17">
        <f>VLOOKUP(K647,RPM!$A$2:$D$62,3,FALSE)</f>
        <v>11.4</v>
      </c>
      <c r="O647" s="16">
        <f>VLOOKUP(K647,RPM!$A$2:$D$62,4,FALSE)</f>
        <v>18.894837209302327</v>
      </c>
      <c r="P647" s="17">
        <f t="shared" si="118"/>
        <v>14.089880106976747</v>
      </c>
      <c r="Q647" s="16" cm="1">
        <f t="array" ref="Q647">_xlfn.XLOOKUP(O647,BSFC!$A$2:$A$24,_xlfn.XLOOKUP(K647,BSFC!$B$1:$O$1,BSFC!$B$2:$O$24,,-1),,-1)</f>
        <v>480</v>
      </c>
      <c r="R647" s="17">
        <f t="shared" si="119"/>
        <v>1.8786506809302328</v>
      </c>
      <c r="S647" s="16">
        <f t="shared" si="120"/>
        <v>2.9183485335178652E-4</v>
      </c>
      <c r="T647" s="17">
        <f t="shared" si="124"/>
        <v>0.14008072960885753</v>
      </c>
      <c r="U647" s="16">
        <f t="shared" si="125"/>
        <v>87.500987054746844</v>
      </c>
      <c r="V647" s="17">
        <f t="shared" si="126"/>
        <v>0.18378251030754397</v>
      </c>
      <c r="W647" s="16">
        <f t="shared" si="121"/>
        <v>661617.03710715822</v>
      </c>
      <c r="X647">
        <f>('Hybrid Info'!$A$2-Track!P647)*(L647-L646)*1000+X646</f>
        <v>-31038.874196511504</v>
      </c>
    </row>
    <row r="648" spans="1:24">
      <c r="A648" s="16">
        <f t="shared" si="122"/>
        <v>647</v>
      </c>
      <c r="B648" s="17">
        <f t="shared" si="123"/>
        <v>13.411199999999999</v>
      </c>
      <c r="C648" s="16">
        <f>Specification!$G$29</f>
        <v>164.943378</v>
      </c>
      <c r="D648" s="17">
        <f>0.5*Specification!$K$4*Track!B648^2*Specification!$K$3*Specification!$K$2</f>
        <v>93.159842569492653</v>
      </c>
      <c r="E648" s="16">
        <v>-1</v>
      </c>
      <c r="F648" s="17">
        <f>Specification!$C$23*9.81*SIN((E648*PI()/180))</f>
        <v>-95.955295733149597</v>
      </c>
      <c r="G648" s="18">
        <f>IF(J648=1,VLOOKUP(K648,RPM!$E$2:$H$62,3,FALSE)-F648-E648-D648,IF(J648=2,VLOOKUP(K648,RPM!$H$2:$K$62,3,FALSE)-F648-E648-D648,IF(J648=3,VLOOKUP(K648,RPM!$K$2:$N$62,3,FALSE)-F648-E648-D648)))</f>
        <v>646.51747477142112</v>
      </c>
      <c r="H648" s="19">
        <f>IF(J648=1,Specification!$I$14,IF(J648=2,Specification!$I$15,IF(J648=3,Specification!$I$16)))</f>
        <v>578.93404261974786</v>
      </c>
      <c r="I648" s="16">
        <f t="shared" si="117"/>
        <v>0</v>
      </c>
      <c r="J648" s="17">
        <v>3</v>
      </c>
      <c r="K648" s="16">
        <f>IF(J648=1,VLOOKUP(B648,RPM!$F$2:$H$62,3,TRUE),IF(J648=2,VLOOKUP(B648,RPM!$I$2:$K$62,3,TRUE),IF(J648=3,VLOOKUP(B648,RPM!$L$2:$N$62,3,TRUE))))</f>
        <v>4300</v>
      </c>
      <c r="L648" s="17">
        <f t="shared" si="116"/>
        <v>52.518599743786254</v>
      </c>
      <c r="M648" s="16">
        <v>0</v>
      </c>
      <c r="N648" s="17">
        <f>VLOOKUP(K648,RPM!$A$2:$D$62,3,FALSE)</f>
        <v>11.4</v>
      </c>
      <c r="O648" s="16">
        <f>VLOOKUP(K648,RPM!$A$2:$D$62,4,FALSE)</f>
        <v>18.894837209302327</v>
      </c>
      <c r="P648" s="17">
        <f t="shared" si="118"/>
        <v>14.089880106976747</v>
      </c>
      <c r="Q648" s="16" cm="1">
        <f t="array" ref="Q648">_xlfn.XLOOKUP(O648,BSFC!$A$2:$A$24,_xlfn.XLOOKUP(K648,BSFC!$B$1:$O$1,BSFC!$B$2:$O$24,,-1),,-1)</f>
        <v>480</v>
      </c>
      <c r="R648" s="17">
        <f t="shared" si="119"/>
        <v>1.8786506809302328</v>
      </c>
      <c r="S648" s="16">
        <f t="shared" si="120"/>
        <v>2.9183485335178652E-4</v>
      </c>
      <c r="T648" s="17">
        <f t="shared" si="124"/>
        <v>0.14008072960885753</v>
      </c>
      <c r="U648" s="16">
        <f t="shared" si="125"/>
        <v>87.641067784355698</v>
      </c>
      <c r="V648" s="17">
        <f t="shared" si="126"/>
        <v>0.18407434516089577</v>
      </c>
      <c r="W648" s="16">
        <f t="shared" si="121"/>
        <v>662667.64257922478</v>
      </c>
      <c r="X648">
        <f>('Hybrid Info'!$A$2-Track!P648)*(L648-L647)*1000+X647</f>
        <v>-31185.72350986092</v>
      </c>
    </row>
    <row r="649" spans="1:24">
      <c r="A649" s="16">
        <f t="shared" si="122"/>
        <v>648</v>
      </c>
      <c r="B649" s="17">
        <f t="shared" si="123"/>
        <v>13.411199999999999</v>
      </c>
      <c r="C649" s="16">
        <f>Specification!$G$29</f>
        <v>164.943378</v>
      </c>
      <c r="D649" s="17">
        <f>0.5*Specification!$K$4*Track!B649^2*Specification!$K$3*Specification!$K$2</f>
        <v>93.159842569492653</v>
      </c>
      <c r="E649" s="16">
        <v>0</v>
      </c>
      <c r="F649" s="17">
        <f>Specification!$C$23*9.81*SIN((E649*PI()/180))</f>
        <v>0</v>
      </c>
      <c r="G649" s="18">
        <f>IF(J649=1,VLOOKUP(K649,RPM!$E$2:$H$62,3,FALSE)-F649-E649-D649,IF(J649=2,VLOOKUP(K649,RPM!$H$2:$K$62,3,FALSE)-F649-E649-D649,IF(J649=3,VLOOKUP(K649,RPM!$K$2:$N$62,3,FALSE)-F649-E649-D649)))</f>
        <v>549.56217903827155</v>
      </c>
      <c r="H649" s="19">
        <f>IF(J649=1,Specification!$I$14,IF(J649=2,Specification!$I$15,IF(J649=3,Specification!$I$16)))</f>
        <v>578.93404261974786</v>
      </c>
      <c r="I649" s="16">
        <f t="shared" si="117"/>
        <v>0</v>
      </c>
      <c r="J649" s="17">
        <v>3</v>
      </c>
      <c r="K649" s="16">
        <f>IF(J649=1,VLOOKUP(B649,RPM!$F$2:$H$62,3,TRUE),IF(J649=2,VLOOKUP(B649,RPM!$I$2:$K$62,3,TRUE),IF(J649=3,VLOOKUP(B649,RPM!$L$2:$N$62,3,TRUE))))</f>
        <v>4300</v>
      </c>
      <c r="L649" s="17">
        <f t="shared" si="116"/>
        <v>52.593164286854737</v>
      </c>
      <c r="M649" s="16">
        <f t="shared" si="115"/>
        <v>0</v>
      </c>
      <c r="N649" s="17">
        <f>VLOOKUP(K649,RPM!$A$2:$D$62,3,FALSE)</f>
        <v>11.4</v>
      </c>
      <c r="O649" s="16">
        <f>VLOOKUP(K649,RPM!$A$2:$D$62,4,FALSE)</f>
        <v>18.894837209302327</v>
      </c>
      <c r="P649" s="17">
        <f t="shared" si="118"/>
        <v>14.089880106976747</v>
      </c>
      <c r="Q649" s="16" cm="1">
        <f t="array" ref="Q649">_xlfn.XLOOKUP(O649,BSFC!$A$2:$A$24,_xlfn.XLOOKUP(K649,BSFC!$B$1:$O$1,BSFC!$B$2:$O$24,,-1),,-1)</f>
        <v>480</v>
      </c>
      <c r="R649" s="17">
        <f t="shared" si="119"/>
        <v>1.8786506809302328</v>
      </c>
      <c r="S649" s="16">
        <f t="shared" si="120"/>
        <v>2.9183485335178652E-4</v>
      </c>
      <c r="T649" s="17">
        <f t="shared" si="124"/>
        <v>0.14008072960885753</v>
      </c>
      <c r="U649" s="16">
        <f t="shared" si="125"/>
        <v>87.781148513964553</v>
      </c>
      <c r="V649" s="17">
        <f t="shared" si="126"/>
        <v>0.18436618001424757</v>
      </c>
      <c r="W649" s="16">
        <f t="shared" si="121"/>
        <v>663718.24805129122</v>
      </c>
      <c r="X649">
        <f>('Hybrid Info'!$A$2-Track!P649)*(L649-L648)*1000+X648</f>
        <v>-31332.572823210336</v>
      </c>
    </row>
    <row r="650" spans="1:24">
      <c r="A650" s="16">
        <f t="shared" si="122"/>
        <v>649</v>
      </c>
      <c r="B650" s="17">
        <f t="shared" si="123"/>
        <v>13.411199999999999</v>
      </c>
      <c r="C650" s="16">
        <f>Specification!$G$29</f>
        <v>164.943378</v>
      </c>
      <c r="D650" s="17">
        <f>0.5*Specification!$K$4*Track!B650^2*Specification!$K$3*Specification!$K$2</f>
        <v>93.159842569492653</v>
      </c>
      <c r="E650" s="16">
        <v>0</v>
      </c>
      <c r="F650" s="17">
        <f>Specification!$C$23*9.81*SIN((E650*PI()/180))</f>
        <v>0</v>
      </c>
      <c r="G650" s="18">
        <f>IF(J650=1,VLOOKUP(K650,RPM!$E$2:$H$62,3,FALSE)-F650-E650-D650,IF(J650=2,VLOOKUP(K650,RPM!$H$2:$K$62,3,FALSE)-F650-E650-D650,IF(J650=3,VLOOKUP(K650,RPM!$K$2:$N$62,3,FALSE)-F650-E650-D650)))</f>
        <v>549.56217903827155</v>
      </c>
      <c r="H650" s="19">
        <f>IF(J650=1,Specification!$I$14,IF(J650=2,Specification!$I$15,IF(J650=3,Specification!$I$16)))</f>
        <v>578.93404261974786</v>
      </c>
      <c r="I650" s="16">
        <f t="shared" si="117"/>
        <v>0</v>
      </c>
      <c r="J650" s="17">
        <v>3</v>
      </c>
      <c r="K650" s="16">
        <f>IF(J650=1,VLOOKUP(B650,RPM!$F$2:$H$62,3,TRUE),IF(J650=2,VLOOKUP(B650,RPM!$I$2:$K$62,3,TRUE),IF(J650=3,VLOOKUP(B650,RPM!$L$2:$N$62,3,TRUE))))</f>
        <v>4300</v>
      </c>
      <c r="L650" s="17">
        <f t="shared" si="116"/>
        <v>52.66772882992322</v>
      </c>
      <c r="M650" s="16">
        <f t="shared" si="115"/>
        <v>0</v>
      </c>
      <c r="N650" s="17">
        <f>VLOOKUP(K650,RPM!$A$2:$D$62,3,FALSE)</f>
        <v>11.4</v>
      </c>
      <c r="O650" s="16">
        <f>VLOOKUP(K650,RPM!$A$2:$D$62,4,FALSE)</f>
        <v>18.894837209302327</v>
      </c>
      <c r="P650" s="17">
        <f t="shared" si="118"/>
        <v>14.089880106976747</v>
      </c>
      <c r="Q650" s="16" cm="1">
        <f t="array" ref="Q650">_xlfn.XLOOKUP(O650,BSFC!$A$2:$A$24,_xlfn.XLOOKUP(K650,BSFC!$B$1:$O$1,BSFC!$B$2:$O$24,,-1),,-1)</f>
        <v>480</v>
      </c>
      <c r="R650" s="17">
        <f t="shared" si="119"/>
        <v>1.8786506809302328</v>
      </c>
      <c r="S650" s="16">
        <f t="shared" si="120"/>
        <v>2.9183485335178652E-4</v>
      </c>
      <c r="T650" s="17">
        <f t="shared" si="124"/>
        <v>0.14008072960885753</v>
      </c>
      <c r="U650" s="16">
        <f t="shared" si="125"/>
        <v>87.921229243573407</v>
      </c>
      <c r="V650" s="17">
        <f t="shared" si="126"/>
        <v>0.18465801486759936</v>
      </c>
      <c r="W650" s="16">
        <f t="shared" si="121"/>
        <v>664768.85352335777</v>
      </c>
      <c r="X650">
        <f>('Hybrid Info'!$A$2-Track!P650)*(L650-L649)*1000+X649</f>
        <v>-31479.422136559751</v>
      </c>
    </row>
    <row r="651" spans="1:24">
      <c r="A651" s="16">
        <f t="shared" si="122"/>
        <v>650</v>
      </c>
      <c r="B651" s="17">
        <f t="shared" si="123"/>
        <v>13.411199999999999</v>
      </c>
      <c r="C651" s="16">
        <f>Specification!$G$29</f>
        <v>164.943378</v>
      </c>
      <c r="D651" s="17">
        <f>0.5*Specification!$K$4*Track!B651^2*Specification!$K$3*Specification!$K$2</f>
        <v>93.159842569492653</v>
      </c>
      <c r="E651" s="16">
        <v>0</v>
      </c>
      <c r="F651" s="17">
        <f>Specification!$C$23*9.81*SIN((E651*PI()/180))</f>
        <v>0</v>
      </c>
      <c r="G651" s="18">
        <f>IF(J651=1,VLOOKUP(K651,RPM!$E$2:$H$62,3,FALSE)-F651-E651-D651,IF(J651=2,VLOOKUP(K651,RPM!$H$2:$K$62,3,FALSE)-F651-E651-D651,IF(J651=3,VLOOKUP(K651,RPM!$K$2:$N$62,3,FALSE)-F651-E651-D651)))</f>
        <v>549.56217903827155</v>
      </c>
      <c r="H651" s="19">
        <f>IF(J651=1,Specification!$I$14,IF(J651=2,Specification!$I$15,IF(J651=3,Specification!$I$16)))</f>
        <v>578.93404261974786</v>
      </c>
      <c r="I651" s="16">
        <f t="shared" si="117"/>
        <v>0</v>
      </c>
      <c r="J651" s="17">
        <v>3</v>
      </c>
      <c r="K651" s="16">
        <f>IF(J651=1,VLOOKUP(B651,RPM!$F$2:$H$62,3,TRUE),IF(J651=2,VLOOKUP(B651,RPM!$I$2:$K$62,3,TRUE),IF(J651=3,VLOOKUP(B651,RPM!$L$2:$N$62,3,TRUE))))</f>
        <v>4300</v>
      </c>
      <c r="L651" s="17">
        <f t="shared" si="116"/>
        <v>52.742293372991703</v>
      </c>
      <c r="M651" s="16">
        <f t="shared" ref="M651:M690" si="127">TAN(E651*PI()/180)+M650</f>
        <v>0</v>
      </c>
      <c r="N651" s="17">
        <f>VLOOKUP(K651,RPM!$A$2:$D$62,3,FALSE)</f>
        <v>11.4</v>
      </c>
      <c r="O651" s="16">
        <f>VLOOKUP(K651,RPM!$A$2:$D$62,4,FALSE)</f>
        <v>18.894837209302327</v>
      </c>
      <c r="P651" s="17">
        <f t="shared" si="118"/>
        <v>14.089880106976747</v>
      </c>
      <c r="Q651" s="16" cm="1">
        <f t="array" ref="Q651">_xlfn.XLOOKUP(O651,BSFC!$A$2:$A$24,_xlfn.XLOOKUP(K651,BSFC!$B$1:$O$1,BSFC!$B$2:$O$24,,-1),,-1)</f>
        <v>480</v>
      </c>
      <c r="R651" s="17">
        <f t="shared" si="119"/>
        <v>1.8786506809302328</v>
      </c>
      <c r="S651" s="16">
        <f t="shared" si="120"/>
        <v>2.9183485335178652E-4</v>
      </c>
      <c r="T651" s="17">
        <f t="shared" si="124"/>
        <v>0.14008072960885753</v>
      </c>
      <c r="U651" s="16">
        <f t="shared" si="125"/>
        <v>88.061309973182262</v>
      </c>
      <c r="V651" s="17">
        <f t="shared" si="126"/>
        <v>0.18494984972095116</v>
      </c>
      <c r="W651" s="16">
        <f t="shared" si="121"/>
        <v>665819.45899542421</v>
      </c>
      <c r="X651">
        <f>('Hybrid Info'!$A$2-Track!P651)*(L651-L650)*1000+X650</f>
        <v>-31626.271449909167</v>
      </c>
    </row>
    <row r="652" spans="1:24">
      <c r="A652" s="16">
        <f t="shared" si="122"/>
        <v>651</v>
      </c>
      <c r="B652" s="17">
        <f t="shared" si="123"/>
        <v>13.411199999999999</v>
      </c>
      <c r="C652" s="16">
        <f>Specification!$G$29</f>
        <v>164.943378</v>
      </c>
      <c r="D652" s="17">
        <f>0.5*Specification!$K$4*Track!B652^2*Specification!$K$3*Specification!$K$2</f>
        <v>93.159842569492653</v>
      </c>
      <c r="E652" s="16">
        <v>0</v>
      </c>
      <c r="F652" s="17">
        <f>Specification!$C$23*9.81*SIN((E652*PI()/180))</f>
        <v>0</v>
      </c>
      <c r="G652" s="18">
        <f>IF(J652=1,VLOOKUP(K652,RPM!$E$2:$H$62,3,FALSE)-F652-E652-D652,IF(J652=2,VLOOKUP(K652,RPM!$H$2:$K$62,3,FALSE)-F652-E652-D652,IF(J652=3,VLOOKUP(K652,RPM!$K$2:$N$62,3,FALSE)-F652-E652-D652)))</f>
        <v>549.56217903827155</v>
      </c>
      <c r="H652" s="19">
        <f>IF(J652=1,Specification!$I$14,IF(J652=2,Specification!$I$15,IF(J652=3,Specification!$I$16)))</f>
        <v>578.93404261974786</v>
      </c>
      <c r="I652" s="16">
        <f t="shared" si="117"/>
        <v>0</v>
      </c>
      <c r="J652" s="17">
        <v>3</v>
      </c>
      <c r="K652" s="16">
        <f>IF(J652=1,VLOOKUP(B652,RPM!$F$2:$H$62,3,TRUE),IF(J652=2,VLOOKUP(B652,RPM!$I$2:$K$62,3,TRUE),IF(J652=3,VLOOKUP(B652,RPM!$L$2:$N$62,3,TRUE))))</f>
        <v>4300</v>
      </c>
      <c r="L652" s="17">
        <f t="shared" si="116"/>
        <v>52.816857916060187</v>
      </c>
      <c r="M652" s="16">
        <f t="shared" si="127"/>
        <v>0</v>
      </c>
      <c r="N652" s="17">
        <f>VLOOKUP(K652,RPM!$A$2:$D$62,3,FALSE)</f>
        <v>11.4</v>
      </c>
      <c r="O652" s="16">
        <f>VLOOKUP(K652,RPM!$A$2:$D$62,4,FALSE)</f>
        <v>18.894837209302327</v>
      </c>
      <c r="P652" s="17">
        <f t="shared" si="118"/>
        <v>14.089880106976747</v>
      </c>
      <c r="Q652" s="16" cm="1">
        <f t="array" ref="Q652">_xlfn.XLOOKUP(O652,BSFC!$A$2:$A$24,_xlfn.XLOOKUP(K652,BSFC!$B$1:$O$1,BSFC!$B$2:$O$24,,-1),,-1)</f>
        <v>480</v>
      </c>
      <c r="R652" s="17">
        <f t="shared" si="119"/>
        <v>1.8786506809302328</v>
      </c>
      <c r="S652" s="16">
        <f t="shared" si="120"/>
        <v>2.9183485335178652E-4</v>
      </c>
      <c r="T652" s="17">
        <f t="shared" si="124"/>
        <v>0.14008072960885753</v>
      </c>
      <c r="U652" s="16">
        <f t="shared" si="125"/>
        <v>88.201390702791116</v>
      </c>
      <c r="V652" s="17">
        <f t="shared" si="126"/>
        <v>0.18524168457430296</v>
      </c>
      <c r="W652" s="16">
        <f t="shared" si="121"/>
        <v>666870.06446749065</v>
      </c>
      <c r="X652">
        <f>('Hybrid Info'!$A$2-Track!P652)*(L652-L651)*1000+X651</f>
        <v>-31773.120763258583</v>
      </c>
    </row>
    <row r="653" spans="1:24">
      <c r="A653" s="16">
        <f t="shared" si="122"/>
        <v>652</v>
      </c>
      <c r="B653" s="17">
        <f t="shared" si="123"/>
        <v>13.411199999999999</v>
      </c>
      <c r="C653" s="16">
        <f>Specification!$G$29</f>
        <v>164.943378</v>
      </c>
      <c r="D653" s="17">
        <f>0.5*Specification!$K$4*Track!B653^2*Specification!$K$3*Specification!$K$2</f>
        <v>93.159842569492653</v>
      </c>
      <c r="E653" s="16">
        <v>0</v>
      </c>
      <c r="F653" s="17">
        <f>Specification!$C$23*9.81*SIN((E653*PI()/180))</f>
        <v>0</v>
      </c>
      <c r="G653" s="18">
        <f>IF(J653=1,VLOOKUP(K653,RPM!$E$2:$H$62,3,FALSE)-F653-E653-D653,IF(J653=2,VLOOKUP(K653,RPM!$H$2:$K$62,3,FALSE)-F653-E653-D653,IF(J653=3,VLOOKUP(K653,RPM!$K$2:$N$62,3,FALSE)-F653-E653-D653)))</f>
        <v>549.56217903827155</v>
      </c>
      <c r="H653" s="19">
        <f>IF(J653=1,Specification!$I$14,IF(J653=2,Specification!$I$15,IF(J653=3,Specification!$I$16)))</f>
        <v>578.93404261974786</v>
      </c>
      <c r="I653" s="16">
        <f t="shared" si="117"/>
        <v>0</v>
      </c>
      <c r="J653" s="17">
        <v>3</v>
      </c>
      <c r="K653" s="16">
        <f>IF(J653=1,VLOOKUP(B653,RPM!$F$2:$H$62,3,TRUE),IF(J653=2,VLOOKUP(B653,RPM!$I$2:$K$62,3,TRUE),IF(J653=3,VLOOKUP(B653,RPM!$L$2:$N$62,3,TRUE))))</f>
        <v>4300</v>
      </c>
      <c r="L653" s="17">
        <f t="shared" ref="L653:L716" si="128">IF(I653=0,ABS(1/B653)+L652,IF(ABS(B654-B653)=0,1/B653+L652,ABS((B654-B653)/I653)+L652))</f>
        <v>52.89142245912867</v>
      </c>
      <c r="M653" s="16">
        <f t="shared" si="127"/>
        <v>0</v>
      </c>
      <c r="N653" s="17">
        <f>VLOOKUP(K653,RPM!$A$2:$D$62,3,FALSE)</f>
        <v>11.4</v>
      </c>
      <c r="O653" s="16">
        <f>VLOOKUP(K653,RPM!$A$2:$D$62,4,FALSE)</f>
        <v>18.894837209302327</v>
      </c>
      <c r="P653" s="17">
        <f t="shared" si="118"/>
        <v>14.089880106976747</v>
      </c>
      <c r="Q653" s="16" cm="1">
        <f t="array" ref="Q653">_xlfn.XLOOKUP(O653,BSFC!$A$2:$A$24,_xlfn.XLOOKUP(K653,BSFC!$B$1:$O$1,BSFC!$B$2:$O$24,,-1),,-1)</f>
        <v>480</v>
      </c>
      <c r="R653" s="17">
        <f t="shared" si="119"/>
        <v>1.8786506809302328</v>
      </c>
      <c r="S653" s="16">
        <f t="shared" si="120"/>
        <v>2.9183485335178652E-4</v>
      </c>
      <c r="T653" s="17">
        <f t="shared" si="124"/>
        <v>0.14008072960885753</v>
      </c>
      <c r="U653" s="16">
        <f t="shared" si="125"/>
        <v>88.34147143239997</v>
      </c>
      <c r="V653" s="17">
        <f t="shared" si="126"/>
        <v>0.18553351942765475</v>
      </c>
      <c r="W653" s="16">
        <f t="shared" si="121"/>
        <v>667920.66993955721</v>
      </c>
      <c r="X653">
        <f>('Hybrid Info'!$A$2-Track!P653)*(L653-L652)*1000+X652</f>
        <v>-31919.970076607999</v>
      </c>
    </row>
    <row r="654" spans="1:24">
      <c r="A654" s="16">
        <f t="shared" si="122"/>
        <v>653</v>
      </c>
      <c r="B654" s="17">
        <f t="shared" si="123"/>
        <v>13.411199999999999</v>
      </c>
      <c r="C654" s="16">
        <f>Specification!$G$29</f>
        <v>164.943378</v>
      </c>
      <c r="D654" s="17">
        <f>0.5*Specification!$K$4*Track!B654^2*Specification!$K$3*Specification!$K$2</f>
        <v>93.159842569492653</v>
      </c>
      <c r="E654" s="16">
        <v>0</v>
      </c>
      <c r="F654" s="17">
        <f>Specification!$C$23*9.81*SIN((E654*PI()/180))</f>
        <v>0</v>
      </c>
      <c r="G654" s="18">
        <f>IF(J654=1,VLOOKUP(K654,RPM!$E$2:$H$62,3,FALSE)-F654-E654-D654,IF(J654=2,VLOOKUP(K654,RPM!$H$2:$K$62,3,FALSE)-F654-E654-D654,IF(J654=3,VLOOKUP(K654,RPM!$K$2:$N$62,3,FALSE)-F654-E654-D654)))</f>
        <v>549.56217903827155</v>
      </c>
      <c r="H654" s="19">
        <f>IF(J654=1,Specification!$I$14,IF(J654=2,Specification!$I$15,IF(J654=3,Specification!$I$16)))</f>
        <v>578.93404261974786</v>
      </c>
      <c r="I654" s="16">
        <f t="shared" si="117"/>
        <v>0</v>
      </c>
      <c r="J654" s="17">
        <v>3</v>
      </c>
      <c r="K654" s="16">
        <f>IF(J654=1,VLOOKUP(B654,RPM!$F$2:$H$62,3,TRUE),IF(J654=2,VLOOKUP(B654,RPM!$I$2:$K$62,3,TRUE),IF(J654=3,VLOOKUP(B654,RPM!$L$2:$N$62,3,TRUE))))</f>
        <v>4300</v>
      </c>
      <c r="L654" s="17">
        <f t="shared" si="128"/>
        <v>52.965987002197153</v>
      </c>
      <c r="M654" s="16">
        <f t="shared" si="127"/>
        <v>0</v>
      </c>
      <c r="N654" s="17">
        <f>VLOOKUP(K654,RPM!$A$2:$D$62,3,FALSE)</f>
        <v>11.4</v>
      </c>
      <c r="O654" s="16">
        <f>VLOOKUP(K654,RPM!$A$2:$D$62,4,FALSE)</f>
        <v>18.894837209302327</v>
      </c>
      <c r="P654" s="17">
        <f t="shared" si="118"/>
        <v>14.089880106976747</v>
      </c>
      <c r="Q654" s="16" cm="1">
        <f t="array" ref="Q654">_xlfn.XLOOKUP(O654,BSFC!$A$2:$A$24,_xlfn.XLOOKUP(K654,BSFC!$B$1:$O$1,BSFC!$B$2:$O$24,,-1),,-1)</f>
        <v>480</v>
      </c>
      <c r="R654" s="17">
        <f t="shared" si="119"/>
        <v>1.8786506809302328</v>
      </c>
      <c r="S654" s="16">
        <f t="shared" si="120"/>
        <v>2.9183485335178652E-4</v>
      </c>
      <c r="T654" s="17">
        <f t="shared" si="124"/>
        <v>0.14008072960885753</v>
      </c>
      <c r="U654" s="16">
        <f t="shared" si="125"/>
        <v>88.481552162008825</v>
      </c>
      <c r="V654" s="17">
        <f t="shared" si="126"/>
        <v>0.18582535428100655</v>
      </c>
      <c r="W654" s="16">
        <f t="shared" si="121"/>
        <v>668971.27541162365</v>
      </c>
      <c r="X654">
        <f>('Hybrid Info'!$A$2-Track!P654)*(L654-L653)*1000+X653</f>
        <v>-32066.819389957414</v>
      </c>
    </row>
    <row r="655" spans="1:24">
      <c r="A655" s="16">
        <f t="shared" si="122"/>
        <v>654</v>
      </c>
      <c r="B655" s="17">
        <f t="shared" si="123"/>
        <v>13.411199999999999</v>
      </c>
      <c r="C655" s="16">
        <f>Specification!$G$29</f>
        <v>164.943378</v>
      </c>
      <c r="D655" s="17">
        <f>0.5*Specification!$K$4*Track!B655^2*Specification!$K$3*Specification!$K$2</f>
        <v>93.159842569492653</v>
      </c>
      <c r="E655" s="16">
        <v>0</v>
      </c>
      <c r="F655" s="17">
        <f>Specification!$C$23*9.81*SIN((E655*PI()/180))</f>
        <v>0</v>
      </c>
      <c r="G655" s="18">
        <f>IF(J655=1,VLOOKUP(K655,RPM!$E$2:$H$62,3,FALSE)-F655-E655-D655,IF(J655=2,VLOOKUP(K655,RPM!$H$2:$K$62,3,FALSE)-F655-E655-D655,IF(J655=3,VLOOKUP(K655,RPM!$K$2:$N$62,3,FALSE)-F655-E655-D655)))</f>
        <v>549.56217903827155</v>
      </c>
      <c r="H655" s="19">
        <f>IF(J655=1,Specification!$I$14,IF(J655=2,Specification!$I$15,IF(J655=3,Specification!$I$16)))</f>
        <v>578.93404261974786</v>
      </c>
      <c r="I655" s="16">
        <f t="shared" si="117"/>
        <v>0</v>
      </c>
      <c r="J655" s="17">
        <v>3</v>
      </c>
      <c r="K655" s="16">
        <f>IF(J655=1,VLOOKUP(B655,RPM!$F$2:$H$62,3,TRUE),IF(J655=2,VLOOKUP(B655,RPM!$I$2:$K$62,3,TRUE),IF(J655=3,VLOOKUP(B655,RPM!$L$2:$N$62,3,TRUE))))</f>
        <v>4300</v>
      </c>
      <c r="L655" s="17">
        <f t="shared" si="128"/>
        <v>53.040551545265636</v>
      </c>
      <c r="M655" s="16">
        <f t="shared" si="127"/>
        <v>0</v>
      </c>
      <c r="N655" s="17">
        <f>VLOOKUP(K655,RPM!$A$2:$D$62,3,FALSE)</f>
        <v>11.4</v>
      </c>
      <c r="O655" s="16">
        <f>VLOOKUP(K655,RPM!$A$2:$D$62,4,FALSE)</f>
        <v>18.894837209302327</v>
      </c>
      <c r="P655" s="17">
        <f t="shared" si="118"/>
        <v>14.089880106976747</v>
      </c>
      <c r="Q655" s="16" cm="1">
        <f t="array" ref="Q655">_xlfn.XLOOKUP(O655,BSFC!$A$2:$A$24,_xlfn.XLOOKUP(K655,BSFC!$B$1:$O$1,BSFC!$B$2:$O$24,,-1),,-1)</f>
        <v>480</v>
      </c>
      <c r="R655" s="17">
        <f t="shared" si="119"/>
        <v>1.8786506809302328</v>
      </c>
      <c r="S655" s="16">
        <f t="shared" si="120"/>
        <v>2.9183485335178652E-4</v>
      </c>
      <c r="T655" s="17">
        <f t="shared" si="124"/>
        <v>0.14008072960885753</v>
      </c>
      <c r="U655" s="16">
        <f t="shared" si="125"/>
        <v>88.621632891617679</v>
      </c>
      <c r="V655" s="17">
        <f t="shared" si="126"/>
        <v>0.18611718913435835</v>
      </c>
      <c r="W655" s="16">
        <f t="shared" si="121"/>
        <v>670021.88088368997</v>
      </c>
      <c r="X655">
        <f>('Hybrid Info'!$A$2-Track!P655)*(L655-L654)*1000+X654</f>
        <v>-32213.66870330683</v>
      </c>
    </row>
    <row r="656" spans="1:24">
      <c r="A656" s="16">
        <f t="shared" si="122"/>
        <v>655</v>
      </c>
      <c r="B656" s="17">
        <f t="shared" si="123"/>
        <v>13.411199999999999</v>
      </c>
      <c r="C656" s="16">
        <f>Specification!$G$29</f>
        <v>164.943378</v>
      </c>
      <c r="D656" s="17">
        <f>0.5*Specification!$K$4*Track!B656^2*Specification!$K$3*Specification!$K$2</f>
        <v>93.159842569492653</v>
      </c>
      <c r="E656" s="16">
        <v>0</v>
      </c>
      <c r="F656" s="17">
        <f>Specification!$C$23*9.81*SIN((E656*PI()/180))</f>
        <v>0</v>
      </c>
      <c r="G656" s="18">
        <f>IF(J656=1,VLOOKUP(K656,RPM!$E$2:$H$62,3,FALSE)-F656-E656-D656,IF(J656=2,VLOOKUP(K656,RPM!$H$2:$K$62,3,FALSE)-F656-E656-D656,IF(J656=3,VLOOKUP(K656,RPM!$K$2:$N$62,3,FALSE)-F656-E656-D656)))</f>
        <v>549.56217903827155</v>
      </c>
      <c r="H656" s="19">
        <f>IF(J656=1,Specification!$I$14,IF(J656=2,Specification!$I$15,IF(J656=3,Specification!$I$16)))</f>
        <v>578.93404261974786</v>
      </c>
      <c r="I656" s="16">
        <f t="shared" si="117"/>
        <v>0</v>
      </c>
      <c r="J656" s="17">
        <v>3</v>
      </c>
      <c r="K656" s="16">
        <f>IF(J656=1,VLOOKUP(B656,RPM!$F$2:$H$62,3,TRUE),IF(J656=2,VLOOKUP(B656,RPM!$I$2:$K$62,3,TRUE),IF(J656=3,VLOOKUP(B656,RPM!$L$2:$N$62,3,TRUE))))</f>
        <v>4300</v>
      </c>
      <c r="L656" s="17">
        <f t="shared" si="128"/>
        <v>53.115116088334119</v>
      </c>
      <c r="M656" s="16">
        <f t="shared" si="127"/>
        <v>0</v>
      </c>
      <c r="N656" s="17">
        <f>VLOOKUP(K656,RPM!$A$2:$D$62,3,FALSE)</f>
        <v>11.4</v>
      </c>
      <c r="O656" s="16">
        <f>VLOOKUP(K656,RPM!$A$2:$D$62,4,FALSE)</f>
        <v>18.894837209302327</v>
      </c>
      <c r="P656" s="17">
        <f t="shared" si="118"/>
        <v>14.089880106976747</v>
      </c>
      <c r="Q656" s="16" cm="1">
        <f t="array" ref="Q656">_xlfn.XLOOKUP(O656,BSFC!$A$2:$A$24,_xlfn.XLOOKUP(K656,BSFC!$B$1:$O$1,BSFC!$B$2:$O$24,,-1),,-1)</f>
        <v>480</v>
      </c>
      <c r="R656" s="17">
        <f t="shared" si="119"/>
        <v>1.8786506809302328</v>
      </c>
      <c r="S656" s="16">
        <f t="shared" si="120"/>
        <v>2.9183485335178652E-4</v>
      </c>
      <c r="T656" s="17">
        <f t="shared" si="124"/>
        <v>0.14008072960885753</v>
      </c>
      <c r="U656" s="16">
        <f t="shared" si="125"/>
        <v>88.761713621226534</v>
      </c>
      <c r="V656" s="17">
        <f t="shared" si="126"/>
        <v>0.18640902398771014</v>
      </c>
      <c r="W656" s="16">
        <f t="shared" si="121"/>
        <v>671072.48635575653</v>
      </c>
      <c r="X656">
        <f>('Hybrid Info'!$A$2-Track!P656)*(L656-L655)*1000+X655</f>
        <v>-32360.518016656246</v>
      </c>
    </row>
    <row r="657" spans="1:24">
      <c r="A657" s="16">
        <f t="shared" si="122"/>
        <v>656</v>
      </c>
      <c r="B657" s="17">
        <f t="shared" si="123"/>
        <v>13.411199999999999</v>
      </c>
      <c r="C657" s="16">
        <f>Specification!$G$29</f>
        <v>164.943378</v>
      </c>
      <c r="D657" s="17">
        <f>0.5*Specification!$K$4*Track!B657^2*Specification!$K$3*Specification!$K$2</f>
        <v>93.159842569492653</v>
      </c>
      <c r="E657" s="16">
        <v>0</v>
      </c>
      <c r="F657" s="17">
        <f>Specification!$C$23*9.81*SIN((E657*PI()/180))</f>
        <v>0</v>
      </c>
      <c r="G657" s="18">
        <f>IF(J657=1,VLOOKUP(K657,RPM!$E$2:$H$62,3,FALSE)-F657-E657-D657,IF(J657=2,VLOOKUP(K657,RPM!$H$2:$K$62,3,FALSE)-F657-E657-D657,IF(J657=3,VLOOKUP(K657,RPM!$K$2:$N$62,3,FALSE)-F657-E657-D657)))</f>
        <v>549.56217903827155</v>
      </c>
      <c r="H657" s="19">
        <f>IF(J657=1,Specification!$I$14,IF(J657=2,Specification!$I$15,IF(J657=3,Specification!$I$16)))</f>
        <v>578.93404261974786</v>
      </c>
      <c r="I657" s="16">
        <f t="shared" si="117"/>
        <v>0</v>
      </c>
      <c r="J657" s="17">
        <v>3</v>
      </c>
      <c r="K657" s="16">
        <f>IF(J657=1,VLOOKUP(B657,RPM!$F$2:$H$62,3,TRUE),IF(J657=2,VLOOKUP(B657,RPM!$I$2:$K$62,3,TRUE),IF(J657=3,VLOOKUP(B657,RPM!$L$2:$N$62,3,TRUE))))</f>
        <v>4300</v>
      </c>
      <c r="L657" s="17">
        <f t="shared" si="128"/>
        <v>53.189680631402602</v>
      </c>
      <c r="M657" s="16">
        <f t="shared" si="127"/>
        <v>0</v>
      </c>
      <c r="N657" s="17">
        <f>VLOOKUP(K657,RPM!$A$2:$D$62,3,FALSE)</f>
        <v>11.4</v>
      </c>
      <c r="O657" s="16">
        <f>VLOOKUP(K657,RPM!$A$2:$D$62,4,FALSE)</f>
        <v>18.894837209302327</v>
      </c>
      <c r="P657" s="17">
        <f t="shared" si="118"/>
        <v>14.089880106976747</v>
      </c>
      <c r="Q657" s="16" cm="1">
        <f t="array" ref="Q657">_xlfn.XLOOKUP(O657,BSFC!$A$2:$A$24,_xlfn.XLOOKUP(K657,BSFC!$B$1:$O$1,BSFC!$B$2:$O$24,,-1),,-1)</f>
        <v>480</v>
      </c>
      <c r="R657" s="17">
        <f t="shared" si="119"/>
        <v>1.8786506809302328</v>
      </c>
      <c r="S657" s="16">
        <f t="shared" si="120"/>
        <v>2.9183485335178652E-4</v>
      </c>
      <c r="T657" s="17">
        <f t="shared" si="124"/>
        <v>0.14008072960885753</v>
      </c>
      <c r="U657" s="16">
        <f t="shared" si="125"/>
        <v>88.901794350835388</v>
      </c>
      <c r="V657" s="17">
        <f t="shared" si="126"/>
        <v>0.18670085884106194</v>
      </c>
      <c r="W657" s="16">
        <f t="shared" si="121"/>
        <v>672123.09182782297</v>
      </c>
      <c r="X657">
        <f>('Hybrid Info'!$A$2-Track!P657)*(L657-L656)*1000+X656</f>
        <v>-32507.367330005662</v>
      </c>
    </row>
    <row r="658" spans="1:24">
      <c r="A658" s="16">
        <f t="shared" si="122"/>
        <v>657</v>
      </c>
      <c r="B658" s="17">
        <f t="shared" si="123"/>
        <v>13.411199999999999</v>
      </c>
      <c r="C658" s="16">
        <f>Specification!$G$29</f>
        <v>164.943378</v>
      </c>
      <c r="D658" s="17">
        <f>0.5*Specification!$K$4*Track!B658^2*Specification!$K$3*Specification!$K$2</f>
        <v>93.159842569492653</v>
      </c>
      <c r="E658" s="16">
        <v>0</v>
      </c>
      <c r="F658" s="17">
        <f>Specification!$C$23*9.81*SIN((E658*PI()/180))</f>
        <v>0</v>
      </c>
      <c r="G658" s="18">
        <f>IF(J658=1,VLOOKUP(K658,RPM!$E$2:$H$62,3,FALSE)-F658-E658-D658,IF(J658=2,VLOOKUP(K658,RPM!$H$2:$K$62,3,FALSE)-F658-E658-D658,IF(J658=3,VLOOKUP(K658,RPM!$K$2:$N$62,3,FALSE)-F658-E658-D658)))</f>
        <v>549.56217903827155</v>
      </c>
      <c r="H658" s="19">
        <f>IF(J658=1,Specification!$I$14,IF(J658=2,Specification!$I$15,IF(J658=3,Specification!$I$16)))</f>
        <v>578.93404261974786</v>
      </c>
      <c r="I658" s="16">
        <f t="shared" si="117"/>
        <v>0</v>
      </c>
      <c r="J658" s="17">
        <v>3</v>
      </c>
      <c r="K658" s="16">
        <f>IF(J658=1,VLOOKUP(B658,RPM!$F$2:$H$62,3,TRUE),IF(J658=2,VLOOKUP(B658,RPM!$I$2:$K$62,3,TRUE),IF(J658=3,VLOOKUP(B658,RPM!$L$2:$N$62,3,TRUE))))</f>
        <v>4300</v>
      </c>
      <c r="L658" s="17">
        <f t="shared" si="128"/>
        <v>53.264245174471085</v>
      </c>
      <c r="M658" s="16">
        <f t="shared" si="127"/>
        <v>0</v>
      </c>
      <c r="N658" s="17">
        <f>VLOOKUP(K658,RPM!$A$2:$D$62,3,FALSE)</f>
        <v>11.4</v>
      </c>
      <c r="O658" s="16">
        <f>VLOOKUP(K658,RPM!$A$2:$D$62,4,FALSE)</f>
        <v>18.894837209302327</v>
      </c>
      <c r="P658" s="17">
        <f t="shared" si="118"/>
        <v>14.089880106976747</v>
      </c>
      <c r="Q658" s="16" cm="1">
        <f t="array" ref="Q658">_xlfn.XLOOKUP(O658,BSFC!$A$2:$A$24,_xlfn.XLOOKUP(K658,BSFC!$B$1:$O$1,BSFC!$B$2:$O$24,,-1),,-1)</f>
        <v>480</v>
      </c>
      <c r="R658" s="17">
        <f t="shared" si="119"/>
        <v>1.8786506809302328</v>
      </c>
      <c r="S658" s="16">
        <f t="shared" si="120"/>
        <v>2.9183485335178652E-4</v>
      </c>
      <c r="T658" s="17">
        <f t="shared" si="124"/>
        <v>0.14008072960885753</v>
      </c>
      <c r="U658" s="16">
        <f t="shared" si="125"/>
        <v>89.041875080444242</v>
      </c>
      <c r="V658" s="17">
        <f t="shared" si="126"/>
        <v>0.18699269369441374</v>
      </c>
      <c r="W658" s="16">
        <f t="shared" si="121"/>
        <v>673173.69729988941</v>
      </c>
      <c r="X658">
        <f>('Hybrid Info'!$A$2-Track!P658)*(L658-L657)*1000+X657</f>
        <v>-32654.216643355077</v>
      </c>
    </row>
    <row r="659" spans="1:24">
      <c r="A659" s="16">
        <f t="shared" si="122"/>
        <v>658</v>
      </c>
      <c r="B659" s="17">
        <f t="shared" si="123"/>
        <v>13.411199999999999</v>
      </c>
      <c r="C659" s="16">
        <f>Specification!$G$29</f>
        <v>164.943378</v>
      </c>
      <c r="D659" s="17">
        <f>0.5*Specification!$K$4*Track!B659^2*Specification!$K$3*Specification!$K$2</f>
        <v>93.159842569492653</v>
      </c>
      <c r="E659" s="16">
        <v>0</v>
      </c>
      <c r="F659" s="17">
        <f>Specification!$C$23*9.81*SIN((E659*PI()/180))</f>
        <v>0</v>
      </c>
      <c r="G659" s="18">
        <f>IF(J659=1,VLOOKUP(K659,RPM!$E$2:$H$62,3,FALSE)-F659-E659-D659,IF(J659=2,VLOOKUP(K659,RPM!$H$2:$K$62,3,FALSE)-F659-E659-D659,IF(J659=3,VLOOKUP(K659,RPM!$K$2:$N$62,3,FALSE)-F659-E659-D659)))</f>
        <v>549.56217903827155</v>
      </c>
      <c r="H659" s="19">
        <f>IF(J659=1,Specification!$I$14,IF(J659=2,Specification!$I$15,IF(J659=3,Specification!$I$16)))</f>
        <v>578.93404261974786</v>
      </c>
      <c r="I659" s="16">
        <f t="shared" si="117"/>
        <v>0</v>
      </c>
      <c r="J659" s="17">
        <v>3</v>
      </c>
      <c r="K659" s="16">
        <f>IF(J659=1,VLOOKUP(B659,RPM!$F$2:$H$62,3,TRUE),IF(J659=2,VLOOKUP(B659,RPM!$I$2:$K$62,3,TRUE),IF(J659=3,VLOOKUP(B659,RPM!$L$2:$N$62,3,TRUE))))</f>
        <v>4300</v>
      </c>
      <c r="L659" s="17">
        <f t="shared" si="128"/>
        <v>53.338809717539569</v>
      </c>
      <c r="M659" s="16">
        <f t="shared" si="127"/>
        <v>0</v>
      </c>
      <c r="N659" s="17">
        <f>VLOOKUP(K659,RPM!$A$2:$D$62,3,FALSE)</f>
        <v>11.4</v>
      </c>
      <c r="O659" s="16">
        <f>VLOOKUP(K659,RPM!$A$2:$D$62,4,FALSE)</f>
        <v>18.894837209302327</v>
      </c>
      <c r="P659" s="17">
        <f t="shared" si="118"/>
        <v>14.089880106976747</v>
      </c>
      <c r="Q659" s="16" cm="1">
        <f t="array" ref="Q659">_xlfn.XLOOKUP(O659,BSFC!$A$2:$A$24,_xlfn.XLOOKUP(K659,BSFC!$B$1:$O$1,BSFC!$B$2:$O$24,,-1),,-1)</f>
        <v>480</v>
      </c>
      <c r="R659" s="17">
        <f t="shared" si="119"/>
        <v>1.8786506809302328</v>
      </c>
      <c r="S659" s="16">
        <f t="shared" si="120"/>
        <v>2.9183485335178652E-4</v>
      </c>
      <c r="T659" s="17">
        <f t="shared" si="124"/>
        <v>0.14008072960885753</v>
      </c>
      <c r="U659" s="16">
        <f t="shared" si="125"/>
        <v>89.181955810053097</v>
      </c>
      <c r="V659" s="17">
        <f t="shared" si="126"/>
        <v>0.18728452854776553</v>
      </c>
      <c r="W659" s="16">
        <f t="shared" si="121"/>
        <v>674224.30277195596</v>
      </c>
      <c r="X659">
        <f>('Hybrid Info'!$A$2-Track!P659)*(L659-L658)*1000+X658</f>
        <v>-32801.065956704493</v>
      </c>
    </row>
    <row r="660" spans="1:24">
      <c r="A660" s="16">
        <f t="shared" si="122"/>
        <v>659</v>
      </c>
      <c r="B660" s="17">
        <f t="shared" si="123"/>
        <v>13.411199999999999</v>
      </c>
      <c r="C660" s="16">
        <f>Specification!$G$29</f>
        <v>164.943378</v>
      </c>
      <c r="D660" s="17">
        <f>0.5*Specification!$K$4*Track!B660^2*Specification!$K$3*Specification!$K$2</f>
        <v>93.159842569492653</v>
      </c>
      <c r="E660" s="16">
        <v>0</v>
      </c>
      <c r="F660" s="17">
        <f>Specification!$C$23*9.81*SIN((E660*PI()/180))</f>
        <v>0</v>
      </c>
      <c r="G660" s="18">
        <f>IF(J660=1,VLOOKUP(K660,RPM!$E$2:$H$62,3,FALSE)-F660-E660-D660,IF(J660=2,VLOOKUP(K660,RPM!$H$2:$K$62,3,FALSE)-F660-E660-D660,IF(J660=3,VLOOKUP(K660,RPM!$K$2:$N$62,3,FALSE)-F660-E660-D660)))</f>
        <v>549.56217903827155</v>
      </c>
      <c r="H660" s="19">
        <f>IF(J660=1,Specification!$I$14,IF(J660=2,Specification!$I$15,IF(J660=3,Specification!$I$16)))</f>
        <v>578.93404261974786</v>
      </c>
      <c r="I660" s="16">
        <f t="shared" si="117"/>
        <v>0</v>
      </c>
      <c r="J660" s="17">
        <v>3</v>
      </c>
      <c r="K660" s="16">
        <f>IF(J660=1,VLOOKUP(B660,RPM!$F$2:$H$62,3,TRUE),IF(J660=2,VLOOKUP(B660,RPM!$I$2:$K$62,3,TRUE),IF(J660=3,VLOOKUP(B660,RPM!$L$2:$N$62,3,TRUE))))</f>
        <v>4300</v>
      </c>
      <c r="L660" s="17">
        <f t="shared" si="128"/>
        <v>53.413374260608052</v>
      </c>
      <c r="M660" s="16">
        <f t="shared" si="127"/>
        <v>0</v>
      </c>
      <c r="N660" s="17">
        <f>VLOOKUP(K660,RPM!$A$2:$D$62,3,FALSE)</f>
        <v>11.4</v>
      </c>
      <c r="O660" s="16">
        <f>VLOOKUP(K660,RPM!$A$2:$D$62,4,FALSE)</f>
        <v>18.894837209302327</v>
      </c>
      <c r="P660" s="17">
        <f t="shared" si="118"/>
        <v>14.089880106976747</v>
      </c>
      <c r="Q660" s="16" cm="1">
        <f t="array" ref="Q660">_xlfn.XLOOKUP(O660,BSFC!$A$2:$A$24,_xlfn.XLOOKUP(K660,BSFC!$B$1:$O$1,BSFC!$B$2:$O$24,,-1),,-1)</f>
        <v>480</v>
      </c>
      <c r="R660" s="17">
        <f t="shared" si="119"/>
        <v>1.8786506809302328</v>
      </c>
      <c r="S660" s="16">
        <f t="shared" si="120"/>
        <v>2.9183485335178652E-4</v>
      </c>
      <c r="T660" s="17">
        <f t="shared" si="124"/>
        <v>0.14008072960885753</v>
      </c>
      <c r="U660" s="16">
        <f t="shared" si="125"/>
        <v>89.322036539661951</v>
      </c>
      <c r="V660" s="17">
        <f t="shared" si="126"/>
        <v>0.18757636340111733</v>
      </c>
      <c r="W660" s="16">
        <f t="shared" si="121"/>
        <v>675274.9082440224</v>
      </c>
      <c r="X660">
        <f>('Hybrid Info'!$A$2-Track!P660)*(L660-L659)*1000+X659</f>
        <v>-32947.915270053913</v>
      </c>
    </row>
    <row r="661" spans="1:24">
      <c r="A661" s="16">
        <f t="shared" si="122"/>
        <v>660</v>
      </c>
      <c r="B661" s="17">
        <f t="shared" si="123"/>
        <v>13.411199999999999</v>
      </c>
      <c r="C661" s="16">
        <f>Specification!$G$29</f>
        <v>164.943378</v>
      </c>
      <c r="D661" s="17">
        <f>0.5*Specification!$K$4*Track!B661^2*Specification!$K$3*Specification!$K$2</f>
        <v>93.159842569492653</v>
      </c>
      <c r="E661" s="16">
        <v>0</v>
      </c>
      <c r="F661" s="17">
        <f>Specification!$C$23*9.81*SIN((E661*PI()/180))</f>
        <v>0</v>
      </c>
      <c r="G661" s="18">
        <f>IF(J661=1,VLOOKUP(K661,RPM!$E$2:$H$62,3,FALSE)-F661-E661-D661,IF(J661=2,VLOOKUP(K661,RPM!$H$2:$K$62,3,FALSE)-F661-E661-D661,IF(J661=3,VLOOKUP(K661,RPM!$K$2:$N$62,3,FALSE)-F661-E661-D661)))</f>
        <v>549.56217903827155</v>
      </c>
      <c r="H661" s="19">
        <f>IF(J661=1,Specification!$I$14,IF(J661=2,Specification!$I$15,IF(J661=3,Specification!$I$16)))</f>
        <v>578.93404261974786</v>
      </c>
      <c r="I661" s="16">
        <f t="shared" si="117"/>
        <v>0</v>
      </c>
      <c r="J661" s="17">
        <v>3</v>
      </c>
      <c r="K661" s="16">
        <f>IF(J661=1,VLOOKUP(B661,RPM!$F$2:$H$62,3,TRUE),IF(J661=2,VLOOKUP(B661,RPM!$I$2:$K$62,3,TRUE),IF(J661=3,VLOOKUP(B661,RPM!$L$2:$N$62,3,TRUE))))</f>
        <v>4300</v>
      </c>
      <c r="L661" s="17">
        <f t="shared" si="128"/>
        <v>53.487938803676535</v>
      </c>
      <c r="M661" s="16">
        <f t="shared" si="127"/>
        <v>0</v>
      </c>
      <c r="N661" s="17">
        <f>VLOOKUP(K661,RPM!$A$2:$D$62,3,FALSE)</f>
        <v>11.4</v>
      </c>
      <c r="O661" s="16">
        <f>VLOOKUP(K661,RPM!$A$2:$D$62,4,FALSE)</f>
        <v>18.894837209302327</v>
      </c>
      <c r="P661" s="17">
        <f t="shared" si="118"/>
        <v>14.089880106976747</v>
      </c>
      <c r="Q661" s="16" cm="1">
        <f t="array" ref="Q661">_xlfn.XLOOKUP(O661,BSFC!$A$2:$A$24,_xlfn.XLOOKUP(K661,BSFC!$B$1:$O$1,BSFC!$B$2:$O$24,,-1),,-1)</f>
        <v>480</v>
      </c>
      <c r="R661" s="17">
        <f t="shared" si="119"/>
        <v>1.8786506809302328</v>
      </c>
      <c r="S661" s="16">
        <f t="shared" si="120"/>
        <v>2.9183485335178652E-4</v>
      </c>
      <c r="T661" s="17">
        <f t="shared" si="124"/>
        <v>0.14008072960885753</v>
      </c>
      <c r="U661" s="16">
        <f t="shared" si="125"/>
        <v>89.462117269270806</v>
      </c>
      <c r="V661" s="17">
        <f t="shared" si="126"/>
        <v>0.18786819825446913</v>
      </c>
      <c r="W661" s="16">
        <f t="shared" si="121"/>
        <v>676325.51371608884</v>
      </c>
      <c r="X661">
        <f>('Hybrid Info'!$A$2-Track!P661)*(L661-L660)*1000+X660</f>
        <v>-33094.764583403332</v>
      </c>
    </row>
    <row r="662" spans="1:24">
      <c r="A662" s="16">
        <f t="shared" si="122"/>
        <v>661</v>
      </c>
      <c r="B662" s="17">
        <f t="shared" si="123"/>
        <v>13.411199999999999</v>
      </c>
      <c r="C662" s="16">
        <f>Specification!$G$29</f>
        <v>164.943378</v>
      </c>
      <c r="D662" s="17">
        <f>0.5*Specification!$K$4*Track!B662^2*Specification!$K$3*Specification!$K$2</f>
        <v>93.159842569492653</v>
      </c>
      <c r="E662" s="16">
        <v>0</v>
      </c>
      <c r="F662" s="17">
        <f>Specification!$C$23*9.81*SIN((E662*PI()/180))</f>
        <v>0</v>
      </c>
      <c r="G662" s="18">
        <f>IF(J662=1,VLOOKUP(K662,RPM!$E$2:$H$62,3,FALSE)-F662-E662-D662,IF(J662=2,VLOOKUP(K662,RPM!$H$2:$K$62,3,FALSE)-F662-E662-D662,IF(J662=3,VLOOKUP(K662,RPM!$K$2:$N$62,3,FALSE)-F662-E662-D662)))</f>
        <v>549.56217903827155</v>
      </c>
      <c r="H662" s="19">
        <f>IF(J662=1,Specification!$I$14,IF(J662=2,Specification!$I$15,IF(J662=3,Specification!$I$16)))</f>
        <v>578.93404261974786</v>
      </c>
      <c r="I662" s="16">
        <f t="shared" si="117"/>
        <v>0</v>
      </c>
      <c r="J662" s="17">
        <v>3</v>
      </c>
      <c r="K662" s="16">
        <f>IF(J662=1,VLOOKUP(B662,RPM!$F$2:$H$62,3,TRUE),IF(J662=2,VLOOKUP(B662,RPM!$I$2:$K$62,3,TRUE),IF(J662=3,VLOOKUP(B662,RPM!$L$2:$N$62,3,TRUE))))</f>
        <v>4300</v>
      </c>
      <c r="L662" s="17">
        <f t="shared" si="128"/>
        <v>53.562503346745018</v>
      </c>
      <c r="M662" s="16">
        <f t="shared" si="127"/>
        <v>0</v>
      </c>
      <c r="N662" s="17">
        <f>VLOOKUP(K662,RPM!$A$2:$D$62,3,FALSE)</f>
        <v>11.4</v>
      </c>
      <c r="O662" s="16">
        <f>VLOOKUP(K662,RPM!$A$2:$D$62,4,FALSE)</f>
        <v>18.894837209302327</v>
      </c>
      <c r="P662" s="17">
        <f t="shared" si="118"/>
        <v>14.089880106976747</v>
      </c>
      <c r="Q662" s="16" cm="1">
        <f t="array" ref="Q662">_xlfn.XLOOKUP(O662,BSFC!$A$2:$A$24,_xlfn.XLOOKUP(K662,BSFC!$B$1:$O$1,BSFC!$B$2:$O$24,,-1),,-1)</f>
        <v>480</v>
      </c>
      <c r="R662" s="17">
        <f t="shared" si="119"/>
        <v>1.8786506809302328</v>
      </c>
      <c r="S662" s="16">
        <f t="shared" si="120"/>
        <v>2.9183485335178652E-4</v>
      </c>
      <c r="T662" s="17">
        <f t="shared" si="124"/>
        <v>0.14008072960885753</v>
      </c>
      <c r="U662" s="16">
        <f t="shared" si="125"/>
        <v>89.60219799887966</v>
      </c>
      <c r="V662" s="17">
        <f t="shared" si="126"/>
        <v>0.18816003310782092</v>
      </c>
      <c r="W662" s="16">
        <f t="shared" si="121"/>
        <v>677376.1191881554</v>
      </c>
      <c r="X662">
        <f>('Hybrid Info'!$A$2-Track!P662)*(L662-L661)*1000+X661</f>
        <v>-33241.613896752751</v>
      </c>
    </row>
    <row r="663" spans="1:24">
      <c r="A663" s="16">
        <f t="shared" si="122"/>
        <v>662</v>
      </c>
      <c r="B663" s="17">
        <f t="shared" si="123"/>
        <v>13.411199999999999</v>
      </c>
      <c r="C663" s="16">
        <f>Specification!$G$29</f>
        <v>164.943378</v>
      </c>
      <c r="D663" s="17">
        <f>0.5*Specification!$K$4*Track!B663^2*Specification!$K$3*Specification!$K$2</f>
        <v>93.159842569492653</v>
      </c>
      <c r="E663" s="16">
        <v>0</v>
      </c>
      <c r="F663" s="17">
        <f>Specification!$C$23*9.81*SIN((E663*PI()/180))</f>
        <v>0</v>
      </c>
      <c r="G663" s="18">
        <f>IF(J663=1,VLOOKUP(K663,RPM!$E$2:$H$62,3,FALSE)-F663-E663-D663,IF(J663=2,VLOOKUP(K663,RPM!$H$2:$K$62,3,FALSE)-F663-E663-D663,IF(J663=3,VLOOKUP(K663,RPM!$K$2:$N$62,3,FALSE)-F663-E663-D663)))</f>
        <v>549.56217903827155</v>
      </c>
      <c r="H663" s="19">
        <f>IF(J663=1,Specification!$I$14,IF(J663=2,Specification!$I$15,IF(J663=3,Specification!$I$16)))</f>
        <v>578.93404261974786</v>
      </c>
      <c r="I663" s="16">
        <f t="shared" si="117"/>
        <v>0</v>
      </c>
      <c r="J663" s="17">
        <v>3</v>
      </c>
      <c r="K663" s="16">
        <f>IF(J663=1,VLOOKUP(B663,RPM!$F$2:$H$62,3,TRUE),IF(J663=2,VLOOKUP(B663,RPM!$I$2:$K$62,3,TRUE),IF(J663=3,VLOOKUP(B663,RPM!$L$2:$N$62,3,TRUE))))</f>
        <v>4300</v>
      </c>
      <c r="L663" s="17">
        <f t="shared" si="128"/>
        <v>53.637067889813501</v>
      </c>
      <c r="M663" s="16">
        <f t="shared" si="127"/>
        <v>0</v>
      </c>
      <c r="N663" s="17">
        <f>VLOOKUP(K663,RPM!$A$2:$D$62,3,FALSE)</f>
        <v>11.4</v>
      </c>
      <c r="O663" s="16">
        <f>VLOOKUP(K663,RPM!$A$2:$D$62,4,FALSE)</f>
        <v>18.894837209302327</v>
      </c>
      <c r="P663" s="17">
        <f t="shared" si="118"/>
        <v>14.089880106976747</v>
      </c>
      <c r="Q663" s="16" cm="1">
        <f t="array" ref="Q663">_xlfn.XLOOKUP(O663,BSFC!$A$2:$A$24,_xlfn.XLOOKUP(K663,BSFC!$B$1:$O$1,BSFC!$B$2:$O$24,,-1),,-1)</f>
        <v>480</v>
      </c>
      <c r="R663" s="17">
        <f t="shared" si="119"/>
        <v>1.8786506809302328</v>
      </c>
      <c r="S663" s="16">
        <f t="shared" si="120"/>
        <v>2.9183485335178652E-4</v>
      </c>
      <c r="T663" s="17">
        <f t="shared" si="124"/>
        <v>0.14008072960885753</v>
      </c>
      <c r="U663" s="16">
        <f t="shared" si="125"/>
        <v>89.742278728488515</v>
      </c>
      <c r="V663" s="17">
        <f t="shared" si="126"/>
        <v>0.18845186796117272</v>
      </c>
      <c r="W663" s="16">
        <f t="shared" si="121"/>
        <v>678426.72466022184</v>
      </c>
      <c r="X663">
        <f>('Hybrid Info'!$A$2-Track!P663)*(L663-L662)*1000+X662</f>
        <v>-33388.463210102171</v>
      </c>
    </row>
    <row r="664" spans="1:24">
      <c r="A664" s="16">
        <f t="shared" si="122"/>
        <v>663</v>
      </c>
      <c r="B664" s="17">
        <f t="shared" si="123"/>
        <v>13.411199999999999</v>
      </c>
      <c r="C664" s="16">
        <f>Specification!$G$29</f>
        <v>164.943378</v>
      </c>
      <c r="D664" s="17">
        <f>0.5*Specification!$K$4*Track!B664^2*Specification!$K$3*Specification!$K$2</f>
        <v>93.159842569492653</v>
      </c>
      <c r="E664" s="16">
        <v>0</v>
      </c>
      <c r="F664" s="17">
        <f>Specification!$C$23*9.81*SIN((E664*PI()/180))</f>
        <v>0</v>
      </c>
      <c r="G664" s="18">
        <f>IF(J664=1,VLOOKUP(K664,RPM!$E$2:$H$62,3,FALSE)-F664-E664-D664,IF(J664=2,VLOOKUP(K664,RPM!$H$2:$K$62,3,FALSE)-F664-E664-D664,IF(J664=3,VLOOKUP(K664,RPM!$K$2:$N$62,3,FALSE)-F664-E664-D664)))</f>
        <v>549.56217903827155</v>
      </c>
      <c r="H664" s="19">
        <f>IF(J664=1,Specification!$I$14,IF(J664=2,Specification!$I$15,IF(J664=3,Specification!$I$16)))</f>
        <v>578.93404261974786</v>
      </c>
      <c r="I664" s="16">
        <f t="shared" si="117"/>
        <v>0</v>
      </c>
      <c r="J664" s="17">
        <v>3</v>
      </c>
      <c r="K664" s="16">
        <f>IF(J664=1,VLOOKUP(B664,RPM!$F$2:$H$62,3,TRUE),IF(J664=2,VLOOKUP(B664,RPM!$I$2:$K$62,3,TRUE),IF(J664=3,VLOOKUP(B664,RPM!$L$2:$N$62,3,TRUE))))</f>
        <v>4300</v>
      </c>
      <c r="L664" s="17">
        <f t="shared" si="128"/>
        <v>53.711632432881984</v>
      </c>
      <c r="M664" s="16">
        <f t="shared" si="127"/>
        <v>0</v>
      </c>
      <c r="N664" s="17">
        <f>VLOOKUP(K664,RPM!$A$2:$D$62,3,FALSE)</f>
        <v>11.4</v>
      </c>
      <c r="O664" s="16">
        <f>VLOOKUP(K664,RPM!$A$2:$D$62,4,FALSE)</f>
        <v>18.894837209302327</v>
      </c>
      <c r="P664" s="17">
        <f t="shared" si="118"/>
        <v>14.089880106976747</v>
      </c>
      <c r="Q664" s="16" cm="1">
        <f t="array" ref="Q664">_xlfn.XLOOKUP(O664,BSFC!$A$2:$A$24,_xlfn.XLOOKUP(K664,BSFC!$B$1:$O$1,BSFC!$B$2:$O$24,,-1),,-1)</f>
        <v>480</v>
      </c>
      <c r="R664" s="17">
        <f t="shared" si="119"/>
        <v>1.8786506809302328</v>
      </c>
      <c r="S664" s="16">
        <f t="shared" si="120"/>
        <v>2.9183485335178652E-4</v>
      </c>
      <c r="T664" s="17">
        <f t="shared" si="124"/>
        <v>0.14008072960885753</v>
      </c>
      <c r="U664" s="16">
        <f t="shared" si="125"/>
        <v>89.882359458097369</v>
      </c>
      <c r="V664" s="17">
        <f t="shared" si="126"/>
        <v>0.18874370281452452</v>
      </c>
      <c r="W664" s="16">
        <f t="shared" si="121"/>
        <v>679477.33013228828</v>
      </c>
      <c r="X664">
        <f>('Hybrid Info'!$A$2-Track!P664)*(L664-L663)*1000+X663</f>
        <v>-33535.31252345159</v>
      </c>
    </row>
    <row r="665" spans="1:24">
      <c r="A665" s="16">
        <f t="shared" si="122"/>
        <v>664</v>
      </c>
      <c r="B665" s="17">
        <f t="shared" si="123"/>
        <v>13.411199999999999</v>
      </c>
      <c r="C665" s="16">
        <f>Specification!$G$29</f>
        <v>164.943378</v>
      </c>
      <c r="D665" s="17">
        <f>0.5*Specification!$K$4*Track!B665^2*Specification!$K$3*Specification!$K$2</f>
        <v>93.159842569492653</v>
      </c>
      <c r="E665" s="16">
        <v>0</v>
      </c>
      <c r="F665" s="17">
        <f>Specification!$C$23*9.81*SIN((E665*PI()/180))</f>
        <v>0</v>
      </c>
      <c r="G665" s="18">
        <f>IF(J665=1,VLOOKUP(K665,RPM!$E$2:$H$62,3,FALSE)-F665-E665-D665,IF(J665=2,VLOOKUP(K665,RPM!$H$2:$K$62,3,FALSE)-F665-E665-D665,IF(J665=3,VLOOKUP(K665,RPM!$K$2:$N$62,3,FALSE)-F665-E665-D665)))</f>
        <v>549.56217903827155</v>
      </c>
      <c r="H665" s="19">
        <f>IF(J665=1,Specification!$I$14,IF(J665=2,Specification!$I$15,IF(J665=3,Specification!$I$16)))</f>
        <v>578.93404261974786</v>
      </c>
      <c r="I665" s="16">
        <f t="shared" si="117"/>
        <v>0</v>
      </c>
      <c r="J665" s="17">
        <v>3</v>
      </c>
      <c r="K665" s="16">
        <f>IF(J665=1,VLOOKUP(B665,RPM!$F$2:$H$62,3,TRUE),IF(J665=2,VLOOKUP(B665,RPM!$I$2:$K$62,3,TRUE),IF(J665=3,VLOOKUP(B665,RPM!$L$2:$N$62,3,TRUE))))</f>
        <v>4300</v>
      </c>
      <c r="L665" s="17">
        <f t="shared" si="128"/>
        <v>53.786196975950467</v>
      </c>
      <c r="M665" s="16">
        <f t="shared" si="127"/>
        <v>0</v>
      </c>
      <c r="N665" s="17">
        <f>VLOOKUP(K665,RPM!$A$2:$D$62,3,FALSE)</f>
        <v>11.4</v>
      </c>
      <c r="O665" s="16">
        <f>VLOOKUP(K665,RPM!$A$2:$D$62,4,FALSE)</f>
        <v>18.894837209302327</v>
      </c>
      <c r="P665" s="17">
        <f t="shared" si="118"/>
        <v>14.089880106976747</v>
      </c>
      <c r="Q665" s="16" cm="1">
        <f t="array" ref="Q665">_xlfn.XLOOKUP(O665,BSFC!$A$2:$A$24,_xlfn.XLOOKUP(K665,BSFC!$B$1:$O$1,BSFC!$B$2:$O$24,,-1),,-1)</f>
        <v>480</v>
      </c>
      <c r="R665" s="17">
        <f t="shared" si="119"/>
        <v>1.8786506809302328</v>
      </c>
      <c r="S665" s="16">
        <f t="shared" si="120"/>
        <v>2.9183485335178652E-4</v>
      </c>
      <c r="T665" s="17">
        <f t="shared" si="124"/>
        <v>0.14008072960885753</v>
      </c>
      <c r="U665" s="16">
        <f t="shared" si="125"/>
        <v>90.022440187706223</v>
      </c>
      <c r="V665" s="17">
        <f t="shared" si="126"/>
        <v>0.18903553766787631</v>
      </c>
      <c r="W665" s="16">
        <f t="shared" si="121"/>
        <v>680527.93560435483</v>
      </c>
      <c r="X665">
        <f>('Hybrid Info'!$A$2-Track!P665)*(L665-L664)*1000+X664</f>
        <v>-33682.161836801009</v>
      </c>
    </row>
    <row r="666" spans="1:24">
      <c r="A666" s="16">
        <f t="shared" si="122"/>
        <v>665</v>
      </c>
      <c r="B666" s="17">
        <f t="shared" si="123"/>
        <v>13.411199999999999</v>
      </c>
      <c r="C666" s="16">
        <f>Specification!$G$29</f>
        <v>164.943378</v>
      </c>
      <c r="D666" s="17">
        <f>0.5*Specification!$K$4*Track!B666^2*Specification!$K$3*Specification!$K$2</f>
        <v>93.159842569492653</v>
      </c>
      <c r="E666" s="16">
        <v>0</v>
      </c>
      <c r="F666" s="17">
        <f>Specification!$C$23*9.81*SIN((E666*PI()/180))</f>
        <v>0</v>
      </c>
      <c r="G666" s="18">
        <f>IF(J666=1,VLOOKUP(K666,RPM!$E$2:$H$62,3,FALSE)-F666-E666-D666,IF(J666=2,VLOOKUP(K666,RPM!$H$2:$K$62,3,FALSE)-F666-E666-D666,IF(J666=3,VLOOKUP(K666,RPM!$K$2:$N$62,3,FALSE)-F666-E666-D666)))</f>
        <v>549.56217903827155</v>
      </c>
      <c r="H666" s="19">
        <f>IF(J666=1,Specification!$I$14,IF(J666=2,Specification!$I$15,IF(J666=3,Specification!$I$16)))</f>
        <v>578.93404261974786</v>
      </c>
      <c r="I666" s="16">
        <f t="shared" si="117"/>
        <v>0</v>
      </c>
      <c r="J666" s="17">
        <v>3</v>
      </c>
      <c r="K666" s="16">
        <f>IF(J666=1,VLOOKUP(B666,RPM!$F$2:$H$62,3,TRUE),IF(J666=2,VLOOKUP(B666,RPM!$I$2:$K$62,3,TRUE),IF(J666=3,VLOOKUP(B666,RPM!$L$2:$N$62,3,TRUE))))</f>
        <v>4300</v>
      </c>
      <c r="L666" s="17">
        <f t="shared" si="128"/>
        <v>53.860761519018951</v>
      </c>
      <c r="M666" s="16">
        <f t="shared" si="127"/>
        <v>0</v>
      </c>
      <c r="N666" s="17">
        <f>VLOOKUP(K666,RPM!$A$2:$D$62,3,FALSE)</f>
        <v>11.4</v>
      </c>
      <c r="O666" s="16">
        <f>VLOOKUP(K666,RPM!$A$2:$D$62,4,FALSE)</f>
        <v>18.894837209302327</v>
      </c>
      <c r="P666" s="17">
        <f t="shared" si="118"/>
        <v>14.089880106976747</v>
      </c>
      <c r="Q666" s="16" cm="1">
        <f t="array" ref="Q666">_xlfn.XLOOKUP(O666,BSFC!$A$2:$A$24,_xlfn.XLOOKUP(K666,BSFC!$B$1:$O$1,BSFC!$B$2:$O$24,,-1),,-1)</f>
        <v>480</v>
      </c>
      <c r="R666" s="17">
        <f t="shared" si="119"/>
        <v>1.8786506809302328</v>
      </c>
      <c r="S666" s="16">
        <f t="shared" si="120"/>
        <v>2.9183485335178652E-4</v>
      </c>
      <c r="T666" s="17">
        <f t="shared" si="124"/>
        <v>0.14008072960885753</v>
      </c>
      <c r="U666" s="16">
        <f t="shared" si="125"/>
        <v>90.162520917315078</v>
      </c>
      <c r="V666" s="17">
        <f t="shared" si="126"/>
        <v>0.18932737252122811</v>
      </c>
      <c r="W666" s="16">
        <f t="shared" si="121"/>
        <v>681578.54107642116</v>
      </c>
      <c r="X666">
        <f>('Hybrid Info'!$A$2-Track!P666)*(L666-L665)*1000+X665</f>
        <v>-33829.011150150429</v>
      </c>
    </row>
    <row r="667" spans="1:24">
      <c r="A667" s="16">
        <f t="shared" si="122"/>
        <v>666</v>
      </c>
      <c r="B667" s="17">
        <f t="shared" si="123"/>
        <v>13.411199999999999</v>
      </c>
      <c r="C667" s="16">
        <f>Specification!$G$29</f>
        <v>164.943378</v>
      </c>
      <c r="D667" s="17">
        <f>0.5*Specification!$K$4*Track!B667^2*Specification!$K$3*Specification!$K$2</f>
        <v>93.159842569492653</v>
      </c>
      <c r="E667" s="16">
        <v>0</v>
      </c>
      <c r="F667" s="17">
        <f>Specification!$C$23*9.81*SIN((E667*PI()/180))</f>
        <v>0</v>
      </c>
      <c r="G667" s="18">
        <f>IF(J667=1,VLOOKUP(K667,RPM!$E$2:$H$62,3,FALSE)-F667-E667-D667,IF(J667=2,VLOOKUP(K667,RPM!$H$2:$K$62,3,FALSE)-F667-E667-D667,IF(J667=3,VLOOKUP(K667,RPM!$K$2:$N$62,3,FALSE)-F667-E667-D667)))</f>
        <v>549.56217903827155</v>
      </c>
      <c r="H667" s="19">
        <f>IF(J667=1,Specification!$I$14,IF(J667=2,Specification!$I$15,IF(J667=3,Specification!$I$16)))</f>
        <v>578.93404261974786</v>
      </c>
      <c r="I667" s="16">
        <f t="shared" si="117"/>
        <v>0</v>
      </c>
      <c r="J667" s="17">
        <v>3</v>
      </c>
      <c r="K667" s="16">
        <f>IF(J667=1,VLOOKUP(B667,RPM!$F$2:$H$62,3,TRUE),IF(J667=2,VLOOKUP(B667,RPM!$I$2:$K$62,3,TRUE),IF(J667=3,VLOOKUP(B667,RPM!$L$2:$N$62,3,TRUE))))</f>
        <v>4300</v>
      </c>
      <c r="L667" s="17">
        <f t="shared" si="128"/>
        <v>53.935326062087434</v>
      </c>
      <c r="M667" s="16">
        <f t="shared" si="127"/>
        <v>0</v>
      </c>
      <c r="N667" s="17">
        <f>VLOOKUP(K667,RPM!$A$2:$D$62,3,FALSE)</f>
        <v>11.4</v>
      </c>
      <c r="O667" s="16">
        <f>VLOOKUP(K667,RPM!$A$2:$D$62,4,FALSE)</f>
        <v>18.894837209302327</v>
      </c>
      <c r="P667" s="17">
        <f t="shared" si="118"/>
        <v>14.089880106976747</v>
      </c>
      <c r="Q667" s="16" cm="1">
        <f t="array" ref="Q667">_xlfn.XLOOKUP(O667,BSFC!$A$2:$A$24,_xlfn.XLOOKUP(K667,BSFC!$B$1:$O$1,BSFC!$B$2:$O$24,,-1),,-1)</f>
        <v>480</v>
      </c>
      <c r="R667" s="17">
        <f t="shared" si="119"/>
        <v>1.8786506809302328</v>
      </c>
      <c r="S667" s="16">
        <f t="shared" si="120"/>
        <v>2.9183485335178652E-4</v>
      </c>
      <c r="T667" s="17">
        <f t="shared" si="124"/>
        <v>0.14008072960885753</v>
      </c>
      <c r="U667" s="16">
        <f t="shared" si="125"/>
        <v>90.302601646923932</v>
      </c>
      <c r="V667" s="17">
        <f t="shared" si="126"/>
        <v>0.18961920737457991</v>
      </c>
      <c r="W667" s="16">
        <f t="shared" si="121"/>
        <v>682629.1465484876</v>
      </c>
      <c r="X667">
        <f>('Hybrid Info'!$A$2-Track!P667)*(L667-L666)*1000+X666</f>
        <v>-33975.860463499848</v>
      </c>
    </row>
    <row r="668" spans="1:24">
      <c r="A668" s="16">
        <f t="shared" si="122"/>
        <v>667</v>
      </c>
      <c r="B668" s="17">
        <f t="shared" si="123"/>
        <v>13.411199999999999</v>
      </c>
      <c r="C668" s="16">
        <f>Specification!$G$29</f>
        <v>164.943378</v>
      </c>
      <c r="D668" s="17">
        <f>0.5*Specification!$K$4*Track!B668^2*Specification!$K$3*Specification!$K$2</f>
        <v>93.159842569492653</v>
      </c>
      <c r="E668" s="16">
        <v>0</v>
      </c>
      <c r="F668" s="17">
        <f>Specification!$C$23*9.81*SIN((E668*PI()/180))</f>
        <v>0</v>
      </c>
      <c r="G668" s="18">
        <f>IF(J668=1,VLOOKUP(K668,RPM!$E$2:$H$62,3,FALSE)-F668-E668-D668,IF(J668=2,VLOOKUP(K668,RPM!$H$2:$K$62,3,FALSE)-F668-E668-D668,IF(J668=3,VLOOKUP(K668,RPM!$K$2:$N$62,3,FALSE)-F668-E668-D668)))</f>
        <v>549.56217903827155</v>
      </c>
      <c r="H668" s="19">
        <f>IF(J668=1,Specification!$I$14,IF(J668=2,Specification!$I$15,IF(J668=3,Specification!$I$16)))</f>
        <v>578.93404261974786</v>
      </c>
      <c r="I668" s="16">
        <f t="shared" si="117"/>
        <v>0</v>
      </c>
      <c r="J668" s="17">
        <v>3</v>
      </c>
      <c r="K668" s="16">
        <f>IF(J668=1,VLOOKUP(B668,RPM!$F$2:$H$62,3,TRUE),IF(J668=2,VLOOKUP(B668,RPM!$I$2:$K$62,3,TRUE),IF(J668=3,VLOOKUP(B668,RPM!$L$2:$N$62,3,TRUE))))</f>
        <v>4300</v>
      </c>
      <c r="L668" s="17">
        <f t="shared" si="128"/>
        <v>54.009890605155917</v>
      </c>
      <c r="M668" s="16">
        <f t="shared" si="127"/>
        <v>0</v>
      </c>
      <c r="N668" s="17">
        <f>VLOOKUP(K668,RPM!$A$2:$D$62,3,FALSE)</f>
        <v>11.4</v>
      </c>
      <c r="O668" s="16">
        <f>VLOOKUP(K668,RPM!$A$2:$D$62,4,FALSE)</f>
        <v>18.894837209302327</v>
      </c>
      <c r="P668" s="17">
        <f t="shared" si="118"/>
        <v>14.089880106976747</v>
      </c>
      <c r="Q668" s="16" cm="1">
        <f t="array" ref="Q668">_xlfn.XLOOKUP(O668,BSFC!$A$2:$A$24,_xlfn.XLOOKUP(K668,BSFC!$B$1:$O$1,BSFC!$B$2:$O$24,,-1),,-1)</f>
        <v>480</v>
      </c>
      <c r="R668" s="17">
        <f t="shared" si="119"/>
        <v>1.8786506809302328</v>
      </c>
      <c r="S668" s="16">
        <f t="shared" si="120"/>
        <v>2.9183485335178652E-4</v>
      </c>
      <c r="T668" s="17">
        <f t="shared" si="124"/>
        <v>0.14008072960885753</v>
      </c>
      <c r="U668" s="16">
        <f t="shared" si="125"/>
        <v>90.442682376532787</v>
      </c>
      <c r="V668" s="17">
        <f t="shared" si="126"/>
        <v>0.1899110422279317</v>
      </c>
      <c r="W668" s="16">
        <f t="shared" si="121"/>
        <v>683679.75202055415</v>
      </c>
      <c r="X668">
        <f>('Hybrid Info'!$A$2-Track!P668)*(L668-L667)*1000+X667</f>
        <v>-34122.709776849268</v>
      </c>
    </row>
    <row r="669" spans="1:24">
      <c r="A669" s="16">
        <f t="shared" si="122"/>
        <v>668</v>
      </c>
      <c r="B669" s="17">
        <f t="shared" si="123"/>
        <v>13.411199999999999</v>
      </c>
      <c r="C669" s="16">
        <f>Specification!$G$29</f>
        <v>164.943378</v>
      </c>
      <c r="D669" s="17">
        <f>0.5*Specification!$K$4*Track!B669^2*Specification!$K$3*Specification!$K$2</f>
        <v>93.159842569492653</v>
      </c>
      <c r="E669" s="16">
        <v>0</v>
      </c>
      <c r="F669" s="17">
        <f>Specification!$C$23*9.81*SIN((E669*PI()/180))</f>
        <v>0</v>
      </c>
      <c r="G669" s="18">
        <f>IF(J669=1,VLOOKUP(K669,RPM!$E$2:$H$62,3,FALSE)-F669-E669-D669,IF(J669=2,VLOOKUP(K669,RPM!$H$2:$K$62,3,FALSE)-F669-E669-D669,IF(J669=3,VLOOKUP(K669,RPM!$K$2:$N$62,3,FALSE)-F669-E669-D669)))</f>
        <v>549.56217903827155</v>
      </c>
      <c r="H669" s="19">
        <f>IF(J669=1,Specification!$I$14,IF(J669=2,Specification!$I$15,IF(J669=3,Specification!$I$16)))</f>
        <v>578.93404261974786</v>
      </c>
      <c r="I669" s="16">
        <f t="shared" si="117"/>
        <v>0</v>
      </c>
      <c r="J669" s="17">
        <v>3</v>
      </c>
      <c r="K669" s="16">
        <f>IF(J669=1,VLOOKUP(B669,RPM!$F$2:$H$62,3,TRUE),IF(J669=2,VLOOKUP(B669,RPM!$I$2:$K$62,3,TRUE),IF(J669=3,VLOOKUP(B669,RPM!$L$2:$N$62,3,TRUE))))</f>
        <v>4300</v>
      </c>
      <c r="L669" s="17">
        <f t="shared" si="128"/>
        <v>54.0844551482244</v>
      </c>
      <c r="M669" s="16">
        <f t="shared" si="127"/>
        <v>0</v>
      </c>
      <c r="N669" s="17">
        <f>VLOOKUP(K669,RPM!$A$2:$D$62,3,FALSE)</f>
        <v>11.4</v>
      </c>
      <c r="O669" s="16">
        <f>VLOOKUP(K669,RPM!$A$2:$D$62,4,FALSE)</f>
        <v>18.894837209302327</v>
      </c>
      <c r="P669" s="17">
        <f t="shared" si="118"/>
        <v>14.089880106976747</v>
      </c>
      <c r="Q669" s="16" cm="1">
        <f t="array" ref="Q669">_xlfn.XLOOKUP(O669,BSFC!$A$2:$A$24,_xlfn.XLOOKUP(K669,BSFC!$B$1:$O$1,BSFC!$B$2:$O$24,,-1),,-1)</f>
        <v>480</v>
      </c>
      <c r="R669" s="17">
        <f t="shared" si="119"/>
        <v>1.8786506809302328</v>
      </c>
      <c r="S669" s="16">
        <f t="shared" si="120"/>
        <v>2.9183485335178652E-4</v>
      </c>
      <c r="T669" s="17">
        <f t="shared" si="124"/>
        <v>0.14008072960885753</v>
      </c>
      <c r="U669" s="16">
        <f t="shared" si="125"/>
        <v>90.582763106141641</v>
      </c>
      <c r="V669" s="17">
        <f t="shared" si="126"/>
        <v>0.1902028770812835</v>
      </c>
      <c r="W669" s="16">
        <f t="shared" si="121"/>
        <v>684730.35749262059</v>
      </c>
      <c r="X669">
        <f>('Hybrid Info'!$A$2-Track!P669)*(L669-L668)*1000+X668</f>
        <v>-34269.559090198687</v>
      </c>
    </row>
    <row r="670" spans="1:24">
      <c r="A670" s="16">
        <f t="shared" si="122"/>
        <v>669</v>
      </c>
      <c r="B670" s="17">
        <f t="shared" si="123"/>
        <v>13.411199999999999</v>
      </c>
      <c r="C670" s="16">
        <f>Specification!$G$29</f>
        <v>164.943378</v>
      </c>
      <c r="D670" s="17">
        <f>0.5*Specification!$K$4*Track!B670^2*Specification!$K$3*Specification!$K$2</f>
        <v>93.159842569492653</v>
      </c>
      <c r="E670" s="16">
        <v>0</v>
      </c>
      <c r="F670" s="17">
        <f>Specification!$C$23*9.81*SIN((E670*PI()/180))</f>
        <v>0</v>
      </c>
      <c r="G670" s="18">
        <f>IF(J670=1,VLOOKUP(K670,RPM!$E$2:$H$62,3,FALSE)-F670-E670-D670,IF(J670=2,VLOOKUP(K670,RPM!$H$2:$K$62,3,FALSE)-F670-E670-D670,IF(J670=3,VLOOKUP(K670,RPM!$K$2:$N$62,3,FALSE)-F670-E670-D670)))</f>
        <v>549.56217903827155</v>
      </c>
      <c r="H670" s="19">
        <f>IF(J670=1,Specification!$I$14,IF(J670=2,Specification!$I$15,IF(J670=3,Specification!$I$16)))</f>
        <v>578.93404261974786</v>
      </c>
      <c r="I670" s="16">
        <f t="shared" si="117"/>
        <v>0</v>
      </c>
      <c r="J670" s="17">
        <v>3</v>
      </c>
      <c r="K670" s="16">
        <f>IF(J670=1,VLOOKUP(B670,RPM!$F$2:$H$62,3,TRUE),IF(J670=2,VLOOKUP(B670,RPM!$I$2:$K$62,3,TRUE),IF(J670=3,VLOOKUP(B670,RPM!$L$2:$N$62,3,TRUE))))</f>
        <v>4300</v>
      </c>
      <c r="L670" s="17">
        <f t="shared" si="128"/>
        <v>54.159019691292883</v>
      </c>
      <c r="M670" s="16">
        <f t="shared" si="127"/>
        <v>0</v>
      </c>
      <c r="N670" s="17">
        <f>VLOOKUP(K670,RPM!$A$2:$D$62,3,FALSE)</f>
        <v>11.4</v>
      </c>
      <c r="O670" s="16">
        <f>VLOOKUP(K670,RPM!$A$2:$D$62,4,FALSE)</f>
        <v>18.894837209302327</v>
      </c>
      <c r="P670" s="17">
        <f t="shared" si="118"/>
        <v>14.089880106976747</v>
      </c>
      <c r="Q670" s="16" cm="1">
        <f t="array" ref="Q670">_xlfn.XLOOKUP(O670,BSFC!$A$2:$A$24,_xlfn.XLOOKUP(K670,BSFC!$B$1:$O$1,BSFC!$B$2:$O$24,,-1),,-1)</f>
        <v>480</v>
      </c>
      <c r="R670" s="17">
        <f t="shared" si="119"/>
        <v>1.8786506809302328</v>
      </c>
      <c r="S670" s="16">
        <f t="shared" si="120"/>
        <v>2.9183485335178652E-4</v>
      </c>
      <c r="T670" s="17">
        <f t="shared" si="124"/>
        <v>0.14008072960885753</v>
      </c>
      <c r="U670" s="16">
        <f t="shared" si="125"/>
        <v>90.722843835750496</v>
      </c>
      <c r="V670" s="17">
        <f t="shared" si="126"/>
        <v>0.1904947119346353</v>
      </c>
      <c r="W670" s="16">
        <f t="shared" si="121"/>
        <v>685780.96296468703</v>
      </c>
      <c r="X670">
        <f>('Hybrid Info'!$A$2-Track!P670)*(L670-L669)*1000+X669</f>
        <v>-34416.408403548106</v>
      </c>
    </row>
    <row r="671" spans="1:24">
      <c r="A671" s="16">
        <f t="shared" si="122"/>
        <v>670</v>
      </c>
      <c r="B671" s="17">
        <f t="shared" si="123"/>
        <v>13.411199999999999</v>
      </c>
      <c r="C671" s="16">
        <f>Specification!$G$29</f>
        <v>164.943378</v>
      </c>
      <c r="D671" s="17">
        <f>0.5*Specification!$K$4*Track!B671^2*Specification!$K$3*Specification!$K$2</f>
        <v>93.159842569492653</v>
      </c>
      <c r="E671" s="16">
        <v>0</v>
      </c>
      <c r="F671" s="17">
        <f>Specification!$C$23*9.81*SIN((E671*PI()/180))</f>
        <v>0</v>
      </c>
      <c r="G671" s="18">
        <f>IF(J671=1,VLOOKUP(K671,RPM!$E$2:$H$62,3,FALSE)-F671-E671-D671,IF(J671=2,VLOOKUP(K671,RPM!$H$2:$K$62,3,FALSE)-F671-E671-D671,IF(J671=3,VLOOKUP(K671,RPM!$K$2:$N$62,3,FALSE)-F671-E671-D671)))</f>
        <v>549.56217903827155</v>
      </c>
      <c r="H671" s="19">
        <f>IF(J671=1,Specification!$I$14,IF(J671=2,Specification!$I$15,IF(J671=3,Specification!$I$16)))</f>
        <v>578.93404261974786</v>
      </c>
      <c r="I671" s="16">
        <f t="shared" si="117"/>
        <v>0</v>
      </c>
      <c r="J671" s="17">
        <v>3</v>
      </c>
      <c r="K671" s="16">
        <f>IF(J671=1,VLOOKUP(B671,RPM!$F$2:$H$62,3,TRUE),IF(J671=2,VLOOKUP(B671,RPM!$I$2:$K$62,3,TRUE),IF(J671=3,VLOOKUP(B671,RPM!$L$2:$N$62,3,TRUE))))</f>
        <v>4300</v>
      </c>
      <c r="L671" s="17">
        <f t="shared" si="128"/>
        <v>54.233584234361366</v>
      </c>
      <c r="M671" s="16">
        <f t="shared" si="127"/>
        <v>0</v>
      </c>
      <c r="N671" s="17">
        <f>VLOOKUP(K671,RPM!$A$2:$D$62,3,FALSE)</f>
        <v>11.4</v>
      </c>
      <c r="O671" s="16">
        <f>VLOOKUP(K671,RPM!$A$2:$D$62,4,FALSE)</f>
        <v>18.894837209302327</v>
      </c>
      <c r="P671" s="17">
        <f t="shared" si="118"/>
        <v>14.089880106976747</v>
      </c>
      <c r="Q671" s="16" cm="1">
        <f t="array" ref="Q671">_xlfn.XLOOKUP(O671,BSFC!$A$2:$A$24,_xlfn.XLOOKUP(K671,BSFC!$B$1:$O$1,BSFC!$B$2:$O$24,,-1),,-1)</f>
        <v>480</v>
      </c>
      <c r="R671" s="17">
        <f t="shared" si="119"/>
        <v>1.8786506809302328</v>
      </c>
      <c r="S671" s="16">
        <f t="shared" si="120"/>
        <v>2.9183485335178652E-4</v>
      </c>
      <c r="T671" s="17">
        <f t="shared" si="124"/>
        <v>0.14008072960885753</v>
      </c>
      <c r="U671" s="16">
        <f t="shared" si="125"/>
        <v>90.86292456535935</v>
      </c>
      <c r="V671" s="17">
        <f t="shared" si="126"/>
        <v>0.19078654678798709</v>
      </c>
      <c r="W671" s="16">
        <f t="shared" si="121"/>
        <v>686831.56843675359</v>
      </c>
      <c r="X671">
        <f>('Hybrid Info'!$A$2-Track!P671)*(L671-L670)*1000+X670</f>
        <v>-34563.257716897526</v>
      </c>
    </row>
    <row r="672" spans="1:24">
      <c r="A672" s="16">
        <f t="shared" si="122"/>
        <v>671</v>
      </c>
      <c r="B672" s="17">
        <f t="shared" si="123"/>
        <v>13.411199999999999</v>
      </c>
      <c r="C672" s="16">
        <f>Specification!$G$29</f>
        <v>164.943378</v>
      </c>
      <c r="D672" s="17">
        <f>0.5*Specification!$K$4*Track!B672^2*Specification!$K$3*Specification!$K$2</f>
        <v>93.159842569492653</v>
      </c>
      <c r="E672" s="16">
        <v>0</v>
      </c>
      <c r="F672" s="17">
        <f>Specification!$C$23*9.81*SIN((E672*PI()/180))</f>
        <v>0</v>
      </c>
      <c r="G672" s="18">
        <f>IF(J672=1,VLOOKUP(K672,RPM!$E$2:$H$62,3,FALSE)-F672-E672-D672,IF(J672=2,VLOOKUP(K672,RPM!$H$2:$K$62,3,FALSE)-F672-E672-D672,IF(J672=3,VLOOKUP(K672,RPM!$K$2:$N$62,3,FALSE)-F672-E672-D672)))</f>
        <v>549.56217903827155</v>
      </c>
      <c r="H672" s="19">
        <f>IF(J672=1,Specification!$I$14,IF(J672=2,Specification!$I$15,IF(J672=3,Specification!$I$16)))</f>
        <v>578.93404261974786</v>
      </c>
      <c r="I672" s="16">
        <f t="shared" si="117"/>
        <v>0</v>
      </c>
      <c r="J672" s="17">
        <v>3</v>
      </c>
      <c r="K672" s="16">
        <f>IF(J672=1,VLOOKUP(B672,RPM!$F$2:$H$62,3,TRUE),IF(J672=2,VLOOKUP(B672,RPM!$I$2:$K$62,3,TRUE),IF(J672=3,VLOOKUP(B672,RPM!$L$2:$N$62,3,TRUE))))</f>
        <v>4300</v>
      </c>
      <c r="L672" s="17">
        <f t="shared" si="128"/>
        <v>54.308148777429849</v>
      </c>
      <c r="M672" s="16">
        <f t="shared" si="127"/>
        <v>0</v>
      </c>
      <c r="N672" s="17">
        <f>VLOOKUP(K672,RPM!$A$2:$D$62,3,FALSE)</f>
        <v>11.4</v>
      </c>
      <c r="O672" s="16">
        <f>VLOOKUP(K672,RPM!$A$2:$D$62,4,FALSE)</f>
        <v>18.894837209302327</v>
      </c>
      <c r="P672" s="17">
        <f t="shared" si="118"/>
        <v>14.089880106976747</v>
      </c>
      <c r="Q672" s="16" cm="1">
        <f t="array" ref="Q672">_xlfn.XLOOKUP(O672,BSFC!$A$2:$A$24,_xlfn.XLOOKUP(K672,BSFC!$B$1:$O$1,BSFC!$B$2:$O$24,,-1),,-1)</f>
        <v>480</v>
      </c>
      <c r="R672" s="17">
        <f t="shared" si="119"/>
        <v>1.8786506809302328</v>
      </c>
      <c r="S672" s="16">
        <f t="shared" si="120"/>
        <v>2.9183485335178652E-4</v>
      </c>
      <c r="T672" s="17">
        <f t="shared" si="124"/>
        <v>0.14008072960885753</v>
      </c>
      <c r="U672" s="16">
        <f t="shared" si="125"/>
        <v>91.003005294968204</v>
      </c>
      <c r="V672" s="17">
        <f t="shared" si="126"/>
        <v>0.19107838164133889</v>
      </c>
      <c r="W672" s="16">
        <f t="shared" si="121"/>
        <v>687882.17390882003</v>
      </c>
      <c r="X672">
        <f>('Hybrid Info'!$A$2-Track!P672)*(L672-L671)*1000+X671</f>
        <v>-34710.107030246945</v>
      </c>
    </row>
    <row r="673" spans="1:24">
      <c r="A673" s="16">
        <f t="shared" si="122"/>
        <v>672</v>
      </c>
      <c r="B673" s="17">
        <f t="shared" si="123"/>
        <v>13.411199999999999</v>
      </c>
      <c r="C673" s="16">
        <f>Specification!$G$29</f>
        <v>164.943378</v>
      </c>
      <c r="D673" s="17">
        <f>0.5*Specification!$K$4*Track!B673^2*Specification!$K$3*Specification!$K$2</f>
        <v>93.159842569492653</v>
      </c>
      <c r="E673" s="16">
        <v>0</v>
      </c>
      <c r="F673" s="17">
        <f>Specification!$C$23*9.81*SIN((E673*PI()/180))</f>
        <v>0</v>
      </c>
      <c r="G673" s="18">
        <f>IF(J673=1,VLOOKUP(K673,RPM!$E$2:$H$62,3,FALSE)-F673-E673-D673,IF(J673=2,VLOOKUP(K673,RPM!$H$2:$K$62,3,FALSE)-F673-E673-D673,IF(J673=3,VLOOKUP(K673,RPM!$K$2:$N$62,3,FALSE)-F673-E673-D673)))</f>
        <v>549.56217903827155</v>
      </c>
      <c r="H673" s="19">
        <f>IF(J673=1,Specification!$I$14,IF(J673=2,Specification!$I$15,IF(J673=3,Specification!$I$16)))</f>
        <v>578.93404261974786</v>
      </c>
      <c r="I673" s="16">
        <f t="shared" si="117"/>
        <v>0</v>
      </c>
      <c r="J673" s="17">
        <v>3</v>
      </c>
      <c r="K673" s="16">
        <f>IF(J673=1,VLOOKUP(B673,RPM!$F$2:$H$62,3,TRUE),IF(J673=2,VLOOKUP(B673,RPM!$I$2:$K$62,3,TRUE),IF(J673=3,VLOOKUP(B673,RPM!$L$2:$N$62,3,TRUE))))</f>
        <v>4300</v>
      </c>
      <c r="L673" s="17">
        <f t="shared" si="128"/>
        <v>54.382713320498333</v>
      </c>
      <c r="M673" s="16">
        <f t="shared" si="127"/>
        <v>0</v>
      </c>
      <c r="N673" s="17">
        <f>VLOOKUP(K673,RPM!$A$2:$D$62,3,FALSE)</f>
        <v>11.4</v>
      </c>
      <c r="O673" s="16">
        <f>VLOOKUP(K673,RPM!$A$2:$D$62,4,FALSE)</f>
        <v>18.894837209302327</v>
      </c>
      <c r="P673" s="17">
        <f t="shared" si="118"/>
        <v>14.089880106976747</v>
      </c>
      <c r="Q673" s="16" cm="1">
        <f t="array" ref="Q673">_xlfn.XLOOKUP(O673,BSFC!$A$2:$A$24,_xlfn.XLOOKUP(K673,BSFC!$B$1:$O$1,BSFC!$B$2:$O$24,,-1),,-1)</f>
        <v>480</v>
      </c>
      <c r="R673" s="17">
        <f t="shared" si="119"/>
        <v>1.8786506809302328</v>
      </c>
      <c r="S673" s="16">
        <f t="shared" si="120"/>
        <v>2.9183485335178652E-4</v>
      </c>
      <c r="T673" s="17">
        <f t="shared" si="124"/>
        <v>0.14008072960885753</v>
      </c>
      <c r="U673" s="16">
        <f t="shared" si="125"/>
        <v>91.143086024577059</v>
      </c>
      <c r="V673" s="17">
        <f t="shared" si="126"/>
        <v>0.19137021649469069</v>
      </c>
      <c r="W673" s="16">
        <f t="shared" si="121"/>
        <v>688932.77938088647</v>
      </c>
      <c r="X673">
        <f>('Hybrid Info'!$A$2-Track!P673)*(L673-L672)*1000+X672</f>
        <v>-34856.956343596365</v>
      </c>
    </row>
    <row r="674" spans="1:24">
      <c r="A674" s="16">
        <f t="shared" si="122"/>
        <v>673</v>
      </c>
      <c r="B674" s="17">
        <f t="shared" si="123"/>
        <v>13.411199999999999</v>
      </c>
      <c r="C674" s="16">
        <f>Specification!$G$29</f>
        <v>164.943378</v>
      </c>
      <c r="D674" s="17">
        <f>0.5*Specification!$K$4*Track!B674^2*Specification!$K$3*Specification!$K$2</f>
        <v>93.159842569492653</v>
      </c>
      <c r="E674" s="16">
        <v>0</v>
      </c>
      <c r="F674" s="17">
        <f>Specification!$C$23*9.81*SIN((E674*PI()/180))</f>
        <v>0</v>
      </c>
      <c r="G674" s="18">
        <f>IF(J674=1,VLOOKUP(K674,RPM!$E$2:$H$62,3,FALSE)-F674-E674-D674,IF(J674=2,VLOOKUP(K674,RPM!$H$2:$K$62,3,FALSE)-F674-E674-D674,IF(J674=3,VLOOKUP(K674,RPM!$K$2:$N$62,3,FALSE)-F674-E674-D674)))</f>
        <v>549.56217903827155</v>
      </c>
      <c r="H674" s="19">
        <f>IF(J674=1,Specification!$I$14,IF(J674=2,Specification!$I$15,IF(J674=3,Specification!$I$16)))</f>
        <v>578.93404261974786</v>
      </c>
      <c r="I674" s="16">
        <f t="shared" si="117"/>
        <v>0</v>
      </c>
      <c r="J674" s="17">
        <v>3</v>
      </c>
      <c r="K674" s="16">
        <f>IF(J674=1,VLOOKUP(B674,RPM!$F$2:$H$62,3,TRUE),IF(J674=2,VLOOKUP(B674,RPM!$I$2:$K$62,3,TRUE),IF(J674=3,VLOOKUP(B674,RPM!$L$2:$N$62,3,TRUE))))</f>
        <v>4300</v>
      </c>
      <c r="L674" s="17">
        <f t="shared" si="128"/>
        <v>54.457277863566816</v>
      </c>
      <c r="M674" s="16">
        <f t="shared" si="127"/>
        <v>0</v>
      </c>
      <c r="N674" s="17">
        <f>VLOOKUP(K674,RPM!$A$2:$D$62,3,FALSE)</f>
        <v>11.4</v>
      </c>
      <c r="O674" s="16">
        <f>VLOOKUP(K674,RPM!$A$2:$D$62,4,FALSE)</f>
        <v>18.894837209302327</v>
      </c>
      <c r="P674" s="17">
        <f t="shared" si="118"/>
        <v>14.089880106976747</v>
      </c>
      <c r="Q674" s="16" cm="1">
        <f t="array" ref="Q674">_xlfn.XLOOKUP(O674,BSFC!$A$2:$A$24,_xlfn.XLOOKUP(K674,BSFC!$B$1:$O$1,BSFC!$B$2:$O$24,,-1),,-1)</f>
        <v>480</v>
      </c>
      <c r="R674" s="17">
        <f t="shared" si="119"/>
        <v>1.8786506809302328</v>
      </c>
      <c r="S674" s="16">
        <f t="shared" si="120"/>
        <v>2.9183485335178652E-4</v>
      </c>
      <c r="T674" s="17">
        <f t="shared" si="124"/>
        <v>0.14008072960885753</v>
      </c>
      <c r="U674" s="16">
        <f t="shared" si="125"/>
        <v>91.283166754185913</v>
      </c>
      <c r="V674" s="17">
        <f t="shared" si="126"/>
        <v>0.19166205134804248</v>
      </c>
      <c r="W674" s="16">
        <f t="shared" si="121"/>
        <v>689983.38485295302</v>
      </c>
      <c r="X674">
        <f>('Hybrid Info'!$A$2-Track!P674)*(L674-L673)*1000+X673</f>
        <v>-35003.805656945784</v>
      </c>
    </row>
    <row r="675" spans="1:24">
      <c r="A675" s="16">
        <f t="shared" si="122"/>
        <v>674</v>
      </c>
      <c r="B675" s="17">
        <f t="shared" si="123"/>
        <v>13.411199999999999</v>
      </c>
      <c r="C675" s="16">
        <f>Specification!$G$29</f>
        <v>164.943378</v>
      </c>
      <c r="D675" s="17">
        <f>0.5*Specification!$K$4*Track!B675^2*Specification!$K$3*Specification!$K$2</f>
        <v>93.159842569492653</v>
      </c>
      <c r="E675" s="16">
        <v>0</v>
      </c>
      <c r="F675" s="17">
        <f>Specification!$C$23*9.81*SIN((E675*PI()/180))</f>
        <v>0</v>
      </c>
      <c r="G675" s="18">
        <f>IF(J675=1,VLOOKUP(K675,RPM!$E$2:$H$62,3,FALSE)-F675-E675-D675,IF(J675=2,VLOOKUP(K675,RPM!$H$2:$K$62,3,FALSE)-F675-E675-D675,IF(J675=3,VLOOKUP(K675,RPM!$K$2:$N$62,3,FALSE)-F675-E675-D675)))</f>
        <v>549.56217903827155</v>
      </c>
      <c r="H675" s="19">
        <f>IF(J675=1,Specification!$I$14,IF(J675=2,Specification!$I$15,IF(J675=3,Specification!$I$16)))</f>
        <v>578.93404261974786</v>
      </c>
      <c r="I675" s="16">
        <f t="shared" si="117"/>
        <v>0</v>
      </c>
      <c r="J675" s="17">
        <v>3</v>
      </c>
      <c r="K675" s="16">
        <f>IF(J675=1,VLOOKUP(B675,RPM!$F$2:$H$62,3,TRUE),IF(J675=2,VLOOKUP(B675,RPM!$I$2:$K$62,3,TRUE),IF(J675=3,VLOOKUP(B675,RPM!$L$2:$N$62,3,TRUE))))</f>
        <v>4300</v>
      </c>
      <c r="L675" s="17">
        <f t="shared" si="128"/>
        <v>54.531842406635299</v>
      </c>
      <c r="M675" s="16">
        <f t="shared" si="127"/>
        <v>0</v>
      </c>
      <c r="N675" s="17">
        <f>VLOOKUP(K675,RPM!$A$2:$D$62,3,FALSE)</f>
        <v>11.4</v>
      </c>
      <c r="O675" s="16">
        <f>VLOOKUP(K675,RPM!$A$2:$D$62,4,FALSE)</f>
        <v>18.894837209302327</v>
      </c>
      <c r="P675" s="17">
        <f t="shared" si="118"/>
        <v>14.089880106976747</v>
      </c>
      <c r="Q675" s="16" cm="1">
        <f t="array" ref="Q675">_xlfn.XLOOKUP(O675,BSFC!$A$2:$A$24,_xlfn.XLOOKUP(K675,BSFC!$B$1:$O$1,BSFC!$B$2:$O$24,,-1),,-1)</f>
        <v>480</v>
      </c>
      <c r="R675" s="17">
        <f t="shared" si="119"/>
        <v>1.8786506809302328</v>
      </c>
      <c r="S675" s="16">
        <f t="shared" si="120"/>
        <v>2.9183485335178652E-4</v>
      </c>
      <c r="T675" s="17">
        <f t="shared" si="124"/>
        <v>0.14008072960885753</v>
      </c>
      <c r="U675" s="16">
        <f t="shared" si="125"/>
        <v>91.423247483794768</v>
      </c>
      <c r="V675" s="17">
        <f t="shared" si="126"/>
        <v>0.19195388620139428</v>
      </c>
      <c r="W675" s="16">
        <f t="shared" si="121"/>
        <v>691033.99032501946</v>
      </c>
      <c r="X675">
        <f>('Hybrid Info'!$A$2-Track!P675)*(L675-L674)*1000+X674</f>
        <v>-35150.654970295203</v>
      </c>
    </row>
    <row r="676" spans="1:24">
      <c r="A676" s="16">
        <f t="shared" si="122"/>
        <v>675</v>
      </c>
      <c r="B676" s="17">
        <f t="shared" si="123"/>
        <v>13.411199999999999</v>
      </c>
      <c r="C676" s="16">
        <f>Specification!$G$29</f>
        <v>164.943378</v>
      </c>
      <c r="D676" s="17">
        <f>0.5*Specification!$K$4*Track!B676^2*Specification!$K$3*Specification!$K$2</f>
        <v>93.159842569492653</v>
      </c>
      <c r="E676" s="16">
        <v>0</v>
      </c>
      <c r="F676" s="17">
        <f>Specification!$C$23*9.81*SIN((E676*PI()/180))</f>
        <v>0</v>
      </c>
      <c r="G676" s="18">
        <f>IF(J676=1,VLOOKUP(K676,RPM!$E$2:$H$62,3,FALSE)-F676-E676-D676,IF(J676=2,VLOOKUP(K676,RPM!$H$2:$K$62,3,FALSE)-F676-E676-D676,IF(J676=3,VLOOKUP(K676,RPM!$K$2:$N$62,3,FALSE)-F676-E676-D676)))</f>
        <v>549.56217903827155</v>
      </c>
      <c r="H676" s="19">
        <f>IF(J676=1,Specification!$I$14,IF(J676=2,Specification!$I$15,IF(J676=3,Specification!$I$16)))</f>
        <v>578.93404261974786</v>
      </c>
      <c r="I676" s="16">
        <f t="shared" ref="I676:I739" si="129">IF(B676=13.4112,0,G676/H676)</f>
        <v>0</v>
      </c>
      <c r="J676" s="17">
        <v>3</v>
      </c>
      <c r="K676" s="16">
        <f>IF(J676=1,VLOOKUP(B676,RPM!$F$2:$H$62,3,TRUE),IF(J676=2,VLOOKUP(B676,RPM!$I$2:$K$62,3,TRUE),IF(J676=3,VLOOKUP(B676,RPM!$L$2:$N$62,3,TRUE))))</f>
        <v>4300</v>
      </c>
      <c r="L676" s="17">
        <f t="shared" si="128"/>
        <v>54.606406949703782</v>
      </c>
      <c r="M676" s="16">
        <f t="shared" si="127"/>
        <v>0</v>
      </c>
      <c r="N676" s="17">
        <f>VLOOKUP(K676,RPM!$A$2:$D$62,3,FALSE)</f>
        <v>11.4</v>
      </c>
      <c r="O676" s="16">
        <f>VLOOKUP(K676,RPM!$A$2:$D$62,4,FALSE)</f>
        <v>18.894837209302327</v>
      </c>
      <c r="P676" s="17">
        <f t="shared" si="118"/>
        <v>14.089880106976747</v>
      </c>
      <c r="Q676" s="16" cm="1">
        <f t="array" ref="Q676">_xlfn.XLOOKUP(O676,BSFC!$A$2:$A$24,_xlfn.XLOOKUP(K676,BSFC!$B$1:$O$1,BSFC!$B$2:$O$24,,-1),,-1)</f>
        <v>480</v>
      </c>
      <c r="R676" s="17">
        <f t="shared" si="119"/>
        <v>1.8786506809302328</v>
      </c>
      <c r="S676" s="16">
        <f t="shared" si="120"/>
        <v>2.9183485335178652E-4</v>
      </c>
      <c r="T676" s="17">
        <f t="shared" si="124"/>
        <v>0.14008072960885753</v>
      </c>
      <c r="U676" s="16">
        <f t="shared" si="125"/>
        <v>91.563328213403622</v>
      </c>
      <c r="V676" s="17">
        <f t="shared" si="126"/>
        <v>0.19224572105474608</v>
      </c>
      <c r="W676" s="16">
        <f t="shared" si="121"/>
        <v>692084.5957970859</v>
      </c>
      <c r="X676">
        <f>('Hybrid Info'!$A$2-Track!P676)*(L676-L675)*1000+X675</f>
        <v>-35297.504283644623</v>
      </c>
    </row>
    <row r="677" spans="1:24">
      <c r="A677" s="16">
        <f t="shared" si="122"/>
        <v>676</v>
      </c>
      <c r="B677" s="17">
        <f t="shared" si="123"/>
        <v>13.411199999999999</v>
      </c>
      <c r="C677" s="16">
        <f>Specification!$G$29</f>
        <v>164.943378</v>
      </c>
      <c r="D677" s="17">
        <f>0.5*Specification!$K$4*Track!B677^2*Specification!$K$3*Specification!$K$2</f>
        <v>93.159842569492653</v>
      </c>
      <c r="E677" s="16">
        <v>0</v>
      </c>
      <c r="F677" s="17">
        <f>Specification!$C$23*9.81*SIN((E677*PI()/180))</f>
        <v>0</v>
      </c>
      <c r="G677" s="18">
        <f>IF(J677=1,VLOOKUP(K677,RPM!$E$2:$H$62,3,FALSE)-F677-E677-D677,IF(J677=2,VLOOKUP(K677,RPM!$H$2:$K$62,3,FALSE)-F677-E677-D677,IF(J677=3,VLOOKUP(K677,RPM!$K$2:$N$62,3,FALSE)-F677-E677-D677)))</f>
        <v>688.48526429214962</v>
      </c>
      <c r="H677" s="19">
        <f>IF(J677=1,Specification!$I$14,IF(J677=2,Specification!$I$15,IF(J677=3,Specification!$I$16)))</f>
        <v>582.50936296077191</v>
      </c>
      <c r="I677" s="16">
        <f t="shared" si="129"/>
        <v>0</v>
      </c>
      <c r="J677" s="17">
        <v>2</v>
      </c>
      <c r="K677" s="16">
        <f>IF(J677=1,VLOOKUP(B677,RPM!$F$2:$H$62,3,TRUE),IF(J677=2,VLOOKUP(B677,RPM!$I$2:$K$62,3,TRUE),IF(J677=3,VLOOKUP(B677,RPM!$L$2:$N$62,3,TRUE))))</f>
        <v>7000</v>
      </c>
      <c r="L677" s="17">
        <f t="shared" si="128"/>
        <v>54.680971492772265</v>
      </c>
      <c r="M677" s="16">
        <f t="shared" si="127"/>
        <v>0</v>
      </c>
      <c r="N677" s="17">
        <f>VLOOKUP(K677,RPM!$A$2:$D$62,3,FALSE)</f>
        <v>13</v>
      </c>
      <c r="O677" s="16">
        <f>VLOOKUP(K677,RPM!$A$2:$D$62,4,FALSE)</f>
        <v>13.235857142857142</v>
      </c>
      <c r="P677" s="17">
        <f t="shared" si="118"/>
        <v>9.8699786714285711</v>
      </c>
      <c r="Q677" s="16" cm="1">
        <f t="array" ref="Q677">_xlfn.XLOOKUP(O677,BSFC!$A$2:$A$24,_xlfn.XLOOKUP(K677,BSFC!$B$1:$O$1,BSFC!$B$2:$O$24,,-1),,-1)</f>
        <v>520</v>
      </c>
      <c r="R677" s="17">
        <f t="shared" si="119"/>
        <v>1.425663585873016</v>
      </c>
      <c r="S677" s="16">
        <f t="shared" si="120"/>
        <v>2.0443068048076269E-4</v>
      </c>
      <c r="T677" s="17">
        <f t="shared" si="124"/>
        <v>0.10630395384999659</v>
      </c>
      <c r="U677" s="16">
        <f t="shared" si="125"/>
        <v>91.669632167253624</v>
      </c>
      <c r="V677" s="17">
        <f t="shared" si="126"/>
        <v>0.19245015173522684</v>
      </c>
      <c r="W677" s="16">
        <f t="shared" si="121"/>
        <v>692820.54624681652</v>
      </c>
      <c r="X677">
        <f>('Hybrid Info'!$A$2-Track!P677)*(L677-L676)*1000+X676</f>
        <v>-35129.698574658352</v>
      </c>
    </row>
    <row r="678" spans="1:24">
      <c r="A678" s="16">
        <f t="shared" si="122"/>
        <v>677</v>
      </c>
      <c r="B678" s="17">
        <f t="shared" si="123"/>
        <v>13.411199999999999</v>
      </c>
      <c r="C678" s="16">
        <f>Specification!$G$29</f>
        <v>164.943378</v>
      </c>
      <c r="D678" s="17">
        <f>0.5*Specification!$K$4*Track!B678^2*Specification!$K$3*Specification!$K$2</f>
        <v>93.159842569492653</v>
      </c>
      <c r="E678" s="16">
        <v>0</v>
      </c>
      <c r="F678" s="17">
        <f>Specification!$C$23*9.81*SIN((E678*PI()/180))</f>
        <v>0</v>
      </c>
      <c r="G678" s="18">
        <f>IF(J678=1,VLOOKUP(K678,RPM!$E$2:$H$62,3,FALSE)-F678-E678-D678,IF(J678=2,VLOOKUP(K678,RPM!$H$2:$K$62,3,FALSE)-F678-E678-D678,IF(J678=3,VLOOKUP(K678,RPM!$K$2:$N$62,3,FALSE)-F678-E678-D678)))</f>
        <v>688.48526429214962</v>
      </c>
      <c r="H678" s="19">
        <f>IF(J678=1,Specification!$I$14,IF(J678=2,Specification!$I$15,IF(J678=3,Specification!$I$16)))</f>
        <v>582.50936296077191</v>
      </c>
      <c r="I678" s="16">
        <f t="shared" si="129"/>
        <v>0</v>
      </c>
      <c r="J678" s="17">
        <v>2</v>
      </c>
      <c r="K678" s="16">
        <f>IF(J678=1,VLOOKUP(B678,RPM!$F$2:$H$62,3,TRUE),IF(J678=2,VLOOKUP(B678,RPM!$I$2:$K$62,3,TRUE),IF(J678=3,VLOOKUP(B678,RPM!$L$2:$N$62,3,TRUE))))</f>
        <v>7000</v>
      </c>
      <c r="L678" s="17">
        <f t="shared" si="128"/>
        <v>54.755536035840748</v>
      </c>
      <c r="M678" s="16">
        <f t="shared" si="127"/>
        <v>0</v>
      </c>
      <c r="N678" s="17">
        <f>VLOOKUP(K678,RPM!$A$2:$D$62,3,FALSE)</f>
        <v>13</v>
      </c>
      <c r="O678" s="16">
        <f>VLOOKUP(K678,RPM!$A$2:$D$62,4,FALSE)</f>
        <v>13.235857142857142</v>
      </c>
      <c r="P678" s="17">
        <f t="shared" si="118"/>
        <v>9.8699786714285711</v>
      </c>
      <c r="Q678" s="16" cm="1">
        <f t="array" ref="Q678">_xlfn.XLOOKUP(O678,BSFC!$A$2:$A$24,_xlfn.XLOOKUP(K678,BSFC!$B$1:$O$1,BSFC!$B$2:$O$24,,-1),,-1)</f>
        <v>520</v>
      </c>
      <c r="R678" s="17">
        <f t="shared" si="119"/>
        <v>1.425663585873016</v>
      </c>
      <c r="S678" s="16">
        <f t="shared" si="120"/>
        <v>2.0443068048076269E-4</v>
      </c>
      <c r="T678" s="17">
        <f t="shared" si="124"/>
        <v>0.10630395384999659</v>
      </c>
      <c r="U678" s="16">
        <f t="shared" si="125"/>
        <v>91.775936121103626</v>
      </c>
      <c r="V678" s="17">
        <f t="shared" si="126"/>
        <v>0.1926545824157076</v>
      </c>
      <c r="W678" s="16">
        <f t="shared" si="121"/>
        <v>693556.49669654737</v>
      </c>
      <c r="X678">
        <f>('Hybrid Info'!$A$2-Track!P678)*(L678-L677)*1000+X677</f>
        <v>-34961.892865672082</v>
      </c>
    </row>
    <row r="679" spans="1:24">
      <c r="A679" s="16">
        <f t="shared" si="122"/>
        <v>678</v>
      </c>
      <c r="B679" s="17">
        <f t="shared" si="123"/>
        <v>13.411199999999999</v>
      </c>
      <c r="C679" s="16">
        <f>Specification!$G$29</f>
        <v>164.943378</v>
      </c>
      <c r="D679" s="17">
        <f>0.5*Specification!$K$4*Track!B679^2*Specification!$K$3*Specification!$K$2</f>
        <v>93.159842569492653</v>
      </c>
      <c r="E679" s="16">
        <v>0</v>
      </c>
      <c r="F679" s="17">
        <f>Specification!$C$23*9.81*SIN((E679*PI()/180))</f>
        <v>0</v>
      </c>
      <c r="G679" s="18">
        <f>IF(J679=1,VLOOKUP(K679,RPM!$E$2:$H$62,3,FALSE)-F679-E679-D679,IF(J679=2,VLOOKUP(K679,RPM!$H$2:$K$62,3,FALSE)-F679-E679-D679,IF(J679=3,VLOOKUP(K679,RPM!$K$2:$N$62,3,FALSE)-F679-E679-D679)))</f>
        <v>688.48526429214962</v>
      </c>
      <c r="H679" s="19">
        <f>IF(J679=1,Specification!$I$14,IF(J679=2,Specification!$I$15,IF(J679=3,Specification!$I$16)))</f>
        <v>582.50936296077191</v>
      </c>
      <c r="I679" s="16">
        <f t="shared" si="129"/>
        <v>0</v>
      </c>
      <c r="J679" s="17">
        <v>2</v>
      </c>
      <c r="K679" s="16">
        <f>IF(J679=1,VLOOKUP(B679,RPM!$F$2:$H$62,3,TRUE),IF(J679=2,VLOOKUP(B679,RPM!$I$2:$K$62,3,TRUE),IF(J679=3,VLOOKUP(B679,RPM!$L$2:$N$62,3,TRUE))))</f>
        <v>7000</v>
      </c>
      <c r="L679" s="17">
        <f t="shared" si="128"/>
        <v>54.830100578909232</v>
      </c>
      <c r="M679" s="16">
        <f t="shared" si="127"/>
        <v>0</v>
      </c>
      <c r="N679" s="17">
        <f>VLOOKUP(K679,RPM!$A$2:$D$62,3,FALSE)</f>
        <v>13</v>
      </c>
      <c r="O679" s="16">
        <f>VLOOKUP(K679,RPM!$A$2:$D$62,4,FALSE)</f>
        <v>13.235857142857142</v>
      </c>
      <c r="P679" s="17">
        <f t="shared" si="118"/>
        <v>9.8699786714285711</v>
      </c>
      <c r="Q679" s="16" cm="1">
        <f t="array" ref="Q679">_xlfn.XLOOKUP(O679,BSFC!$A$2:$A$24,_xlfn.XLOOKUP(K679,BSFC!$B$1:$O$1,BSFC!$B$2:$O$24,,-1),,-1)</f>
        <v>520</v>
      </c>
      <c r="R679" s="17">
        <f t="shared" si="119"/>
        <v>1.425663585873016</v>
      </c>
      <c r="S679" s="16">
        <f t="shared" si="120"/>
        <v>2.0443068048076269E-4</v>
      </c>
      <c r="T679" s="17">
        <f t="shared" si="124"/>
        <v>0.10630395384999659</v>
      </c>
      <c r="U679" s="16">
        <f t="shared" si="125"/>
        <v>91.882240074953629</v>
      </c>
      <c r="V679" s="17">
        <f t="shared" si="126"/>
        <v>0.19285901309618836</v>
      </c>
      <c r="W679" s="16">
        <f t="shared" si="121"/>
        <v>694292.44714627811</v>
      </c>
      <c r="X679">
        <f>('Hybrid Info'!$A$2-Track!P679)*(L679-L678)*1000+X678</f>
        <v>-34794.087156685811</v>
      </c>
    </row>
    <row r="680" spans="1:24">
      <c r="A680" s="16">
        <f t="shared" si="122"/>
        <v>679</v>
      </c>
      <c r="B680" s="17">
        <f t="shared" si="123"/>
        <v>13.411199999999999</v>
      </c>
      <c r="C680" s="16">
        <f>Specification!$G$29</f>
        <v>164.943378</v>
      </c>
      <c r="D680" s="17">
        <f>0.5*Specification!$K$4*Track!B680^2*Specification!$K$3*Specification!$K$2</f>
        <v>93.159842569492653</v>
      </c>
      <c r="E680" s="16">
        <v>0</v>
      </c>
      <c r="F680" s="17">
        <f>Specification!$C$23*9.81*SIN((E680*PI()/180))</f>
        <v>0</v>
      </c>
      <c r="G680" s="18">
        <f>IF(J680=1,VLOOKUP(K680,RPM!$E$2:$H$62,3,FALSE)-F680-E680-D680,IF(J680=2,VLOOKUP(K680,RPM!$H$2:$K$62,3,FALSE)-F680-E680-D680,IF(J680=3,VLOOKUP(K680,RPM!$K$2:$N$62,3,FALSE)-F680-E680-D680)))</f>
        <v>688.48526429214962</v>
      </c>
      <c r="H680" s="19">
        <f>IF(J680=1,Specification!$I$14,IF(J680=2,Specification!$I$15,IF(J680=3,Specification!$I$16)))</f>
        <v>582.50936296077191</v>
      </c>
      <c r="I680" s="16">
        <f t="shared" si="129"/>
        <v>0</v>
      </c>
      <c r="J680" s="17">
        <v>2</v>
      </c>
      <c r="K680" s="16">
        <f>IF(J680=1,VLOOKUP(B680,RPM!$F$2:$H$62,3,TRUE),IF(J680=2,VLOOKUP(B680,RPM!$I$2:$K$62,3,TRUE),IF(J680=3,VLOOKUP(B680,RPM!$L$2:$N$62,3,TRUE))))</f>
        <v>7000</v>
      </c>
      <c r="L680" s="17">
        <f t="shared" si="128"/>
        <v>54.904665121977715</v>
      </c>
      <c r="M680" s="16">
        <f t="shared" si="127"/>
        <v>0</v>
      </c>
      <c r="N680" s="17">
        <f>VLOOKUP(K680,RPM!$A$2:$D$62,3,FALSE)</f>
        <v>13</v>
      </c>
      <c r="O680" s="16">
        <f>VLOOKUP(K680,RPM!$A$2:$D$62,4,FALSE)</f>
        <v>13.235857142857142</v>
      </c>
      <c r="P680" s="17">
        <f t="shared" si="118"/>
        <v>9.8699786714285711</v>
      </c>
      <c r="Q680" s="16" cm="1">
        <f t="array" ref="Q680">_xlfn.XLOOKUP(O680,BSFC!$A$2:$A$24,_xlfn.XLOOKUP(K680,BSFC!$B$1:$O$1,BSFC!$B$2:$O$24,,-1),,-1)</f>
        <v>520</v>
      </c>
      <c r="R680" s="17">
        <f t="shared" si="119"/>
        <v>1.425663585873016</v>
      </c>
      <c r="S680" s="16">
        <f t="shared" si="120"/>
        <v>2.0443068048076269E-4</v>
      </c>
      <c r="T680" s="17">
        <f t="shared" si="124"/>
        <v>0.10630395384999659</v>
      </c>
      <c r="U680" s="16">
        <f t="shared" si="125"/>
        <v>91.988544028803631</v>
      </c>
      <c r="V680" s="17">
        <f t="shared" si="126"/>
        <v>0.19306344377666912</v>
      </c>
      <c r="W680" s="16">
        <f t="shared" si="121"/>
        <v>695028.39759600884</v>
      </c>
      <c r="X680">
        <f>('Hybrid Info'!$A$2-Track!P680)*(L680-L679)*1000+X679</f>
        <v>-34626.281447699541</v>
      </c>
    </row>
    <row r="681" spans="1:24">
      <c r="A681" s="16">
        <f t="shared" si="122"/>
        <v>680</v>
      </c>
      <c r="B681" s="17">
        <f t="shared" si="123"/>
        <v>13.411199999999999</v>
      </c>
      <c r="C681" s="16">
        <f>Specification!$G$29</f>
        <v>164.943378</v>
      </c>
      <c r="D681" s="17">
        <f>0.5*Specification!$K$4*Track!B681^2*Specification!$K$3*Specification!$K$2</f>
        <v>93.159842569492653</v>
      </c>
      <c r="E681" s="16">
        <v>0</v>
      </c>
      <c r="F681" s="17">
        <f>Specification!$C$23*9.81*SIN((E681*PI()/180))</f>
        <v>0</v>
      </c>
      <c r="G681" s="18">
        <f>IF(J681=1,VLOOKUP(K681,RPM!$E$2:$H$62,3,FALSE)-F681-E681-D681,IF(J681=2,VLOOKUP(K681,RPM!$H$2:$K$62,3,FALSE)-F681-E681-D681,IF(J681=3,VLOOKUP(K681,RPM!$K$2:$N$62,3,FALSE)-F681-E681-D681)))</f>
        <v>688.48526429214962</v>
      </c>
      <c r="H681" s="19">
        <f>IF(J681=1,Specification!$I$14,IF(J681=2,Specification!$I$15,IF(J681=3,Specification!$I$16)))</f>
        <v>582.50936296077191</v>
      </c>
      <c r="I681" s="16">
        <f t="shared" si="129"/>
        <v>0</v>
      </c>
      <c r="J681" s="17">
        <v>2</v>
      </c>
      <c r="K681" s="16">
        <f>IF(J681=1,VLOOKUP(B681,RPM!$F$2:$H$62,3,TRUE),IF(J681=2,VLOOKUP(B681,RPM!$I$2:$K$62,3,TRUE),IF(J681=3,VLOOKUP(B681,RPM!$L$2:$N$62,3,TRUE))))</f>
        <v>7000</v>
      </c>
      <c r="L681" s="17">
        <f t="shared" si="128"/>
        <v>54.979229665046198</v>
      </c>
      <c r="M681" s="16">
        <f t="shared" si="127"/>
        <v>0</v>
      </c>
      <c r="N681" s="17">
        <f>VLOOKUP(K681,RPM!$A$2:$D$62,3,FALSE)</f>
        <v>13</v>
      </c>
      <c r="O681" s="16">
        <f>VLOOKUP(K681,RPM!$A$2:$D$62,4,FALSE)</f>
        <v>13.235857142857142</v>
      </c>
      <c r="P681" s="17">
        <f t="shared" si="118"/>
        <v>9.8699786714285711</v>
      </c>
      <c r="Q681" s="16" cm="1">
        <f t="array" ref="Q681">_xlfn.XLOOKUP(O681,BSFC!$A$2:$A$24,_xlfn.XLOOKUP(K681,BSFC!$B$1:$O$1,BSFC!$B$2:$O$24,,-1),,-1)</f>
        <v>520</v>
      </c>
      <c r="R681" s="17">
        <f t="shared" si="119"/>
        <v>1.425663585873016</v>
      </c>
      <c r="S681" s="16">
        <f t="shared" si="120"/>
        <v>2.0443068048076269E-4</v>
      </c>
      <c r="T681" s="17">
        <f t="shared" si="124"/>
        <v>0.10630395384999659</v>
      </c>
      <c r="U681" s="16">
        <f t="shared" si="125"/>
        <v>92.094847982653633</v>
      </c>
      <c r="V681" s="17">
        <f t="shared" si="126"/>
        <v>0.19326787445714988</v>
      </c>
      <c r="W681" s="16">
        <f t="shared" si="121"/>
        <v>695764.34804573958</v>
      </c>
      <c r="X681">
        <f>('Hybrid Info'!$A$2-Track!P681)*(L681-L680)*1000+X680</f>
        <v>-34458.47573871327</v>
      </c>
    </row>
    <row r="682" spans="1:24">
      <c r="A682" s="16">
        <f t="shared" si="122"/>
        <v>681</v>
      </c>
      <c r="B682" s="17">
        <f t="shared" si="123"/>
        <v>13.411199999999999</v>
      </c>
      <c r="C682" s="16">
        <f>Specification!$G$29</f>
        <v>164.943378</v>
      </c>
      <c r="D682" s="17">
        <f>0.5*Specification!$K$4*Track!B682^2*Specification!$K$3*Specification!$K$2</f>
        <v>93.159842569492653</v>
      </c>
      <c r="E682" s="16">
        <v>0</v>
      </c>
      <c r="F682" s="17">
        <f>Specification!$C$23*9.81*SIN((E682*PI()/180))</f>
        <v>0</v>
      </c>
      <c r="G682" s="18">
        <f>IF(J682=1,VLOOKUP(K682,RPM!$E$2:$H$62,3,FALSE)-F682-E682-D682,IF(J682=2,VLOOKUP(K682,RPM!$H$2:$K$62,3,FALSE)-F682-E682-D682,IF(J682=3,VLOOKUP(K682,RPM!$K$2:$N$62,3,FALSE)-F682-E682-D682)))</f>
        <v>688.48526429214962</v>
      </c>
      <c r="H682" s="19">
        <f>IF(J682=1,Specification!$I$14,IF(J682=2,Specification!$I$15,IF(J682=3,Specification!$I$16)))</f>
        <v>582.50936296077191</v>
      </c>
      <c r="I682" s="16">
        <f t="shared" si="129"/>
        <v>0</v>
      </c>
      <c r="J682" s="17">
        <v>2</v>
      </c>
      <c r="K682" s="16">
        <f>IF(J682=1,VLOOKUP(B682,RPM!$F$2:$H$62,3,TRUE),IF(J682=2,VLOOKUP(B682,RPM!$I$2:$K$62,3,TRUE),IF(J682=3,VLOOKUP(B682,RPM!$L$2:$N$62,3,TRUE))))</f>
        <v>7000</v>
      </c>
      <c r="L682" s="17">
        <f t="shared" si="128"/>
        <v>55.053794208114681</v>
      </c>
      <c r="M682" s="16">
        <f t="shared" si="127"/>
        <v>0</v>
      </c>
      <c r="N682" s="17">
        <f>VLOOKUP(K682,RPM!$A$2:$D$62,3,FALSE)</f>
        <v>13</v>
      </c>
      <c r="O682" s="16">
        <f>VLOOKUP(K682,RPM!$A$2:$D$62,4,FALSE)</f>
        <v>13.235857142857142</v>
      </c>
      <c r="P682" s="17">
        <f t="shared" si="118"/>
        <v>9.8699786714285711</v>
      </c>
      <c r="Q682" s="16" cm="1">
        <f t="array" ref="Q682">_xlfn.XLOOKUP(O682,BSFC!$A$2:$A$24,_xlfn.XLOOKUP(K682,BSFC!$B$1:$O$1,BSFC!$B$2:$O$24,,-1),,-1)</f>
        <v>520</v>
      </c>
      <c r="R682" s="17">
        <f t="shared" si="119"/>
        <v>1.425663585873016</v>
      </c>
      <c r="S682" s="16">
        <f t="shared" si="120"/>
        <v>2.0443068048076269E-4</v>
      </c>
      <c r="T682" s="17">
        <f t="shared" si="124"/>
        <v>0.10630395384999659</v>
      </c>
      <c r="U682" s="16">
        <f t="shared" si="125"/>
        <v>92.201151936503635</v>
      </c>
      <c r="V682" s="17">
        <f t="shared" si="126"/>
        <v>0.19347230513763064</v>
      </c>
      <c r="W682" s="16">
        <f t="shared" si="121"/>
        <v>696500.29849547031</v>
      </c>
      <c r="X682">
        <f>('Hybrid Info'!$A$2-Track!P682)*(L682-L681)*1000+X681</f>
        <v>-34290.670029727</v>
      </c>
    </row>
    <row r="683" spans="1:24">
      <c r="A683" s="16">
        <f t="shared" si="122"/>
        <v>682</v>
      </c>
      <c r="B683" s="17">
        <f t="shared" si="123"/>
        <v>13.411199999999999</v>
      </c>
      <c r="C683" s="16">
        <f>Specification!$G$29</f>
        <v>164.943378</v>
      </c>
      <c r="D683" s="17">
        <f>0.5*Specification!$K$4*Track!B683^2*Specification!$K$3*Specification!$K$2</f>
        <v>93.159842569492653</v>
      </c>
      <c r="E683" s="16">
        <v>0</v>
      </c>
      <c r="F683" s="17">
        <f>Specification!$C$23*9.81*SIN((E683*PI()/180))</f>
        <v>0</v>
      </c>
      <c r="G683" s="18">
        <f>IF(J683=1,VLOOKUP(K683,RPM!$E$2:$H$62,3,FALSE)-F683-E683-D683,IF(J683=2,VLOOKUP(K683,RPM!$H$2:$K$62,3,FALSE)-F683-E683-D683,IF(J683=3,VLOOKUP(K683,RPM!$K$2:$N$62,3,FALSE)-F683-E683-D683)))</f>
        <v>688.48526429214962</v>
      </c>
      <c r="H683" s="19">
        <f>IF(J683=1,Specification!$I$14,IF(J683=2,Specification!$I$15,IF(J683=3,Specification!$I$16)))</f>
        <v>582.50936296077191</v>
      </c>
      <c r="I683" s="16">
        <f t="shared" si="129"/>
        <v>0</v>
      </c>
      <c r="J683" s="17">
        <v>2</v>
      </c>
      <c r="K683" s="16">
        <f>IF(J683=1,VLOOKUP(B683,RPM!$F$2:$H$62,3,TRUE),IF(J683=2,VLOOKUP(B683,RPM!$I$2:$K$62,3,TRUE),IF(J683=3,VLOOKUP(B683,RPM!$L$2:$N$62,3,TRUE))))</f>
        <v>7000</v>
      </c>
      <c r="L683" s="17">
        <f t="shared" si="128"/>
        <v>55.128358751183164</v>
      </c>
      <c r="M683" s="16">
        <f t="shared" si="127"/>
        <v>0</v>
      </c>
      <c r="N683" s="17">
        <f>VLOOKUP(K683,RPM!$A$2:$D$62,3,FALSE)</f>
        <v>13</v>
      </c>
      <c r="O683" s="16">
        <f>VLOOKUP(K683,RPM!$A$2:$D$62,4,FALSE)</f>
        <v>13.235857142857142</v>
      </c>
      <c r="P683" s="17">
        <f t="shared" si="118"/>
        <v>9.8699786714285711</v>
      </c>
      <c r="Q683" s="16" cm="1">
        <f t="array" ref="Q683">_xlfn.XLOOKUP(O683,BSFC!$A$2:$A$24,_xlfn.XLOOKUP(K683,BSFC!$B$1:$O$1,BSFC!$B$2:$O$24,,-1),,-1)</f>
        <v>520</v>
      </c>
      <c r="R683" s="17">
        <f t="shared" si="119"/>
        <v>1.425663585873016</v>
      </c>
      <c r="S683" s="16">
        <f t="shared" si="120"/>
        <v>2.0443068048076269E-4</v>
      </c>
      <c r="T683" s="17">
        <f t="shared" si="124"/>
        <v>0.10630395384999659</v>
      </c>
      <c r="U683" s="16">
        <f t="shared" si="125"/>
        <v>92.307455890353637</v>
      </c>
      <c r="V683" s="17">
        <f t="shared" si="126"/>
        <v>0.1936767358181114</v>
      </c>
      <c r="W683" s="16">
        <f t="shared" si="121"/>
        <v>697236.24894520105</v>
      </c>
      <c r="X683">
        <f>('Hybrid Info'!$A$2-Track!P683)*(L683-L682)*1000+X682</f>
        <v>-34122.864320740729</v>
      </c>
    </row>
    <row r="684" spans="1:24">
      <c r="A684" s="16">
        <f t="shared" si="122"/>
        <v>683</v>
      </c>
      <c r="B684" s="17">
        <f t="shared" si="123"/>
        <v>13.411199999999999</v>
      </c>
      <c r="C684" s="16">
        <f>Specification!$G$29</f>
        <v>164.943378</v>
      </c>
      <c r="D684" s="17">
        <f>0.5*Specification!$K$4*Track!B684^2*Specification!$K$3*Specification!$K$2</f>
        <v>93.159842569492653</v>
      </c>
      <c r="E684" s="16">
        <v>0</v>
      </c>
      <c r="F684" s="17">
        <f>Specification!$C$23*9.81*SIN((E684*PI()/180))</f>
        <v>0</v>
      </c>
      <c r="G684" s="18">
        <f>IF(J684=1,VLOOKUP(K684,RPM!$E$2:$H$62,3,FALSE)-F684-E684-D684,IF(J684=2,VLOOKUP(K684,RPM!$H$2:$K$62,3,FALSE)-F684-E684-D684,IF(J684=3,VLOOKUP(K684,RPM!$K$2:$N$62,3,FALSE)-F684-E684-D684)))</f>
        <v>688.48526429214962</v>
      </c>
      <c r="H684" s="19">
        <f>IF(J684=1,Specification!$I$14,IF(J684=2,Specification!$I$15,IF(J684=3,Specification!$I$16)))</f>
        <v>582.50936296077191</v>
      </c>
      <c r="I684" s="16">
        <f t="shared" si="129"/>
        <v>0</v>
      </c>
      <c r="J684" s="17">
        <v>2</v>
      </c>
      <c r="K684" s="16">
        <f>IF(J684=1,VLOOKUP(B684,RPM!$F$2:$H$62,3,TRUE),IF(J684=2,VLOOKUP(B684,RPM!$I$2:$K$62,3,TRUE),IF(J684=3,VLOOKUP(B684,RPM!$L$2:$N$62,3,TRUE))))</f>
        <v>7000</v>
      </c>
      <c r="L684" s="17">
        <f t="shared" si="128"/>
        <v>55.202923294251647</v>
      </c>
      <c r="M684" s="16">
        <f t="shared" si="127"/>
        <v>0</v>
      </c>
      <c r="N684" s="17">
        <f>VLOOKUP(K684,RPM!$A$2:$D$62,3,FALSE)</f>
        <v>13</v>
      </c>
      <c r="O684" s="16">
        <f>VLOOKUP(K684,RPM!$A$2:$D$62,4,FALSE)</f>
        <v>13.235857142857142</v>
      </c>
      <c r="P684" s="17">
        <f t="shared" si="118"/>
        <v>9.8699786714285711</v>
      </c>
      <c r="Q684" s="16" cm="1">
        <f t="array" ref="Q684">_xlfn.XLOOKUP(O684,BSFC!$A$2:$A$24,_xlfn.XLOOKUP(K684,BSFC!$B$1:$O$1,BSFC!$B$2:$O$24,,-1),,-1)</f>
        <v>520</v>
      </c>
      <c r="R684" s="17">
        <f t="shared" si="119"/>
        <v>1.425663585873016</v>
      </c>
      <c r="S684" s="16">
        <f t="shared" si="120"/>
        <v>2.0443068048076269E-4</v>
      </c>
      <c r="T684" s="17">
        <f t="shared" si="124"/>
        <v>0.10630395384999659</v>
      </c>
      <c r="U684" s="16">
        <f t="shared" si="125"/>
        <v>92.413759844203639</v>
      </c>
      <c r="V684" s="17">
        <f t="shared" si="126"/>
        <v>0.19388116649859216</v>
      </c>
      <c r="W684" s="16">
        <f t="shared" si="121"/>
        <v>697972.19939493178</v>
      </c>
      <c r="X684">
        <f>('Hybrid Info'!$A$2-Track!P684)*(L684-L683)*1000+X683</f>
        <v>-33955.058611754459</v>
      </c>
    </row>
    <row r="685" spans="1:24">
      <c r="A685" s="16">
        <f t="shared" si="122"/>
        <v>684</v>
      </c>
      <c r="B685" s="17">
        <f t="shared" si="123"/>
        <v>13.411199999999999</v>
      </c>
      <c r="C685" s="16">
        <f>Specification!$G$29</f>
        <v>164.943378</v>
      </c>
      <c r="D685" s="17">
        <f>0.5*Specification!$K$4*Track!B685^2*Specification!$K$3*Specification!$K$2</f>
        <v>93.159842569492653</v>
      </c>
      <c r="E685" s="16">
        <v>0</v>
      </c>
      <c r="F685" s="17">
        <f>Specification!$C$23*9.81*SIN((E685*PI()/180))</f>
        <v>0</v>
      </c>
      <c r="G685" s="18">
        <f>IF(J685=1,VLOOKUP(K685,RPM!$E$2:$H$62,3,FALSE)-F685-E685-D685,IF(J685=2,VLOOKUP(K685,RPM!$H$2:$K$62,3,FALSE)-F685-E685-D685,IF(J685=3,VLOOKUP(K685,RPM!$K$2:$N$62,3,FALSE)-F685-E685-D685)))</f>
        <v>688.48526429214962</v>
      </c>
      <c r="H685" s="19">
        <f>IF(J685=1,Specification!$I$14,IF(J685=2,Specification!$I$15,IF(J685=3,Specification!$I$16)))</f>
        <v>582.50936296077191</v>
      </c>
      <c r="I685" s="16">
        <f t="shared" si="129"/>
        <v>0</v>
      </c>
      <c r="J685" s="17">
        <v>2</v>
      </c>
      <c r="K685" s="16">
        <f>IF(J685=1,VLOOKUP(B685,RPM!$F$2:$H$62,3,TRUE),IF(J685=2,VLOOKUP(B685,RPM!$I$2:$K$62,3,TRUE),IF(J685=3,VLOOKUP(B685,RPM!$L$2:$N$62,3,TRUE))))</f>
        <v>7000</v>
      </c>
      <c r="L685" s="17">
        <f t="shared" si="128"/>
        <v>55.27748783732013</v>
      </c>
      <c r="M685" s="16">
        <f t="shared" si="127"/>
        <v>0</v>
      </c>
      <c r="N685" s="17">
        <f>VLOOKUP(K685,RPM!$A$2:$D$62,3,FALSE)</f>
        <v>13</v>
      </c>
      <c r="O685" s="16">
        <f>VLOOKUP(K685,RPM!$A$2:$D$62,4,FALSE)</f>
        <v>13.235857142857142</v>
      </c>
      <c r="P685" s="17">
        <f t="shared" si="118"/>
        <v>9.8699786714285711</v>
      </c>
      <c r="Q685" s="16" cm="1">
        <f t="array" ref="Q685">_xlfn.XLOOKUP(O685,BSFC!$A$2:$A$24,_xlfn.XLOOKUP(K685,BSFC!$B$1:$O$1,BSFC!$B$2:$O$24,,-1),,-1)</f>
        <v>520</v>
      </c>
      <c r="R685" s="17">
        <f t="shared" si="119"/>
        <v>1.425663585873016</v>
      </c>
      <c r="S685" s="16">
        <f t="shared" si="120"/>
        <v>2.0443068048076269E-4</v>
      </c>
      <c r="T685" s="17">
        <f t="shared" si="124"/>
        <v>0.10630395384999659</v>
      </c>
      <c r="U685" s="16">
        <f t="shared" si="125"/>
        <v>92.520063798053641</v>
      </c>
      <c r="V685" s="17">
        <f t="shared" si="126"/>
        <v>0.19408559717907292</v>
      </c>
      <c r="W685" s="16">
        <f t="shared" si="121"/>
        <v>698708.14984466252</v>
      </c>
      <c r="X685">
        <f>('Hybrid Info'!$A$2-Track!P685)*(L685-L684)*1000+X684</f>
        <v>-33787.252902768189</v>
      </c>
    </row>
    <row r="686" spans="1:24">
      <c r="A686" s="16">
        <f t="shared" si="122"/>
        <v>685</v>
      </c>
      <c r="B686" s="17">
        <f t="shared" si="123"/>
        <v>13.411199999999999</v>
      </c>
      <c r="C686" s="16">
        <f>Specification!$G$29</f>
        <v>164.943378</v>
      </c>
      <c r="D686" s="17">
        <f>0.5*Specification!$K$4*Track!B686^2*Specification!$K$3*Specification!$K$2</f>
        <v>93.159842569492653</v>
      </c>
      <c r="E686" s="16">
        <v>0</v>
      </c>
      <c r="F686" s="17">
        <f>Specification!$C$23*9.81*SIN((E686*PI()/180))</f>
        <v>0</v>
      </c>
      <c r="G686" s="18">
        <f>IF(J686=1,VLOOKUP(K686,RPM!$E$2:$H$62,3,FALSE)-F686-E686-D686,IF(J686=2,VLOOKUP(K686,RPM!$H$2:$K$62,3,FALSE)-F686-E686-D686,IF(J686=3,VLOOKUP(K686,RPM!$K$2:$N$62,3,FALSE)-F686-E686-D686)))</f>
        <v>688.48526429214962</v>
      </c>
      <c r="H686" s="19">
        <f>IF(J686=1,Specification!$I$14,IF(J686=2,Specification!$I$15,IF(J686=3,Specification!$I$16)))</f>
        <v>582.50936296077191</v>
      </c>
      <c r="I686" s="16">
        <f t="shared" si="129"/>
        <v>0</v>
      </c>
      <c r="J686" s="17">
        <v>2</v>
      </c>
      <c r="K686" s="16">
        <f>IF(J686=1,VLOOKUP(B686,RPM!$F$2:$H$62,3,TRUE),IF(J686=2,VLOOKUP(B686,RPM!$I$2:$K$62,3,TRUE),IF(J686=3,VLOOKUP(B686,RPM!$L$2:$N$62,3,TRUE))))</f>
        <v>7000</v>
      </c>
      <c r="L686" s="17">
        <f t="shared" si="128"/>
        <v>55.352052380388614</v>
      </c>
      <c r="M686" s="16">
        <f t="shared" si="127"/>
        <v>0</v>
      </c>
      <c r="N686" s="17">
        <f>VLOOKUP(K686,RPM!$A$2:$D$62,3,FALSE)</f>
        <v>13</v>
      </c>
      <c r="O686" s="16">
        <f>VLOOKUP(K686,RPM!$A$2:$D$62,4,FALSE)</f>
        <v>13.235857142857142</v>
      </c>
      <c r="P686" s="17">
        <f t="shared" si="118"/>
        <v>9.8699786714285711</v>
      </c>
      <c r="Q686" s="16" cm="1">
        <f t="array" ref="Q686">_xlfn.XLOOKUP(O686,BSFC!$A$2:$A$24,_xlfn.XLOOKUP(K686,BSFC!$B$1:$O$1,BSFC!$B$2:$O$24,,-1),,-1)</f>
        <v>520</v>
      </c>
      <c r="R686" s="17">
        <f t="shared" si="119"/>
        <v>1.425663585873016</v>
      </c>
      <c r="S686" s="16">
        <f t="shared" si="120"/>
        <v>2.0443068048076269E-4</v>
      </c>
      <c r="T686" s="17">
        <f t="shared" si="124"/>
        <v>0.10630395384999659</v>
      </c>
      <c r="U686" s="16">
        <f t="shared" si="125"/>
        <v>92.626367751903643</v>
      </c>
      <c r="V686" s="17">
        <f t="shared" si="126"/>
        <v>0.19429002785955368</v>
      </c>
      <c r="W686" s="16">
        <f t="shared" si="121"/>
        <v>699444.10029439325</v>
      </c>
      <c r="X686">
        <f>('Hybrid Info'!$A$2-Track!P686)*(L686-L685)*1000+X685</f>
        <v>-33619.447193781918</v>
      </c>
    </row>
    <row r="687" spans="1:24">
      <c r="A687" s="16">
        <f t="shared" si="122"/>
        <v>686</v>
      </c>
      <c r="B687" s="17">
        <f t="shared" si="123"/>
        <v>13.411199999999999</v>
      </c>
      <c r="C687" s="16">
        <f>Specification!$G$29</f>
        <v>164.943378</v>
      </c>
      <c r="D687" s="17">
        <f>0.5*Specification!$K$4*Track!B687^2*Specification!$K$3*Specification!$K$2</f>
        <v>93.159842569492653</v>
      </c>
      <c r="E687" s="16">
        <v>0</v>
      </c>
      <c r="F687" s="17">
        <f>Specification!$C$23*9.81*SIN((E687*PI()/180))</f>
        <v>0</v>
      </c>
      <c r="G687" s="18">
        <f>IF(J687=1,VLOOKUP(K687,RPM!$E$2:$H$62,3,FALSE)-F687-E687-D687,IF(J687=2,VLOOKUP(K687,RPM!$H$2:$K$62,3,FALSE)-F687-E687-D687,IF(J687=3,VLOOKUP(K687,RPM!$K$2:$N$62,3,FALSE)-F687-E687-D687)))</f>
        <v>688.48526429214962</v>
      </c>
      <c r="H687" s="19">
        <f>IF(J687=1,Specification!$I$14,IF(J687=2,Specification!$I$15,IF(J687=3,Specification!$I$16)))</f>
        <v>582.50936296077191</v>
      </c>
      <c r="I687" s="16">
        <f t="shared" si="129"/>
        <v>0</v>
      </c>
      <c r="J687" s="17">
        <v>2</v>
      </c>
      <c r="K687" s="16">
        <f>IF(J687=1,VLOOKUP(B687,RPM!$F$2:$H$62,3,TRUE),IF(J687=2,VLOOKUP(B687,RPM!$I$2:$K$62,3,TRUE),IF(J687=3,VLOOKUP(B687,RPM!$L$2:$N$62,3,TRUE))))</f>
        <v>7000</v>
      </c>
      <c r="L687" s="17">
        <f t="shared" si="128"/>
        <v>55.426616923457097</v>
      </c>
      <c r="M687" s="16">
        <f t="shared" si="127"/>
        <v>0</v>
      </c>
      <c r="N687" s="17">
        <f>VLOOKUP(K687,RPM!$A$2:$D$62,3,FALSE)</f>
        <v>13</v>
      </c>
      <c r="O687" s="16">
        <f>VLOOKUP(K687,RPM!$A$2:$D$62,4,FALSE)</f>
        <v>13.235857142857142</v>
      </c>
      <c r="P687" s="17">
        <f t="shared" si="118"/>
        <v>9.8699786714285711</v>
      </c>
      <c r="Q687" s="16" cm="1">
        <f t="array" ref="Q687">_xlfn.XLOOKUP(O687,BSFC!$A$2:$A$24,_xlfn.XLOOKUP(K687,BSFC!$B$1:$O$1,BSFC!$B$2:$O$24,,-1),,-1)</f>
        <v>520</v>
      </c>
      <c r="R687" s="17">
        <f t="shared" si="119"/>
        <v>1.425663585873016</v>
      </c>
      <c r="S687" s="16">
        <f t="shared" si="120"/>
        <v>2.0443068048076269E-4</v>
      </c>
      <c r="T687" s="17">
        <f t="shared" si="124"/>
        <v>0.10630395384999659</v>
      </c>
      <c r="U687" s="16">
        <f t="shared" si="125"/>
        <v>92.732671705753646</v>
      </c>
      <c r="V687" s="17">
        <f t="shared" si="126"/>
        <v>0.19449445854003444</v>
      </c>
      <c r="W687" s="16">
        <f t="shared" si="121"/>
        <v>700180.05074412399</v>
      </c>
      <c r="X687">
        <f>('Hybrid Info'!$A$2-Track!P687)*(L687-L686)*1000+X686</f>
        <v>-33451.641484795648</v>
      </c>
    </row>
    <row r="688" spans="1:24">
      <c r="A688" s="16">
        <f t="shared" si="122"/>
        <v>687</v>
      </c>
      <c r="B688" s="17">
        <f t="shared" si="123"/>
        <v>13.411199999999999</v>
      </c>
      <c r="C688" s="16">
        <f>Specification!$G$29</f>
        <v>164.943378</v>
      </c>
      <c r="D688" s="17">
        <f>0.5*Specification!$K$4*Track!B688^2*Specification!$K$3*Specification!$K$2</f>
        <v>93.159842569492653</v>
      </c>
      <c r="E688" s="16">
        <v>0</v>
      </c>
      <c r="F688" s="17">
        <f>Specification!$C$23*9.81*SIN((E688*PI()/180))</f>
        <v>0</v>
      </c>
      <c r="G688" s="18">
        <f>IF(J688=1,VLOOKUP(K688,RPM!$E$2:$H$62,3,FALSE)-F688-E688-D688,IF(J688=2,VLOOKUP(K688,RPM!$H$2:$K$62,3,FALSE)-F688-E688-D688,IF(J688=3,VLOOKUP(K688,RPM!$K$2:$N$62,3,FALSE)-F688-E688-D688)))</f>
        <v>688.48526429214962</v>
      </c>
      <c r="H688" s="19">
        <f>IF(J688=1,Specification!$I$14,IF(J688=2,Specification!$I$15,IF(J688=3,Specification!$I$16)))</f>
        <v>582.50936296077191</v>
      </c>
      <c r="I688" s="16">
        <f t="shared" si="129"/>
        <v>0</v>
      </c>
      <c r="J688" s="17">
        <v>2</v>
      </c>
      <c r="K688" s="16">
        <f>IF(J688=1,VLOOKUP(B688,RPM!$F$2:$H$62,3,TRUE),IF(J688=2,VLOOKUP(B688,RPM!$I$2:$K$62,3,TRUE),IF(J688=3,VLOOKUP(B688,RPM!$L$2:$N$62,3,TRUE))))</f>
        <v>7000</v>
      </c>
      <c r="L688" s="17">
        <f t="shared" si="128"/>
        <v>55.50118146652558</v>
      </c>
      <c r="M688" s="16">
        <f t="shared" si="127"/>
        <v>0</v>
      </c>
      <c r="N688" s="17">
        <f>VLOOKUP(K688,RPM!$A$2:$D$62,3,FALSE)</f>
        <v>13</v>
      </c>
      <c r="O688" s="16">
        <f>VLOOKUP(K688,RPM!$A$2:$D$62,4,FALSE)</f>
        <v>13.235857142857142</v>
      </c>
      <c r="P688" s="17">
        <f t="shared" si="118"/>
        <v>9.8699786714285711</v>
      </c>
      <c r="Q688" s="16" cm="1">
        <f t="array" ref="Q688">_xlfn.XLOOKUP(O688,BSFC!$A$2:$A$24,_xlfn.XLOOKUP(K688,BSFC!$B$1:$O$1,BSFC!$B$2:$O$24,,-1),,-1)</f>
        <v>520</v>
      </c>
      <c r="R688" s="17">
        <f t="shared" si="119"/>
        <v>1.425663585873016</v>
      </c>
      <c r="S688" s="16">
        <f t="shared" si="120"/>
        <v>2.0443068048076269E-4</v>
      </c>
      <c r="T688" s="17">
        <f t="shared" si="124"/>
        <v>0.10630395384999659</v>
      </c>
      <c r="U688" s="16">
        <f t="shared" si="125"/>
        <v>92.838975659603648</v>
      </c>
      <c r="V688" s="17">
        <f t="shared" si="126"/>
        <v>0.1946988892205152</v>
      </c>
      <c r="W688" s="16">
        <f t="shared" si="121"/>
        <v>700916.00119385472</v>
      </c>
      <c r="X688">
        <f>('Hybrid Info'!$A$2-Track!P688)*(L688-L687)*1000+X687</f>
        <v>-33283.835775809377</v>
      </c>
    </row>
    <row r="689" spans="1:24">
      <c r="A689" s="16">
        <f t="shared" si="122"/>
        <v>688</v>
      </c>
      <c r="B689" s="17">
        <f t="shared" si="123"/>
        <v>13.411199999999999</v>
      </c>
      <c r="C689" s="16">
        <f>Specification!$G$29</f>
        <v>164.943378</v>
      </c>
      <c r="D689" s="17">
        <f>0.5*Specification!$K$4*Track!B689^2*Specification!$K$3*Specification!$K$2</f>
        <v>93.159842569492653</v>
      </c>
      <c r="E689" s="16">
        <v>0</v>
      </c>
      <c r="F689" s="17">
        <f>Specification!$C$23*9.81*SIN((E689*PI()/180))</f>
        <v>0</v>
      </c>
      <c r="G689" s="18">
        <f>IF(J689=1,VLOOKUP(K689,RPM!$E$2:$H$62,3,FALSE)-F689-E689-D689,IF(J689=2,VLOOKUP(K689,RPM!$H$2:$K$62,3,FALSE)-F689-E689-D689,IF(J689=3,VLOOKUP(K689,RPM!$K$2:$N$62,3,FALSE)-F689-E689-D689)))</f>
        <v>688.48526429214962</v>
      </c>
      <c r="H689" s="19">
        <f>IF(J689=1,Specification!$I$14,IF(J689=2,Specification!$I$15,IF(J689=3,Specification!$I$16)))</f>
        <v>582.50936296077191</v>
      </c>
      <c r="I689" s="16">
        <f t="shared" si="129"/>
        <v>0</v>
      </c>
      <c r="J689" s="17">
        <v>2</v>
      </c>
      <c r="K689" s="16">
        <f>IF(J689=1,VLOOKUP(B689,RPM!$F$2:$H$62,3,TRUE),IF(J689=2,VLOOKUP(B689,RPM!$I$2:$K$62,3,TRUE),IF(J689=3,VLOOKUP(B689,RPM!$L$2:$N$62,3,TRUE))))</f>
        <v>7000</v>
      </c>
      <c r="L689" s="17">
        <f t="shared" si="128"/>
        <v>55.575746009594063</v>
      </c>
      <c r="M689" s="16">
        <f t="shared" si="127"/>
        <v>0</v>
      </c>
      <c r="N689" s="17">
        <f>VLOOKUP(K689,RPM!$A$2:$D$62,3,FALSE)</f>
        <v>13</v>
      </c>
      <c r="O689" s="16">
        <f>VLOOKUP(K689,RPM!$A$2:$D$62,4,FALSE)</f>
        <v>13.235857142857142</v>
      </c>
      <c r="P689" s="17">
        <f t="shared" si="118"/>
        <v>9.8699786714285711</v>
      </c>
      <c r="Q689" s="16" cm="1">
        <f t="array" ref="Q689">_xlfn.XLOOKUP(O689,BSFC!$A$2:$A$24,_xlfn.XLOOKUP(K689,BSFC!$B$1:$O$1,BSFC!$B$2:$O$24,,-1),,-1)</f>
        <v>520</v>
      </c>
      <c r="R689" s="17">
        <f t="shared" si="119"/>
        <v>1.425663585873016</v>
      </c>
      <c r="S689" s="16">
        <f t="shared" si="120"/>
        <v>2.0443068048076269E-4</v>
      </c>
      <c r="T689" s="17">
        <f t="shared" si="124"/>
        <v>0.10630395384999659</v>
      </c>
      <c r="U689" s="16">
        <f t="shared" si="125"/>
        <v>92.94527961345365</v>
      </c>
      <c r="V689" s="17">
        <f t="shared" si="126"/>
        <v>0.19490331990099596</v>
      </c>
      <c r="W689" s="16">
        <f t="shared" si="121"/>
        <v>701651.95164358546</v>
      </c>
      <c r="X689">
        <f>('Hybrid Info'!$A$2-Track!P689)*(L689-L688)*1000+X688</f>
        <v>-33116.030066823107</v>
      </c>
    </row>
    <row r="690" spans="1:24">
      <c r="A690" s="16">
        <f t="shared" si="122"/>
        <v>689</v>
      </c>
      <c r="B690" s="17">
        <f t="shared" si="123"/>
        <v>13.411199999999999</v>
      </c>
      <c r="C690" s="16">
        <f>Specification!$G$29</f>
        <v>164.943378</v>
      </c>
      <c r="D690" s="17">
        <f>0.5*Specification!$K$4*Track!B690^2*Specification!$K$3*Specification!$K$2</f>
        <v>93.159842569492653</v>
      </c>
      <c r="E690" s="16">
        <v>0</v>
      </c>
      <c r="F690" s="17">
        <f>Specification!$C$23*9.81*SIN((E690*PI()/180))</f>
        <v>0</v>
      </c>
      <c r="G690" s="18">
        <f>IF(J690=1,VLOOKUP(K690,RPM!$E$2:$H$62,3,FALSE)-F690-E690-D690,IF(J690=2,VLOOKUP(K690,RPM!$H$2:$K$62,3,FALSE)-F690-E690-D690,IF(J690=3,VLOOKUP(K690,RPM!$K$2:$N$62,3,FALSE)-F690-E690-D690)))</f>
        <v>688.48526429214962</v>
      </c>
      <c r="H690" s="19">
        <f>IF(J690=1,Specification!$I$14,IF(J690=2,Specification!$I$15,IF(J690=3,Specification!$I$16)))</f>
        <v>582.50936296077191</v>
      </c>
      <c r="I690" s="16">
        <f t="shared" si="129"/>
        <v>0</v>
      </c>
      <c r="J690" s="17">
        <v>2</v>
      </c>
      <c r="K690" s="16">
        <f>IF(J690=1,VLOOKUP(B690,RPM!$F$2:$H$62,3,TRUE),IF(J690=2,VLOOKUP(B690,RPM!$I$2:$K$62,3,TRUE),IF(J690=3,VLOOKUP(B690,RPM!$L$2:$N$62,3,TRUE))))</f>
        <v>7000</v>
      </c>
      <c r="L690" s="17">
        <f t="shared" si="128"/>
        <v>55.650310552662546</v>
      </c>
      <c r="M690" s="16">
        <f t="shared" si="127"/>
        <v>0</v>
      </c>
      <c r="N690" s="17">
        <f>VLOOKUP(K690,RPM!$A$2:$D$62,3,FALSE)</f>
        <v>13</v>
      </c>
      <c r="O690" s="16">
        <f>VLOOKUP(K690,RPM!$A$2:$D$62,4,FALSE)</f>
        <v>13.235857142857142</v>
      </c>
      <c r="P690" s="17">
        <f t="shared" si="118"/>
        <v>9.8699786714285711</v>
      </c>
      <c r="Q690" s="16" cm="1">
        <f t="array" ref="Q690">_xlfn.XLOOKUP(O690,BSFC!$A$2:$A$24,_xlfn.XLOOKUP(K690,BSFC!$B$1:$O$1,BSFC!$B$2:$O$24,,-1),,-1)</f>
        <v>520</v>
      </c>
      <c r="R690" s="17">
        <f t="shared" si="119"/>
        <v>1.425663585873016</v>
      </c>
      <c r="S690" s="16">
        <f t="shared" si="120"/>
        <v>2.0443068048076269E-4</v>
      </c>
      <c r="T690" s="17">
        <f t="shared" si="124"/>
        <v>0.10630395384999659</v>
      </c>
      <c r="U690" s="16">
        <f t="shared" si="125"/>
        <v>93.051583567303652</v>
      </c>
      <c r="V690" s="17">
        <f t="shared" si="126"/>
        <v>0.19510775058147672</v>
      </c>
      <c r="W690" s="16">
        <f t="shared" si="121"/>
        <v>702387.9020933162</v>
      </c>
      <c r="X690">
        <f>('Hybrid Info'!$A$2-Track!P690)*(L690-L689)*1000+X689</f>
        <v>-32948.224357836836</v>
      </c>
    </row>
    <row r="691" spans="1:24">
      <c r="A691" s="16">
        <f t="shared" si="122"/>
        <v>690</v>
      </c>
      <c r="B691" s="17">
        <f t="shared" ref="B691:B752" si="130">IF(SQRT(B690^2+2*I690)&gt;13.4112,13.4112,SQRT(B690^2+2*I690))</f>
        <v>13.411199999999999</v>
      </c>
      <c r="C691" s="16">
        <f>Specification!$G$29</f>
        <v>164.943378</v>
      </c>
      <c r="D691" s="17">
        <f>0.5*Specification!$K$4*Track!B691^2*Specification!$K$3*Specification!$K$2</f>
        <v>93.159842569492653</v>
      </c>
      <c r="E691" s="16">
        <v>0</v>
      </c>
      <c r="F691" s="17">
        <f>Specification!$C$23*9.81*SIN((E691*PI()/180))</f>
        <v>0</v>
      </c>
      <c r="G691" s="18">
        <f>IF(J691=1,VLOOKUP(K691,RPM!$E$2:$H$62,3,FALSE)-F691-E691-D691,IF(J691=2,VLOOKUP(K691,RPM!$H$2:$K$62,3,FALSE)-F691-E691-D691,IF(J691=3,VLOOKUP(K691,RPM!$K$2:$N$62,3,FALSE)-F691-E691-D691)))</f>
        <v>688.48526429214962</v>
      </c>
      <c r="H691" s="19">
        <f>IF(J691=1,Specification!$I$14,IF(J691=2,Specification!$I$15,IF(J691=3,Specification!$I$16)))</f>
        <v>582.50936296077191</v>
      </c>
      <c r="I691" s="16">
        <f t="shared" si="129"/>
        <v>0</v>
      </c>
      <c r="J691" s="17">
        <v>2</v>
      </c>
      <c r="K691" s="16">
        <f>IF(J691=1,VLOOKUP(B691,RPM!$F$2:$H$62,3,TRUE),IF(J691=2,VLOOKUP(B691,RPM!$I$2:$K$62,3,TRUE),IF(J691=3,VLOOKUP(B691,RPM!$L$2:$N$62,3,TRUE))))</f>
        <v>7000</v>
      </c>
      <c r="L691" s="17">
        <f t="shared" si="128"/>
        <v>55.724875095731029</v>
      </c>
      <c r="M691" s="16">
        <f t="shared" ref="M691:M754" si="131">TAN(E691*PI()/180)+M690</f>
        <v>0</v>
      </c>
      <c r="N691" s="17">
        <f>VLOOKUP(K691,RPM!$A$2:$D$62,3,FALSE)</f>
        <v>13</v>
      </c>
      <c r="O691" s="16">
        <f>VLOOKUP(K691,RPM!$A$2:$D$62,4,FALSE)</f>
        <v>13.235857142857142</v>
      </c>
      <c r="P691" s="17">
        <f t="shared" si="118"/>
        <v>9.8699786714285711</v>
      </c>
      <c r="Q691" s="16" cm="1">
        <f t="array" ref="Q691">_xlfn.XLOOKUP(O691,BSFC!$A$2:$A$24,_xlfn.XLOOKUP(K691,BSFC!$B$1:$O$1,BSFC!$B$2:$O$24,,-1),,-1)</f>
        <v>520</v>
      </c>
      <c r="R691" s="17">
        <f t="shared" si="119"/>
        <v>1.425663585873016</v>
      </c>
      <c r="S691" s="16">
        <f t="shared" si="120"/>
        <v>2.0443068048076269E-4</v>
      </c>
      <c r="T691" s="17">
        <f t="shared" si="124"/>
        <v>0.10630395384999659</v>
      </c>
      <c r="U691" s="16">
        <f t="shared" si="125"/>
        <v>93.157887521153654</v>
      </c>
      <c r="V691" s="17">
        <f t="shared" si="126"/>
        <v>0.19531218126195748</v>
      </c>
      <c r="W691" s="16">
        <f t="shared" si="121"/>
        <v>703123.85254304693</v>
      </c>
      <c r="X691">
        <f>('Hybrid Info'!$A$2-Track!P691)*(L691-L690)*1000+X690</f>
        <v>-32780.418648850566</v>
      </c>
    </row>
    <row r="692" spans="1:24">
      <c r="A692" s="16">
        <f t="shared" si="122"/>
        <v>691</v>
      </c>
      <c r="B692" s="17">
        <f t="shared" si="130"/>
        <v>13.411199999999999</v>
      </c>
      <c r="C692" s="16">
        <f>Specification!$G$29</f>
        <v>164.943378</v>
      </c>
      <c r="D692" s="17">
        <f>0.5*Specification!$K$4*Track!B692^2*Specification!$K$3*Specification!$K$2</f>
        <v>93.159842569492653</v>
      </c>
      <c r="E692" s="16">
        <v>0</v>
      </c>
      <c r="F692" s="17">
        <f>Specification!$C$23*9.81*SIN((E692*PI()/180))</f>
        <v>0</v>
      </c>
      <c r="G692" s="18">
        <f>IF(J692=1,VLOOKUP(K692,RPM!$E$2:$H$62,3,FALSE)-F692-E692-D692,IF(J692=2,VLOOKUP(K692,RPM!$H$2:$K$62,3,FALSE)-F692-E692-D692,IF(J692=3,VLOOKUP(K692,RPM!$K$2:$N$62,3,FALSE)-F692-E692-D692)))</f>
        <v>688.48526429214962</v>
      </c>
      <c r="H692" s="19">
        <f>IF(J692=1,Specification!$I$14,IF(J692=2,Specification!$I$15,IF(J692=3,Specification!$I$16)))</f>
        <v>582.50936296077191</v>
      </c>
      <c r="I692" s="16">
        <f t="shared" si="129"/>
        <v>0</v>
      </c>
      <c r="J692" s="17">
        <v>2</v>
      </c>
      <c r="K692" s="16">
        <f>IF(J692=1,VLOOKUP(B692,RPM!$F$2:$H$62,3,TRUE),IF(J692=2,VLOOKUP(B692,RPM!$I$2:$K$62,3,TRUE),IF(J692=3,VLOOKUP(B692,RPM!$L$2:$N$62,3,TRUE))))</f>
        <v>7000</v>
      </c>
      <c r="L692" s="17">
        <f t="shared" si="128"/>
        <v>55.799439638799512</v>
      </c>
      <c r="M692" s="16">
        <f t="shared" si="131"/>
        <v>0</v>
      </c>
      <c r="N692" s="17">
        <f>VLOOKUP(K692,RPM!$A$2:$D$62,3,FALSE)</f>
        <v>13</v>
      </c>
      <c r="O692" s="16">
        <f>VLOOKUP(K692,RPM!$A$2:$D$62,4,FALSE)</f>
        <v>13.235857142857142</v>
      </c>
      <c r="P692" s="17">
        <f t="shared" si="118"/>
        <v>9.8699786714285711</v>
      </c>
      <c r="Q692" s="16" cm="1">
        <f t="array" ref="Q692">_xlfn.XLOOKUP(O692,BSFC!$A$2:$A$24,_xlfn.XLOOKUP(K692,BSFC!$B$1:$O$1,BSFC!$B$2:$O$24,,-1),,-1)</f>
        <v>520</v>
      </c>
      <c r="R692" s="17">
        <f t="shared" si="119"/>
        <v>1.425663585873016</v>
      </c>
      <c r="S692" s="16">
        <f t="shared" si="120"/>
        <v>2.0443068048076269E-4</v>
      </c>
      <c r="T692" s="17">
        <f t="shared" si="124"/>
        <v>0.10630395384999659</v>
      </c>
      <c r="U692" s="16">
        <f t="shared" si="125"/>
        <v>93.264191475003656</v>
      </c>
      <c r="V692" s="17">
        <f t="shared" si="126"/>
        <v>0.19551661194243825</v>
      </c>
      <c r="W692" s="16">
        <f t="shared" si="121"/>
        <v>703859.80299277767</v>
      </c>
      <c r="X692">
        <f>('Hybrid Info'!$A$2-Track!P692)*(L692-L691)*1000+X691</f>
        <v>-32612.612939864299</v>
      </c>
    </row>
    <row r="693" spans="1:24">
      <c r="A693" s="16">
        <f t="shared" si="122"/>
        <v>692</v>
      </c>
      <c r="B693" s="17">
        <f t="shared" si="130"/>
        <v>13.411199999999999</v>
      </c>
      <c r="C693" s="16">
        <f>Specification!$G$29</f>
        <v>164.943378</v>
      </c>
      <c r="D693" s="17">
        <f>0.5*Specification!$K$4*Track!B693^2*Specification!$K$3*Specification!$K$2</f>
        <v>93.159842569492653</v>
      </c>
      <c r="E693" s="16">
        <v>0</v>
      </c>
      <c r="F693" s="17">
        <f>Specification!$C$23*9.81*SIN((E693*PI()/180))</f>
        <v>0</v>
      </c>
      <c r="G693" s="18">
        <f>IF(J693=1,VLOOKUP(K693,RPM!$E$2:$H$62,3,FALSE)-F693-E693-D693,IF(J693=2,VLOOKUP(K693,RPM!$H$2:$K$62,3,FALSE)-F693-E693-D693,IF(J693=3,VLOOKUP(K693,RPM!$K$2:$N$62,3,FALSE)-F693-E693-D693)))</f>
        <v>688.48526429214962</v>
      </c>
      <c r="H693" s="19">
        <f>IF(J693=1,Specification!$I$14,IF(J693=2,Specification!$I$15,IF(J693=3,Specification!$I$16)))</f>
        <v>582.50936296077191</v>
      </c>
      <c r="I693" s="16">
        <f t="shared" si="129"/>
        <v>0</v>
      </c>
      <c r="J693" s="17">
        <v>2</v>
      </c>
      <c r="K693" s="16">
        <f>IF(J693=1,VLOOKUP(B693,RPM!$F$2:$H$62,3,TRUE),IF(J693=2,VLOOKUP(B693,RPM!$I$2:$K$62,3,TRUE),IF(J693=3,VLOOKUP(B693,RPM!$L$2:$N$62,3,TRUE))))</f>
        <v>7000</v>
      </c>
      <c r="L693" s="17">
        <f t="shared" si="128"/>
        <v>55.874004181867996</v>
      </c>
      <c r="M693" s="16">
        <f t="shared" si="131"/>
        <v>0</v>
      </c>
      <c r="N693" s="17">
        <f>VLOOKUP(K693,RPM!$A$2:$D$62,3,FALSE)</f>
        <v>13</v>
      </c>
      <c r="O693" s="16">
        <f>VLOOKUP(K693,RPM!$A$2:$D$62,4,FALSE)</f>
        <v>13.235857142857142</v>
      </c>
      <c r="P693" s="17">
        <f t="shared" si="118"/>
        <v>9.8699786714285711</v>
      </c>
      <c r="Q693" s="16" cm="1">
        <f t="array" ref="Q693">_xlfn.XLOOKUP(O693,BSFC!$A$2:$A$24,_xlfn.XLOOKUP(K693,BSFC!$B$1:$O$1,BSFC!$B$2:$O$24,,-1),,-1)</f>
        <v>520</v>
      </c>
      <c r="R693" s="17">
        <f t="shared" si="119"/>
        <v>1.425663585873016</v>
      </c>
      <c r="S693" s="16">
        <f t="shared" si="120"/>
        <v>2.0443068048076269E-4</v>
      </c>
      <c r="T693" s="17">
        <f t="shared" si="124"/>
        <v>0.10630395384999659</v>
      </c>
      <c r="U693" s="16">
        <f t="shared" si="125"/>
        <v>93.370495428853658</v>
      </c>
      <c r="V693" s="17">
        <f t="shared" si="126"/>
        <v>0.19572104262291901</v>
      </c>
      <c r="W693" s="16">
        <f t="shared" si="121"/>
        <v>704595.7534425084</v>
      </c>
      <c r="X693">
        <f>('Hybrid Info'!$A$2-Track!P693)*(L693-L692)*1000+X692</f>
        <v>-32444.807230878032</v>
      </c>
    </row>
    <row r="694" spans="1:24">
      <c r="A694" s="16">
        <f t="shared" si="122"/>
        <v>693</v>
      </c>
      <c r="B694" s="17">
        <f t="shared" si="130"/>
        <v>13.411199999999999</v>
      </c>
      <c r="C694" s="16">
        <f>Specification!$G$29</f>
        <v>164.943378</v>
      </c>
      <c r="D694" s="17">
        <f>0.5*Specification!$K$4*Track!B694^2*Specification!$K$3*Specification!$K$2</f>
        <v>93.159842569492653</v>
      </c>
      <c r="E694" s="16">
        <v>0</v>
      </c>
      <c r="F694" s="17">
        <f>Specification!$C$23*9.81*SIN((E694*PI()/180))</f>
        <v>0</v>
      </c>
      <c r="G694" s="18">
        <f>IF(J694=1,VLOOKUP(K694,RPM!$E$2:$H$62,3,FALSE)-F694-E694-D694,IF(J694=2,VLOOKUP(K694,RPM!$H$2:$K$62,3,FALSE)-F694-E694-D694,IF(J694=3,VLOOKUP(K694,RPM!$K$2:$N$62,3,FALSE)-F694-E694-D694)))</f>
        <v>688.48526429214962</v>
      </c>
      <c r="H694" s="19">
        <f>IF(J694=1,Specification!$I$14,IF(J694=2,Specification!$I$15,IF(J694=3,Specification!$I$16)))</f>
        <v>582.50936296077191</v>
      </c>
      <c r="I694" s="16">
        <f t="shared" si="129"/>
        <v>0</v>
      </c>
      <c r="J694" s="17">
        <v>2</v>
      </c>
      <c r="K694" s="16">
        <f>IF(J694=1,VLOOKUP(B694,RPM!$F$2:$H$62,3,TRUE),IF(J694=2,VLOOKUP(B694,RPM!$I$2:$K$62,3,TRUE),IF(J694=3,VLOOKUP(B694,RPM!$L$2:$N$62,3,TRUE))))</f>
        <v>7000</v>
      </c>
      <c r="L694" s="17">
        <f t="shared" si="128"/>
        <v>55.948568724936479</v>
      </c>
      <c r="M694" s="16">
        <f t="shared" si="131"/>
        <v>0</v>
      </c>
      <c r="N694" s="17">
        <f>VLOOKUP(K694,RPM!$A$2:$D$62,3,FALSE)</f>
        <v>13</v>
      </c>
      <c r="O694" s="16">
        <f>VLOOKUP(K694,RPM!$A$2:$D$62,4,FALSE)</f>
        <v>13.235857142857142</v>
      </c>
      <c r="P694" s="17">
        <f t="shared" si="118"/>
        <v>9.8699786714285711</v>
      </c>
      <c r="Q694" s="16" cm="1">
        <f t="array" ref="Q694">_xlfn.XLOOKUP(O694,BSFC!$A$2:$A$24,_xlfn.XLOOKUP(K694,BSFC!$B$1:$O$1,BSFC!$B$2:$O$24,,-1),,-1)</f>
        <v>520</v>
      </c>
      <c r="R694" s="17">
        <f t="shared" si="119"/>
        <v>1.425663585873016</v>
      </c>
      <c r="S694" s="16">
        <f t="shared" si="120"/>
        <v>2.0443068048076269E-4</v>
      </c>
      <c r="T694" s="17">
        <f t="shared" si="124"/>
        <v>0.10630395384999659</v>
      </c>
      <c r="U694" s="16">
        <f t="shared" si="125"/>
        <v>93.476799382703661</v>
      </c>
      <c r="V694" s="17">
        <f t="shared" si="126"/>
        <v>0.19592547330339977</v>
      </c>
      <c r="W694" s="16">
        <f t="shared" si="121"/>
        <v>705331.70389223914</v>
      </c>
      <c r="X694">
        <f>('Hybrid Info'!$A$2-Track!P694)*(L694-L693)*1000+X693</f>
        <v>-32277.001521891765</v>
      </c>
    </row>
    <row r="695" spans="1:24">
      <c r="A695" s="16">
        <f t="shared" si="122"/>
        <v>694</v>
      </c>
      <c r="B695" s="17">
        <f t="shared" si="130"/>
        <v>13.411199999999999</v>
      </c>
      <c r="C695" s="16">
        <f>Specification!$G$29</f>
        <v>164.943378</v>
      </c>
      <c r="D695" s="17">
        <f>0.5*Specification!$K$4*Track!B695^2*Specification!$K$3*Specification!$K$2</f>
        <v>93.159842569492653</v>
      </c>
      <c r="E695" s="16">
        <v>0</v>
      </c>
      <c r="F695" s="17">
        <f>Specification!$C$23*9.81*SIN((E695*PI()/180))</f>
        <v>0</v>
      </c>
      <c r="G695" s="18">
        <f>IF(J695=1,VLOOKUP(K695,RPM!$E$2:$H$62,3,FALSE)-F695-E695-D695,IF(J695=2,VLOOKUP(K695,RPM!$H$2:$K$62,3,FALSE)-F695-E695-D695,IF(J695=3,VLOOKUP(K695,RPM!$K$2:$N$62,3,FALSE)-F695-E695-D695)))</f>
        <v>688.48526429214962</v>
      </c>
      <c r="H695" s="19">
        <f>IF(J695=1,Specification!$I$14,IF(J695=2,Specification!$I$15,IF(J695=3,Specification!$I$16)))</f>
        <v>582.50936296077191</v>
      </c>
      <c r="I695" s="16">
        <f t="shared" si="129"/>
        <v>0</v>
      </c>
      <c r="J695" s="17">
        <v>2</v>
      </c>
      <c r="K695" s="16">
        <f>IF(J695=1,VLOOKUP(B695,RPM!$F$2:$H$62,3,TRUE),IF(J695=2,VLOOKUP(B695,RPM!$I$2:$K$62,3,TRUE),IF(J695=3,VLOOKUP(B695,RPM!$L$2:$N$62,3,TRUE))))</f>
        <v>7000</v>
      </c>
      <c r="L695" s="17">
        <f t="shared" si="128"/>
        <v>56.023133268004962</v>
      </c>
      <c r="M695" s="16">
        <f t="shared" si="131"/>
        <v>0</v>
      </c>
      <c r="N695" s="17">
        <f>VLOOKUP(K695,RPM!$A$2:$D$62,3,FALSE)</f>
        <v>13</v>
      </c>
      <c r="O695" s="16">
        <f>VLOOKUP(K695,RPM!$A$2:$D$62,4,FALSE)</f>
        <v>13.235857142857142</v>
      </c>
      <c r="P695" s="17">
        <f t="shared" si="118"/>
        <v>9.8699786714285711</v>
      </c>
      <c r="Q695" s="16" cm="1">
        <f t="array" ref="Q695">_xlfn.XLOOKUP(O695,BSFC!$A$2:$A$24,_xlfn.XLOOKUP(K695,BSFC!$B$1:$O$1,BSFC!$B$2:$O$24,,-1),,-1)</f>
        <v>520</v>
      </c>
      <c r="R695" s="17">
        <f t="shared" si="119"/>
        <v>1.425663585873016</v>
      </c>
      <c r="S695" s="16">
        <f t="shared" si="120"/>
        <v>2.0443068048076269E-4</v>
      </c>
      <c r="T695" s="17">
        <f t="shared" si="124"/>
        <v>0.10630395384999659</v>
      </c>
      <c r="U695" s="16">
        <f t="shared" si="125"/>
        <v>93.583103336553663</v>
      </c>
      <c r="V695" s="17">
        <f t="shared" si="126"/>
        <v>0.19612990398388053</v>
      </c>
      <c r="W695" s="16">
        <f t="shared" si="121"/>
        <v>706067.65434196987</v>
      </c>
      <c r="X695">
        <f>('Hybrid Info'!$A$2-Track!P695)*(L695-L694)*1000+X694</f>
        <v>-32109.195812905498</v>
      </c>
    </row>
    <row r="696" spans="1:24">
      <c r="A696" s="16">
        <f t="shared" si="122"/>
        <v>695</v>
      </c>
      <c r="B696" s="17">
        <f t="shared" si="130"/>
        <v>13.411199999999999</v>
      </c>
      <c r="C696" s="16">
        <f>Specification!$G$29</f>
        <v>164.943378</v>
      </c>
      <c r="D696" s="17">
        <f>0.5*Specification!$K$4*Track!B696^2*Specification!$K$3*Specification!$K$2</f>
        <v>93.159842569492653</v>
      </c>
      <c r="E696" s="16">
        <v>0</v>
      </c>
      <c r="F696" s="17">
        <f>Specification!$C$23*9.81*SIN((E696*PI()/180))</f>
        <v>0</v>
      </c>
      <c r="G696" s="18">
        <f>IF(J696=1,VLOOKUP(K696,RPM!$E$2:$H$62,3,FALSE)-F696-E696-D696,IF(J696=2,VLOOKUP(K696,RPM!$H$2:$K$62,3,FALSE)-F696-E696-D696,IF(J696=3,VLOOKUP(K696,RPM!$K$2:$N$62,3,FALSE)-F696-E696-D696)))</f>
        <v>688.48526429214962</v>
      </c>
      <c r="H696" s="19">
        <f>IF(J696=1,Specification!$I$14,IF(J696=2,Specification!$I$15,IF(J696=3,Specification!$I$16)))</f>
        <v>582.50936296077191</v>
      </c>
      <c r="I696" s="16">
        <f t="shared" si="129"/>
        <v>0</v>
      </c>
      <c r="J696" s="17">
        <v>2</v>
      </c>
      <c r="K696" s="16">
        <f>IF(J696=1,VLOOKUP(B696,RPM!$F$2:$H$62,3,TRUE),IF(J696=2,VLOOKUP(B696,RPM!$I$2:$K$62,3,TRUE),IF(J696=3,VLOOKUP(B696,RPM!$L$2:$N$62,3,TRUE))))</f>
        <v>7000</v>
      </c>
      <c r="L696" s="17">
        <f t="shared" si="128"/>
        <v>56.097697811073445</v>
      </c>
      <c r="M696" s="16">
        <f t="shared" si="131"/>
        <v>0</v>
      </c>
      <c r="N696" s="17">
        <f>VLOOKUP(K696,RPM!$A$2:$D$62,3,FALSE)</f>
        <v>13</v>
      </c>
      <c r="O696" s="16">
        <f>VLOOKUP(K696,RPM!$A$2:$D$62,4,FALSE)</f>
        <v>13.235857142857142</v>
      </c>
      <c r="P696" s="17">
        <f t="shared" si="118"/>
        <v>9.8699786714285711</v>
      </c>
      <c r="Q696" s="16" cm="1">
        <f t="array" ref="Q696">_xlfn.XLOOKUP(O696,BSFC!$A$2:$A$24,_xlfn.XLOOKUP(K696,BSFC!$B$1:$O$1,BSFC!$B$2:$O$24,,-1),,-1)</f>
        <v>520</v>
      </c>
      <c r="R696" s="17">
        <f t="shared" si="119"/>
        <v>1.425663585873016</v>
      </c>
      <c r="S696" s="16">
        <f t="shared" si="120"/>
        <v>2.0443068048076269E-4</v>
      </c>
      <c r="T696" s="17">
        <f t="shared" si="124"/>
        <v>0.10630395384999659</v>
      </c>
      <c r="U696" s="16">
        <f t="shared" si="125"/>
        <v>93.689407290403665</v>
      </c>
      <c r="V696" s="17">
        <f t="shared" si="126"/>
        <v>0.19633433466436129</v>
      </c>
      <c r="W696" s="16">
        <f t="shared" si="121"/>
        <v>706803.60479170061</v>
      </c>
      <c r="X696">
        <f>('Hybrid Info'!$A$2-Track!P696)*(L696-L695)*1000+X695</f>
        <v>-31941.390103919231</v>
      </c>
    </row>
    <row r="697" spans="1:24">
      <c r="A697" s="16">
        <f t="shared" si="122"/>
        <v>696</v>
      </c>
      <c r="B697" s="17">
        <f t="shared" si="130"/>
        <v>13.411199999999999</v>
      </c>
      <c r="C697" s="16">
        <f>Specification!$G$29</f>
        <v>164.943378</v>
      </c>
      <c r="D697" s="17">
        <f>0.5*Specification!$K$4*Track!B697^2*Specification!$K$3*Specification!$K$2</f>
        <v>93.159842569492653</v>
      </c>
      <c r="E697" s="16">
        <v>0</v>
      </c>
      <c r="F697" s="17">
        <f>Specification!$C$23*9.81*SIN((E697*PI()/180))</f>
        <v>0</v>
      </c>
      <c r="G697" s="18">
        <f>IF(J697=1,VLOOKUP(K697,RPM!$E$2:$H$62,3,FALSE)-F697-E697-D697,IF(J697=2,VLOOKUP(K697,RPM!$H$2:$K$62,3,FALSE)-F697-E697-D697,IF(J697=3,VLOOKUP(K697,RPM!$K$2:$N$62,3,FALSE)-F697-E697-D697)))</f>
        <v>688.48526429214962</v>
      </c>
      <c r="H697" s="19">
        <f>IF(J697=1,Specification!$I$14,IF(J697=2,Specification!$I$15,IF(J697=3,Specification!$I$16)))</f>
        <v>582.50936296077191</v>
      </c>
      <c r="I697" s="16">
        <f t="shared" si="129"/>
        <v>0</v>
      </c>
      <c r="J697" s="17">
        <v>2</v>
      </c>
      <c r="K697" s="16">
        <f>IF(J697=1,VLOOKUP(B697,RPM!$F$2:$H$62,3,TRUE),IF(J697=2,VLOOKUP(B697,RPM!$I$2:$K$62,3,TRUE),IF(J697=3,VLOOKUP(B697,RPM!$L$2:$N$62,3,TRUE))))</f>
        <v>7000</v>
      </c>
      <c r="L697" s="17">
        <f t="shared" si="128"/>
        <v>56.172262354141928</v>
      </c>
      <c r="M697" s="16">
        <f t="shared" si="131"/>
        <v>0</v>
      </c>
      <c r="N697" s="17">
        <f>VLOOKUP(K697,RPM!$A$2:$D$62,3,FALSE)</f>
        <v>13</v>
      </c>
      <c r="O697" s="16">
        <f>VLOOKUP(K697,RPM!$A$2:$D$62,4,FALSE)</f>
        <v>13.235857142857142</v>
      </c>
      <c r="P697" s="17">
        <f t="shared" si="118"/>
        <v>9.8699786714285711</v>
      </c>
      <c r="Q697" s="16" cm="1">
        <f t="array" ref="Q697">_xlfn.XLOOKUP(O697,BSFC!$A$2:$A$24,_xlfn.XLOOKUP(K697,BSFC!$B$1:$O$1,BSFC!$B$2:$O$24,,-1),,-1)</f>
        <v>520</v>
      </c>
      <c r="R697" s="17">
        <f t="shared" si="119"/>
        <v>1.425663585873016</v>
      </c>
      <c r="S697" s="16">
        <f t="shared" si="120"/>
        <v>2.0443068048076269E-4</v>
      </c>
      <c r="T697" s="17">
        <f t="shared" si="124"/>
        <v>0.10630395384999659</v>
      </c>
      <c r="U697" s="16">
        <f t="shared" si="125"/>
        <v>93.795711244253667</v>
      </c>
      <c r="V697" s="17">
        <f t="shared" si="126"/>
        <v>0.19653876534484205</v>
      </c>
      <c r="W697" s="16">
        <f t="shared" si="121"/>
        <v>707539.55524143134</v>
      </c>
      <c r="X697">
        <f>('Hybrid Info'!$A$2-Track!P697)*(L697-L696)*1000+X696</f>
        <v>-31773.584394932965</v>
      </c>
    </row>
    <row r="698" spans="1:24">
      <c r="A698" s="16">
        <f t="shared" si="122"/>
        <v>697</v>
      </c>
      <c r="B698" s="17">
        <f t="shared" si="130"/>
        <v>13.411199999999999</v>
      </c>
      <c r="C698" s="16">
        <f>Specification!$G$29</f>
        <v>164.943378</v>
      </c>
      <c r="D698" s="17">
        <f>0.5*Specification!$K$4*Track!B698^2*Specification!$K$3*Specification!$K$2</f>
        <v>93.159842569492653</v>
      </c>
      <c r="E698" s="16">
        <v>0</v>
      </c>
      <c r="F698" s="17">
        <f>Specification!$C$23*9.81*SIN((E698*PI()/180))</f>
        <v>0</v>
      </c>
      <c r="G698" s="18">
        <f>IF(J698=1,VLOOKUP(K698,RPM!$E$2:$H$62,3,FALSE)-F698-E698-D698,IF(J698=2,VLOOKUP(K698,RPM!$H$2:$K$62,3,FALSE)-F698-E698-D698,IF(J698=3,VLOOKUP(K698,RPM!$K$2:$N$62,3,FALSE)-F698-E698-D698)))</f>
        <v>688.48526429214962</v>
      </c>
      <c r="H698" s="19">
        <f>IF(J698=1,Specification!$I$14,IF(J698=2,Specification!$I$15,IF(J698=3,Specification!$I$16)))</f>
        <v>582.50936296077191</v>
      </c>
      <c r="I698" s="16">
        <f t="shared" si="129"/>
        <v>0</v>
      </c>
      <c r="J698" s="17">
        <v>2</v>
      </c>
      <c r="K698" s="16">
        <f>IF(J698=1,VLOOKUP(B698,RPM!$F$2:$H$62,3,TRUE),IF(J698=2,VLOOKUP(B698,RPM!$I$2:$K$62,3,TRUE),IF(J698=3,VLOOKUP(B698,RPM!$L$2:$N$62,3,TRUE))))</f>
        <v>7000</v>
      </c>
      <c r="L698" s="17">
        <f t="shared" si="128"/>
        <v>56.246826897210411</v>
      </c>
      <c r="M698" s="16">
        <f t="shared" si="131"/>
        <v>0</v>
      </c>
      <c r="N698" s="17">
        <f>VLOOKUP(K698,RPM!$A$2:$D$62,3,FALSE)</f>
        <v>13</v>
      </c>
      <c r="O698" s="16">
        <f>VLOOKUP(K698,RPM!$A$2:$D$62,4,FALSE)</f>
        <v>13.235857142857142</v>
      </c>
      <c r="P698" s="17">
        <f t="shared" si="118"/>
        <v>9.8699786714285711</v>
      </c>
      <c r="Q698" s="16" cm="1">
        <f t="array" ref="Q698">_xlfn.XLOOKUP(O698,BSFC!$A$2:$A$24,_xlfn.XLOOKUP(K698,BSFC!$B$1:$O$1,BSFC!$B$2:$O$24,,-1),,-1)</f>
        <v>520</v>
      </c>
      <c r="R698" s="17">
        <f t="shared" si="119"/>
        <v>1.425663585873016</v>
      </c>
      <c r="S698" s="16">
        <f t="shared" si="120"/>
        <v>2.0443068048076269E-4</v>
      </c>
      <c r="T698" s="17">
        <f t="shared" si="124"/>
        <v>0.10630395384999659</v>
      </c>
      <c r="U698" s="16">
        <f t="shared" si="125"/>
        <v>93.902015198103669</v>
      </c>
      <c r="V698" s="17">
        <f t="shared" si="126"/>
        <v>0.19674319602532281</v>
      </c>
      <c r="W698" s="16">
        <f t="shared" si="121"/>
        <v>708275.50569116219</v>
      </c>
      <c r="X698">
        <f>('Hybrid Info'!$A$2-Track!P698)*(L698-L697)*1000+X697</f>
        <v>-31605.778685946698</v>
      </c>
    </row>
    <row r="699" spans="1:24">
      <c r="A699" s="16">
        <f t="shared" si="122"/>
        <v>698</v>
      </c>
      <c r="B699" s="17">
        <f t="shared" si="130"/>
        <v>13.411199999999999</v>
      </c>
      <c r="C699" s="16">
        <f>Specification!$G$29</f>
        <v>164.943378</v>
      </c>
      <c r="D699" s="17">
        <f>0.5*Specification!$K$4*Track!B699^2*Specification!$K$3*Specification!$K$2</f>
        <v>93.159842569492653</v>
      </c>
      <c r="E699" s="16">
        <v>0</v>
      </c>
      <c r="F699" s="17">
        <f>Specification!$C$23*9.81*SIN((E699*PI()/180))</f>
        <v>0</v>
      </c>
      <c r="G699" s="18">
        <f>IF(J699=1,VLOOKUP(K699,RPM!$E$2:$H$62,3,FALSE)-F699-E699-D699,IF(J699=2,VLOOKUP(K699,RPM!$H$2:$K$62,3,FALSE)-F699-E699-D699,IF(J699=3,VLOOKUP(K699,RPM!$K$2:$N$62,3,FALSE)-F699-E699-D699)))</f>
        <v>688.48526429214962</v>
      </c>
      <c r="H699" s="19">
        <f>IF(J699=1,Specification!$I$14,IF(J699=2,Specification!$I$15,IF(J699=3,Specification!$I$16)))</f>
        <v>582.50936296077191</v>
      </c>
      <c r="I699" s="16">
        <f t="shared" si="129"/>
        <v>0</v>
      </c>
      <c r="J699" s="17">
        <v>2</v>
      </c>
      <c r="K699" s="16">
        <f>IF(J699=1,VLOOKUP(B699,RPM!$F$2:$H$62,3,TRUE),IF(J699=2,VLOOKUP(B699,RPM!$I$2:$K$62,3,TRUE),IF(J699=3,VLOOKUP(B699,RPM!$L$2:$N$62,3,TRUE))))</f>
        <v>7000</v>
      </c>
      <c r="L699" s="17">
        <f t="shared" si="128"/>
        <v>56.321391440278894</v>
      </c>
      <c r="M699" s="16">
        <f t="shared" si="131"/>
        <v>0</v>
      </c>
      <c r="N699" s="17">
        <f>VLOOKUP(K699,RPM!$A$2:$D$62,3,FALSE)</f>
        <v>13</v>
      </c>
      <c r="O699" s="16">
        <f>VLOOKUP(K699,RPM!$A$2:$D$62,4,FALSE)</f>
        <v>13.235857142857142</v>
      </c>
      <c r="P699" s="17">
        <f t="shared" si="118"/>
        <v>9.8699786714285711</v>
      </c>
      <c r="Q699" s="16" cm="1">
        <f t="array" ref="Q699">_xlfn.XLOOKUP(O699,BSFC!$A$2:$A$24,_xlfn.XLOOKUP(K699,BSFC!$B$1:$O$1,BSFC!$B$2:$O$24,,-1),,-1)</f>
        <v>520</v>
      </c>
      <c r="R699" s="17">
        <f t="shared" si="119"/>
        <v>1.425663585873016</v>
      </c>
      <c r="S699" s="16">
        <f t="shared" si="120"/>
        <v>2.0443068048076269E-4</v>
      </c>
      <c r="T699" s="17">
        <f t="shared" si="124"/>
        <v>0.10630395384999659</v>
      </c>
      <c r="U699" s="16">
        <f t="shared" si="125"/>
        <v>94.008319151953671</v>
      </c>
      <c r="V699" s="17">
        <f t="shared" si="126"/>
        <v>0.19694762670580357</v>
      </c>
      <c r="W699" s="16">
        <f t="shared" si="121"/>
        <v>709011.45614089281</v>
      </c>
      <c r="X699">
        <f>('Hybrid Info'!$A$2-Track!P699)*(L699-L698)*1000+X698</f>
        <v>-31437.972976960431</v>
      </c>
    </row>
    <row r="700" spans="1:24">
      <c r="A700" s="16">
        <f t="shared" si="122"/>
        <v>699</v>
      </c>
      <c r="B700" s="17">
        <f t="shared" si="130"/>
        <v>13.411199999999999</v>
      </c>
      <c r="C700" s="16">
        <f>Specification!$G$29</f>
        <v>164.943378</v>
      </c>
      <c r="D700" s="17">
        <f>0.5*Specification!$K$4*Track!B700^2*Specification!$K$3*Specification!$K$2</f>
        <v>93.159842569492653</v>
      </c>
      <c r="E700" s="16">
        <v>0</v>
      </c>
      <c r="F700" s="17">
        <f>Specification!$C$23*9.81*SIN((E700*PI()/180))</f>
        <v>0</v>
      </c>
      <c r="G700" s="18">
        <f>IF(J700=1,VLOOKUP(K700,RPM!$E$2:$H$62,3,FALSE)-F700-E700-D700,IF(J700=2,VLOOKUP(K700,RPM!$H$2:$K$62,3,FALSE)-F700-E700-D700,IF(J700=3,VLOOKUP(K700,RPM!$K$2:$N$62,3,FALSE)-F700-E700-D700)))</f>
        <v>688.48526429214962</v>
      </c>
      <c r="H700" s="19">
        <f>IF(J700=1,Specification!$I$14,IF(J700=2,Specification!$I$15,IF(J700=3,Specification!$I$16)))</f>
        <v>582.50936296077191</v>
      </c>
      <c r="I700" s="16">
        <f t="shared" si="129"/>
        <v>0</v>
      </c>
      <c r="J700" s="17">
        <v>2</v>
      </c>
      <c r="K700" s="16">
        <f>IF(J700=1,VLOOKUP(B700,RPM!$F$2:$H$62,3,TRUE),IF(J700=2,VLOOKUP(B700,RPM!$I$2:$K$62,3,TRUE),IF(J700=3,VLOOKUP(B700,RPM!$L$2:$N$62,3,TRUE))))</f>
        <v>7000</v>
      </c>
      <c r="L700" s="17">
        <f t="shared" si="128"/>
        <v>56.395955983347378</v>
      </c>
      <c r="M700" s="16">
        <f t="shared" si="131"/>
        <v>0</v>
      </c>
      <c r="N700" s="17">
        <f>VLOOKUP(K700,RPM!$A$2:$D$62,3,FALSE)</f>
        <v>13</v>
      </c>
      <c r="O700" s="16">
        <f>VLOOKUP(K700,RPM!$A$2:$D$62,4,FALSE)</f>
        <v>13.235857142857142</v>
      </c>
      <c r="P700" s="17">
        <f t="shared" si="118"/>
        <v>9.8699786714285711</v>
      </c>
      <c r="Q700" s="16" cm="1">
        <f t="array" ref="Q700">_xlfn.XLOOKUP(O700,BSFC!$A$2:$A$24,_xlfn.XLOOKUP(K700,BSFC!$B$1:$O$1,BSFC!$B$2:$O$24,,-1),,-1)</f>
        <v>520</v>
      </c>
      <c r="R700" s="17">
        <f t="shared" si="119"/>
        <v>1.425663585873016</v>
      </c>
      <c r="S700" s="16">
        <f t="shared" si="120"/>
        <v>2.0443068048076269E-4</v>
      </c>
      <c r="T700" s="17">
        <f t="shared" si="124"/>
        <v>0.10630395384999659</v>
      </c>
      <c r="U700" s="16">
        <f t="shared" si="125"/>
        <v>94.114623105803673</v>
      </c>
      <c r="V700" s="17">
        <f t="shared" si="126"/>
        <v>0.19715205738628433</v>
      </c>
      <c r="W700" s="16">
        <f t="shared" si="121"/>
        <v>709747.40659062355</v>
      </c>
      <c r="X700">
        <f>('Hybrid Info'!$A$2-Track!P700)*(L700-L699)*1000+X699</f>
        <v>-31270.167267974164</v>
      </c>
    </row>
    <row r="701" spans="1:24">
      <c r="A701" s="16">
        <f t="shared" si="122"/>
        <v>700</v>
      </c>
      <c r="B701" s="17">
        <f t="shared" si="130"/>
        <v>13.411199999999999</v>
      </c>
      <c r="C701" s="16">
        <f>Specification!$G$29</f>
        <v>164.943378</v>
      </c>
      <c r="D701" s="17">
        <f>0.5*Specification!$K$4*Track!B701^2*Specification!$K$3*Specification!$K$2</f>
        <v>93.159842569492653</v>
      </c>
      <c r="E701" s="16">
        <v>0</v>
      </c>
      <c r="F701" s="17">
        <f>Specification!$C$23*9.81*SIN((E701*PI()/180))</f>
        <v>0</v>
      </c>
      <c r="G701" s="18">
        <f>IF(J701=1,VLOOKUP(K701,RPM!$E$2:$H$62,3,FALSE)-F701-E701-D701,IF(J701=2,VLOOKUP(K701,RPM!$H$2:$K$62,3,FALSE)-F701-E701-D701,IF(J701=3,VLOOKUP(K701,RPM!$K$2:$N$62,3,FALSE)-F701-E701-D701)))</f>
        <v>688.48526429214962</v>
      </c>
      <c r="H701" s="19">
        <f>IF(J701=1,Specification!$I$14,IF(J701=2,Specification!$I$15,IF(J701=3,Specification!$I$16)))</f>
        <v>582.50936296077191</v>
      </c>
      <c r="I701" s="16">
        <f t="shared" si="129"/>
        <v>0</v>
      </c>
      <c r="J701" s="17">
        <v>2</v>
      </c>
      <c r="K701" s="16">
        <f>IF(J701=1,VLOOKUP(B701,RPM!$F$2:$H$62,3,TRUE),IF(J701=2,VLOOKUP(B701,RPM!$I$2:$K$62,3,TRUE),IF(J701=3,VLOOKUP(B701,RPM!$L$2:$N$62,3,TRUE))))</f>
        <v>7000</v>
      </c>
      <c r="L701" s="17">
        <f t="shared" si="128"/>
        <v>56.470520526415861</v>
      </c>
      <c r="M701" s="16">
        <f t="shared" si="131"/>
        <v>0</v>
      </c>
      <c r="N701" s="17">
        <f>VLOOKUP(K701,RPM!$A$2:$D$62,3,FALSE)</f>
        <v>13</v>
      </c>
      <c r="O701" s="16">
        <f>VLOOKUP(K701,RPM!$A$2:$D$62,4,FALSE)</f>
        <v>13.235857142857142</v>
      </c>
      <c r="P701" s="17">
        <f t="shared" si="118"/>
        <v>9.8699786714285711</v>
      </c>
      <c r="Q701" s="16" cm="1">
        <f t="array" ref="Q701">_xlfn.XLOOKUP(O701,BSFC!$A$2:$A$24,_xlfn.XLOOKUP(K701,BSFC!$B$1:$O$1,BSFC!$B$2:$O$24,,-1),,-1)</f>
        <v>520</v>
      </c>
      <c r="R701" s="17">
        <f t="shared" si="119"/>
        <v>1.425663585873016</v>
      </c>
      <c r="S701" s="16">
        <f t="shared" si="120"/>
        <v>2.0443068048076269E-4</v>
      </c>
      <c r="T701" s="17">
        <f t="shared" si="124"/>
        <v>0.10630395384999659</v>
      </c>
      <c r="U701" s="16">
        <f t="shared" si="125"/>
        <v>94.220927059653675</v>
      </c>
      <c r="V701" s="17">
        <f t="shared" si="126"/>
        <v>0.19735648806676509</v>
      </c>
      <c r="W701" s="16">
        <f t="shared" si="121"/>
        <v>710483.35704035428</v>
      </c>
      <c r="X701">
        <f>('Hybrid Info'!$A$2-Track!P701)*(L701-L700)*1000+X700</f>
        <v>-31102.361558987897</v>
      </c>
    </row>
    <row r="702" spans="1:24">
      <c r="A702" s="16">
        <f t="shared" si="122"/>
        <v>701</v>
      </c>
      <c r="B702" s="17">
        <f t="shared" si="130"/>
        <v>13.411199999999999</v>
      </c>
      <c r="C702" s="16">
        <f>Specification!$G$29</f>
        <v>164.943378</v>
      </c>
      <c r="D702" s="17">
        <f>0.5*Specification!$K$4*Track!B702^2*Specification!$K$3*Specification!$K$2</f>
        <v>93.159842569492653</v>
      </c>
      <c r="E702" s="16">
        <v>0</v>
      </c>
      <c r="F702" s="17">
        <f>Specification!$C$23*9.81*SIN((E702*PI()/180))</f>
        <v>0</v>
      </c>
      <c r="G702" s="18">
        <f>IF(J702=1,VLOOKUP(K702,RPM!$E$2:$H$62,3,FALSE)-F702-E702-D702,IF(J702=2,VLOOKUP(K702,RPM!$H$2:$K$62,3,FALSE)-F702-E702-D702,IF(J702=3,VLOOKUP(K702,RPM!$K$2:$N$62,3,FALSE)-F702-E702-D702)))</f>
        <v>688.48526429214962</v>
      </c>
      <c r="H702" s="19">
        <f>IF(J702=1,Specification!$I$14,IF(J702=2,Specification!$I$15,IF(J702=3,Specification!$I$16)))</f>
        <v>582.50936296077191</v>
      </c>
      <c r="I702" s="16">
        <f t="shared" si="129"/>
        <v>0</v>
      </c>
      <c r="J702" s="17">
        <v>2</v>
      </c>
      <c r="K702" s="16">
        <f>IF(J702=1,VLOOKUP(B702,RPM!$F$2:$H$62,3,TRUE),IF(J702=2,VLOOKUP(B702,RPM!$I$2:$K$62,3,TRUE),IF(J702=3,VLOOKUP(B702,RPM!$L$2:$N$62,3,TRUE))))</f>
        <v>7000</v>
      </c>
      <c r="L702" s="17">
        <f t="shared" si="128"/>
        <v>56.545085069484344</v>
      </c>
      <c r="M702" s="16">
        <f t="shared" si="131"/>
        <v>0</v>
      </c>
      <c r="N702" s="17">
        <f>VLOOKUP(K702,RPM!$A$2:$D$62,3,FALSE)</f>
        <v>13</v>
      </c>
      <c r="O702" s="16">
        <f>VLOOKUP(K702,RPM!$A$2:$D$62,4,FALSE)</f>
        <v>13.235857142857142</v>
      </c>
      <c r="P702" s="17">
        <f t="shared" si="118"/>
        <v>9.8699786714285711</v>
      </c>
      <c r="Q702" s="16" cm="1">
        <f t="array" ref="Q702">_xlfn.XLOOKUP(O702,BSFC!$A$2:$A$24,_xlfn.XLOOKUP(K702,BSFC!$B$1:$O$1,BSFC!$B$2:$O$24,,-1),,-1)</f>
        <v>520</v>
      </c>
      <c r="R702" s="17">
        <f t="shared" si="119"/>
        <v>1.425663585873016</v>
      </c>
      <c r="S702" s="16">
        <f t="shared" si="120"/>
        <v>2.0443068048076269E-4</v>
      </c>
      <c r="T702" s="17">
        <f t="shared" si="124"/>
        <v>0.10630395384999659</v>
      </c>
      <c r="U702" s="16">
        <f t="shared" si="125"/>
        <v>94.327231013503678</v>
      </c>
      <c r="V702" s="17">
        <f t="shared" si="126"/>
        <v>0.19756091874724585</v>
      </c>
      <c r="W702" s="16">
        <f t="shared" si="121"/>
        <v>711219.30749008514</v>
      </c>
      <c r="X702">
        <f>('Hybrid Info'!$A$2-Track!P702)*(L702-L701)*1000+X701</f>
        <v>-30934.55585000163</v>
      </c>
    </row>
    <row r="703" spans="1:24">
      <c r="A703" s="16">
        <f t="shared" si="122"/>
        <v>702</v>
      </c>
      <c r="B703" s="17">
        <f t="shared" si="130"/>
        <v>13.411199999999999</v>
      </c>
      <c r="C703" s="16">
        <f>Specification!$G$29</f>
        <v>164.943378</v>
      </c>
      <c r="D703" s="17">
        <f>0.5*Specification!$K$4*Track!B703^2*Specification!$K$3*Specification!$K$2</f>
        <v>93.159842569492653</v>
      </c>
      <c r="E703" s="16">
        <v>0</v>
      </c>
      <c r="F703" s="17">
        <f>Specification!$C$23*9.81*SIN((E703*PI()/180))</f>
        <v>0</v>
      </c>
      <c r="G703" s="18">
        <f>IF(J703=1,VLOOKUP(K703,RPM!$E$2:$H$62,3,FALSE)-F703-E703-D703,IF(J703=2,VLOOKUP(K703,RPM!$H$2:$K$62,3,FALSE)-F703-E703-D703,IF(J703=3,VLOOKUP(K703,RPM!$K$2:$N$62,3,FALSE)-F703-E703-D703)))</f>
        <v>688.48526429214962</v>
      </c>
      <c r="H703" s="19">
        <f>IF(J703=1,Specification!$I$14,IF(J703=2,Specification!$I$15,IF(J703=3,Specification!$I$16)))</f>
        <v>582.50936296077191</v>
      </c>
      <c r="I703" s="16">
        <f t="shared" si="129"/>
        <v>0</v>
      </c>
      <c r="J703" s="17">
        <v>2</v>
      </c>
      <c r="K703" s="16">
        <f>IF(J703=1,VLOOKUP(B703,RPM!$F$2:$H$62,3,TRUE),IF(J703=2,VLOOKUP(B703,RPM!$I$2:$K$62,3,TRUE),IF(J703=3,VLOOKUP(B703,RPM!$L$2:$N$62,3,TRUE))))</f>
        <v>7000</v>
      </c>
      <c r="L703" s="17">
        <f t="shared" si="128"/>
        <v>56.619649612552827</v>
      </c>
      <c r="M703" s="16">
        <f t="shared" si="131"/>
        <v>0</v>
      </c>
      <c r="N703" s="17">
        <f>VLOOKUP(K703,RPM!$A$2:$D$62,3,FALSE)</f>
        <v>13</v>
      </c>
      <c r="O703" s="16">
        <f>VLOOKUP(K703,RPM!$A$2:$D$62,4,FALSE)</f>
        <v>13.235857142857142</v>
      </c>
      <c r="P703" s="17">
        <f t="shared" si="118"/>
        <v>9.8699786714285711</v>
      </c>
      <c r="Q703" s="16" cm="1">
        <f t="array" ref="Q703">_xlfn.XLOOKUP(O703,BSFC!$A$2:$A$24,_xlfn.XLOOKUP(K703,BSFC!$B$1:$O$1,BSFC!$B$2:$O$24,,-1),,-1)</f>
        <v>520</v>
      </c>
      <c r="R703" s="17">
        <f t="shared" si="119"/>
        <v>1.425663585873016</v>
      </c>
      <c r="S703" s="16">
        <f t="shared" si="120"/>
        <v>2.0443068048076269E-4</v>
      </c>
      <c r="T703" s="17">
        <f t="shared" si="124"/>
        <v>0.10630395384999659</v>
      </c>
      <c r="U703" s="16">
        <f t="shared" si="125"/>
        <v>94.43353496735368</v>
      </c>
      <c r="V703" s="17">
        <f t="shared" si="126"/>
        <v>0.19776534942772661</v>
      </c>
      <c r="W703" s="16">
        <f t="shared" si="121"/>
        <v>711955.25793981587</v>
      </c>
      <c r="X703">
        <f>('Hybrid Info'!$A$2-Track!P703)*(L703-L702)*1000+X702</f>
        <v>-30766.750141015364</v>
      </c>
    </row>
    <row r="704" spans="1:24">
      <c r="A704" s="16">
        <f t="shared" si="122"/>
        <v>703</v>
      </c>
      <c r="B704" s="17">
        <f t="shared" si="130"/>
        <v>13.411199999999999</v>
      </c>
      <c r="C704" s="16">
        <f>Specification!$G$29</f>
        <v>164.943378</v>
      </c>
      <c r="D704" s="17">
        <f>0.5*Specification!$K$4*Track!B704^2*Specification!$K$3*Specification!$K$2</f>
        <v>93.159842569492653</v>
      </c>
      <c r="E704" s="16">
        <v>0</v>
      </c>
      <c r="F704" s="17">
        <f>Specification!$C$23*9.81*SIN((E704*PI()/180))</f>
        <v>0</v>
      </c>
      <c r="G704" s="18">
        <f>IF(J704=1,VLOOKUP(K704,RPM!$E$2:$H$62,3,FALSE)-F704-E704-D704,IF(J704=2,VLOOKUP(K704,RPM!$H$2:$K$62,3,FALSE)-F704-E704-D704,IF(J704=3,VLOOKUP(K704,RPM!$K$2:$N$62,3,FALSE)-F704-E704-D704)))</f>
        <v>688.48526429214962</v>
      </c>
      <c r="H704" s="19">
        <f>IF(J704=1,Specification!$I$14,IF(J704=2,Specification!$I$15,IF(J704=3,Specification!$I$16)))</f>
        <v>582.50936296077191</v>
      </c>
      <c r="I704" s="16">
        <f t="shared" si="129"/>
        <v>0</v>
      </c>
      <c r="J704" s="17">
        <v>2</v>
      </c>
      <c r="K704" s="16">
        <f>IF(J704=1,VLOOKUP(B704,RPM!$F$2:$H$62,3,TRUE),IF(J704=2,VLOOKUP(B704,RPM!$I$2:$K$62,3,TRUE),IF(J704=3,VLOOKUP(B704,RPM!$L$2:$N$62,3,TRUE))))</f>
        <v>7000</v>
      </c>
      <c r="L704" s="17">
        <f t="shared" si="128"/>
        <v>56.69421415562131</v>
      </c>
      <c r="M704" s="16">
        <f t="shared" si="131"/>
        <v>0</v>
      </c>
      <c r="N704" s="17">
        <f>VLOOKUP(K704,RPM!$A$2:$D$62,3,FALSE)</f>
        <v>13</v>
      </c>
      <c r="O704" s="16">
        <f>VLOOKUP(K704,RPM!$A$2:$D$62,4,FALSE)</f>
        <v>13.235857142857142</v>
      </c>
      <c r="P704" s="17">
        <f t="shared" si="118"/>
        <v>9.8699786714285711</v>
      </c>
      <c r="Q704" s="16" cm="1">
        <f t="array" ref="Q704">_xlfn.XLOOKUP(O704,BSFC!$A$2:$A$24,_xlfn.XLOOKUP(K704,BSFC!$B$1:$O$1,BSFC!$B$2:$O$24,,-1),,-1)</f>
        <v>520</v>
      </c>
      <c r="R704" s="17">
        <f t="shared" si="119"/>
        <v>1.425663585873016</v>
      </c>
      <c r="S704" s="16">
        <f t="shared" si="120"/>
        <v>2.0443068048076269E-4</v>
      </c>
      <c r="T704" s="17">
        <f t="shared" si="124"/>
        <v>0.10630395384999659</v>
      </c>
      <c r="U704" s="16">
        <f t="shared" si="125"/>
        <v>94.539838921203682</v>
      </c>
      <c r="V704" s="17">
        <f t="shared" si="126"/>
        <v>0.19796978010820737</v>
      </c>
      <c r="W704" s="16">
        <f t="shared" si="121"/>
        <v>712691.20838954649</v>
      </c>
      <c r="X704">
        <f>('Hybrid Info'!$A$2-Track!P704)*(L704-L703)*1000+X703</f>
        <v>-30598.944432029097</v>
      </c>
    </row>
    <row r="705" spans="1:24">
      <c r="A705" s="16">
        <f t="shared" si="122"/>
        <v>704</v>
      </c>
      <c r="B705" s="17">
        <f t="shared" si="130"/>
        <v>13.411199999999999</v>
      </c>
      <c r="C705" s="16">
        <f>Specification!$G$29</f>
        <v>164.943378</v>
      </c>
      <c r="D705" s="17">
        <f>0.5*Specification!$K$4*Track!B705^2*Specification!$K$3*Specification!$K$2</f>
        <v>93.159842569492653</v>
      </c>
      <c r="E705" s="16">
        <v>0</v>
      </c>
      <c r="F705" s="17">
        <f>Specification!$C$23*9.81*SIN((E705*PI()/180))</f>
        <v>0</v>
      </c>
      <c r="G705" s="18">
        <f>IF(J705=1,VLOOKUP(K705,RPM!$E$2:$H$62,3,FALSE)-F705-E705-D705,IF(J705=2,VLOOKUP(K705,RPM!$H$2:$K$62,3,FALSE)-F705-E705-D705,IF(J705=3,VLOOKUP(K705,RPM!$K$2:$N$62,3,FALSE)-F705-E705-D705)))</f>
        <v>688.48526429214962</v>
      </c>
      <c r="H705" s="19">
        <f>IF(J705=1,Specification!$I$14,IF(J705=2,Specification!$I$15,IF(J705=3,Specification!$I$16)))</f>
        <v>582.50936296077191</v>
      </c>
      <c r="I705" s="16">
        <f t="shared" si="129"/>
        <v>0</v>
      </c>
      <c r="J705" s="17">
        <v>2</v>
      </c>
      <c r="K705" s="16">
        <f>IF(J705=1,VLOOKUP(B705,RPM!$F$2:$H$62,3,TRUE),IF(J705=2,VLOOKUP(B705,RPM!$I$2:$K$62,3,TRUE),IF(J705=3,VLOOKUP(B705,RPM!$L$2:$N$62,3,TRUE))))</f>
        <v>7000</v>
      </c>
      <c r="L705" s="17">
        <f t="shared" si="128"/>
        <v>56.768778698689793</v>
      </c>
      <c r="M705" s="16">
        <f t="shared" si="131"/>
        <v>0</v>
      </c>
      <c r="N705" s="17">
        <f>VLOOKUP(K705,RPM!$A$2:$D$62,3,FALSE)</f>
        <v>13</v>
      </c>
      <c r="O705" s="16">
        <f>VLOOKUP(K705,RPM!$A$2:$D$62,4,FALSE)</f>
        <v>13.235857142857142</v>
      </c>
      <c r="P705" s="17">
        <f t="shared" si="118"/>
        <v>9.8699786714285711</v>
      </c>
      <c r="Q705" s="16" cm="1">
        <f t="array" ref="Q705">_xlfn.XLOOKUP(O705,BSFC!$A$2:$A$24,_xlfn.XLOOKUP(K705,BSFC!$B$1:$O$1,BSFC!$B$2:$O$24,,-1),,-1)</f>
        <v>520</v>
      </c>
      <c r="R705" s="17">
        <f t="shared" si="119"/>
        <v>1.425663585873016</v>
      </c>
      <c r="S705" s="16">
        <f t="shared" si="120"/>
        <v>2.0443068048076269E-4</v>
      </c>
      <c r="T705" s="17">
        <f t="shared" si="124"/>
        <v>0.10630395384999659</v>
      </c>
      <c r="U705" s="16">
        <f t="shared" si="125"/>
        <v>94.646142875053684</v>
      </c>
      <c r="V705" s="17">
        <f t="shared" si="126"/>
        <v>0.19817421078868813</v>
      </c>
      <c r="W705" s="16">
        <f t="shared" si="121"/>
        <v>713427.15883927722</v>
      </c>
      <c r="X705">
        <f>('Hybrid Info'!$A$2-Track!P705)*(L705-L704)*1000+X704</f>
        <v>-30431.13872304283</v>
      </c>
    </row>
    <row r="706" spans="1:24">
      <c r="A706" s="16">
        <f t="shared" si="122"/>
        <v>705</v>
      </c>
      <c r="B706" s="17">
        <f t="shared" si="130"/>
        <v>13.411199999999999</v>
      </c>
      <c r="C706" s="16">
        <f>Specification!$G$29</f>
        <v>164.943378</v>
      </c>
      <c r="D706" s="17">
        <f>0.5*Specification!$K$4*Track!B706^2*Specification!$K$3*Specification!$K$2</f>
        <v>93.159842569492653</v>
      </c>
      <c r="E706" s="16">
        <v>0</v>
      </c>
      <c r="F706" s="17">
        <f>Specification!$C$23*9.81*SIN((E706*PI()/180))</f>
        <v>0</v>
      </c>
      <c r="G706" s="18">
        <f>IF(J706=1,VLOOKUP(K706,RPM!$E$2:$H$62,3,FALSE)-F706-E706-D706,IF(J706=2,VLOOKUP(K706,RPM!$H$2:$K$62,3,FALSE)-F706-E706-D706,IF(J706=3,VLOOKUP(K706,RPM!$K$2:$N$62,3,FALSE)-F706-E706-D706)))</f>
        <v>688.48526429214962</v>
      </c>
      <c r="H706" s="19">
        <f>IF(J706=1,Specification!$I$14,IF(J706=2,Specification!$I$15,IF(J706=3,Specification!$I$16)))</f>
        <v>582.50936296077191</v>
      </c>
      <c r="I706" s="16">
        <f t="shared" si="129"/>
        <v>0</v>
      </c>
      <c r="J706" s="17">
        <v>2</v>
      </c>
      <c r="K706" s="16">
        <f>IF(J706=1,VLOOKUP(B706,RPM!$F$2:$H$62,3,TRUE),IF(J706=2,VLOOKUP(B706,RPM!$I$2:$K$62,3,TRUE),IF(J706=3,VLOOKUP(B706,RPM!$L$2:$N$62,3,TRUE))))</f>
        <v>7000</v>
      </c>
      <c r="L706" s="17">
        <f t="shared" si="128"/>
        <v>56.843343241758276</v>
      </c>
      <c r="M706" s="16">
        <f t="shared" si="131"/>
        <v>0</v>
      </c>
      <c r="N706" s="17">
        <f>VLOOKUP(K706,RPM!$A$2:$D$62,3,FALSE)</f>
        <v>13</v>
      </c>
      <c r="O706" s="16">
        <f>VLOOKUP(K706,RPM!$A$2:$D$62,4,FALSE)</f>
        <v>13.235857142857142</v>
      </c>
      <c r="P706" s="17">
        <f t="shared" ref="P706:P769" si="132">O706*0.7457</f>
        <v>9.8699786714285711</v>
      </c>
      <c r="Q706" s="16" cm="1">
        <f t="array" ref="Q706">_xlfn.XLOOKUP(O706,BSFC!$A$2:$A$24,_xlfn.XLOOKUP(K706,BSFC!$B$1:$O$1,BSFC!$B$2:$O$24,,-1),,-1)</f>
        <v>520</v>
      </c>
      <c r="R706" s="17">
        <f t="shared" ref="R706:R769" si="133">Q706*P706/3600</f>
        <v>1.425663585873016</v>
      </c>
      <c r="S706" s="16">
        <f t="shared" si="120"/>
        <v>2.0443068048076269E-4</v>
      </c>
      <c r="T706" s="17">
        <f t="shared" si="124"/>
        <v>0.10630395384999659</v>
      </c>
      <c r="U706" s="16">
        <f t="shared" si="125"/>
        <v>94.752446828903686</v>
      </c>
      <c r="V706" s="17">
        <f t="shared" si="126"/>
        <v>0.19837864146916889</v>
      </c>
      <c r="W706" s="16">
        <f t="shared" si="121"/>
        <v>714163.10928900796</v>
      </c>
      <c r="X706">
        <f>('Hybrid Info'!$A$2-Track!P706)*(L706-L705)*1000+X705</f>
        <v>-30263.333014056563</v>
      </c>
    </row>
    <row r="707" spans="1:24">
      <c r="A707" s="16">
        <f t="shared" si="122"/>
        <v>706</v>
      </c>
      <c r="B707" s="17">
        <f t="shared" si="130"/>
        <v>13.411199999999999</v>
      </c>
      <c r="C707" s="16">
        <f>Specification!$G$29</f>
        <v>164.943378</v>
      </c>
      <c r="D707" s="17">
        <f>0.5*Specification!$K$4*Track!B707^2*Specification!$K$3*Specification!$K$2</f>
        <v>93.159842569492653</v>
      </c>
      <c r="E707" s="16">
        <v>0</v>
      </c>
      <c r="F707" s="17">
        <f>Specification!$C$23*9.81*SIN((E707*PI()/180))</f>
        <v>0</v>
      </c>
      <c r="G707" s="18">
        <f>IF(J707=1,VLOOKUP(K707,RPM!$E$2:$H$62,3,FALSE)-F707-E707-D707,IF(J707=2,VLOOKUP(K707,RPM!$H$2:$K$62,3,FALSE)-F707-E707-D707,IF(J707=3,VLOOKUP(K707,RPM!$K$2:$N$62,3,FALSE)-F707-E707-D707)))</f>
        <v>688.48526429214962</v>
      </c>
      <c r="H707" s="19">
        <f>IF(J707=1,Specification!$I$14,IF(J707=2,Specification!$I$15,IF(J707=3,Specification!$I$16)))</f>
        <v>582.50936296077191</v>
      </c>
      <c r="I707" s="16">
        <f t="shared" si="129"/>
        <v>0</v>
      </c>
      <c r="J707" s="17">
        <v>2</v>
      </c>
      <c r="K707" s="16">
        <f>IF(J707=1,VLOOKUP(B707,RPM!$F$2:$H$62,3,TRUE),IF(J707=2,VLOOKUP(B707,RPM!$I$2:$K$62,3,TRUE),IF(J707=3,VLOOKUP(B707,RPM!$L$2:$N$62,3,TRUE))))</f>
        <v>7000</v>
      </c>
      <c r="L707" s="17">
        <f t="shared" si="128"/>
        <v>56.91790778482676</v>
      </c>
      <c r="M707" s="16">
        <f t="shared" si="131"/>
        <v>0</v>
      </c>
      <c r="N707" s="17">
        <f>VLOOKUP(K707,RPM!$A$2:$D$62,3,FALSE)</f>
        <v>13</v>
      </c>
      <c r="O707" s="16">
        <f>VLOOKUP(K707,RPM!$A$2:$D$62,4,FALSE)</f>
        <v>13.235857142857142</v>
      </c>
      <c r="P707" s="17">
        <f t="shared" si="132"/>
        <v>9.8699786714285711</v>
      </c>
      <c r="Q707" s="16" cm="1">
        <f t="array" ref="Q707">_xlfn.XLOOKUP(O707,BSFC!$A$2:$A$24,_xlfn.XLOOKUP(K707,BSFC!$B$1:$O$1,BSFC!$B$2:$O$24,,-1),,-1)</f>
        <v>520</v>
      </c>
      <c r="R707" s="17">
        <f t="shared" si="133"/>
        <v>1.425663585873016</v>
      </c>
      <c r="S707" s="16">
        <f t="shared" ref="S707:S770" si="134">(L707-L706)/3600*P707</f>
        <v>2.0443068048076269E-4</v>
      </c>
      <c r="T707" s="17">
        <f t="shared" si="124"/>
        <v>0.10630395384999659</v>
      </c>
      <c r="U707" s="16">
        <f t="shared" si="125"/>
        <v>94.858750782753688</v>
      </c>
      <c r="V707" s="17">
        <f t="shared" si="126"/>
        <v>0.19858307214964965</v>
      </c>
      <c r="W707" s="16">
        <f t="shared" ref="W707:W770" si="135">V707*1000*3600</f>
        <v>714899.05973873881</v>
      </c>
      <c r="X707">
        <f>('Hybrid Info'!$A$2-Track!P707)*(L707-L706)*1000+X706</f>
        <v>-30095.527305070296</v>
      </c>
    </row>
    <row r="708" spans="1:24">
      <c r="A708" s="16">
        <f t="shared" ref="A708:A771" si="136">A707+1</f>
        <v>707</v>
      </c>
      <c r="B708" s="17">
        <f t="shared" si="130"/>
        <v>13.411199999999999</v>
      </c>
      <c r="C708" s="16">
        <f>Specification!$G$29</f>
        <v>164.943378</v>
      </c>
      <c r="D708" s="17">
        <f>0.5*Specification!$K$4*Track!B708^2*Specification!$K$3*Specification!$K$2</f>
        <v>93.159842569492653</v>
      </c>
      <c r="E708" s="16">
        <v>0</v>
      </c>
      <c r="F708" s="17">
        <f>Specification!$C$23*9.81*SIN((E708*PI()/180))</f>
        <v>0</v>
      </c>
      <c r="G708" s="18">
        <f>IF(J708=1,VLOOKUP(K708,RPM!$E$2:$H$62,3,FALSE)-F708-E708-D708,IF(J708=2,VLOOKUP(K708,RPM!$H$2:$K$62,3,FALSE)-F708-E708-D708,IF(J708=3,VLOOKUP(K708,RPM!$K$2:$N$62,3,FALSE)-F708-E708-D708)))</f>
        <v>688.48526429214962</v>
      </c>
      <c r="H708" s="19">
        <f>IF(J708=1,Specification!$I$14,IF(J708=2,Specification!$I$15,IF(J708=3,Specification!$I$16)))</f>
        <v>582.50936296077191</v>
      </c>
      <c r="I708" s="16">
        <f t="shared" si="129"/>
        <v>0</v>
      </c>
      <c r="J708" s="17">
        <v>2</v>
      </c>
      <c r="K708" s="16">
        <f>IF(J708=1,VLOOKUP(B708,RPM!$F$2:$H$62,3,TRUE),IF(J708=2,VLOOKUP(B708,RPM!$I$2:$K$62,3,TRUE),IF(J708=3,VLOOKUP(B708,RPM!$L$2:$N$62,3,TRUE))))</f>
        <v>7000</v>
      </c>
      <c r="L708" s="17">
        <f t="shared" si="128"/>
        <v>56.992472327895243</v>
      </c>
      <c r="M708" s="16">
        <f t="shared" si="131"/>
        <v>0</v>
      </c>
      <c r="N708" s="17">
        <f>VLOOKUP(K708,RPM!$A$2:$D$62,3,FALSE)</f>
        <v>13</v>
      </c>
      <c r="O708" s="16">
        <f>VLOOKUP(K708,RPM!$A$2:$D$62,4,FALSE)</f>
        <v>13.235857142857142</v>
      </c>
      <c r="P708" s="17">
        <f t="shared" si="132"/>
        <v>9.8699786714285711</v>
      </c>
      <c r="Q708" s="16" cm="1">
        <f t="array" ref="Q708">_xlfn.XLOOKUP(O708,BSFC!$A$2:$A$24,_xlfn.XLOOKUP(K708,BSFC!$B$1:$O$1,BSFC!$B$2:$O$24,,-1),,-1)</f>
        <v>520</v>
      </c>
      <c r="R708" s="17">
        <f t="shared" si="133"/>
        <v>1.425663585873016</v>
      </c>
      <c r="S708" s="16">
        <f t="shared" si="134"/>
        <v>2.0443068048076269E-4</v>
      </c>
      <c r="T708" s="17">
        <f t="shared" ref="T708:T771" si="137">S708*Q708</f>
        <v>0.10630395384999659</v>
      </c>
      <c r="U708" s="16">
        <f t="shared" ref="U708:U771" si="138">U707+T708</f>
        <v>94.96505473660369</v>
      </c>
      <c r="V708" s="17">
        <f t="shared" si="126"/>
        <v>0.19878750283013041</v>
      </c>
      <c r="W708" s="16">
        <f t="shared" si="135"/>
        <v>715635.01018846955</v>
      </c>
      <c r="X708">
        <f>('Hybrid Info'!$A$2-Track!P708)*(L708-L707)*1000+X707</f>
        <v>-29927.721596084029</v>
      </c>
    </row>
    <row r="709" spans="1:24">
      <c r="A709" s="16">
        <f t="shared" si="136"/>
        <v>708</v>
      </c>
      <c r="B709" s="17">
        <f t="shared" si="130"/>
        <v>13.411199999999999</v>
      </c>
      <c r="C709" s="16">
        <f>Specification!$G$29</f>
        <v>164.943378</v>
      </c>
      <c r="D709" s="17">
        <f>0.5*Specification!$K$4*Track!B709^2*Specification!$K$3*Specification!$K$2</f>
        <v>93.159842569492653</v>
      </c>
      <c r="E709" s="16">
        <v>0</v>
      </c>
      <c r="F709" s="17">
        <f>Specification!$C$23*9.81*SIN((E709*PI()/180))</f>
        <v>0</v>
      </c>
      <c r="G709" s="18">
        <f>IF(J709=1,VLOOKUP(K709,RPM!$E$2:$H$62,3,FALSE)-F709-E709-D709,IF(J709=2,VLOOKUP(K709,RPM!$H$2:$K$62,3,FALSE)-F709-E709-D709,IF(J709=3,VLOOKUP(K709,RPM!$K$2:$N$62,3,FALSE)-F709-E709-D709)))</f>
        <v>688.48526429214962</v>
      </c>
      <c r="H709" s="19">
        <f>IF(J709=1,Specification!$I$14,IF(J709=2,Specification!$I$15,IF(J709=3,Specification!$I$16)))</f>
        <v>582.50936296077191</v>
      </c>
      <c r="I709" s="16">
        <f t="shared" si="129"/>
        <v>0</v>
      </c>
      <c r="J709" s="17">
        <v>2</v>
      </c>
      <c r="K709" s="16">
        <f>IF(J709=1,VLOOKUP(B709,RPM!$F$2:$H$62,3,TRUE),IF(J709=2,VLOOKUP(B709,RPM!$I$2:$K$62,3,TRUE),IF(J709=3,VLOOKUP(B709,RPM!$L$2:$N$62,3,TRUE))))</f>
        <v>7000</v>
      </c>
      <c r="L709" s="17">
        <f t="shared" si="128"/>
        <v>57.067036870963726</v>
      </c>
      <c r="M709" s="16">
        <f t="shared" si="131"/>
        <v>0</v>
      </c>
      <c r="N709" s="17">
        <f>VLOOKUP(K709,RPM!$A$2:$D$62,3,FALSE)</f>
        <v>13</v>
      </c>
      <c r="O709" s="16">
        <f>VLOOKUP(K709,RPM!$A$2:$D$62,4,FALSE)</f>
        <v>13.235857142857142</v>
      </c>
      <c r="P709" s="17">
        <f t="shared" si="132"/>
        <v>9.8699786714285711</v>
      </c>
      <c r="Q709" s="16" cm="1">
        <f t="array" ref="Q709">_xlfn.XLOOKUP(O709,BSFC!$A$2:$A$24,_xlfn.XLOOKUP(K709,BSFC!$B$1:$O$1,BSFC!$B$2:$O$24,,-1),,-1)</f>
        <v>520</v>
      </c>
      <c r="R709" s="17">
        <f t="shared" si="133"/>
        <v>1.425663585873016</v>
      </c>
      <c r="S709" s="16">
        <f t="shared" si="134"/>
        <v>2.0443068048076269E-4</v>
      </c>
      <c r="T709" s="17">
        <f t="shared" si="137"/>
        <v>0.10630395384999659</v>
      </c>
      <c r="U709" s="16">
        <f t="shared" si="138"/>
        <v>95.071358690453692</v>
      </c>
      <c r="V709" s="17">
        <f t="shared" ref="V709:V772" si="139">V708+S709</f>
        <v>0.19899193351061117</v>
      </c>
      <c r="W709" s="16">
        <f t="shared" si="135"/>
        <v>716370.96063820028</v>
      </c>
      <c r="X709">
        <f>('Hybrid Info'!$A$2-Track!P709)*(L709-L708)*1000+X708</f>
        <v>-29759.915887097763</v>
      </c>
    </row>
    <row r="710" spans="1:24">
      <c r="A710" s="16">
        <f t="shared" si="136"/>
        <v>709</v>
      </c>
      <c r="B710" s="17">
        <f t="shared" si="130"/>
        <v>13.411199999999999</v>
      </c>
      <c r="C710" s="16">
        <f>Specification!$G$29</f>
        <v>164.943378</v>
      </c>
      <c r="D710" s="17">
        <f>0.5*Specification!$K$4*Track!B710^2*Specification!$K$3*Specification!$K$2</f>
        <v>93.159842569492653</v>
      </c>
      <c r="E710" s="16">
        <v>0</v>
      </c>
      <c r="F710" s="17">
        <f>Specification!$C$23*9.81*SIN((E710*PI()/180))</f>
        <v>0</v>
      </c>
      <c r="G710" s="18">
        <f>IF(J710=1,VLOOKUP(K710,RPM!$E$2:$H$62,3,FALSE)-F710-E710-D710,IF(J710=2,VLOOKUP(K710,RPM!$H$2:$K$62,3,FALSE)-F710-E710-D710,IF(J710=3,VLOOKUP(K710,RPM!$K$2:$N$62,3,FALSE)-F710-E710-D710)))</f>
        <v>688.48526429214962</v>
      </c>
      <c r="H710" s="19">
        <f>IF(J710=1,Specification!$I$14,IF(J710=2,Specification!$I$15,IF(J710=3,Specification!$I$16)))</f>
        <v>582.50936296077191</v>
      </c>
      <c r="I710" s="16">
        <f t="shared" si="129"/>
        <v>0</v>
      </c>
      <c r="J710" s="17">
        <v>2</v>
      </c>
      <c r="K710" s="16">
        <f>IF(J710=1,VLOOKUP(B710,RPM!$F$2:$H$62,3,TRUE),IF(J710=2,VLOOKUP(B710,RPM!$I$2:$K$62,3,TRUE),IF(J710=3,VLOOKUP(B710,RPM!$L$2:$N$62,3,TRUE))))</f>
        <v>7000</v>
      </c>
      <c r="L710" s="17">
        <f t="shared" si="128"/>
        <v>57.141601414032209</v>
      </c>
      <c r="M710" s="16">
        <f t="shared" si="131"/>
        <v>0</v>
      </c>
      <c r="N710" s="17">
        <f>VLOOKUP(K710,RPM!$A$2:$D$62,3,FALSE)</f>
        <v>13</v>
      </c>
      <c r="O710" s="16">
        <f>VLOOKUP(K710,RPM!$A$2:$D$62,4,FALSE)</f>
        <v>13.235857142857142</v>
      </c>
      <c r="P710" s="17">
        <f t="shared" si="132"/>
        <v>9.8699786714285711</v>
      </c>
      <c r="Q710" s="16" cm="1">
        <f t="array" ref="Q710">_xlfn.XLOOKUP(O710,BSFC!$A$2:$A$24,_xlfn.XLOOKUP(K710,BSFC!$B$1:$O$1,BSFC!$B$2:$O$24,,-1),,-1)</f>
        <v>520</v>
      </c>
      <c r="R710" s="17">
        <f t="shared" si="133"/>
        <v>1.425663585873016</v>
      </c>
      <c r="S710" s="16">
        <f t="shared" si="134"/>
        <v>2.0443068048076269E-4</v>
      </c>
      <c r="T710" s="17">
        <f t="shared" si="137"/>
        <v>0.10630395384999659</v>
      </c>
      <c r="U710" s="16">
        <f t="shared" si="138"/>
        <v>95.177662644303695</v>
      </c>
      <c r="V710" s="17">
        <f t="shared" si="139"/>
        <v>0.19919636419109193</v>
      </c>
      <c r="W710" s="16">
        <f t="shared" si="135"/>
        <v>717106.9110879309</v>
      </c>
      <c r="X710">
        <f>('Hybrid Info'!$A$2-Track!P710)*(L710-L709)*1000+X709</f>
        <v>-29592.110178111496</v>
      </c>
    </row>
    <row r="711" spans="1:24">
      <c r="A711" s="16">
        <f t="shared" si="136"/>
        <v>710</v>
      </c>
      <c r="B711" s="17">
        <f t="shared" si="130"/>
        <v>13.411199999999999</v>
      </c>
      <c r="C711" s="16">
        <f>Specification!$G$29</f>
        <v>164.943378</v>
      </c>
      <c r="D711" s="17">
        <f>0.5*Specification!$K$4*Track!B711^2*Specification!$K$3*Specification!$K$2</f>
        <v>93.159842569492653</v>
      </c>
      <c r="E711" s="16">
        <v>0</v>
      </c>
      <c r="F711" s="17">
        <f>Specification!$C$23*9.81*SIN((E711*PI()/180))</f>
        <v>0</v>
      </c>
      <c r="G711" s="18">
        <f>IF(J711=1,VLOOKUP(K711,RPM!$E$2:$H$62,3,FALSE)-F711-E711-D711,IF(J711=2,VLOOKUP(K711,RPM!$H$2:$K$62,3,FALSE)-F711-E711-D711,IF(J711=3,VLOOKUP(K711,RPM!$K$2:$N$62,3,FALSE)-F711-E711-D711)))</f>
        <v>688.48526429214962</v>
      </c>
      <c r="H711" s="19">
        <f>IF(J711=1,Specification!$I$14,IF(J711=2,Specification!$I$15,IF(J711=3,Specification!$I$16)))</f>
        <v>582.50936296077191</v>
      </c>
      <c r="I711" s="16">
        <f t="shared" si="129"/>
        <v>0</v>
      </c>
      <c r="J711" s="17">
        <v>2</v>
      </c>
      <c r="K711" s="16">
        <f>IF(J711=1,VLOOKUP(B711,RPM!$F$2:$H$62,3,TRUE),IF(J711=2,VLOOKUP(B711,RPM!$I$2:$K$62,3,TRUE),IF(J711=3,VLOOKUP(B711,RPM!$L$2:$N$62,3,TRUE))))</f>
        <v>7000</v>
      </c>
      <c r="L711" s="17">
        <f t="shared" si="128"/>
        <v>57.216165957100692</v>
      </c>
      <c r="M711" s="16">
        <f t="shared" si="131"/>
        <v>0</v>
      </c>
      <c r="N711" s="17">
        <f>VLOOKUP(K711,RPM!$A$2:$D$62,3,FALSE)</f>
        <v>13</v>
      </c>
      <c r="O711" s="16">
        <f>VLOOKUP(K711,RPM!$A$2:$D$62,4,FALSE)</f>
        <v>13.235857142857142</v>
      </c>
      <c r="P711" s="17">
        <f t="shared" si="132"/>
        <v>9.8699786714285711</v>
      </c>
      <c r="Q711" s="16" cm="1">
        <f t="array" ref="Q711">_xlfn.XLOOKUP(O711,BSFC!$A$2:$A$24,_xlfn.XLOOKUP(K711,BSFC!$B$1:$O$1,BSFC!$B$2:$O$24,,-1),,-1)</f>
        <v>520</v>
      </c>
      <c r="R711" s="17">
        <f t="shared" si="133"/>
        <v>1.425663585873016</v>
      </c>
      <c r="S711" s="16">
        <f t="shared" si="134"/>
        <v>2.0443068048076269E-4</v>
      </c>
      <c r="T711" s="17">
        <f t="shared" si="137"/>
        <v>0.10630395384999659</v>
      </c>
      <c r="U711" s="16">
        <f t="shared" si="138"/>
        <v>95.283966598153697</v>
      </c>
      <c r="V711" s="17">
        <f t="shared" si="139"/>
        <v>0.1994007948715727</v>
      </c>
      <c r="W711" s="16">
        <f t="shared" si="135"/>
        <v>717842.86153766164</v>
      </c>
      <c r="X711">
        <f>('Hybrid Info'!$A$2-Track!P711)*(L711-L710)*1000+X710</f>
        <v>-29424.304469125229</v>
      </c>
    </row>
    <row r="712" spans="1:24">
      <c r="A712" s="16">
        <f t="shared" si="136"/>
        <v>711</v>
      </c>
      <c r="B712" s="17">
        <f t="shared" si="130"/>
        <v>13.411199999999999</v>
      </c>
      <c r="C712" s="16">
        <f>Specification!$G$29</f>
        <v>164.943378</v>
      </c>
      <c r="D712" s="17">
        <f>0.5*Specification!$K$4*Track!B712^2*Specification!$K$3*Specification!$K$2</f>
        <v>93.159842569492653</v>
      </c>
      <c r="E712" s="16">
        <v>0</v>
      </c>
      <c r="F712" s="17">
        <f>Specification!$C$23*9.81*SIN((E712*PI()/180))</f>
        <v>0</v>
      </c>
      <c r="G712" s="18">
        <f>IF(J712=1,VLOOKUP(K712,RPM!$E$2:$H$62,3,FALSE)-F712-E712-D712,IF(J712=2,VLOOKUP(K712,RPM!$H$2:$K$62,3,FALSE)-F712-E712-D712,IF(J712=3,VLOOKUP(K712,RPM!$K$2:$N$62,3,FALSE)-F712-E712-D712)))</f>
        <v>688.48526429214962</v>
      </c>
      <c r="H712" s="19">
        <f>IF(J712=1,Specification!$I$14,IF(J712=2,Specification!$I$15,IF(J712=3,Specification!$I$16)))</f>
        <v>582.50936296077191</v>
      </c>
      <c r="I712" s="16">
        <f t="shared" si="129"/>
        <v>0</v>
      </c>
      <c r="J712" s="17">
        <v>2</v>
      </c>
      <c r="K712" s="16">
        <f>IF(J712=1,VLOOKUP(B712,RPM!$F$2:$H$62,3,TRUE),IF(J712=2,VLOOKUP(B712,RPM!$I$2:$K$62,3,TRUE),IF(J712=3,VLOOKUP(B712,RPM!$L$2:$N$62,3,TRUE))))</f>
        <v>7000</v>
      </c>
      <c r="L712" s="17">
        <f t="shared" si="128"/>
        <v>57.290730500169175</v>
      </c>
      <c r="M712" s="16">
        <f t="shared" si="131"/>
        <v>0</v>
      </c>
      <c r="N712" s="17">
        <f>VLOOKUP(K712,RPM!$A$2:$D$62,3,FALSE)</f>
        <v>13</v>
      </c>
      <c r="O712" s="16">
        <f>VLOOKUP(K712,RPM!$A$2:$D$62,4,FALSE)</f>
        <v>13.235857142857142</v>
      </c>
      <c r="P712" s="17">
        <f t="shared" si="132"/>
        <v>9.8699786714285711</v>
      </c>
      <c r="Q712" s="16" cm="1">
        <f t="array" ref="Q712">_xlfn.XLOOKUP(O712,BSFC!$A$2:$A$24,_xlfn.XLOOKUP(K712,BSFC!$B$1:$O$1,BSFC!$B$2:$O$24,,-1),,-1)</f>
        <v>520</v>
      </c>
      <c r="R712" s="17">
        <f t="shared" si="133"/>
        <v>1.425663585873016</v>
      </c>
      <c r="S712" s="16">
        <f t="shared" si="134"/>
        <v>2.0443068048076269E-4</v>
      </c>
      <c r="T712" s="17">
        <f t="shared" si="137"/>
        <v>0.10630395384999659</v>
      </c>
      <c r="U712" s="16">
        <f t="shared" si="138"/>
        <v>95.390270552003699</v>
      </c>
      <c r="V712" s="17">
        <f t="shared" si="139"/>
        <v>0.19960522555205346</v>
      </c>
      <c r="W712" s="16">
        <f t="shared" si="135"/>
        <v>718578.81198739249</v>
      </c>
      <c r="X712">
        <f>('Hybrid Info'!$A$2-Track!P712)*(L712-L711)*1000+X711</f>
        <v>-29256.498760138962</v>
      </c>
    </row>
    <row r="713" spans="1:24">
      <c r="A713" s="16">
        <f t="shared" si="136"/>
        <v>712</v>
      </c>
      <c r="B713" s="17">
        <f t="shared" si="130"/>
        <v>13.411199999999999</v>
      </c>
      <c r="C713" s="16">
        <f>Specification!$G$29</f>
        <v>164.943378</v>
      </c>
      <c r="D713" s="17">
        <f>0.5*Specification!$K$4*Track!B713^2*Specification!$K$3*Specification!$K$2</f>
        <v>93.159842569492653</v>
      </c>
      <c r="E713" s="16">
        <v>0</v>
      </c>
      <c r="F713" s="17">
        <f>Specification!$C$23*9.81*SIN((E713*PI()/180))</f>
        <v>0</v>
      </c>
      <c r="G713" s="18">
        <f>IF(J713=1,VLOOKUP(K713,RPM!$E$2:$H$62,3,FALSE)-F713-E713-D713,IF(J713=2,VLOOKUP(K713,RPM!$H$2:$K$62,3,FALSE)-F713-E713-D713,IF(J713=3,VLOOKUP(K713,RPM!$K$2:$N$62,3,FALSE)-F713-E713-D713)))</f>
        <v>688.48526429214962</v>
      </c>
      <c r="H713" s="19">
        <f>IF(J713=1,Specification!$I$14,IF(J713=2,Specification!$I$15,IF(J713=3,Specification!$I$16)))</f>
        <v>582.50936296077191</v>
      </c>
      <c r="I713" s="16">
        <f t="shared" si="129"/>
        <v>0</v>
      </c>
      <c r="J713" s="17">
        <v>2</v>
      </c>
      <c r="K713" s="16">
        <f>IF(J713=1,VLOOKUP(B713,RPM!$F$2:$H$62,3,TRUE),IF(J713=2,VLOOKUP(B713,RPM!$I$2:$K$62,3,TRUE),IF(J713=3,VLOOKUP(B713,RPM!$L$2:$N$62,3,TRUE))))</f>
        <v>7000</v>
      </c>
      <c r="L713" s="17">
        <f t="shared" si="128"/>
        <v>57.365295043237658</v>
      </c>
      <c r="M713" s="16">
        <f t="shared" si="131"/>
        <v>0</v>
      </c>
      <c r="N713" s="17">
        <f>VLOOKUP(K713,RPM!$A$2:$D$62,3,FALSE)</f>
        <v>13</v>
      </c>
      <c r="O713" s="16">
        <f>VLOOKUP(K713,RPM!$A$2:$D$62,4,FALSE)</f>
        <v>13.235857142857142</v>
      </c>
      <c r="P713" s="17">
        <f t="shared" si="132"/>
        <v>9.8699786714285711</v>
      </c>
      <c r="Q713" s="16" cm="1">
        <f t="array" ref="Q713">_xlfn.XLOOKUP(O713,BSFC!$A$2:$A$24,_xlfn.XLOOKUP(K713,BSFC!$B$1:$O$1,BSFC!$B$2:$O$24,,-1),,-1)</f>
        <v>520</v>
      </c>
      <c r="R713" s="17">
        <f t="shared" si="133"/>
        <v>1.425663585873016</v>
      </c>
      <c r="S713" s="16">
        <f t="shared" si="134"/>
        <v>2.0443068048076269E-4</v>
      </c>
      <c r="T713" s="17">
        <f t="shared" si="137"/>
        <v>0.10630395384999659</v>
      </c>
      <c r="U713" s="16">
        <f t="shared" si="138"/>
        <v>95.496574505853701</v>
      </c>
      <c r="V713" s="17">
        <f t="shared" si="139"/>
        <v>0.19980965623253422</v>
      </c>
      <c r="W713" s="16">
        <f t="shared" si="135"/>
        <v>719314.76243712322</v>
      </c>
      <c r="X713">
        <f>('Hybrid Info'!$A$2-Track!P713)*(L713-L712)*1000+X712</f>
        <v>-29088.693051152695</v>
      </c>
    </row>
    <row r="714" spans="1:24">
      <c r="A714" s="16">
        <f t="shared" si="136"/>
        <v>713</v>
      </c>
      <c r="B714" s="17">
        <f t="shared" si="130"/>
        <v>13.411199999999999</v>
      </c>
      <c r="C714" s="16">
        <f>Specification!$G$29</f>
        <v>164.943378</v>
      </c>
      <c r="D714" s="17">
        <f>0.5*Specification!$K$4*Track!B714^2*Specification!$K$3*Specification!$K$2</f>
        <v>93.159842569492653</v>
      </c>
      <c r="E714" s="16">
        <v>0</v>
      </c>
      <c r="F714" s="17">
        <f>Specification!$C$23*9.81*SIN((E714*PI()/180))</f>
        <v>0</v>
      </c>
      <c r="G714" s="18">
        <f>IF(J714=1,VLOOKUP(K714,RPM!$E$2:$H$62,3,FALSE)-F714-E714-D714,IF(J714=2,VLOOKUP(K714,RPM!$H$2:$K$62,3,FALSE)-F714-E714-D714,IF(J714=3,VLOOKUP(K714,RPM!$K$2:$N$62,3,FALSE)-F714-E714-D714)))</f>
        <v>688.48526429214962</v>
      </c>
      <c r="H714" s="19">
        <f>IF(J714=1,Specification!$I$14,IF(J714=2,Specification!$I$15,IF(J714=3,Specification!$I$16)))</f>
        <v>582.50936296077191</v>
      </c>
      <c r="I714" s="16">
        <f t="shared" si="129"/>
        <v>0</v>
      </c>
      <c r="J714" s="17">
        <v>2</v>
      </c>
      <c r="K714" s="16">
        <f>IF(J714=1,VLOOKUP(B714,RPM!$F$2:$H$62,3,TRUE),IF(J714=2,VLOOKUP(B714,RPM!$I$2:$K$62,3,TRUE),IF(J714=3,VLOOKUP(B714,RPM!$L$2:$N$62,3,TRUE))))</f>
        <v>7000</v>
      </c>
      <c r="L714" s="17">
        <f t="shared" si="128"/>
        <v>57.439859586306142</v>
      </c>
      <c r="M714" s="16">
        <f t="shared" si="131"/>
        <v>0</v>
      </c>
      <c r="N714" s="17">
        <f>VLOOKUP(K714,RPM!$A$2:$D$62,3,FALSE)</f>
        <v>13</v>
      </c>
      <c r="O714" s="16">
        <f>VLOOKUP(K714,RPM!$A$2:$D$62,4,FALSE)</f>
        <v>13.235857142857142</v>
      </c>
      <c r="P714" s="17">
        <f t="shared" si="132"/>
        <v>9.8699786714285711</v>
      </c>
      <c r="Q714" s="16" cm="1">
        <f t="array" ref="Q714">_xlfn.XLOOKUP(O714,BSFC!$A$2:$A$24,_xlfn.XLOOKUP(K714,BSFC!$B$1:$O$1,BSFC!$B$2:$O$24,,-1),,-1)</f>
        <v>520</v>
      </c>
      <c r="R714" s="17">
        <f t="shared" si="133"/>
        <v>1.425663585873016</v>
      </c>
      <c r="S714" s="16">
        <f t="shared" si="134"/>
        <v>2.0443068048076269E-4</v>
      </c>
      <c r="T714" s="17">
        <f t="shared" si="137"/>
        <v>0.10630395384999659</v>
      </c>
      <c r="U714" s="16">
        <f t="shared" si="138"/>
        <v>95.602878459703703</v>
      </c>
      <c r="V714" s="17">
        <f t="shared" si="139"/>
        <v>0.20001408691301498</v>
      </c>
      <c r="W714" s="16">
        <f t="shared" si="135"/>
        <v>720050.71288685396</v>
      </c>
      <c r="X714">
        <f>('Hybrid Info'!$A$2-Track!P714)*(L714-L713)*1000+X713</f>
        <v>-28920.887342166428</v>
      </c>
    </row>
    <row r="715" spans="1:24">
      <c r="A715" s="16">
        <f t="shared" si="136"/>
        <v>714</v>
      </c>
      <c r="B715" s="17">
        <f t="shared" si="130"/>
        <v>13.411199999999999</v>
      </c>
      <c r="C715" s="16">
        <f>Specification!$G$29</f>
        <v>164.943378</v>
      </c>
      <c r="D715" s="17">
        <f>0.5*Specification!$K$4*Track!B715^2*Specification!$K$3*Specification!$K$2</f>
        <v>93.159842569492653</v>
      </c>
      <c r="E715" s="16">
        <v>0</v>
      </c>
      <c r="F715" s="17">
        <f>Specification!$C$23*9.81*SIN((E715*PI()/180))</f>
        <v>0</v>
      </c>
      <c r="G715" s="18">
        <f>IF(J715=1,VLOOKUP(K715,RPM!$E$2:$H$62,3,FALSE)-F715-E715-D715,IF(J715=2,VLOOKUP(K715,RPM!$H$2:$K$62,3,FALSE)-F715-E715-D715,IF(J715=3,VLOOKUP(K715,RPM!$K$2:$N$62,3,FALSE)-F715-E715-D715)))</f>
        <v>688.48526429214962</v>
      </c>
      <c r="H715" s="19">
        <f>IF(J715=1,Specification!$I$14,IF(J715=2,Specification!$I$15,IF(J715=3,Specification!$I$16)))</f>
        <v>582.50936296077191</v>
      </c>
      <c r="I715" s="16">
        <f t="shared" si="129"/>
        <v>0</v>
      </c>
      <c r="J715" s="17">
        <v>2</v>
      </c>
      <c r="K715" s="16">
        <f>IF(J715=1,VLOOKUP(B715,RPM!$F$2:$H$62,3,TRUE),IF(J715=2,VLOOKUP(B715,RPM!$I$2:$K$62,3,TRUE),IF(J715=3,VLOOKUP(B715,RPM!$L$2:$N$62,3,TRUE))))</f>
        <v>7000</v>
      </c>
      <c r="L715" s="17">
        <f t="shared" si="128"/>
        <v>57.514424129374625</v>
      </c>
      <c r="M715" s="16">
        <f t="shared" si="131"/>
        <v>0</v>
      </c>
      <c r="N715" s="17">
        <f>VLOOKUP(K715,RPM!$A$2:$D$62,3,FALSE)</f>
        <v>13</v>
      </c>
      <c r="O715" s="16">
        <f>VLOOKUP(K715,RPM!$A$2:$D$62,4,FALSE)</f>
        <v>13.235857142857142</v>
      </c>
      <c r="P715" s="17">
        <f t="shared" si="132"/>
        <v>9.8699786714285711</v>
      </c>
      <c r="Q715" s="16" cm="1">
        <f t="array" ref="Q715">_xlfn.XLOOKUP(O715,BSFC!$A$2:$A$24,_xlfn.XLOOKUP(K715,BSFC!$B$1:$O$1,BSFC!$B$2:$O$24,,-1),,-1)</f>
        <v>520</v>
      </c>
      <c r="R715" s="17">
        <f t="shared" si="133"/>
        <v>1.425663585873016</v>
      </c>
      <c r="S715" s="16">
        <f t="shared" si="134"/>
        <v>2.0443068048076269E-4</v>
      </c>
      <c r="T715" s="17">
        <f t="shared" si="137"/>
        <v>0.10630395384999659</v>
      </c>
      <c r="U715" s="16">
        <f t="shared" si="138"/>
        <v>95.709182413553705</v>
      </c>
      <c r="V715" s="17">
        <f t="shared" si="139"/>
        <v>0.20021851759349574</v>
      </c>
      <c r="W715" s="16">
        <f t="shared" si="135"/>
        <v>720786.66333658469</v>
      </c>
      <c r="X715">
        <f>('Hybrid Info'!$A$2-Track!P715)*(L715-L714)*1000+X714</f>
        <v>-28753.081633180162</v>
      </c>
    </row>
    <row r="716" spans="1:24">
      <c r="A716" s="16">
        <f t="shared" si="136"/>
        <v>715</v>
      </c>
      <c r="B716" s="17">
        <f t="shared" si="130"/>
        <v>13.411199999999999</v>
      </c>
      <c r="C716" s="16">
        <f>Specification!$G$29</f>
        <v>164.943378</v>
      </c>
      <c r="D716" s="17">
        <f>0.5*Specification!$K$4*Track!B716^2*Specification!$K$3*Specification!$K$2</f>
        <v>93.159842569492653</v>
      </c>
      <c r="E716" s="16">
        <v>0</v>
      </c>
      <c r="F716" s="17">
        <f>Specification!$C$23*9.81*SIN((E716*PI()/180))</f>
        <v>0</v>
      </c>
      <c r="G716" s="18">
        <f>IF(J716=1,VLOOKUP(K716,RPM!$E$2:$H$62,3,FALSE)-F716-E716-D716,IF(J716=2,VLOOKUP(K716,RPM!$H$2:$K$62,3,FALSE)-F716-E716-D716,IF(J716=3,VLOOKUP(K716,RPM!$K$2:$N$62,3,FALSE)-F716-E716-D716)))</f>
        <v>688.48526429214962</v>
      </c>
      <c r="H716" s="19">
        <f>IF(J716=1,Specification!$I$14,IF(J716=2,Specification!$I$15,IF(J716=3,Specification!$I$16)))</f>
        <v>582.50936296077191</v>
      </c>
      <c r="I716" s="16">
        <f t="shared" si="129"/>
        <v>0</v>
      </c>
      <c r="J716" s="17">
        <v>2</v>
      </c>
      <c r="K716" s="16">
        <f>IF(J716=1,VLOOKUP(B716,RPM!$F$2:$H$62,3,TRUE),IF(J716=2,VLOOKUP(B716,RPM!$I$2:$K$62,3,TRUE),IF(J716=3,VLOOKUP(B716,RPM!$L$2:$N$62,3,TRUE))))</f>
        <v>7000</v>
      </c>
      <c r="L716" s="17">
        <f t="shared" si="128"/>
        <v>57.588988672443108</v>
      </c>
      <c r="M716" s="16">
        <f t="shared" si="131"/>
        <v>0</v>
      </c>
      <c r="N716" s="17">
        <f>VLOOKUP(K716,RPM!$A$2:$D$62,3,FALSE)</f>
        <v>13</v>
      </c>
      <c r="O716" s="16">
        <f>VLOOKUP(K716,RPM!$A$2:$D$62,4,FALSE)</f>
        <v>13.235857142857142</v>
      </c>
      <c r="P716" s="17">
        <f t="shared" si="132"/>
        <v>9.8699786714285711</v>
      </c>
      <c r="Q716" s="16" cm="1">
        <f t="array" ref="Q716">_xlfn.XLOOKUP(O716,BSFC!$A$2:$A$24,_xlfn.XLOOKUP(K716,BSFC!$B$1:$O$1,BSFC!$B$2:$O$24,,-1),,-1)</f>
        <v>520</v>
      </c>
      <c r="R716" s="17">
        <f t="shared" si="133"/>
        <v>1.425663585873016</v>
      </c>
      <c r="S716" s="16">
        <f t="shared" si="134"/>
        <v>2.0443068048076269E-4</v>
      </c>
      <c r="T716" s="17">
        <f t="shared" si="137"/>
        <v>0.10630395384999659</v>
      </c>
      <c r="U716" s="16">
        <f t="shared" si="138"/>
        <v>95.815486367403707</v>
      </c>
      <c r="V716" s="17">
        <f t="shared" si="139"/>
        <v>0.2004229482739765</v>
      </c>
      <c r="W716" s="16">
        <f t="shared" si="135"/>
        <v>721522.61378631531</v>
      </c>
      <c r="X716">
        <f>('Hybrid Info'!$A$2-Track!P716)*(L716-L715)*1000+X715</f>
        <v>-28585.275924193895</v>
      </c>
    </row>
    <row r="717" spans="1:24">
      <c r="A717" s="16">
        <f t="shared" si="136"/>
        <v>716</v>
      </c>
      <c r="B717" s="17">
        <f t="shared" si="130"/>
        <v>13.411199999999999</v>
      </c>
      <c r="C717" s="16">
        <f>Specification!$G$29</f>
        <v>164.943378</v>
      </c>
      <c r="D717" s="17">
        <f>0.5*Specification!$K$4*Track!B717^2*Specification!$K$3*Specification!$K$2</f>
        <v>93.159842569492653</v>
      </c>
      <c r="E717" s="16">
        <v>0</v>
      </c>
      <c r="F717" s="17">
        <f>Specification!$C$23*9.81*SIN((E717*PI()/180))</f>
        <v>0</v>
      </c>
      <c r="G717" s="18">
        <f>IF(J717=1,VLOOKUP(K717,RPM!$E$2:$H$62,3,FALSE)-F717-E717-D717,IF(J717=2,VLOOKUP(K717,RPM!$H$2:$K$62,3,FALSE)-F717-E717-D717,IF(J717=3,VLOOKUP(K717,RPM!$K$2:$N$62,3,FALSE)-F717-E717-D717)))</f>
        <v>688.48526429214962</v>
      </c>
      <c r="H717" s="19">
        <f>IF(J717=1,Specification!$I$14,IF(J717=2,Specification!$I$15,IF(J717=3,Specification!$I$16)))</f>
        <v>582.50936296077191</v>
      </c>
      <c r="I717" s="16">
        <f t="shared" si="129"/>
        <v>0</v>
      </c>
      <c r="J717" s="17">
        <v>2</v>
      </c>
      <c r="K717" s="16">
        <f>IF(J717=1,VLOOKUP(B717,RPM!$F$2:$H$62,3,TRUE),IF(J717=2,VLOOKUP(B717,RPM!$I$2:$K$62,3,TRUE),IF(J717=3,VLOOKUP(B717,RPM!$L$2:$N$62,3,TRUE))))</f>
        <v>7000</v>
      </c>
      <c r="L717" s="17">
        <f t="shared" ref="L717:L780" si="140">IF(I717=0,ABS(1/B717)+L716,IF(ABS(B718-B717)=0,1/B717+L716,ABS((B718-B717)/I717)+L716))</f>
        <v>57.663553215511591</v>
      </c>
      <c r="M717" s="16">
        <f t="shared" si="131"/>
        <v>0</v>
      </c>
      <c r="N717" s="17">
        <f>VLOOKUP(K717,RPM!$A$2:$D$62,3,FALSE)</f>
        <v>13</v>
      </c>
      <c r="O717" s="16">
        <f>VLOOKUP(K717,RPM!$A$2:$D$62,4,FALSE)</f>
        <v>13.235857142857142</v>
      </c>
      <c r="P717" s="17">
        <f t="shared" si="132"/>
        <v>9.8699786714285711</v>
      </c>
      <c r="Q717" s="16" cm="1">
        <f t="array" ref="Q717">_xlfn.XLOOKUP(O717,BSFC!$A$2:$A$24,_xlfn.XLOOKUP(K717,BSFC!$B$1:$O$1,BSFC!$B$2:$O$24,,-1),,-1)</f>
        <v>520</v>
      </c>
      <c r="R717" s="17">
        <f t="shared" si="133"/>
        <v>1.425663585873016</v>
      </c>
      <c r="S717" s="16">
        <f t="shared" si="134"/>
        <v>2.0443068048076269E-4</v>
      </c>
      <c r="T717" s="17">
        <f t="shared" si="137"/>
        <v>0.10630395384999659</v>
      </c>
      <c r="U717" s="16">
        <f t="shared" si="138"/>
        <v>95.92179032125371</v>
      </c>
      <c r="V717" s="17">
        <f t="shared" si="139"/>
        <v>0.20062737895445726</v>
      </c>
      <c r="W717" s="16">
        <f t="shared" si="135"/>
        <v>722258.56423604616</v>
      </c>
      <c r="X717">
        <f>('Hybrid Info'!$A$2-Track!P717)*(L717-L716)*1000+X716</f>
        <v>-28417.470215207628</v>
      </c>
    </row>
    <row r="718" spans="1:24">
      <c r="A718" s="16">
        <f t="shared" si="136"/>
        <v>717</v>
      </c>
      <c r="B718" s="17">
        <f t="shared" si="130"/>
        <v>13.411199999999999</v>
      </c>
      <c r="C718" s="16">
        <f>Specification!$G$29</f>
        <v>164.943378</v>
      </c>
      <c r="D718" s="17">
        <f>0.5*Specification!$K$4*Track!B718^2*Specification!$K$3*Specification!$K$2</f>
        <v>93.159842569492653</v>
      </c>
      <c r="E718" s="16">
        <v>0</v>
      </c>
      <c r="F718" s="17">
        <f>Specification!$C$23*9.81*SIN((E718*PI()/180))</f>
        <v>0</v>
      </c>
      <c r="G718" s="18">
        <f>IF(J718=1,VLOOKUP(K718,RPM!$E$2:$H$62,3,FALSE)-F718-E718-D718,IF(J718=2,VLOOKUP(K718,RPM!$H$2:$K$62,3,FALSE)-F718-E718-D718,IF(J718=3,VLOOKUP(K718,RPM!$K$2:$N$62,3,FALSE)-F718-E718-D718)))</f>
        <v>688.48526429214962</v>
      </c>
      <c r="H718" s="19">
        <f>IF(J718=1,Specification!$I$14,IF(J718=2,Specification!$I$15,IF(J718=3,Specification!$I$16)))</f>
        <v>582.50936296077191</v>
      </c>
      <c r="I718" s="16">
        <f t="shared" si="129"/>
        <v>0</v>
      </c>
      <c r="J718" s="17">
        <v>2</v>
      </c>
      <c r="K718" s="16">
        <f>IF(J718=1,VLOOKUP(B718,RPM!$F$2:$H$62,3,TRUE),IF(J718=2,VLOOKUP(B718,RPM!$I$2:$K$62,3,TRUE),IF(J718=3,VLOOKUP(B718,RPM!$L$2:$N$62,3,TRUE))))</f>
        <v>7000</v>
      </c>
      <c r="L718" s="17">
        <f t="shared" si="140"/>
        <v>57.738117758580074</v>
      </c>
      <c r="M718" s="16">
        <f t="shared" si="131"/>
        <v>0</v>
      </c>
      <c r="N718" s="17">
        <f>VLOOKUP(K718,RPM!$A$2:$D$62,3,FALSE)</f>
        <v>13</v>
      </c>
      <c r="O718" s="16">
        <f>VLOOKUP(K718,RPM!$A$2:$D$62,4,FALSE)</f>
        <v>13.235857142857142</v>
      </c>
      <c r="P718" s="17">
        <f t="shared" si="132"/>
        <v>9.8699786714285711</v>
      </c>
      <c r="Q718" s="16" cm="1">
        <f t="array" ref="Q718">_xlfn.XLOOKUP(O718,BSFC!$A$2:$A$24,_xlfn.XLOOKUP(K718,BSFC!$B$1:$O$1,BSFC!$B$2:$O$24,,-1),,-1)</f>
        <v>520</v>
      </c>
      <c r="R718" s="17">
        <f t="shared" si="133"/>
        <v>1.425663585873016</v>
      </c>
      <c r="S718" s="16">
        <f t="shared" si="134"/>
        <v>2.0443068048076269E-4</v>
      </c>
      <c r="T718" s="17">
        <f t="shared" si="137"/>
        <v>0.10630395384999659</v>
      </c>
      <c r="U718" s="16">
        <f t="shared" si="138"/>
        <v>96.028094275103712</v>
      </c>
      <c r="V718" s="17">
        <f t="shared" si="139"/>
        <v>0.20083180963493802</v>
      </c>
      <c r="W718" s="16">
        <f t="shared" si="135"/>
        <v>722994.5146857769</v>
      </c>
      <c r="X718">
        <f>('Hybrid Info'!$A$2-Track!P718)*(L718-L717)*1000+X717</f>
        <v>-28249.664506221361</v>
      </c>
    </row>
    <row r="719" spans="1:24">
      <c r="A719" s="16">
        <f t="shared" si="136"/>
        <v>718</v>
      </c>
      <c r="B719" s="17">
        <f t="shared" si="130"/>
        <v>13.411199999999999</v>
      </c>
      <c r="C719" s="16">
        <f>Specification!$G$29</f>
        <v>164.943378</v>
      </c>
      <c r="D719" s="17">
        <f>0.5*Specification!$K$4*Track!B719^2*Specification!$K$3*Specification!$K$2</f>
        <v>93.159842569492653</v>
      </c>
      <c r="E719" s="16">
        <v>0</v>
      </c>
      <c r="F719" s="17">
        <f>Specification!$C$23*9.81*SIN((E719*PI()/180))</f>
        <v>0</v>
      </c>
      <c r="G719" s="18">
        <f>IF(J719=1,VLOOKUP(K719,RPM!$E$2:$H$62,3,FALSE)-F719-E719-D719,IF(J719=2,VLOOKUP(K719,RPM!$H$2:$K$62,3,FALSE)-F719-E719-D719,IF(J719=3,VLOOKUP(K719,RPM!$K$2:$N$62,3,FALSE)-F719-E719-D719)))</f>
        <v>688.48526429214962</v>
      </c>
      <c r="H719" s="19">
        <f>IF(J719=1,Specification!$I$14,IF(J719=2,Specification!$I$15,IF(J719=3,Specification!$I$16)))</f>
        <v>582.50936296077191</v>
      </c>
      <c r="I719" s="16">
        <f t="shared" si="129"/>
        <v>0</v>
      </c>
      <c r="J719" s="17">
        <v>2</v>
      </c>
      <c r="K719" s="16">
        <f>IF(J719=1,VLOOKUP(B719,RPM!$F$2:$H$62,3,TRUE),IF(J719=2,VLOOKUP(B719,RPM!$I$2:$K$62,3,TRUE),IF(J719=3,VLOOKUP(B719,RPM!$L$2:$N$62,3,TRUE))))</f>
        <v>7000</v>
      </c>
      <c r="L719" s="17">
        <f t="shared" si="140"/>
        <v>57.812682301648557</v>
      </c>
      <c r="M719" s="16">
        <f t="shared" si="131"/>
        <v>0</v>
      </c>
      <c r="N719" s="17">
        <f>VLOOKUP(K719,RPM!$A$2:$D$62,3,FALSE)</f>
        <v>13</v>
      </c>
      <c r="O719" s="16">
        <f>VLOOKUP(K719,RPM!$A$2:$D$62,4,FALSE)</f>
        <v>13.235857142857142</v>
      </c>
      <c r="P719" s="17">
        <f t="shared" si="132"/>
        <v>9.8699786714285711</v>
      </c>
      <c r="Q719" s="16" cm="1">
        <f t="array" ref="Q719">_xlfn.XLOOKUP(O719,BSFC!$A$2:$A$24,_xlfn.XLOOKUP(K719,BSFC!$B$1:$O$1,BSFC!$B$2:$O$24,,-1),,-1)</f>
        <v>520</v>
      </c>
      <c r="R719" s="17">
        <f t="shared" si="133"/>
        <v>1.425663585873016</v>
      </c>
      <c r="S719" s="16">
        <f t="shared" si="134"/>
        <v>2.0443068048076269E-4</v>
      </c>
      <c r="T719" s="17">
        <f t="shared" si="137"/>
        <v>0.10630395384999659</v>
      </c>
      <c r="U719" s="16">
        <f t="shared" si="138"/>
        <v>96.134398228953714</v>
      </c>
      <c r="V719" s="17">
        <f t="shared" si="139"/>
        <v>0.20103624031541878</v>
      </c>
      <c r="W719" s="16">
        <f t="shared" si="135"/>
        <v>723730.46513550763</v>
      </c>
      <c r="X719">
        <f>('Hybrid Info'!$A$2-Track!P719)*(L719-L718)*1000+X718</f>
        <v>-28081.858797235094</v>
      </c>
    </row>
    <row r="720" spans="1:24">
      <c r="A720" s="16">
        <f t="shared" si="136"/>
        <v>719</v>
      </c>
      <c r="B720" s="17">
        <f t="shared" si="130"/>
        <v>13.411199999999999</v>
      </c>
      <c r="C720" s="16">
        <f>Specification!$G$29</f>
        <v>164.943378</v>
      </c>
      <c r="D720" s="17">
        <f>0.5*Specification!$K$4*Track!B720^2*Specification!$K$3*Specification!$K$2</f>
        <v>93.159842569492653</v>
      </c>
      <c r="E720" s="16">
        <v>0</v>
      </c>
      <c r="F720" s="17">
        <f>Specification!$C$23*9.81*SIN((E720*PI()/180))</f>
        <v>0</v>
      </c>
      <c r="G720" s="18">
        <f>IF(J720=1,VLOOKUP(K720,RPM!$E$2:$H$62,3,FALSE)-F720-E720-D720,IF(J720=2,VLOOKUP(K720,RPM!$H$2:$K$62,3,FALSE)-F720-E720-D720,IF(J720=3,VLOOKUP(K720,RPM!$K$2:$N$62,3,FALSE)-F720-E720-D720)))</f>
        <v>688.48526429214962</v>
      </c>
      <c r="H720" s="19">
        <f>IF(J720=1,Specification!$I$14,IF(J720=2,Specification!$I$15,IF(J720=3,Specification!$I$16)))</f>
        <v>582.50936296077191</v>
      </c>
      <c r="I720" s="16">
        <f t="shared" si="129"/>
        <v>0</v>
      </c>
      <c r="J720" s="17">
        <v>2</v>
      </c>
      <c r="K720" s="16">
        <f>IF(J720=1,VLOOKUP(B720,RPM!$F$2:$H$62,3,TRUE),IF(J720=2,VLOOKUP(B720,RPM!$I$2:$K$62,3,TRUE),IF(J720=3,VLOOKUP(B720,RPM!$L$2:$N$62,3,TRUE))))</f>
        <v>7000</v>
      </c>
      <c r="L720" s="17">
        <f t="shared" si="140"/>
        <v>57.887246844717041</v>
      </c>
      <c r="M720" s="16">
        <f t="shared" si="131"/>
        <v>0</v>
      </c>
      <c r="N720" s="17">
        <f>VLOOKUP(K720,RPM!$A$2:$D$62,3,FALSE)</f>
        <v>13</v>
      </c>
      <c r="O720" s="16">
        <f>VLOOKUP(K720,RPM!$A$2:$D$62,4,FALSE)</f>
        <v>13.235857142857142</v>
      </c>
      <c r="P720" s="17">
        <f t="shared" si="132"/>
        <v>9.8699786714285711</v>
      </c>
      <c r="Q720" s="16" cm="1">
        <f t="array" ref="Q720">_xlfn.XLOOKUP(O720,BSFC!$A$2:$A$24,_xlfn.XLOOKUP(K720,BSFC!$B$1:$O$1,BSFC!$B$2:$O$24,,-1),,-1)</f>
        <v>520</v>
      </c>
      <c r="R720" s="17">
        <f t="shared" si="133"/>
        <v>1.425663585873016</v>
      </c>
      <c r="S720" s="16">
        <f t="shared" si="134"/>
        <v>2.0443068048076269E-4</v>
      </c>
      <c r="T720" s="17">
        <f t="shared" si="137"/>
        <v>0.10630395384999659</v>
      </c>
      <c r="U720" s="16">
        <f t="shared" si="138"/>
        <v>96.240702182803716</v>
      </c>
      <c r="V720" s="17">
        <f t="shared" si="139"/>
        <v>0.20124067099589954</v>
      </c>
      <c r="W720" s="16">
        <f t="shared" si="135"/>
        <v>724466.41558523837</v>
      </c>
      <c r="X720">
        <f>('Hybrid Info'!$A$2-Track!P720)*(L720-L719)*1000+X719</f>
        <v>-27914.053088248827</v>
      </c>
    </row>
    <row r="721" spans="1:24">
      <c r="A721" s="16">
        <f t="shared" si="136"/>
        <v>720</v>
      </c>
      <c r="B721" s="17">
        <f t="shared" si="130"/>
        <v>13.411199999999999</v>
      </c>
      <c r="C721" s="16">
        <f>Specification!$G$29</f>
        <v>164.943378</v>
      </c>
      <c r="D721" s="17">
        <f>0.5*Specification!$K$4*Track!B721^2*Specification!$K$3*Specification!$K$2</f>
        <v>93.159842569492653</v>
      </c>
      <c r="E721" s="16">
        <v>0</v>
      </c>
      <c r="F721" s="17">
        <f>Specification!$C$23*9.81*SIN((E721*PI()/180))</f>
        <v>0</v>
      </c>
      <c r="G721" s="18">
        <f>IF(J721=1,VLOOKUP(K721,RPM!$E$2:$H$62,3,FALSE)-F721-E721-D721,IF(J721=2,VLOOKUP(K721,RPM!$H$2:$K$62,3,FALSE)-F721-E721-D721,IF(J721=3,VLOOKUP(K721,RPM!$K$2:$N$62,3,FALSE)-F721-E721-D721)))</f>
        <v>688.48526429214962</v>
      </c>
      <c r="H721" s="19">
        <f>IF(J721=1,Specification!$I$14,IF(J721=2,Specification!$I$15,IF(J721=3,Specification!$I$16)))</f>
        <v>582.50936296077191</v>
      </c>
      <c r="I721" s="16">
        <f t="shared" si="129"/>
        <v>0</v>
      </c>
      <c r="J721" s="17">
        <v>2</v>
      </c>
      <c r="K721" s="16">
        <f>IF(J721=1,VLOOKUP(B721,RPM!$F$2:$H$62,3,TRUE),IF(J721=2,VLOOKUP(B721,RPM!$I$2:$K$62,3,TRUE),IF(J721=3,VLOOKUP(B721,RPM!$L$2:$N$62,3,TRUE))))</f>
        <v>7000</v>
      </c>
      <c r="L721" s="17">
        <f t="shared" si="140"/>
        <v>57.961811387785524</v>
      </c>
      <c r="M721" s="16">
        <f t="shared" si="131"/>
        <v>0</v>
      </c>
      <c r="N721" s="17">
        <f>VLOOKUP(K721,RPM!$A$2:$D$62,3,FALSE)</f>
        <v>13</v>
      </c>
      <c r="O721" s="16">
        <f>VLOOKUP(K721,RPM!$A$2:$D$62,4,FALSE)</f>
        <v>13.235857142857142</v>
      </c>
      <c r="P721" s="17">
        <f t="shared" si="132"/>
        <v>9.8699786714285711</v>
      </c>
      <c r="Q721" s="16" cm="1">
        <f t="array" ref="Q721">_xlfn.XLOOKUP(O721,BSFC!$A$2:$A$24,_xlfn.XLOOKUP(K721,BSFC!$B$1:$O$1,BSFC!$B$2:$O$24,,-1),,-1)</f>
        <v>520</v>
      </c>
      <c r="R721" s="17">
        <f t="shared" si="133"/>
        <v>1.425663585873016</v>
      </c>
      <c r="S721" s="16">
        <f t="shared" si="134"/>
        <v>2.0443068048076269E-4</v>
      </c>
      <c r="T721" s="17">
        <f t="shared" si="137"/>
        <v>0.10630395384999659</v>
      </c>
      <c r="U721" s="16">
        <f t="shared" si="138"/>
        <v>96.347006136653718</v>
      </c>
      <c r="V721" s="17">
        <f t="shared" si="139"/>
        <v>0.2014451016763803</v>
      </c>
      <c r="W721" s="16">
        <f t="shared" si="135"/>
        <v>725202.36603496899</v>
      </c>
      <c r="X721">
        <f>('Hybrid Info'!$A$2-Track!P721)*(L721-L720)*1000+X720</f>
        <v>-27746.247379262561</v>
      </c>
    </row>
    <row r="722" spans="1:24">
      <c r="A722" s="16">
        <f t="shared" si="136"/>
        <v>721</v>
      </c>
      <c r="B722" s="17">
        <f t="shared" si="130"/>
        <v>13.411199999999999</v>
      </c>
      <c r="C722" s="16">
        <f>Specification!$G$29</f>
        <v>164.943378</v>
      </c>
      <c r="D722" s="17">
        <f>0.5*Specification!$K$4*Track!B722^2*Specification!$K$3*Specification!$K$2</f>
        <v>93.159842569492653</v>
      </c>
      <c r="E722" s="16">
        <v>0</v>
      </c>
      <c r="F722" s="17">
        <f>Specification!$C$23*9.81*SIN((E722*PI()/180))</f>
        <v>0</v>
      </c>
      <c r="G722" s="18">
        <f>IF(J722=1,VLOOKUP(K722,RPM!$E$2:$H$62,3,FALSE)-F722-E722-D722,IF(J722=2,VLOOKUP(K722,RPM!$H$2:$K$62,3,FALSE)-F722-E722-D722,IF(J722=3,VLOOKUP(K722,RPM!$K$2:$N$62,3,FALSE)-F722-E722-D722)))</f>
        <v>688.48526429214962</v>
      </c>
      <c r="H722" s="19">
        <f>IF(J722=1,Specification!$I$14,IF(J722=2,Specification!$I$15,IF(J722=3,Specification!$I$16)))</f>
        <v>582.50936296077191</v>
      </c>
      <c r="I722" s="16">
        <f t="shared" si="129"/>
        <v>0</v>
      </c>
      <c r="J722" s="17">
        <v>2</v>
      </c>
      <c r="K722" s="16">
        <f>IF(J722=1,VLOOKUP(B722,RPM!$F$2:$H$62,3,TRUE),IF(J722=2,VLOOKUP(B722,RPM!$I$2:$K$62,3,TRUE),IF(J722=3,VLOOKUP(B722,RPM!$L$2:$N$62,3,TRUE))))</f>
        <v>7000</v>
      </c>
      <c r="L722" s="17">
        <f t="shared" si="140"/>
        <v>58.036375930854007</v>
      </c>
      <c r="M722" s="16">
        <f t="shared" si="131"/>
        <v>0</v>
      </c>
      <c r="N722" s="17">
        <f>VLOOKUP(K722,RPM!$A$2:$D$62,3,FALSE)</f>
        <v>13</v>
      </c>
      <c r="O722" s="16">
        <f>VLOOKUP(K722,RPM!$A$2:$D$62,4,FALSE)</f>
        <v>13.235857142857142</v>
      </c>
      <c r="P722" s="17">
        <f t="shared" si="132"/>
        <v>9.8699786714285711</v>
      </c>
      <c r="Q722" s="16" cm="1">
        <f t="array" ref="Q722">_xlfn.XLOOKUP(O722,BSFC!$A$2:$A$24,_xlfn.XLOOKUP(K722,BSFC!$B$1:$O$1,BSFC!$B$2:$O$24,,-1),,-1)</f>
        <v>520</v>
      </c>
      <c r="R722" s="17">
        <f t="shared" si="133"/>
        <v>1.425663585873016</v>
      </c>
      <c r="S722" s="16">
        <f t="shared" si="134"/>
        <v>2.0443068048076269E-4</v>
      </c>
      <c r="T722" s="17">
        <f t="shared" si="137"/>
        <v>0.10630395384999659</v>
      </c>
      <c r="U722" s="16">
        <f t="shared" si="138"/>
        <v>96.45331009050372</v>
      </c>
      <c r="V722" s="17">
        <f t="shared" si="139"/>
        <v>0.20164953235686106</v>
      </c>
      <c r="W722" s="16">
        <f t="shared" si="135"/>
        <v>725938.31648469984</v>
      </c>
      <c r="X722">
        <f>('Hybrid Info'!$A$2-Track!P722)*(L722-L721)*1000+X721</f>
        <v>-27578.441670276294</v>
      </c>
    </row>
    <row r="723" spans="1:24">
      <c r="A723" s="16">
        <f t="shared" si="136"/>
        <v>722</v>
      </c>
      <c r="B723" s="17">
        <f t="shared" si="130"/>
        <v>13.411199999999999</v>
      </c>
      <c r="C723" s="16">
        <f>Specification!$G$29</f>
        <v>164.943378</v>
      </c>
      <c r="D723" s="17">
        <f>0.5*Specification!$K$4*Track!B723^2*Specification!$K$3*Specification!$K$2</f>
        <v>93.159842569492653</v>
      </c>
      <c r="E723" s="16">
        <v>0</v>
      </c>
      <c r="F723" s="17">
        <f>Specification!$C$23*9.81*SIN((E723*PI()/180))</f>
        <v>0</v>
      </c>
      <c r="G723" s="18">
        <f>IF(J723=1,VLOOKUP(K723,RPM!$E$2:$H$62,3,FALSE)-F723-E723-D723,IF(J723=2,VLOOKUP(K723,RPM!$H$2:$K$62,3,FALSE)-F723-E723-D723,IF(J723=3,VLOOKUP(K723,RPM!$K$2:$N$62,3,FALSE)-F723-E723-D723)))</f>
        <v>688.48526429214962</v>
      </c>
      <c r="H723" s="19">
        <f>IF(J723=1,Specification!$I$14,IF(J723=2,Specification!$I$15,IF(J723=3,Specification!$I$16)))</f>
        <v>582.50936296077191</v>
      </c>
      <c r="I723" s="16">
        <f t="shared" si="129"/>
        <v>0</v>
      </c>
      <c r="J723" s="17">
        <v>2</v>
      </c>
      <c r="K723" s="16">
        <f>IF(J723=1,VLOOKUP(B723,RPM!$F$2:$H$62,3,TRUE),IF(J723=2,VLOOKUP(B723,RPM!$I$2:$K$62,3,TRUE),IF(J723=3,VLOOKUP(B723,RPM!$L$2:$N$62,3,TRUE))))</f>
        <v>7000</v>
      </c>
      <c r="L723" s="17">
        <f t="shared" si="140"/>
        <v>58.11094047392249</v>
      </c>
      <c r="M723" s="16">
        <f t="shared" si="131"/>
        <v>0</v>
      </c>
      <c r="N723" s="17">
        <f>VLOOKUP(K723,RPM!$A$2:$D$62,3,FALSE)</f>
        <v>13</v>
      </c>
      <c r="O723" s="16">
        <f>VLOOKUP(K723,RPM!$A$2:$D$62,4,FALSE)</f>
        <v>13.235857142857142</v>
      </c>
      <c r="P723" s="17">
        <f t="shared" si="132"/>
        <v>9.8699786714285711</v>
      </c>
      <c r="Q723" s="16" cm="1">
        <f t="array" ref="Q723">_xlfn.XLOOKUP(O723,BSFC!$A$2:$A$24,_xlfn.XLOOKUP(K723,BSFC!$B$1:$O$1,BSFC!$B$2:$O$24,,-1),,-1)</f>
        <v>520</v>
      </c>
      <c r="R723" s="17">
        <f t="shared" si="133"/>
        <v>1.425663585873016</v>
      </c>
      <c r="S723" s="16">
        <f t="shared" si="134"/>
        <v>2.0443068048076269E-4</v>
      </c>
      <c r="T723" s="17">
        <f t="shared" si="137"/>
        <v>0.10630395384999659</v>
      </c>
      <c r="U723" s="16">
        <f t="shared" si="138"/>
        <v>96.559614044353722</v>
      </c>
      <c r="V723" s="17">
        <f t="shared" si="139"/>
        <v>0.20185396303734182</v>
      </c>
      <c r="W723" s="16">
        <f t="shared" si="135"/>
        <v>726674.26693443058</v>
      </c>
      <c r="X723">
        <f>('Hybrid Info'!$A$2-Track!P723)*(L723-L722)*1000+X722</f>
        <v>-27410.635961290027</v>
      </c>
    </row>
    <row r="724" spans="1:24">
      <c r="A724" s="16">
        <f t="shared" si="136"/>
        <v>723</v>
      </c>
      <c r="B724" s="17">
        <f t="shared" si="130"/>
        <v>13.411199999999999</v>
      </c>
      <c r="C724" s="16">
        <f>Specification!$G$29</f>
        <v>164.943378</v>
      </c>
      <c r="D724" s="17">
        <f>0.5*Specification!$K$4*Track!B724^2*Specification!$K$3*Specification!$K$2</f>
        <v>93.159842569492653</v>
      </c>
      <c r="E724" s="16">
        <v>0</v>
      </c>
      <c r="F724" s="17">
        <f>Specification!$C$23*9.81*SIN((E724*PI()/180))</f>
        <v>0</v>
      </c>
      <c r="G724" s="18">
        <f>IF(J724=1,VLOOKUP(K724,RPM!$E$2:$H$62,3,FALSE)-F724-E724-D724,IF(J724=2,VLOOKUP(K724,RPM!$H$2:$K$62,3,FALSE)-F724-E724-D724,IF(J724=3,VLOOKUP(K724,RPM!$K$2:$N$62,3,FALSE)-F724-E724-D724)))</f>
        <v>688.48526429214962</v>
      </c>
      <c r="H724" s="19">
        <f>IF(J724=1,Specification!$I$14,IF(J724=2,Specification!$I$15,IF(J724=3,Specification!$I$16)))</f>
        <v>582.50936296077191</v>
      </c>
      <c r="I724" s="16">
        <f t="shared" si="129"/>
        <v>0</v>
      </c>
      <c r="J724" s="17">
        <v>2</v>
      </c>
      <c r="K724" s="16">
        <f>IF(J724=1,VLOOKUP(B724,RPM!$F$2:$H$62,3,TRUE),IF(J724=2,VLOOKUP(B724,RPM!$I$2:$K$62,3,TRUE),IF(J724=3,VLOOKUP(B724,RPM!$L$2:$N$62,3,TRUE))))</f>
        <v>7000</v>
      </c>
      <c r="L724" s="17">
        <f t="shared" si="140"/>
        <v>58.185505016990973</v>
      </c>
      <c r="M724" s="16">
        <f t="shared" si="131"/>
        <v>0</v>
      </c>
      <c r="N724" s="17">
        <f>VLOOKUP(K724,RPM!$A$2:$D$62,3,FALSE)</f>
        <v>13</v>
      </c>
      <c r="O724" s="16">
        <f>VLOOKUP(K724,RPM!$A$2:$D$62,4,FALSE)</f>
        <v>13.235857142857142</v>
      </c>
      <c r="P724" s="17">
        <f t="shared" si="132"/>
        <v>9.8699786714285711</v>
      </c>
      <c r="Q724" s="16" cm="1">
        <f t="array" ref="Q724">_xlfn.XLOOKUP(O724,BSFC!$A$2:$A$24,_xlfn.XLOOKUP(K724,BSFC!$B$1:$O$1,BSFC!$B$2:$O$24,,-1),,-1)</f>
        <v>520</v>
      </c>
      <c r="R724" s="17">
        <f t="shared" si="133"/>
        <v>1.425663585873016</v>
      </c>
      <c r="S724" s="16">
        <f t="shared" si="134"/>
        <v>2.0443068048076269E-4</v>
      </c>
      <c r="T724" s="17">
        <f t="shared" si="137"/>
        <v>0.10630395384999659</v>
      </c>
      <c r="U724" s="16">
        <f t="shared" si="138"/>
        <v>96.665917998203724</v>
      </c>
      <c r="V724" s="17">
        <f t="shared" si="139"/>
        <v>0.20205839371782258</v>
      </c>
      <c r="W724" s="16">
        <f t="shared" si="135"/>
        <v>727410.21738416131</v>
      </c>
      <c r="X724">
        <f>('Hybrid Info'!$A$2-Track!P724)*(L724-L723)*1000+X723</f>
        <v>-27242.83025230376</v>
      </c>
    </row>
    <row r="725" spans="1:24">
      <c r="A725" s="16">
        <f t="shared" si="136"/>
        <v>724</v>
      </c>
      <c r="B725" s="17">
        <f t="shared" si="130"/>
        <v>13.411199999999999</v>
      </c>
      <c r="C725" s="16">
        <f>Specification!$G$29</f>
        <v>164.943378</v>
      </c>
      <c r="D725" s="17">
        <f>0.5*Specification!$K$4*Track!B725^2*Specification!$K$3*Specification!$K$2</f>
        <v>93.159842569492653</v>
      </c>
      <c r="E725" s="16">
        <v>0</v>
      </c>
      <c r="F725" s="17">
        <f>Specification!$C$23*9.81*SIN((E725*PI()/180))</f>
        <v>0</v>
      </c>
      <c r="G725" s="18">
        <f>IF(J725=1,VLOOKUP(K725,RPM!$E$2:$H$62,3,FALSE)-F725-E725-D725,IF(J725=2,VLOOKUP(K725,RPM!$H$2:$K$62,3,FALSE)-F725-E725-D725,IF(J725=3,VLOOKUP(K725,RPM!$K$2:$N$62,3,FALSE)-F725-E725-D725)))</f>
        <v>688.48526429214962</v>
      </c>
      <c r="H725" s="19">
        <f>IF(J725=1,Specification!$I$14,IF(J725=2,Specification!$I$15,IF(J725=3,Specification!$I$16)))</f>
        <v>582.50936296077191</v>
      </c>
      <c r="I725" s="16">
        <f t="shared" si="129"/>
        <v>0</v>
      </c>
      <c r="J725" s="17">
        <v>2</v>
      </c>
      <c r="K725" s="16">
        <f>IF(J725=1,VLOOKUP(B725,RPM!$F$2:$H$62,3,TRUE),IF(J725=2,VLOOKUP(B725,RPM!$I$2:$K$62,3,TRUE),IF(J725=3,VLOOKUP(B725,RPM!$L$2:$N$62,3,TRUE))))</f>
        <v>7000</v>
      </c>
      <c r="L725" s="17">
        <f t="shared" si="140"/>
        <v>58.260069560059456</v>
      </c>
      <c r="M725" s="16">
        <f t="shared" si="131"/>
        <v>0</v>
      </c>
      <c r="N725" s="17">
        <f>VLOOKUP(K725,RPM!$A$2:$D$62,3,FALSE)</f>
        <v>13</v>
      </c>
      <c r="O725" s="16">
        <f>VLOOKUP(K725,RPM!$A$2:$D$62,4,FALSE)</f>
        <v>13.235857142857142</v>
      </c>
      <c r="P725" s="17">
        <f t="shared" si="132"/>
        <v>9.8699786714285711</v>
      </c>
      <c r="Q725" s="16" cm="1">
        <f t="array" ref="Q725">_xlfn.XLOOKUP(O725,BSFC!$A$2:$A$24,_xlfn.XLOOKUP(K725,BSFC!$B$1:$O$1,BSFC!$B$2:$O$24,,-1),,-1)</f>
        <v>520</v>
      </c>
      <c r="R725" s="17">
        <f t="shared" si="133"/>
        <v>1.425663585873016</v>
      </c>
      <c r="S725" s="16">
        <f t="shared" si="134"/>
        <v>2.0443068048076269E-4</v>
      </c>
      <c r="T725" s="17">
        <f t="shared" si="137"/>
        <v>0.10630395384999659</v>
      </c>
      <c r="U725" s="16">
        <f t="shared" si="138"/>
        <v>96.772221952053727</v>
      </c>
      <c r="V725" s="17">
        <f t="shared" si="139"/>
        <v>0.20226282439830334</v>
      </c>
      <c r="W725" s="16">
        <f t="shared" si="135"/>
        <v>728146.16783389205</v>
      </c>
      <c r="X725">
        <f>('Hybrid Info'!$A$2-Track!P725)*(L725-L724)*1000+X724</f>
        <v>-27075.024543317493</v>
      </c>
    </row>
    <row r="726" spans="1:24">
      <c r="A726" s="16">
        <f t="shared" si="136"/>
        <v>725</v>
      </c>
      <c r="B726" s="17">
        <f t="shared" si="130"/>
        <v>13.411199999999999</v>
      </c>
      <c r="C726" s="16">
        <f>Specification!$G$29</f>
        <v>164.943378</v>
      </c>
      <c r="D726" s="17">
        <f>0.5*Specification!$K$4*Track!B726^2*Specification!$K$3*Specification!$K$2</f>
        <v>93.159842569492653</v>
      </c>
      <c r="E726" s="16">
        <v>0</v>
      </c>
      <c r="F726" s="17">
        <f>Specification!$C$23*9.81*SIN((E726*PI()/180))</f>
        <v>0</v>
      </c>
      <c r="G726" s="18">
        <f>IF(J726=1,VLOOKUP(K726,RPM!$E$2:$H$62,3,FALSE)-F726-E726-D726,IF(J726=2,VLOOKUP(K726,RPM!$H$2:$K$62,3,FALSE)-F726-E726-D726,IF(J726=3,VLOOKUP(K726,RPM!$K$2:$N$62,3,FALSE)-F726-E726-D726)))</f>
        <v>688.48526429214962</v>
      </c>
      <c r="H726" s="19">
        <f>IF(J726=1,Specification!$I$14,IF(J726=2,Specification!$I$15,IF(J726=3,Specification!$I$16)))</f>
        <v>582.50936296077191</v>
      </c>
      <c r="I726" s="16">
        <f t="shared" si="129"/>
        <v>0</v>
      </c>
      <c r="J726" s="17">
        <v>2</v>
      </c>
      <c r="K726" s="16">
        <f>IF(J726=1,VLOOKUP(B726,RPM!$F$2:$H$62,3,TRUE),IF(J726=2,VLOOKUP(B726,RPM!$I$2:$K$62,3,TRUE),IF(J726=3,VLOOKUP(B726,RPM!$L$2:$N$62,3,TRUE))))</f>
        <v>7000</v>
      </c>
      <c r="L726" s="17">
        <f t="shared" si="140"/>
        <v>58.334634103127939</v>
      </c>
      <c r="M726" s="16">
        <f t="shared" si="131"/>
        <v>0</v>
      </c>
      <c r="N726" s="17">
        <f>VLOOKUP(K726,RPM!$A$2:$D$62,3,FALSE)</f>
        <v>13</v>
      </c>
      <c r="O726" s="16">
        <f>VLOOKUP(K726,RPM!$A$2:$D$62,4,FALSE)</f>
        <v>13.235857142857142</v>
      </c>
      <c r="P726" s="17">
        <f t="shared" si="132"/>
        <v>9.8699786714285711</v>
      </c>
      <c r="Q726" s="16" cm="1">
        <f t="array" ref="Q726">_xlfn.XLOOKUP(O726,BSFC!$A$2:$A$24,_xlfn.XLOOKUP(K726,BSFC!$B$1:$O$1,BSFC!$B$2:$O$24,,-1),,-1)</f>
        <v>520</v>
      </c>
      <c r="R726" s="17">
        <f t="shared" si="133"/>
        <v>1.425663585873016</v>
      </c>
      <c r="S726" s="16">
        <f t="shared" si="134"/>
        <v>2.0443068048076269E-4</v>
      </c>
      <c r="T726" s="17">
        <f t="shared" si="137"/>
        <v>0.10630395384999659</v>
      </c>
      <c r="U726" s="16">
        <f t="shared" si="138"/>
        <v>96.878525905903729</v>
      </c>
      <c r="V726" s="17">
        <f t="shared" si="139"/>
        <v>0.2024672550787841</v>
      </c>
      <c r="W726" s="16">
        <f t="shared" si="135"/>
        <v>728882.11828362278</v>
      </c>
      <c r="X726">
        <f>('Hybrid Info'!$A$2-Track!P726)*(L726-L725)*1000+X725</f>
        <v>-26907.218834331226</v>
      </c>
    </row>
    <row r="727" spans="1:24">
      <c r="A727" s="16">
        <f t="shared" si="136"/>
        <v>726</v>
      </c>
      <c r="B727" s="17">
        <f t="shared" si="130"/>
        <v>13.411199999999999</v>
      </c>
      <c r="C727" s="16">
        <f>Specification!$G$29</f>
        <v>164.943378</v>
      </c>
      <c r="D727" s="17">
        <f>0.5*Specification!$K$4*Track!B727^2*Specification!$K$3*Specification!$K$2</f>
        <v>93.159842569492653</v>
      </c>
      <c r="E727" s="16">
        <v>0</v>
      </c>
      <c r="F727" s="17">
        <f>Specification!$C$23*9.81*SIN((E727*PI()/180))</f>
        <v>0</v>
      </c>
      <c r="G727" s="18">
        <f>IF(J727=1,VLOOKUP(K727,RPM!$E$2:$H$62,3,FALSE)-F727-E727-D727,IF(J727=2,VLOOKUP(K727,RPM!$H$2:$K$62,3,FALSE)-F727-E727-D727,IF(J727=3,VLOOKUP(K727,RPM!$K$2:$N$62,3,FALSE)-F727-E727-D727)))</f>
        <v>688.48526429214962</v>
      </c>
      <c r="H727" s="19">
        <f>IF(J727=1,Specification!$I$14,IF(J727=2,Specification!$I$15,IF(J727=3,Specification!$I$16)))</f>
        <v>582.50936296077191</v>
      </c>
      <c r="I727" s="16">
        <f t="shared" si="129"/>
        <v>0</v>
      </c>
      <c r="J727" s="17">
        <v>2</v>
      </c>
      <c r="K727" s="16">
        <f>IF(J727=1,VLOOKUP(B727,RPM!$F$2:$H$62,3,TRUE),IF(J727=2,VLOOKUP(B727,RPM!$I$2:$K$62,3,TRUE),IF(J727=3,VLOOKUP(B727,RPM!$L$2:$N$62,3,TRUE))))</f>
        <v>7000</v>
      </c>
      <c r="L727" s="17">
        <f t="shared" si="140"/>
        <v>58.409198646196423</v>
      </c>
      <c r="M727" s="16">
        <f t="shared" si="131"/>
        <v>0</v>
      </c>
      <c r="N727" s="17">
        <f>VLOOKUP(K727,RPM!$A$2:$D$62,3,FALSE)</f>
        <v>13</v>
      </c>
      <c r="O727" s="16">
        <f>VLOOKUP(K727,RPM!$A$2:$D$62,4,FALSE)</f>
        <v>13.235857142857142</v>
      </c>
      <c r="P727" s="17">
        <f t="shared" si="132"/>
        <v>9.8699786714285711</v>
      </c>
      <c r="Q727" s="16" cm="1">
        <f t="array" ref="Q727">_xlfn.XLOOKUP(O727,BSFC!$A$2:$A$24,_xlfn.XLOOKUP(K727,BSFC!$B$1:$O$1,BSFC!$B$2:$O$24,,-1),,-1)</f>
        <v>520</v>
      </c>
      <c r="R727" s="17">
        <f t="shared" si="133"/>
        <v>1.425663585873016</v>
      </c>
      <c r="S727" s="16">
        <f t="shared" si="134"/>
        <v>2.0443068048076269E-4</v>
      </c>
      <c r="T727" s="17">
        <f t="shared" si="137"/>
        <v>0.10630395384999659</v>
      </c>
      <c r="U727" s="16">
        <f t="shared" si="138"/>
        <v>96.984829859753731</v>
      </c>
      <c r="V727" s="17">
        <f t="shared" si="139"/>
        <v>0.20267168575926486</v>
      </c>
      <c r="W727" s="16">
        <f t="shared" si="135"/>
        <v>729618.06873335352</v>
      </c>
      <c r="X727">
        <f>('Hybrid Info'!$A$2-Track!P727)*(L727-L726)*1000+X726</f>
        <v>-26739.41312534496</v>
      </c>
    </row>
    <row r="728" spans="1:24">
      <c r="A728" s="16">
        <f t="shared" si="136"/>
        <v>727</v>
      </c>
      <c r="B728" s="17">
        <f t="shared" si="130"/>
        <v>13.411199999999999</v>
      </c>
      <c r="C728" s="16">
        <f>Specification!$G$29</f>
        <v>164.943378</v>
      </c>
      <c r="D728" s="17">
        <f>0.5*Specification!$K$4*Track!B728^2*Specification!$K$3*Specification!$K$2</f>
        <v>93.159842569492653</v>
      </c>
      <c r="E728" s="16">
        <v>0</v>
      </c>
      <c r="F728" s="17">
        <f>Specification!$C$23*9.81*SIN((E728*PI()/180))</f>
        <v>0</v>
      </c>
      <c r="G728" s="18">
        <f>IF(J728=1,VLOOKUP(K728,RPM!$E$2:$H$62,3,FALSE)-F728-E728-D728,IF(J728=2,VLOOKUP(K728,RPM!$H$2:$K$62,3,FALSE)-F728-E728-D728,IF(J728=3,VLOOKUP(K728,RPM!$K$2:$N$62,3,FALSE)-F728-E728-D728)))</f>
        <v>688.48526429214962</v>
      </c>
      <c r="H728" s="19">
        <f>IF(J728=1,Specification!$I$14,IF(J728=2,Specification!$I$15,IF(J728=3,Specification!$I$16)))</f>
        <v>582.50936296077191</v>
      </c>
      <c r="I728" s="16">
        <f t="shared" si="129"/>
        <v>0</v>
      </c>
      <c r="J728" s="17">
        <v>2</v>
      </c>
      <c r="K728" s="16">
        <f>IF(J728=1,VLOOKUP(B728,RPM!$F$2:$H$62,3,TRUE),IF(J728=2,VLOOKUP(B728,RPM!$I$2:$K$62,3,TRUE),IF(J728=3,VLOOKUP(B728,RPM!$L$2:$N$62,3,TRUE))))</f>
        <v>7000</v>
      </c>
      <c r="L728" s="17">
        <f t="shared" si="140"/>
        <v>58.483763189264906</v>
      </c>
      <c r="M728" s="16">
        <f t="shared" si="131"/>
        <v>0</v>
      </c>
      <c r="N728" s="17">
        <f>VLOOKUP(K728,RPM!$A$2:$D$62,3,FALSE)</f>
        <v>13</v>
      </c>
      <c r="O728" s="16">
        <f>VLOOKUP(K728,RPM!$A$2:$D$62,4,FALSE)</f>
        <v>13.235857142857142</v>
      </c>
      <c r="P728" s="17">
        <f t="shared" si="132"/>
        <v>9.8699786714285711</v>
      </c>
      <c r="Q728" s="16" cm="1">
        <f t="array" ref="Q728">_xlfn.XLOOKUP(O728,BSFC!$A$2:$A$24,_xlfn.XLOOKUP(K728,BSFC!$B$1:$O$1,BSFC!$B$2:$O$24,,-1),,-1)</f>
        <v>520</v>
      </c>
      <c r="R728" s="17">
        <f t="shared" si="133"/>
        <v>1.425663585873016</v>
      </c>
      <c r="S728" s="16">
        <f t="shared" si="134"/>
        <v>2.0443068048076269E-4</v>
      </c>
      <c r="T728" s="17">
        <f t="shared" si="137"/>
        <v>0.10630395384999659</v>
      </c>
      <c r="U728" s="16">
        <f t="shared" si="138"/>
        <v>97.091133813603733</v>
      </c>
      <c r="V728" s="17">
        <f t="shared" si="139"/>
        <v>0.20287611643974562</v>
      </c>
      <c r="W728" s="16">
        <f t="shared" si="135"/>
        <v>730354.01918308425</v>
      </c>
      <c r="X728">
        <f>('Hybrid Info'!$A$2-Track!P728)*(L728-L727)*1000+X727</f>
        <v>-26571.607416358693</v>
      </c>
    </row>
    <row r="729" spans="1:24">
      <c r="A729" s="16">
        <f t="shared" si="136"/>
        <v>728</v>
      </c>
      <c r="B729" s="17">
        <f t="shared" si="130"/>
        <v>13.411199999999999</v>
      </c>
      <c r="C729" s="16">
        <f>Specification!$G$29</f>
        <v>164.943378</v>
      </c>
      <c r="D729" s="17">
        <f>0.5*Specification!$K$4*Track!B729^2*Specification!$K$3*Specification!$K$2</f>
        <v>93.159842569492653</v>
      </c>
      <c r="E729" s="16">
        <v>0</v>
      </c>
      <c r="F729" s="17">
        <f>Specification!$C$23*9.81*SIN((E729*PI()/180))</f>
        <v>0</v>
      </c>
      <c r="G729" s="18">
        <f>IF(J729=1,VLOOKUP(K729,RPM!$E$2:$H$62,3,FALSE)-F729-E729-D729,IF(J729=2,VLOOKUP(K729,RPM!$H$2:$K$62,3,FALSE)-F729-E729-D729,IF(J729=3,VLOOKUP(K729,RPM!$K$2:$N$62,3,FALSE)-F729-E729-D729)))</f>
        <v>688.48526429214962</v>
      </c>
      <c r="H729" s="19">
        <f>IF(J729=1,Specification!$I$14,IF(J729=2,Specification!$I$15,IF(J729=3,Specification!$I$16)))</f>
        <v>582.50936296077191</v>
      </c>
      <c r="I729" s="16">
        <f t="shared" si="129"/>
        <v>0</v>
      </c>
      <c r="J729" s="17">
        <v>2</v>
      </c>
      <c r="K729" s="16">
        <f>IF(J729=1,VLOOKUP(B729,RPM!$F$2:$H$62,3,TRUE),IF(J729=2,VLOOKUP(B729,RPM!$I$2:$K$62,3,TRUE),IF(J729=3,VLOOKUP(B729,RPM!$L$2:$N$62,3,TRUE))))</f>
        <v>7000</v>
      </c>
      <c r="L729" s="17">
        <f t="shared" si="140"/>
        <v>58.558327732333389</v>
      </c>
      <c r="M729" s="16">
        <f t="shared" si="131"/>
        <v>0</v>
      </c>
      <c r="N729" s="17">
        <f>VLOOKUP(K729,RPM!$A$2:$D$62,3,FALSE)</f>
        <v>13</v>
      </c>
      <c r="O729" s="16">
        <f>VLOOKUP(K729,RPM!$A$2:$D$62,4,FALSE)</f>
        <v>13.235857142857142</v>
      </c>
      <c r="P729" s="17">
        <f t="shared" si="132"/>
        <v>9.8699786714285711</v>
      </c>
      <c r="Q729" s="16" cm="1">
        <f t="array" ref="Q729">_xlfn.XLOOKUP(O729,BSFC!$A$2:$A$24,_xlfn.XLOOKUP(K729,BSFC!$B$1:$O$1,BSFC!$B$2:$O$24,,-1),,-1)</f>
        <v>520</v>
      </c>
      <c r="R729" s="17">
        <f t="shared" si="133"/>
        <v>1.425663585873016</v>
      </c>
      <c r="S729" s="16">
        <f t="shared" si="134"/>
        <v>2.0443068048076269E-4</v>
      </c>
      <c r="T729" s="17">
        <f t="shared" si="137"/>
        <v>0.10630395384999659</v>
      </c>
      <c r="U729" s="16">
        <f t="shared" si="138"/>
        <v>97.197437767453735</v>
      </c>
      <c r="V729" s="17">
        <f t="shared" si="139"/>
        <v>0.20308054712022638</v>
      </c>
      <c r="W729" s="16">
        <f t="shared" si="135"/>
        <v>731089.96963281499</v>
      </c>
      <c r="X729">
        <f>('Hybrid Info'!$A$2-Track!P729)*(L729-L728)*1000+X728</f>
        <v>-26403.801707372426</v>
      </c>
    </row>
    <row r="730" spans="1:24">
      <c r="A730" s="16">
        <f t="shared" si="136"/>
        <v>729</v>
      </c>
      <c r="B730" s="17">
        <f t="shared" si="130"/>
        <v>13.411199999999999</v>
      </c>
      <c r="C730" s="16">
        <f>Specification!$G$29</f>
        <v>164.943378</v>
      </c>
      <c r="D730" s="17">
        <f>0.5*Specification!$K$4*Track!B730^2*Specification!$K$3*Specification!$K$2</f>
        <v>93.159842569492653</v>
      </c>
      <c r="E730" s="16">
        <v>0</v>
      </c>
      <c r="F730" s="17">
        <f>Specification!$C$23*9.81*SIN((E730*PI()/180))</f>
        <v>0</v>
      </c>
      <c r="G730" s="18">
        <f>IF(J730=1,VLOOKUP(K730,RPM!$E$2:$H$62,3,FALSE)-F730-E730-D730,IF(J730=2,VLOOKUP(K730,RPM!$H$2:$K$62,3,FALSE)-F730-E730-D730,IF(J730=3,VLOOKUP(K730,RPM!$K$2:$N$62,3,FALSE)-F730-E730-D730)))</f>
        <v>688.48526429214962</v>
      </c>
      <c r="H730" s="19">
        <f>IF(J730=1,Specification!$I$14,IF(J730=2,Specification!$I$15,IF(J730=3,Specification!$I$16)))</f>
        <v>582.50936296077191</v>
      </c>
      <c r="I730" s="16">
        <f t="shared" si="129"/>
        <v>0</v>
      </c>
      <c r="J730" s="17">
        <v>2</v>
      </c>
      <c r="K730" s="16">
        <f>IF(J730=1,VLOOKUP(B730,RPM!$F$2:$H$62,3,TRUE),IF(J730=2,VLOOKUP(B730,RPM!$I$2:$K$62,3,TRUE),IF(J730=3,VLOOKUP(B730,RPM!$L$2:$N$62,3,TRUE))))</f>
        <v>7000</v>
      </c>
      <c r="L730" s="17">
        <f t="shared" si="140"/>
        <v>58.632892275401872</v>
      </c>
      <c r="M730" s="16">
        <f t="shared" si="131"/>
        <v>0</v>
      </c>
      <c r="N730" s="17">
        <f>VLOOKUP(K730,RPM!$A$2:$D$62,3,FALSE)</f>
        <v>13</v>
      </c>
      <c r="O730" s="16">
        <f>VLOOKUP(K730,RPM!$A$2:$D$62,4,FALSE)</f>
        <v>13.235857142857142</v>
      </c>
      <c r="P730" s="17">
        <f t="shared" si="132"/>
        <v>9.8699786714285711</v>
      </c>
      <c r="Q730" s="16" cm="1">
        <f t="array" ref="Q730">_xlfn.XLOOKUP(O730,BSFC!$A$2:$A$24,_xlfn.XLOOKUP(K730,BSFC!$B$1:$O$1,BSFC!$B$2:$O$24,,-1),,-1)</f>
        <v>520</v>
      </c>
      <c r="R730" s="17">
        <f t="shared" si="133"/>
        <v>1.425663585873016</v>
      </c>
      <c r="S730" s="16">
        <f t="shared" si="134"/>
        <v>2.0443068048076269E-4</v>
      </c>
      <c r="T730" s="17">
        <f t="shared" si="137"/>
        <v>0.10630395384999659</v>
      </c>
      <c r="U730" s="16">
        <f t="shared" si="138"/>
        <v>97.303741721303737</v>
      </c>
      <c r="V730" s="17">
        <f t="shared" si="139"/>
        <v>0.20328497780070715</v>
      </c>
      <c r="W730" s="16">
        <f t="shared" si="135"/>
        <v>731825.92008254572</v>
      </c>
      <c r="X730">
        <f>('Hybrid Info'!$A$2-Track!P730)*(L730-L729)*1000+X729</f>
        <v>-26235.995998386159</v>
      </c>
    </row>
    <row r="731" spans="1:24">
      <c r="A731" s="16">
        <f t="shared" si="136"/>
        <v>730</v>
      </c>
      <c r="B731" s="17">
        <f t="shared" si="130"/>
        <v>13.411199999999999</v>
      </c>
      <c r="C731" s="16">
        <f>Specification!$G$29</f>
        <v>164.943378</v>
      </c>
      <c r="D731" s="17">
        <f>0.5*Specification!$K$4*Track!B731^2*Specification!$K$3*Specification!$K$2</f>
        <v>93.159842569492653</v>
      </c>
      <c r="E731" s="16">
        <v>0</v>
      </c>
      <c r="F731" s="17">
        <f>Specification!$C$23*9.81*SIN((E731*PI()/180))</f>
        <v>0</v>
      </c>
      <c r="G731" s="18">
        <f>IF(J731=1,VLOOKUP(K731,RPM!$E$2:$H$62,3,FALSE)-F731-E731-D731,IF(J731=2,VLOOKUP(K731,RPM!$H$2:$K$62,3,FALSE)-F731-E731-D731,IF(J731=3,VLOOKUP(K731,RPM!$K$2:$N$62,3,FALSE)-F731-E731-D731)))</f>
        <v>688.48526429214962</v>
      </c>
      <c r="H731" s="19">
        <f>IF(J731=1,Specification!$I$14,IF(J731=2,Specification!$I$15,IF(J731=3,Specification!$I$16)))</f>
        <v>582.50936296077191</v>
      </c>
      <c r="I731" s="16">
        <f t="shared" si="129"/>
        <v>0</v>
      </c>
      <c r="J731" s="17">
        <v>2</v>
      </c>
      <c r="K731" s="16">
        <f>IF(J731=1,VLOOKUP(B731,RPM!$F$2:$H$62,3,TRUE),IF(J731=2,VLOOKUP(B731,RPM!$I$2:$K$62,3,TRUE),IF(J731=3,VLOOKUP(B731,RPM!$L$2:$N$62,3,TRUE))))</f>
        <v>7000</v>
      </c>
      <c r="L731" s="17">
        <f t="shared" si="140"/>
        <v>58.707456818470355</v>
      </c>
      <c r="M731" s="16">
        <f t="shared" si="131"/>
        <v>0</v>
      </c>
      <c r="N731" s="17">
        <f>VLOOKUP(K731,RPM!$A$2:$D$62,3,FALSE)</f>
        <v>13</v>
      </c>
      <c r="O731" s="16">
        <f>VLOOKUP(K731,RPM!$A$2:$D$62,4,FALSE)</f>
        <v>13.235857142857142</v>
      </c>
      <c r="P731" s="17">
        <f t="shared" si="132"/>
        <v>9.8699786714285711</v>
      </c>
      <c r="Q731" s="16" cm="1">
        <f t="array" ref="Q731">_xlfn.XLOOKUP(O731,BSFC!$A$2:$A$24,_xlfn.XLOOKUP(K731,BSFC!$B$1:$O$1,BSFC!$B$2:$O$24,,-1),,-1)</f>
        <v>520</v>
      </c>
      <c r="R731" s="17">
        <f t="shared" si="133"/>
        <v>1.425663585873016</v>
      </c>
      <c r="S731" s="16">
        <f t="shared" si="134"/>
        <v>2.0443068048076269E-4</v>
      </c>
      <c r="T731" s="17">
        <f t="shared" si="137"/>
        <v>0.10630395384999659</v>
      </c>
      <c r="U731" s="16">
        <f t="shared" si="138"/>
        <v>97.410045675153739</v>
      </c>
      <c r="V731" s="17">
        <f t="shared" si="139"/>
        <v>0.20348940848118791</v>
      </c>
      <c r="W731" s="16">
        <f t="shared" si="135"/>
        <v>732561.87053227646</v>
      </c>
      <c r="X731">
        <f>('Hybrid Info'!$A$2-Track!P731)*(L731-L730)*1000+X730</f>
        <v>-26068.190289399892</v>
      </c>
    </row>
    <row r="732" spans="1:24">
      <c r="A732" s="16">
        <f t="shared" si="136"/>
        <v>731</v>
      </c>
      <c r="B732" s="17">
        <f t="shared" si="130"/>
        <v>13.411199999999999</v>
      </c>
      <c r="C732" s="16">
        <f>Specification!$G$29</f>
        <v>164.943378</v>
      </c>
      <c r="D732" s="17">
        <f>0.5*Specification!$K$4*Track!B732^2*Specification!$K$3*Specification!$K$2</f>
        <v>93.159842569492653</v>
      </c>
      <c r="E732" s="16">
        <v>0</v>
      </c>
      <c r="F732" s="17">
        <f>Specification!$C$23*9.81*SIN((E732*PI()/180))</f>
        <v>0</v>
      </c>
      <c r="G732" s="18">
        <f>IF(J732=1,VLOOKUP(K732,RPM!$E$2:$H$62,3,FALSE)-F732-E732-D732,IF(J732=2,VLOOKUP(K732,RPM!$H$2:$K$62,3,FALSE)-F732-E732-D732,IF(J732=3,VLOOKUP(K732,RPM!$K$2:$N$62,3,FALSE)-F732-E732-D732)))</f>
        <v>688.48526429214962</v>
      </c>
      <c r="H732" s="19">
        <f>IF(J732=1,Specification!$I$14,IF(J732=2,Specification!$I$15,IF(J732=3,Specification!$I$16)))</f>
        <v>582.50936296077191</v>
      </c>
      <c r="I732" s="16">
        <f t="shared" si="129"/>
        <v>0</v>
      </c>
      <c r="J732" s="17">
        <v>2</v>
      </c>
      <c r="K732" s="16">
        <f>IF(J732=1,VLOOKUP(B732,RPM!$F$2:$H$62,3,TRUE),IF(J732=2,VLOOKUP(B732,RPM!$I$2:$K$62,3,TRUE),IF(J732=3,VLOOKUP(B732,RPM!$L$2:$N$62,3,TRUE))))</f>
        <v>7000</v>
      </c>
      <c r="L732" s="17">
        <f t="shared" si="140"/>
        <v>58.782021361538838</v>
      </c>
      <c r="M732" s="16">
        <f t="shared" si="131"/>
        <v>0</v>
      </c>
      <c r="N732" s="17">
        <f>VLOOKUP(K732,RPM!$A$2:$D$62,3,FALSE)</f>
        <v>13</v>
      </c>
      <c r="O732" s="16">
        <f>VLOOKUP(K732,RPM!$A$2:$D$62,4,FALSE)</f>
        <v>13.235857142857142</v>
      </c>
      <c r="P732" s="17">
        <f t="shared" si="132"/>
        <v>9.8699786714285711</v>
      </c>
      <c r="Q732" s="16" cm="1">
        <f t="array" ref="Q732">_xlfn.XLOOKUP(O732,BSFC!$A$2:$A$24,_xlfn.XLOOKUP(K732,BSFC!$B$1:$O$1,BSFC!$B$2:$O$24,,-1),,-1)</f>
        <v>520</v>
      </c>
      <c r="R732" s="17">
        <f t="shared" si="133"/>
        <v>1.425663585873016</v>
      </c>
      <c r="S732" s="16">
        <f t="shared" si="134"/>
        <v>2.0443068048076269E-4</v>
      </c>
      <c r="T732" s="17">
        <f t="shared" si="137"/>
        <v>0.10630395384999659</v>
      </c>
      <c r="U732" s="16">
        <f t="shared" si="138"/>
        <v>97.516349629003741</v>
      </c>
      <c r="V732" s="17">
        <f t="shared" si="139"/>
        <v>0.20369383916166867</v>
      </c>
      <c r="W732" s="16">
        <f t="shared" si="135"/>
        <v>733297.82098200719</v>
      </c>
      <c r="X732">
        <f>('Hybrid Info'!$A$2-Track!P732)*(L732-L731)*1000+X731</f>
        <v>-25900.384580413625</v>
      </c>
    </row>
    <row r="733" spans="1:24">
      <c r="A733" s="16">
        <f t="shared" si="136"/>
        <v>732</v>
      </c>
      <c r="B733" s="17">
        <f t="shared" si="130"/>
        <v>13.411199999999999</v>
      </c>
      <c r="C733" s="16">
        <f>Specification!$G$29</f>
        <v>164.943378</v>
      </c>
      <c r="D733" s="17">
        <f>0.5*Specification!$K$4*Track!B733^2*Specification!$K$3*Specification!$K$2</f>
        <v>93.159842569492653</v>
      </c>
      <c r="E733" s="16">
        <v>0</v>
      </c>
      <c r="F733" s="17">
        <f>Specification!$C$23*9.81*SIN((E733*PI()/180))</f>
        <v>0</v>
      </c>
      <c r="G733" s="18">
        <f>IF(J733=1,VLOOKUP(K733,RPM!$E$2:$H$62,3,FALSE)-F733-E733-D733,IF(J733=2,VLOOKUP(K733,RPM!$H$2:$K$62,3,FALSE)-F733-E733-D733,IF(J733=3,VLOOKUP(K733,RPM!$K$2:$N$62,3,FALSE)-F733-E733-D733)))</f>
        <v>688.48526429214962</v>
      </c>
      <c r="H733" s="19">
        <f>IF(J733=1,Specification!$I$14,IF(J733=2,Specification!$I$15,IF(J733=3,Specification!$I$16)))</f>
        <v>582.50936296077191</v>
      </c>
      <c r="I733" s="16">
        <f t="shared" si="129"/>
        <v>0</v>
      </c>
      <c r="J733" s="17">
        <v>2</v>
      </c>
      <c r="K733" s="16">
        <f>IF(J733=1,VLOOKUP(B733,RPM!$F$2:$H$62,3,TRUE),IF(J733=2,VLOOKUP(B733,RPM!$I$2:$K$62,3,TRUE),IF(J733=3,VLOOKUP(B733,RPM!$L$2:$N$62,3,TRUE))))</f>
        <v>7000</v>
      </c>
      <c r="L733" s="17">
        <f t="shared" si="140"/>
        <v>58.856585904607321</v>
      </c>
      <c r="M733" s="16">
        <f t="shared" si="131"/>
        <v>0</v>
      </c>
      <c r="N733" s="17">
        <f>VLOOKUP(K733,RPM!$A$2:$D$62,3,FALSE)</f>
        <v>13</v>
      </c>
      <c r="O733" s="16">
        <f>VLOOKUP(K733,RPM!$A$2:$D$62,4,FALSE)</f>
        <v>13.235857142857142</v>
      </c>
      <c r="P733" s="17">
        <f t="shared" si="132"/>
        <v>9.8699786714285711</v>
      </c>
      <c r="Q733" s="16" cm="1">
        <f t="array" ref="Q733">_xlfn.XLOOKUP(O733,BSFC!$A$2:$A$24,_xlfn.XLOOKUP(K733,BSFC!$B$1:$O$1,BSFC!$B$2:$O$24,,-1),,-1)</f>
        <v>520</v>
      </c>
      <c r="R733" s="17">
        <f t="shared" si="133"/>
        <v>1.425663585873016</v>
      </c>
      <c r="S733" s="16">
        <f t="shared" si="134"/>
        <v>2.0443068048076269E-4</v>
      </c>
      <c r="T733" s="17">
        <f t="shared" si="137"/>
        <v>0.10630395384999659</v>
      </c>
      <c r="U733" s="16">
        <f t="shared" si="138"/>
        <v>97.622653582853744</v>
      </c>
      <c r="V733" s="17">
        <f t="shared" si="139"/>
        <v>0.20389826984214943</v>
      </c>
      <c r="W733" s="16">
        <f t="shared" si="135"/>
        <v>734033.77143173793</v>
      </c>
      <c r="X733">
        <f>('Hybrid Info'!$A$2-Track!P733)*(L733-L732)*1000+X732</f>
        <v>-25732.578871427359</v>
      </c>
    </row>
    <row r="734" spans="1:24">
      <c r="A734" s="16">
        <f t="shared" si="136"/>
        <v>733</v>
      </c>
      <c r="B734" s="17">
        <f t="shared" si="130"/>
        <v>13.411199999999999</v>
      </c>
      <c r="C734" s="16">
        <f>Specification!$G$29</f>
        <v>164.943378</v>
      </c>
      <c r="D734" s="17">
        <f>0.5*Specification!$K$4*Track!B734^2*Specification!$K$3*Specification!$K$2</f>
        <v>93.159842569492653</v>
      </c>
      <c r="E734" s="16">
        <v>0</v>
      </c>
      <c r="F734" s="17">
        <f>Specification!$C$23*9.81*SIN((E734*PI()/180))</f>
        <v>0</v>
      </c>
      <c r="G734" s="18">
        <f>IF(J734=1,VLOOKUP(K734,RPM!$E$2:$H$62,3,FALSE)-F734-E734-D734,IF(J734=2,VLOOKUP(K734,RPM!$H$2:$K$62,3,FALSE)-F734-E734-D734,IF(J734=3,VLOOKUP(K734,RPM!$K$2:$N$62,3,FALSE)-F734-E734-D734)))</f>
        <v>688.48526429214962</v>
      </c>
      <c r="H734" s="19">
        <f>IF(J734=1,Specification!$I$14,IF(J734=2,Specification!$I$15,IF(J734=3,Specification!$I$16)))</f>
        <v>582.50936296077191</v>
      </c>
      <c r="I734" s="16">
        <f t="shared" si="129"/>
        <v>0</v>
      </c>
      <c r="J734" s="17">
        <v>2</v>
      </c>
      <c r="K734" s="16">
        <f>IF(J734=1,VLOOKUP(B734,RPM!$F$2:$H$62,3,TRUE),IF(J734=2,VLOOKUP(B734,RPM!$I$2:$K$62,3,TRUE),IF(J734=3,VLOOKUP(B734,RPM!$L$2:$N$62,3,TRUE))))</f>
        <v>7000</v>
      </c>
      <c r="L734" s="17">
        <f t="shared" si="140"/>
        <v>58.931150447675805</v>
      </c>
      <c r="M734" s="16">
        <f t="shared" si="131"/>
        <v>0</v>
      </c>
      <c r="N734" s="17">
        <f>VLOOKUP(K734,RPM!$A$2:$D$62,3,FALSE)</f>
        <v>13</v>
      </c>
      <c r="O734" s="16">
        <f>VLOOKUP(K734,RPM!$A$2:$D$62,4,FALSE)</f>
        <v>13.235857142857142</v>
      </c>
      <c r="P734" s="17">
        <f t="shared" si="132"/>
        <v>9.8699786714285711</v>
      </c>
      <c r="Q734" s="16" cm="1">
        <f t="array" ref="Q734">_xlfn.XLOOKUP(O734,BSFC!$A$2:$A$24,_xlfn.XLOOKUP(K734,BSFC!$B$1:$O$1,BSFC!$B$2:$O$24,,-1),,-1)</f>
        <v>520</v>
      </c>
      <c r="R734" s="17">
        <f t="shared" si="133"/>
        <v>1.425663585873016</v>
      </c>
      <c r="S734" s="16">
        <f t="shared" si="134"/>
        <v>2.0443068048076269E-4</v>
      </c>
      <c r="T734" s="17">
        <f t="shared" si="137"/>
        <v>0.10630395384999659</v>
      </c>
      <c r="U734" s="16">
        <f t="shared" si="138"/>
        <v>97.728957536703746</v>
      </c>
      <c r="V734" s="17">
        <f t="shared" si="139"/>
        <v>0.20410270052263019</v>
      </c>
      <c r="W734" s="16">
        <f t="shared" si="135"/>
        <v>734769.72188146866</v>
      </c>
      <c r="X734">
        <f>('Hybrid Info'!$A$2-Track!P734)*(L734-L733)*1000+X733</f>
        <v>-25564.773162441092</v>
      </c>
    </row>
    <row r="735" spans="1:24">
      <c r="A735" s="16">
        <f t="shared" si="136"/>
        <v>734</v>
      </c>
      <c r="B735" s="17">
        <f t="shared" si="130"/>
        <v>13.411199999999999</v>
      </c>
      <c r="C735" s="16">
        <f>Specification!$G$29</f>
        <v>164.943378</v>
      </c>
      <c r="D735" s="17">
        <f>0.5*Specification!$K$4*Track!B735^2*Specification!$K$3*Specification!$K$2</f>
        <v>93.159842569492653</v>
      </c>
      <c r="E735" s="16">
        <v>0</v>
      </c>
      <c r="F735" s="17">
        <f>Specification!$C$23*9.81*SIN((E735*PI()/180))</f>
        <v>0</v>
      </c>
      <c r="G735" s="18">
        <f>IF(J735=1,VLOOKUP(K735,RPM!$E$2:$H$62,3,FALSE)-F735-E735-D735,IF(J735=2,VLOOKUP(K735,RPM!$H$2:$K$62,3,FALSE)-F735-E735-D735,IF(J735=3,VLOOKUP(K735,RPM!$K$2:$N$62,3,FALSE)-F735-E735-D735)))</f>
        <v>688.48526429214962</v>
      </c>
      <c r="H735" s="19">
        <f>IF(J735=1,Specification!$I$14,IF(J735=2,Specification!$I$15,IF(J735=3,Specification!$I$16)))</f>
        <v>582.50936296077191</v>
      </c>
      <c r="I735" s="16">
        <f t="shared" si="129"/>
        <v>0</v>
      </c>
      <c r="J735" s="17">
        <v>2</v>
      </c>
      <c r="K735" s="16">
        <f>IF(J735=1,VLOOKUP(B735,RPM!$F$2:$H$62,3,TRUE),IF(J735=2,VLOOKUP(B735,RPM!$I$2:$K$62,3,TRUE),IF(J735=3,VLOOKUP(B735,RPM!$L$2:$N$62,3,TRUE))))</f>
        <v>7000</v>
      </c>
      <c r="L735" s="17">
        <f t="shared" si="140"/>
        <v>59.005714990744288</v>
      </c>
      <c r="M735" s="16">
        <f t="shared" si="131"/>
        <v>0</v>
      </c>
      <c r="N735" s="17">
        <f>VLOOKUP(K735,RPM!$A$2:$D$62,3,FALSE)</f>
        <v>13</v>
      </c>
      <c r="O735" s="16">
        <f>VLOOKUP(K735,RPM!$A$2:$D$62,4,FALSE)</f>
        <v>13.235857142857142</v>
      </c>
      <c r="P735" s="17">
        <f t="shared" si="132"/>
        <v>9.8699786714285711</v>
      </c>
      <c r="Q735" s="16" cm="1">
        <f t="array" ref="Q735">_xlfn.XLOOKUP(O735,BSFC!$A$2:$A$24,_xlfn.XLOOKUP(K735,BSFC!$B$1:$O$1,BSFC!$B$2:$O$24,,-1),,-1)</f>
        <v>520</v>
      </c>
      <c r="R735" s="17">
        <f t="shared" si="133"/>
        <v>1.425663585873016</v>
      </c>
      <c r="S735" s="16">
        <f t="shared" si="134"/>
        <v>2.0443068048076269E-4</v>
      </c>
      <c r="T735" s="17">
        <f t="shared" si="137"/>
        <v>0.10630395384999659</v>
      </c>
      <c r="U735" s="16">
        <f t="shared" si="138"/>
        <v>97.835261490553748</v>
      </c>
      <c r="V735" s="17">
        <f t="shared" si="139"/>
        <v>0.20430713120311095</v>
      </c>
      <c r="W735" s="16">
        <f t="shared" si="135"/>
        <v>735505.6723311994</v>
      </c>
      <c r="X735">
        <f>('Hybrid Info'!$A$2-Track!P735)*(L735-L734)*1000+X734</f>
        <v>-25396.967453454825</v>
      </c>
    </row>
    <row r="736" spans="1:24">
      <c r="A736" s="16">
        <f t="shared" si="136"/>
        <v>735</v>
      </c>
      <c r="B736" s="17">
        <f t="shared" si="130"/>
        <v>13.411199999999999</v>
      </c>
      <c r="C736" s="16">
        <f>Specification!$G$29</f>
        <v>164.943378</v>
      </c>
      <c r="D736" s="17">
        <f>0.5*Specification!$K$4*Track!B736^2*Specification!$K$3*Specification!$K$2</f>
        <v>93.159842569492653</v>
      </c>
      <c r="E736" s="16">
        <v>0</v>
      </c>
      <c r="F736" s="17">
        <f>Specification!$C$23*9.81*SIN((E736*PI()/180))</f>
        <v>0</v>
      </c>
      <c r="G736" s="18">
        <f>IF(J736=1,VLOOKUP(K736,RPM!$E$2:$H$62,3,FALSE)-F736-E736-D736,IF(J736=2,VLOOKUP(K736,RPM!$H$2:$K$62,3,FALSE)-F736-E736-D736,IF(J736=3,VLOOKUP(K736,RPM!$K$2:$N$62,3,FALSE)-F736-E736-D736)))</f>
        <v>688.48526429214962</v>
      </c>
      <c r="H736" s="19">
        <f>IF(J736=1,Specification!$I$14,IF(J736=2,Specification!$I$15,IF(J736=3,Specification!$I$16)))</f>
        <v>582.50936296077191</v>
      </c>
      <c r="I736" s="16">
        <f t="shared" si="129"/>
        <v>0</v>
      </c>
      <c r="J736" s="17">
        <v>2</v>
      </c>
      <c r="K736" s="16">
        <f>IF(J736=1,VLOOKUP(B736,RPM!$F$2:$H$62,3,TRUE),IF(J736=2,VLOOKUP(B736,RPM!$I$2:$K$62,3,TRUE),IF(J736=3,VLOOKUP(B736,RPM!$L$2:$N$62,3,TRUE))))</f>
        <v>7000</v>
      </c>
      <c r="L736" s="17">
        <f t="shared" si="140"/>
        <v>59.080279533812771</v>
      </c>
      <c r="M736" s="16">
        <f t="shared" si="131"/>
        <v>0</v>
      </c>
      <c r="N736" s="17">
        <f>VLOOKUP(K736,RPM!$A$2:$D$62,3,FALSE)</f>
        <v>13</v>
      </c>
      <c r="O736" s="16">
        <f>VLOOKUP(K736,RPM!$A$2:$D$62,4,FALSE)</f>
        <v>13.235857142857142</v>
      </c>
      <c r="P736" s="17">
        <f t="shared" si="132"/>
        <v>9.8699786714285711</v>
      </c>
      <c r="Q736" s="16" cm="1">
        <f t="array" ref="Q736">_xlfn.XLOOKUP(O736,BSFC!$A$2:$A$24,_xlfn.XLOOKUP(K736,BSFC!$B$1:$O$1,BSFC!$B$2:$O$24,,-1),,-1)</f>
        <v>520</v>
      </c>
      <c r="R736" s="17">
        <f t="shared" si="133"/>
        <v>1.425663585873016</v>
      </c>
      <c r="S736" s="16">
        <f t="shared" si="134"/>
        <v>2.0443068048076269E-4</v>
      </c>
      <c r="T736" s="17">
        <f t="shared" si="137"/>
        <v>0.10630395384999659</v>
      </c>
      <c r="U736" s="16">
        <f t="shared" si="138"/>
        <v>97.94156544440375</v>
      </c>
      <c r="V736" s="17">
        <f t="shared" si="139"/>
        <v>0.20451156188359171</v>
      </c>
      <c r="W736" s="16">
        <f t="shared" si="135"/>
        <v>736241.62278093013</v>
      </c>
      <c r="X736">
        <f>('Hybrid Info'!$A$2-Track!P736)*(L736-L735)*1000+X735</f>
        <v>-25229.161744468558</v>
      </c>
    </row>
    <row r="737" spans="1:24">
      <c r="A737" s="16">
        <f t="shared" si="136"/>
        <v>736</v>
      </c>
      <c r="B737" s="17">
        <f t="shared" si="130"/>
        <v>13.411199999999999</v>
      </c>
      <c r="C737" s="16">
        <f>Specification!$G$29</f>
        <v>164.943378</v>
      </c>
      <c r="D737" s="17">
        <f>0.5*Specification!$K$4*Track!B737^2*Specification!$K$3*Specification!$K$2</f>
        <v>93.159842569492653</v>
      </c>
      <c r="E737" s="16">
        <v>0</v>
      </c>
      <c r="F737" s="17">
        <f>Specification!$C$23*9.81*SIN((E737*PI()/180))</f>
        <v>0</v>
      </c>
      <c r="G737" s="18">
        <f>IF(J737=1,VLOOKUP(K737,RPM!$E$2:$H$62,3,FALSE)-F737-E737-D737,IF(J737=2,VLOOKUP(K737,RPM!$H$2:$K$62,3,FALSE)-F737-E737-D737,IF(J737=3,VLOOKUP(K737,RPM!$K$2:$N$62,3,FALSE)-F737-E737-D737)))</f>
        <v>688.48526429214962</v>
      </c>
      <c r="H737" s="19">
        <f>IF(J737=1,Specification!$I$14,IF(J737=2,Specification!$I$15,IF(J737=3,Specification!$I$16)))</f>
        <v>582.50936296077191</v>
      </c>
      <c r="I737" s="16">
        <f t="shared" si="129"/>
        <v>0</v>
      </c>
      <c r="J737" s="17">
        <v>2</v>
      </c>
      <c r="K737" s="16">
        <f>IF(J737=1,VLOOKUP(B737,RPM!$F$2:$H$62,3,TRUE),IF(J737=2,VLOOKUP(B737,RPM!$I$2:$K$62,3,TRUE),IF(J737=3,VLOOKUP(B737,RPM!$L$2:$N$62,3,TRUE))))</f>
        <v>7000</v>
      </c>
      <c r="L737" s="17">
        <f t="shared" si="140"/>
        <v>59.154844076881254</v>
      </c>
      <c r="M737" s="16">
        <f t="shared" si="131"/>
        <v>0</v>
      </c>
      <c r="N737" s="17">
        <f>VLOOKUP(K737,RPM!$A$2:$D$62,3,FALSE)</f>
        <v>13</v>
      </c>
      <c r="O737" s="16">
        <f>VLOOKUP(K737,RPM!$A$2:$D$62,4,FALSE)</f>
        <v>13.235857142857142</v>
      </c>
      <c r="P737" s="17">
        <f t="shared" si="132"/>
        <v>9.8699786714285711</v>
      </c>
      <c r="Q737" s="16" cm="1">
        <f t="array" ref="Q737">_xlfn.XLOOKUP(O737,BSFC!$A$2:$A$24,_xlfn.XLOOKUP(K737,BSFC!$B$1:$O$1,BSFC!$B$2:$O$24,,-1),,-1)</f>
        <v>520</v>
      </c>
      <c r="R737" s="17">
        <f t="shared" si="133"/>
        <v>1.425663585873016</v>
      </c>
      <c r="S737" s="16">
        <f t="shared" si="134"/>
        <v>2.0443068048076269E-4</v>
      </c>
      <c r="T737" s="17">
        <f t="shared" si="137"/>
        <v>0.10630395384999659</v>
      </c>
      <c r="U737" s="16">
        <f t="shared" si="138"/>
        <v>98.047869398253752</v>
      </c>
      <c r="V737" s="17">
        <f t="shared" si="139"/>
        <v>0.20471599256407247</v>
      </c>
      <c r="W737" s="16">
        <f t="shared" si="135"/>
        <v>736977.57323066087</v>
      </c>
      <c r="X737">
        <f>('Hybrid Info'!$A$2-Track!P737)*(L737-L736)*1000+X736</f>
        <v>-25061.356035482291</v>
      </c>
    </row>
    <row r="738" spans="1:24">
      <c r="A738" s="16">
        <f t="shared" si="136"/>
        <v>737</v>
      </c>
      <c r="B738" s="17">
        <f t="shared" si="130"/>
        <v>13.411199999999999</v>
      </c>
      <c r="C738" s="16">
        <f>Specification!$G$29</f>
        <v>164.943378</v>
      </c>
      <c r="D738" s="17">
        <f>0.5*Specification!$K$4*Track!B738^2*Specification!$K$3*Specification!$K$2</f>
        <v>93.159842569492653</v>
      </c>
      <c r="E738" s="16">
        <v>0</v>
      </c>
      <c r="F738" s="17">
        <f>Specification!$C$23*9.81*SIN((E738*PI()/180))</f>
        <v>0</v>
      </c>
      <c r="G738" s="18">
        <f>IF(J738=1,VLOOKUP(K738,RPM!$E$2:$H$62,3,FALSE)-F738-E738-D738,IF(J738=2,VLOOKUP(K738,RPM!$H$2:$K$62,3,FALSE)-F738-E738-D738,IF(J738=3,VLOOKUP(K738,RPM!$K$2:$N$62,3,FALSE)-F738-E738-D738)))</f>
        <v>688.48526429214962</v>
      </c>
      <c r="H738" s="19">
        <f>IF(J738=1,Specification!$I$14,IF(J738=2,Specification!$I$15,IF(J738=3,Specification!$I$16)))</f>
        <v>582.50936296077191</v>
      </c>
      <c r="I738" s="16">
        <f t="shared" si="129"/>
        <v>0</v>
      </c>
      <c r="J738" s="17">
        <v>2</v>
      </c>
      <c r="K738" s="16">
        <f>IF(J738=1,VLOOKUP(B738,RPM!$F$2:$H$62,3,TRUE),IF(J738=2,VLOOKUP(B738,RPM!$I$2:$K$62,3,TRUE),IF(J738=3,VLOOKUP(B738,RPM!$L$2:$N$62,3,TRUE))))</f>
        <v>7000</v>
      </c>
      <c r="L738" s="17">
        <f t="shared" si="140"/>
        <v>59.229408619949737</v>
      </c>
      <c r="M738" s="16">
        <f t="shared" si="131"/>
        <v>0</v>
      </c>
      <c r="N738" s="17">
        <f>VLOOKUP(K738,RPM!$A$2:$D$62,3,FALSE)</f>
        <v>13</v>
      </c>
      <c r="O738" s="16">
        <f>VLOOKUP(K738,RPM!$A$2:$D$62,4,FALSE)</f>
        <v>13.235857142857142</v>
      </c>
      <c r="P738" s="17">
        <f t="shared" si="132"/>
        <v>9.8699786714285711</v>
      </c>
      <c r="Q738" s="16" cm="1">
        <f t="array" ref="Q738">_xlfn.XLOOKUP(O738,BSFC!$A$2:$A$24,_xlfn.XLOOKUP(K738,BSFC!$B$1:$O$1,BSFC!$B$2:$O$24,,-1),,-1)</f>
        <v>520</v>
      </c>
      <c r="R738" s="17">
        <f t="shared" si="133"/>
        <v>1.425663585873016</v>
      </c>
      <c r="S738" s="16">
        <f t="shared" si="134"/>
        <v>2.0443068048076269E-4</v>
      </c>
      <c r="T738" s="17">
        <f t="shared" si="137"/>
        <v>0.10630395384999659</v>
      </c>
      <c r="U738" s="16">
        <f t="shared" si="138"/>
        <v>98.154173352103754</v>
      </c>
      <c r="V738" s="17">
        <f t="shared" si="139"/>
        <v>0.20492042324455323</v>
      </c>
      <c r="W738" s="16">
        <f t="shared" si="135"/>
        <v>737713.52368039161</v>
      </c>
      <c r="X738">
        <f>('Hybrid Info'!$A$2-Track!P738)*(L738-L737)*1000+X737</f>
        <v>-24893.550326496024</v>
      </c>
    </row>
    <row r="739" spans="1:24">
      <c r="A739" s="16">
        <f t="shared" si="136"/>
        <v>738</v>
      </c>
      <c r="B739" s="17">
        <f t="shared" si="130"/>
        <v>13.411199999999999</v>
      </c>
      <c r="C739" s="16">
        <f>Specification!$G$29</f>
        <v>164.943378</v>
      </c>
      <c r="D739" s="17">
        <f>0.5*Specification!$K$4*Track!B739^2*Specification!$K$3*Specification!$K$2</f>
        <v>93.159842569492653</v>
      </c>
      <c r="E739" s="16">
        <v>0</v>
      </c>
      <c r="F739" s="17">
        <f>Specification!$C$23*9.81*SIN((E739*PI()/180))</f>
        <v>0</v>
      </c>
      <c r="G739" s="18">
        <f>IF(J739=1,VLOOKUP(K739,RPM!$E$2:$H$62,3,FALSE)-F739-E739-D739,IF(J739=2,VLOOKUP(K739,RPM!$H$2:$K$62,3,FALSE)-F739-E739-D739,IF(J739=3,VLOOKUP(K739,RPM!$K$2:$N$62,3,FALSE)-F739-E739-D739)))</f>
        <v>688.48526429214962</v>
      </c>
      <c r="H739" s="19">
        <f>IF(J739=1,Specification!$I$14,IF(J739=2,Specification!$I$15,IF(J739=3,Specification!$I$16)))</f>
        <v>582.50936296077191</v>
      </c>
      <c r="I739" s="16">
        <f t="shared" si="129"/>
        <v>0</v>
      </c>
      <c r="J739" s="17">
        <v>2</v>
      </c>
      <c r="K739" s="16">
        <f>IF(J739=1,VLOOKUP(B739,RPM!$F$2:$H$62,3,TRUE),IF(J739=2,VLOOKUP(B739,RPM!$I$2:$K$62,3,TRUE),IF(J739=3,VLOOKUP(B739,RPM!$L$2:$N$62,3,TRUE))))</f>
        <v>7000</v>
      </c>
      <c r="L739" s="17">
        <f t="shared" si="140"/>
        <v>59.30397316301822</v>
      </c>
      <c r="M739" s="16">
        <f t="shared" si="131"/>
        <v>0</v>
      </c>
      <c r="N739" s="17">
        <f>VLOOKUP(K739,RPM!$A$2:$D$62,3,FALSE)</f>
        <v>13</v>
      </c>
      <c r="O739" s="16">
        <f>VLOOKUP(K739,RPM!$A$2:$D$62,4,FALSE)</f>
        <v>13.235857142857142</v>
      </c>
      <c r="P739" s="17">
        <f t="shared" si="132"/>
        <v>9.8699786714285711</v>
      </c>
      <c r="Q739" s="16" cm="1">
        <f t="array" ref="Q739">_xlfn.XLOOKUP(O739,BSFC!$A$2:$A$24,_xlfn.XLOOKUP(K739,BSFC!$B$1:$O$1,BSFC!$B$2:$O$24,,-1),,-1)</f>
        <v>520</v>
      </c>
      <c r="R739" s="17">
        <f t="shared" si="133"/>
        <v>1.425663585873016</v>
      </c>
      <c r="S739" s="16">
        <f t="shared" si="134"/>
        <v>2.0443068048076269E-4</v>
      </c>
      <c r="T739" s="17">
        <f t="shared" si="137"/>
        <v>0.10630395384999659</v>
      </c>
      <c r="U739" s="16">
        <f t="shared" si="138"/>
        <v>98.260477305953756</v>
      </c>
      <c r="V739" s="17">
        <f t="shared" si="139"/>
        <v>0.20512485392503399</v>
      </c>
      <c r="W739" s="16">
        <f t="shared" si="135"/>
        <v>738449.47413012234</v>
      </c>
      <c r="X739">
        <f>('Hybrid Info'!$A$2-Track!P739)*(L739-L738)*1000+X738</f>
        <v>-24725.744617509758</v>
      </c>
    </row>
    <row r="740" spans="1:24">
      <c r="A740" s="16">
        <f t="shared" si="136"/>
        <v>739</v>
      </c>
      <c r="B740" s="17">
        <f t="shared" si="130"/>
        <v>13.411199999999999</v>
      </c>
      <c r="C740" s="16">
        <f>Specification!$G$29</f>
        <v>164.943378</v>
      </c>
      <c r="D740" s="17">
        <f>0.5*Specification!$K$4*Track!B740^2*Specification!$K$3*Specification!$K$2</f>
        <v>93.159842569492653</v>
      </c>
      <c r="E740" s="16">
        <v>0</v>
      </c>
      <c r="F740" s="17">
        <f>Specification!$C$23*9.81*SIN((E740*PI()/180))</f>
        <v>0</v>
      </c>
      <c r="G740" s="18">
        <f>IF(J740=1,VLOOKUP(K740,RPM!$E$2:$H$62,3,FALSE)-F740-E740-D740,IF(J740=2,VLOOKUP(K740,RPM!$H$2:$K$62,3,FALSE)-F740-E740-D740,IF(J740=3,VLOOKUP(K740,RPM!$K$2:$N$62,3,FALSE)-F740-E740-D740)))</f>
        <v>688.48526429214962</v>
      </c>
      <c r="H740" s="19">
        <f>IF(J740=1,Specification!$I$14,IF(J740=2,Specification!$I$15,IF(J740=3,Specification!$I$16)))</f>
        <v>582.50936296077191</v>
      </c>
      <c r="I740" s="16">
        <f t="shared" ref="I740:I803" si="141">IF(B740=13.4112,0,G740/H740)</f>
        <v>0</v>
      </c>
      <c r="J740" s="17">
        <v>2</v>
      </c>
      <c r="K740" s="16">
        <f>IF(J740=1,VLOOKUP(B740,RPM!$F$2:$H$62,3,TRUE),IF(J740=2,VLOOKUP(B740,RPM!$I$2:$K$62,3,TRUE),IF(J740=3,VLOOKUP(B740,RPM!$L$2:$N$62,3,TRUE))))</f>
        <v>7000</v>
      </c>
      <c r="L740" s="17">
        <f t="shared" si="140"/>
        <v>59.378537706086703</v>
      </c>
      <c r="M740" s="16">
        <f t="shared" si="131"/>
        <v>0</v>
      </c>
      <c r="N740" s="17">
        <f>VLOOKUP(K740,RPM!$A$2:$D$62,3,FALSE)</f>
        <v>13</v>
      </c>
      <c r="O740" s="16">
        <f>VLOOKUP(K740,RPM!$A$2:$D$62,4,FALSE)</f>
        <v>13.235857142857142</v>
      </c>
      <c r="P740" s="17">
        <f t="shared" si="132"/>
        <v>9.8699786714285711</v>
      </c>
      <c r="Q740" s="16" cm="1">
        <f t="array" ref="Q740">_xlfn.XLOOKUP(O740,BSFC!$A$2:$A$24,_xlfn.XLOOKUP(K740,BSFC!$B$1:$O$1,BSFC!$B$2:$O$24,,-1),,-1)</f>
        <v>520</v>
      </c>
      <c r="R740" s="17">
        <f t="shared" si="133"/>
        <v>1.425663585873016</v>
      </c>
      <c r="S740" s="16">
        <f t="shared" si="134"/>
        <v>2.0443068048076269E-4</v>
      </c>
      <c r="T740" s="17">
        <f t="shared" si="137"/>
        <v>0.10630395384999659</v>
      </c>
      <c r="U740" s="16">
        <f t="shared" si="138"/>
        <v>98.366781259803759</v>
      </c>
      <c r="V740" s="17">
        <f t="shared" si="139"/>
        <v>0.20532928460551475</v>
      </c>
      <c r="W740" s="16">
        <f t="shared" si="135"/>
        <v>739185.42457985308</v>
      </c>
      <c r="X740">
        <f>('Hybrid Info'!$A$2-Track!P740)*(L740-L739)*1000+X739</f>
        <v>-24557.938908523491</v>
      </c>
    </row>
    <row r="741" spans="1:24">
      <c r="A741" s="16">
        <f t="shared" si="136"/>
        <v>740</v>
      </c>
      <c r="B741" s="17">
        <f t="shared" si="130"/>
        <v>13.411199999999999</v>
      </c>
      <c r="C741" s="16">
        <f>Specification!$G$29</f>
        <v>164.943378</v>
      </c>
      <c r="D741" s="17">
        <f>0.5*Specification!$K$4*Track!B741^2*Specification!$K$3*Specification!$K$2</f>
        <v>93.159842569492653</v>
      </c>
      <c r="E741" s="16">
        <v>0</v>
      </c>
      <c r="F741" s="17">
        <f>Specification!$C$23*9.81*SIN((E741*PI()/180))</f>
        <v>0</v>
      </c>
      <c r="G741" s="18">
        <f>IF(J741=1,VLOOKUP(K741,RPM!$E$2:$H$62,3,FALSE)-F741-E741-D741,IF(J741=2,VLOOKUP(K741,RPM!$H$2:$K$62,3,FALSE)-F741-E741-D741,IF(J741=3,VLOOKUP(K741,RPM!$K$2:$N$62,3,FALSE)-F741-E741-D741)))</f>
        <v>688.48526429214962</v>
      </c>
      <c r="H741" s="19">
        <f>IF(J741=1,Specification!$I$14,IF(J741=2,Specification!$I$15,IF(J741=3,Specification!$I$16)))</f>
        <v>582.50936296077191</v>
      </c>
      <c r="I741" s="16">
        <f t="shared" si="141"/>
        <v>0</v>
      </c>
      <c r="J741" s="17">
        <v>2</v>
      </c>
      <c r="K741" s="16">
        <f>IF(J741=1,VLOOKUP(B741,RPM!$F$2:$H$62,3,TRUE),IF(J741=2,VLOOKUP(B741,RPM!$I$2:$K$62,3,TRUE),IF(J741=3,VLOOKUP(B741,RPM!$L$2:$N$62,3,TRUE))))</f>
        <v>7000</v>
      </c>
      <c r="L741" s="17">
        <f t="shared" si="140"/>
        <v>59.453102249155187</v>
      </c>
      <c r="M741" s="16">
        <f t="shared" si="131"/>
        <v>0</v>
      </c>
      <c r="N741" s="17">
        <f>VLOOKUP(K741,RPM!$A$2:$D$62,3,FALSE)</f>
        <v>13</v>
      </c>
      <c r="O741" s="16">
        <f>VLOOKUP(K741,RPM!$A$2:$D$62,4,FALSE)</f>
        <v>13.235857142857142</v>
      </c>
      <c r="P741" s="17">
        <f t="shared" si="132"/>
        <v>9.8699786714285711</v>
      </c>
      <c r="Q741" s="16" cm="1">
        <f t="array" ref="Q741">_xlfn.XLOOKUP(O741,BSFC!$A$2:$A$24,_xlfn.XLOOKUP(K741,BSFC!$B$1:$O$1,BSFC!$B$2:$O$24,,-1),,-1)</f>
        <v>520</v>
      </c>
      <c r="R741" s="17">
        <f t="shared" si="133"/>
        <v>1.425663585873016</v>
      </c>
      <c r="S741" s="16">
        <f t="shared" si="134"/>
        <v>2.0443068048076269E-4</v>
      </c>
      <c r="T741" s="17">
        <f t="shared" si="137"/>
        <v>0.10630395384999659</v>
      </c>
      <c r="U741" s="16">
        <f t="shared" si="138"/>
        <v>98.473085213653761</v>
      </c>
      <c r="V741" s="17">
        <f t="shared" si="139"/>
        <v>0.20553371528599551</v>
      </c>
      <c r="W741" s="16">
        <f t="shared" si="135"/>
        <v>739921.37502958381</v>
      </c>
      <c r="X741">
        <f>('Hybrid Info'!$A$2-Track!P741)*(L741-L740)*1000+X740</f>
        <v>-24390.133199537224</v>
      </c>
    </row>
    <row r="742" spans="1:24">
      <c r="A742" s="16">
        <f t="shared" si="136"/>
        <v>741</v>
      </c>
      <c r="B742" s="17">
        <f t="shared" si="130"/>
        <v>13.411199999999999</v>
      </c>
      <c r="C742" s="16">
        <f>Specification!$G$29</f>
        <v>164.943378</v>
      </c>
      <c r="D742" s="17">
        <f>0.5*Specification!$K$4*Track!B742^2*Specification!$K$3*Specification!$K$2</f>
        <v>93.159842569492653</v>
      </c>
      <c r="E742" s="16">
        <v>0</v>
      </c>
      <c r="F742" s="17">
        <f>Specification!$C$23*9.81*SIN((E742*PI()/180))</f>
        <v>0</v>
      </c>
      <c r="G742" s="18">
        <f>IF(J742=1,VLOOKUP(K742,RPM!$E$2:$H$62,3,FALSE)-F742-E742-D742,IF(J742=2,VLOOKUP(K742,RPM!$H$2:$K$62,3,FALSE)-F742-E742-D742,IF(J742=3,VLOOKUP(K742,RPM!$K$2:$N$62,3,FALSE)-F742-E742-D742)))</f>
        <v>688.48526429214962</v>
      </c>
      <c r="H742" s="19">
        <f>IF(J742=1,Specification!$I$14,IF(J742=2,Specification!$I$15,IF(J742=3,Specification!$I$16)))</f>
        <v>582.50936296077191</v>
      </c>
      <c r="I742" s="16">
        <f t="shared" si="141"/>
        <v>0</v>
      </c>
      <c r="J742" s="17">
        <v>2</v>
      </c>
      <c r="K742" s="16">
        <f>IF(J742=1,VLOOKUP(B742,RPM!$F$2:$H$62,3,TRUE),IF(J742=2,VLOOKUP(B742,RPM!$I$2:$K$62,3,TRUE),IF(J742=3,VLOOKUP(B742,RPM!$L$2:$N$62,3,TRUE))))</f>
        <v>7000</v>
      </c>
      <c r="L742" s="17">
        <f t="shared" si="140"/>
        <v>59.52766679222367</v>
      </c>
      <c r="M742" s="16">
        <f t="shared" si="131"/>
        <v>0</v>
      </c>
      <c r="N742" s="17">
        <f>VLOOKUP(K742,RPM!$A$2:$D$62,3,FALSE)</f>
        <v>13</v>
      </c>
      <c r="O742" s="16">
        <f>VLOOKUP(K742,RPM!$A$2:$D$62,4,FALSE)</f>
        <v>13.235857142857142</v>
      </c>
      <c r="P742" s="17">
        <f t="shared" si="132"/>
        <v>9.8699786714285711</v>
      </c>
      <c r="Q742" s="16" cm="1">
        <f t="array" ref="Q742">_xlfn.XLOOKUP(O742,BSFC!$A$2:$A$24,_xlfn.XLOOKUP(K742,BSFC!$B$1:$O$1,BSFC!$B$2:$O$24,,-1),,-1)</f>
        <v>520</v>
      </c>
      <c r="R742" s="17">
        <f t="shared" si="133"/>
        <v>1.425663585873016</v>
      </c>
      <c r="S742" s="16">
        <f t="shared" si="134"/>
        <v>2.0443068048076269E-4</v>
      </c>
      <c r="T742" s="17">
        <f t="shared" si="137"/>
        <v>0.10630395384999659</v>
      </c>
      <c r="U742" s="16">
        <f t="shared" si="138"/>
        <v>98.579389167503763</v>
      </c>
      <c r="V742" s="17">
        <f t="shared" si="139"/>
        <v>0.20573814596647627</v>
      </c>
      <c r="W742" s="16">
        <f t="shared" si="135"/>
        <v>740657.32547931466</v>
      </c>
      <c r="X742">
        <f>('Hybrid Info'!$A$2-Track!P742)*(L742-L741)*1000+X741</f>
        <v>-24222.327490550957</v>
      </c>
    </row>
    <row r="743" spans="1:24">
      <c r="A743" s="16">
        <f t="shared" si="136"/>
        <v>742</v>
      </c>
      <c r="B743" s="17">
        <f t="shared" si="130"/>
        <v>13.411199999999999</v>
      </c>
      <c r="C743" s="16">
        <f>Specification!$G$29</f>
        <v>164.943378</v>
      </c>
      <c r="D743" s="17">
        <f>0.5*Specification!$K$4*Track!B743^2*Specification!$K$3*Specification!$K$2</f>
        <v>93.159842569492653</v>
      </c>
      <c r="E743" s="16">
        <v>0</v>
      </c>
      <c r="F743" s="17">
        <f>Specification!$C$23*9.81*SIN((E743*PI()/180))</f>
        <v>0</v>
      </c>
      <c r="G743" s="18">
        <f>IF(J743=1,VLOOKUP(K743,RPM!$E$2:$H$62,3,FALSE)-F743-E743-D743,IF(J743=2,VLOOKUP(K743,RPM!$H$2:$K$62,3,FALSE)-F743-E743-D743,IF(J743=3,VLOOKUP(K743,RPM!$K$2:$N$62,3,FALSE)-F743-E743-D743)))</f>
        <v>688.48526429214962</v>
      </c>
      <c r="H743" s="19">
        <f>IF(J743=1,Specification!$I$14,IF(J743=2,Specification!$I$15,IF(J743=3,Specification!$I$16)))</f>
        <v>582.50936296077191</v>
      </c>
      <c r="I743" s="16">
        <f t="shared" si="141"/>
        <v>0</v>
      </c>
      <c r="J743" s="17">
        <v>2</v>
      </c>
      <c r="K743" s="16">
        <f>IF(J743=1,VLOOKUP(B743,RPM!$F$2:$H$62,3,TRUE),IF(J743=2,VLOOKUP(B743,RPM!$I$2:$K$62,3,TRUE),IF(J743=3,VLOOKUP(B743,RPM!$L$2:$N$62,3,TRUE))))</f>
        <v>7000</v>
      </c>
      <c r="L743" s="17">
        <f t="shared" si="140"/>
        <v>59.602231335292153</v>
      </c>
      <c r="M743" s="16">
        <f t="shared" si="131"/>
        <v>0</v>
      </c>
      <c r="N743" s="17">
        <f>VLOOKUP(K743,RPM!$A$2:$D$62,3,FALSE)</f>
        <v>13</v>
      </c>
      <c r="O743" s="16">
        <f>VLOOKUP(K743,RPM!$A$2:$D$62,4,FALSE)</f>
        <v>13.235857142857142</v>
      </c>
      <c r="P743" s="17">
        <f t="shared" si="132"/>
        <v>9.8699786714285711</v>
      </c>
      <c r="Q743" s="16" cm="1">
        <f t="array" ref="Q743">_xlfn.XLOOKUP(O743,BSFC!$A$2:$A$24,_xlfn.XLOOKUP(K743,BSFC!$B$1:$O$1,BSFC!$B$2:$O$24,,-1),,-1)</f>
        <v>520</v>
      </c>
      <c r="R743" s="17">
        <f t="shared" si="133"/>
        <v>1.425663585873016</v>
      </c>
      <c r="S743" s="16">
        <f t="shared" si="134"/>
        <v>2.0443068048076269E-4</v>
      </c>
      <c r="T743" s="17">
        <f t="shared" si="137"/>
        <v>0.10630395384999659</v>
      </c>
      <c r="U743" s="16">
        <f t="shared" si="138"/>
        <v>98.685693121353765</v>
      </c>
      <c r="V743" s="17">
        <f t="shared" si="139"/>
        <v>0.20594257664695703</v>
      </c>
      <c r="W743" s="16">
        <f t="shared" si="135"/>
        <v>741393.27592904528</v>
      </c>
      <c r="X743">
        <f>('Hybrid Info'!$A$2-Track!P743)*(L743-L742)*1000+X742</f>
        <v>-24054.52178156469</v>
      </c>
    </row>
    <row r="744" spans="1:24">
      <c r="A744" s="16">
        <f t="shared" si="136"/>
        <v>743</v>
      </c>
      <c r="B744" s="17">
        <f t="shared" si="130"/>
        <v>13.411199999999999</v>
      </c>
      <c r="C744" s="16">
        <f>Specification!$G$29</f>
        <v>164.943378</v>
      </c>
      <c r="D744" s="17">
        <f>0.5*Specification!$K$4*Track!B744^2*Specification!$K$3*Specification!$K$2</f>
        <v>93.159842569492653</v>
      </c>
      <c r="E744" s="16">
        <v>0</v>
      </c>
      <c r="F744" s="17">
        <f>Specification!$C$23*9.81*SIN((E744*PI()/180))</f>
        <v>0</v>
      </c>
      <c r="G744" s="18">
        <f>IF(J744=1,VLOOKUP(K744,RPM!$E$2:$H$62,3,FALSE)-F744-E744-D744,IF(J744=2,VLOOKUP(K744,RPM!$H$2:$K$62,3,FALSE)-F744-E744-D744,IF(J744=3,VLOOKUP(K744,RPM!$K$2:$N$62,3,FALSE)-F744-E744-D744)))</f>
        <v>688.48526429214962</v>
      </c>
      <c r="H744" s="19">
        <f>IF(J744=1,Specification!$I$14,IF(J744=2,Specification!$I$15,IF(J744=3,Specification!$I$16)))</f>
        <v>582.50936296077191</v>
      </c>
      <c r="I744" s="16">
        <f t="shared" si="141"/>
        <v>0</v>
      </c>
      <c r="J744" s="17">
        <v>2</v>
      </c>
      <c r="K744" s="16">
        <f>IF(J744=1,VLOOKUP(B744,RPM!$F$2:$H$62,3,TRUE),IF(J744=2,VLOOKUP(B744,RPM!$I$2:$K$62,3,TRUE),IF(J744=3,VLOOKUP(B744,RPM!$L$2:$N$62,3,TRUE))))</f>
        <v>7000</v>
      </c>
      <c r="L744" s="17">
        <f t="shared" si="140"/>
        <v>59.676795878360636</v>
      </c>
      <c r="M744" s="16">
        <f t="shared" si="131"/>
        <v>0</v>
      </c>
      <c r="N744" s="17">
        <f>VLOOKUP(K744,RPM!$A$2:$D$62,3,FALSE)</f>
        <v>13</v>
      </c>
      <c r="O744" s="16">
        <f>VLOOKUP(K744,RPM!$A$2:$D$62,4,FALSE)</f>
        <v>13.235857142857142</v>
      </c>
      <c r="P744" s="17">
        <f t="shared" si="132"/>
        <v>9.8699786714285711</v>
      </c>
      <c r="Q744" s="16" cm="1">
        <f t="array" ref="Q744">_xlfn.XLOOKUP(O744,BSFC!$A$2:$A$24,_xlfn.XLOOKUP(K744,BSFC!$B$1:$O$1,BSFC!$B$2:$O$24,,-1),,-1)</f>
        <v>520</v>
      </c>
      <c r="R744" s="17">
        <f t="shared" si="133"/>
        <v>1.425663585873016</v>
      </c>
      <c r="S744" s="16">
        <f t="shared" si="134"/>
        <v>2.0443068048076269E-4</v>
      </c>
      <c r="T744" s="17">
        <f t="shared" si="137"/>
        <v>0.10630395384999659</v>
      </c>
      <c r="U744" s="16">
        <f t="shared" si="138"/>
        <v>98.791997075203767</v>
      </c>
      <c r="V744" s="17">
        <f t="shared" si="139"/>
        <v>0.20614700732743779</v>
      </c>
      <c r="W744" s="16">
        <f t="shared" si="135"/>
        <v>742129.22637877602</v>
      </c>
      <c r="X744">
        <f>('Hybrid Info'!$A$2-Track!P744)*(L744-L743)*1000+X743</f>
        <v>-23886.716072578423</v>
      </c>
    </row>
    <row r="745" spans="1:24">
      <c r="A745" s="16">
        <f t="shared" si="136"/>
        <v>744</v>
      </c>
      <c r="B745" s="17">
        <f t="shared" si="130"/>
        <v>13.411199999999999</v>
      </c>
      <c r="C745" s="16">
        <f>Specification!$G$29</f>
        <v>164.943378</v>
      </c>
      <c r="D745" s="17">
        <f>0.5*Specification!$K$4*Track!B745^2*Specification!$K$3*Specification!$K$2</f>
        <v>93.159842569492653</v>
      </c>
      <c r="E745" s="16">
        <v>0</v>
      </c>
      <c r="F745" s="17">
        <f>Specification!$C$23*9.81*SIN((E745*PI()/180))</f>
        <v>0</v>
      </c>
      <c r="G745" s="18">
        <f>IF(J745=1,VLOOKUP(K745,RPM!$E$2:$H$62,3,FALSE)-F745-E745-D745,IF(J745=2,VLOOKUP(K745,RPM!$H$2:$K$62,3,FALSE)-F745-E745-D745,IF(J745=3,VLOOKUP(K745,RPM!$K$2:$N$62,3,FALSE)-F745-E745-D745)))</f>
        <v>688.48526429214962</v>
      </c>
      <c r="H745" s="19">
        <f>IF(J745=1,Specification!$I$14,IF(J745=2,Specification!$I$15,IF(J745=3,Specification!$I$16)))</f>
        <v>582.50936296077191</v>
      </c>
      <c r="I745" s="16">
        <f t="shared" si="141"/>
        <v>0</v>
      </c>
      <c r="J745" s="17">
        <v>2</v>
      </c>
      <c r="K745" s="16">
        <f>IF(J745=1,VLOOKUP(B745,RPM!$F$2:$H$62,3,TRUE),IF(J745=2,VLOOKUP(B745,RPM!$I$2:$K$62,3,TRUE),IF(J745=3,VLOOKUP(B745,RPM!$L$2:$N$62,3,TRUE))))</f>
        <v>7000</v>
      </c>
      <c r="L745" s="17">
        <f t="shared" si="140"/>
        <v>59.751360421429119</v>
      </c>
      <c r="M745" s="16">
        <f t="shared" si="131"/>
        <v>0</v>
      </c>
      <c r="N745" s="17">
        <f>VLOOKUP(K745,RPM!$A$2:$D$62,3,FALSE)</f>
        <v>13</v>
      </c>
      <c r="O745" s="16">
        <f>VLOOKUP(K745,RPM!$A$2:$D$62,4,FALSE)</f>
        <v>13.235857142857142</v>
      </c>
      <c r="P745" s="17">
        <f t="shared" si="132"/>
        <v>9.8699786714285711</v>
      </c>
      <c r="Q745" s="16" cm="1">
        <f t="array" ref="Q745">_xlfn.XLOOKUP(O745,BSFC!$A$2:$A$24,_xlfn.XLOOKUP(K745,BSFC!$B$1:$O$1,BSFC!$B$2:$O$24,,-1),,-1)</f>
        <v>520</v>
      </c>
      <c r="R745" s="17">
        <f t="shared" si="133"/>
        <v>1.425663585873016</v>
      </c>
      <c r="S745" s="16">
        <f t="shared" si="134"/>
        <v>2.0443068048076269E-4</v>
      </c>
      <c r="T745" s="17">
        <f t="shared" si="137"/>
        <v>0.10630395384999659</v>
      </c>
      <c r="U745" s="16">
        <f t="shared" si="138"/>
        <v>98.898301029053769</v>
      </c>
      <c r="V745" s="17">
        <f t="shared" si="139"/>
        <v>0.20635143800791855</v>
      </c>
      <c r="W745" s="16">
        <f t="shared" si="135"/>
        <v>742865.17682850675</v>
      </c>
      <c r="X745">
        <f>('Hybrid Info'!$A$2-Track!P745)*(L745-L744)*1000+X744</f>
        <v>-23718.910363592157</v>
      </c>
    </row>
    <row r="746" spans="1:24">
      <c r="A746" s="16">
        <f t="shared" si="136"/>
        <v>745</v>
      </c>
      <c r="B746" s="17">
        <f t="shared" si="130"/>
        <v>13.411199999999999</v>
      </c>
      <c r="C746" s="16">
        <f>Specification!$G$29</f>
        <v>164.943378</v>
      </c>
      <c r="D746" s="17">
        <f>0.5*Specification!$K$4*Track!B746^2*Specification!$K$3*Specification!$K$2</f>
        <v>93.159842569492653</v>
      </c>
      <c r="E746" s="16">
        <v>0</v>
      </c>
      <c r="F746" s="17">
        <f>Specification!$C$23*9.81*SIN((E746*PI()/180))</f>
        <v>0</v>
      </c>
      <c r="G746" s="18">
        <f>IF(J746=1,VLOOKUP(K746,RPM!$E$2:$H$62,3,FALSE)-F746-E746-D746,IF(J746=2,VLOOKUP(K746,RPM!$H$2:$K$62,3,FALSE)-F746-E746-D746,IF(J746=3,VLOOKUP(K746,RPM!$K$2:$N$62,3,FALSE)-F746-E746-D746)))</f>
        <v>688.48526429214962</v>
      </c>
      <c r="H746" s="19">
        <f>IF(J746=1,Specification!$I$14,IF(J746=2,Specification!$I$15,IF(J746=3,Specification!$I$16)))</f>
        <v>582.50936296077191</v>
      </c>
      <c r="I746" s="16">
        <f t="shared" si="141"/>
        <v>0</v>
      </c>
      <c r="J746" s="17">
        <v>2</v>
      </c>
      <c r="K746" s="16">
        <f>IF(J746=1,VLOOKUP(B746,RPM!$F$2:$H$62,3,TRUE),IF(J746=2,VLOOKUP(B746,RPM!$I$2:$K$62,3,TRUE),IF(J746=3,VLOOKUP(B746,RPM!$L$2:$N$62,3,TRUE))))</f>
        <v>7000</v>
      </c>
      <c r="L746" s="17">
        <f t="shared" si="140"/>
        <v>59.825924964497602</v>
      </c>
      <c r="M746" s="16">
        <f t="shared" si="131"/>
        <v>0</v>
      </c>
      <c r="N746" s="17">
        <f>VLOOKUP(K746,RPM!$A$2:$D$62,3,FALSE)</f>
        <v>13</v>
      </c>
      <c r="O746" s="16">
        <f>VLOOKUP(K746,RPM!$A$2:$D$62,4,FALSE)</f>
        <v>13.235857142857142</v>
      </c>
      <c r="P746" s="17">
        <f t="shared" si="132"/>
        <v>9.8699786714285711</v>
      </c>
      <c r="Q746" s="16" cm="1">
        <f t="array" ref="Q746">_xlfn.XLOOKUP(O746,BSFC!$A$2:$A$24,_xlfn.XLOOKUP(K746,BSFC!$B$1:$O$1,BSFC!$B$2:$O$24,,-1),,-1)</f>
        <v>520</v>
      </c>
      <c r="R746" s="17">
        <f t="shared" si="133"/>
        <v>1.425663585873016</v>
      </c>
      <c r="S746" s="16">
        <f t="shared" si="134"/>
        <v>2.0443068048076269E-4</v>
      </c>
      <c r="T746" s="17">
        <f t="shared" si="137"/>
        <v>0.10630395384999659</v>
      </c>
      <c r="U746" s="16">
        <f t="shared" si="138"/>
        <v>99.004604982903771</v>
      </c>
      <c r="V746" s="17">
        <f t="shared" si="139"/>
        <v>0.20655586868839931</v>
      </c>
      <c r="W746" s="16">
        <f t="shared" si="135"/>
        <v>743601.12727823749</v>
      </c>
      <c r="X746">
        <f>('Hybrid Info'!$A$2-Track!P746)*(L746-L745)*1000+X745</f>
        <v>-23551.10465460589</v>
      </c>
    </row>
    <row r="747" spans="1:24">
      <c r="A747" s="16">
        <f t="shared" si="136"/>
        <v>746</v>
      </c>
      <c r="B747" s="17">
        <f t="shared" si="130"/>
        <v>13.411199999999999</v>
      </c>
      <c r="C747" s="16">
        <f>Specification!$G$29</f>
        <v>164.943378</v>
      </c>
      <c r="D747" s="17">
        <f>0.5*Specification!$K$4*Track!B747^2*Specification!$K$3*Specification!$K$2</f>
        <v>93.159842569492653</v>
      </c>
      <c r="E747" s="16">
        <v>0</v>
      </c>
      <c r="F747" s="17">
        <f>Specification!$C$23*9.81*SIN((E747*PI()/180))</f>
        <v>0</v>
      </c>
      <c r="G747" s="18">
        <f>IF(J747=1,VLOOKUP(K747,RPM!$E$2:$H$62,3,FALSE)-F747-E747-D747,IF(J747=2,VLOOKUP(K747,RPM!$H$2:$K$62,3,FALSE)-F747-E747-D747,IF(J747=3,VLOOKUP(K747,RPM!$K$2:$N$62,3,FALSE)-F747-E747-D747)))</f>
        <v>688.48526429214962</v>
      </c>
      <c r="H747" s="19">
        <f>IF(J747=1,Specification!$I$14,IF(J747=2,Specification!$I$15,IF(J747=3,Specification!$I$16)))</f>
        <v>582.50936296077191</v>
      </c>
      <c r="I747" s="16">
        <f t="shared" si="141"/>
        <v>0</v>
      </c>
      <c r="J747" s="17">
        <v>2</v>
      </c>
      <c r="K747" s="16">
        <f>IF(J747=1,VLOOKUP(B747,RPM!$F$2:$H$62,3,TRUE),IF(J747=2,VLOOKUP(B747,RPM!$I$2:$K$62,3,TRUE),IF(J747=3,VLOOKUP(B747,RPM!$L$2:$N$62,3,TRUE))))</f>
        <v>7000</v>
      </c>
      <c r="L747" s="17">
        <f t="shared" si="140"/>
        <v>59.900489507566085</v>
      </c>
      <c r="M747" s="16">
        <f t="shared" si="131"/>
        <v>0</v>
      </c>
      <c r="N747" s="17">
        <f>VLOOKUP(K747,RPM!$A$2:$D$62,3,FALSE)</f>
        <v>13</v>
      </c>
      <c r="O747" s="16">
        <f>VLOOKUP(K747,RPM!$A$2:$D$62,4,FALSE)</f>
        <v>13.235857142857142</v>
      </c>
      <c r="P747" s="17">
        <f t="shared" si="132"/>
        <v>9.8699786714285711</v>
      </c>
      <c r="Q747" s="16" cm="1">
        <f t="array" ref="Q747">_xlfn.XLOOKUP(O747,BSFC!$A$2:$A$24,_xlfn.XLOOKUP(K747,BSFC!$B$1:$O$1,BSFC!$B$2:$O$24,,-1),,-1)</f>
        <v>520</v>
      </c>
      <c r="R747" s="17">
        <f t="shared" si="133"/>
        <v>1.425663585873016</v>
      </c>
      <c r="S747" s="16">
        <f t="shared" si="134"/>
        <v>2.0443068048076269E-4</v>
      </c>
      <c r="T747" s="17">
        <f t="shared" si="137"/>
        <v>0.10630395384999659</v>
      </c>
      <c r="U747" s="16">
        <f t="shared" si="138"/>
        <v>99.110908936753773</v>
      </c>
      <c r="V747" s="17">
        <f t="shared" si="139"/>
        <v>0.20676029936888007</v>
      </c>
      <c r="W747" s="16">
        <f t="shared" si="135"/>
        <v>744337.07772796834</v>
      </c>
      <c r="X747">
        <f>('Hybrid Info'!$A$2-Track!P747)*(L747-L746)*1000+X746</f>
        <v>-23383.298945619623</v>
      </c>
    </row>
    <row r="748" spans="1:24">
      <c r="A748" s="16">
        <f t="shared" si="136"/>
        <v>747</v>
      </c>
      <c r="B748" s="17">
        <f t="shared" si="130"/>
        <v>13.411199999999999</v>
      </c>
      <c r="C748" s="16">
        <f>Specification!$G$29</f>
        <v>164.943378</v>
      </c>
      <c r="D748" s="17">
        <f>0.5*Specification!$K$4*Track!B748^2*Specification!$K$3*Specification!$K$2</f>
        <v>93.159842569492653</v>
      </c>
      <c r="E748" s="16">
        <v>0</v>
      </c>
      <c r="F748" s="17">
        <f>Specification!$C$23*9.81*SIN((E748*PI()/180))</f>
        <v>0</v>
      </c>
      <c r="G748" s="18">
        <f>IF(J748=1,VLOOKUP(K748,RPM!$E$2:$H$62,3,FALSE)-F748-E748-D748,IF(J748=2,VLOOKUP(K748,RPM!$H$2:$K$62,3,FALSE)-F748-E748-D748,IF(J748=3,VLOOKUP(K748,RPM!$K$2:$N$62,3,FALSE)-F748-E748-D748)))</f>
        <v>688.48526429214962</v>
      </c>
      <c r="H748" s="19">
        <f>IF(J748=1,Specification!$I$14,IF(J748=2,Specification!$I$15,IF(J748=3,Specification!$I$16)))</f>
        <v>582.50936296077191</v>
      </c>
      <c r="I748" s="16">
        <f t="shared" si="141"/>
        <v>0</v>
      </c>
      <c r="J748" s="17">
        <v>2</v>
      </c>
      <c r="K748" s="16">
        <f>IF(J748=1,VLOOKUP(B748,RPM!$F$2:$H$62,3,TRUE),IF(J748=2,VLOOKUP(B748,RPM!$I$2:$K$62,3,TRUE),IF(J748=3,VLOOKUP(B748,RPM!$L$2:$N$62,3,TRUE))))</f>
        <v>7000</v>
      </c>
      <c r="L748" s="17">
        <f t="shared" si="140"/>
        <v>59.975054050634569</v>
      </c>
      <c r="M748" s="16">
        <f t="shared" si="131"/>
        <v>0</v>
      </c>
      <c r="N748" s="17">
        <f>VLOOKUP(K748,RPM!$A$2:$D$62,3,FALSE)</f>
        <v>13</v>
      </c>
      <c r="O748" s="16">
        <f>VLOOKUP(K748,RPM!$A$2:$D$62,4,FALSE)</f>
        <v>13.235857142857142</v>
      </c>
      <c r="P748" s="17">
        <f t="shared" si="132"/>
        <v>9.8699786714285711</v>
      </c>
      <c r="Q748" s="16" cm="1">
        <f t="array" ref="Q748">_xlfn.XLOOKUP(O748,BSFC!$A$2:$A$24,_xlfn.XLOOKUP(K748,BSFC!$B$1:$O$1,BSFC!$B$2:$O$24,,-1),,-1)</f>
        <v>520</v>
      </c>
      <c r="R748" s="17">
        <f t="shared" si="133"/>
        <v>1.425663585873016</v>
      </c>
      <c r="S748" s="16">
        <f t="shared" si="134"/>
        <v>2.0443068048076269E-4</v>
      </c>
      <c r="T748" s="17">
        <f t="shared" si="137"/>
        <v>0.10630395384999659</v>
      </c>
      <c r="U748" s="16">
        <f t="shared" si="138"/>
        <v>99.217212890603776</v>
      </c>
      <c r="V748" s="17">
        <f t="shared" si="139"/>
        <v>0.20696473004936083</v>
      </c>
      <c r="W748" s="16">
        <f t="shared" si="135"/>
        <v>745073.02817769907</v>
      </c>
      <c r="X748">
        <f>('Hybrid Info'!$A$2-Track!P748)*(L748-L747)*1000+X747</f>
        <v>-23215.493236633356</v>
      </c>
    </row>
    <row r="749" spans="1:24">
      <c r="A749" s="16">
        <f t="shared" si="136"/>
        <v>748</v>
      </c>
      <c r="B749" s="17">
        <f t="shared" si="130"/>
        <v>13.411199999999999</v>
      </c>
      <c r="C749" s="16">
        <f>Specification!$G$29</f>
        <v>164.943378</v>
      </c>
      <c r="D749" s="17">
        <f>0.5*Specification!$K$4*Track!B749^2*Specification!$K$3*Specification!$K$2</f>
        <v>93.159842569492653</v>
      </c>
      <c r="E749" s="16">
        <v>0</v>
      </c>
      <c r="F749" s="17">
        <f>Specification!$C$23*9.81*SIN((E749*PI()/180))</f>
        <v>0</v>
      </c>
      <c r="G749" s="18">
        <f>IF(J749=1,VLOOKUP(K749,RPM!$E$2:$H$62,3,FALSE)-F749-E749-D749,IF(J749=2,VLOOKUP(K749,RPM!$H$2:$K$62,3,FALSE)-F749-E749-D749,IF(J749=3,VLOOKUP(K749,RPM!$K$2:$N$62,3,FALSE)-F749-E749-D749)))</f>
        <v>688.48526429214962</v>
      </c>
      <c r="H749" s="19">
        <f>IF(J749=1,Specification!$I$14,IF(J749=2,Specification!$I$15,IF(J749=3,Specification!$I$16)))</f>
        <v>582.50936296077191</v>
      </c>
      <c r="I749" s="16">
        <f t="shared" si="141"/>
        <v>0</v>
      </c>
      <c r="J749" s="17">
        <v>2</v>
      </c>
      <c r="K749" s="16">
        <f>IF(J749=1,VLOOKUP(B749,RPM!$F$2:$H$62,3,TRUE),IF(J749=2,VLOOKUP(B749,RPM!$I$2:$K$62,3,TRUE),IF(J749=3,VLOOKUP(B749,RPM!$L$2:$N$62,3,TRUE))))</f>
        <v>7000</v>
      </c>
      <c r="L749" s="17">
        <f t="shared" si="140"/>
        <v>60.049618593703052</v>
      </c>
      <c r="M749" s="16">
        <f t="shared" si="131"/>
        <v>0</v>
      </c>
      <c r="N749" s="17">
        <f>VLOOKUP(K749,RPM!$A$2:$D$62,3,FALSE)</f>
        <v>13</v>
      </c>
      <c r="O749" s="16">
        <f>VLOOKUP(K749,RPM!$A$2:$D$62,4,FALSE)</f>
        <v>13.235857142857142</v>
      </c>
      <c r="P749" s="17">
        <f t="shared" si="132"/>
        <v>9.8699786714285711</v>
      </c>
      <c r="Q749" s="16" cm="1">
        <f t="array" ref="Q749">_xlfn.XLOOKUP(O749,BSFC!$A$2:$A$24,_xlfn.XLOOKUP(K749,BSFC!$B$1:$O$1,BSFC!$B$2:$O$24,,-1),,-1)</f>
        <v>520</v>
      </c>
      <c r="R749" s="17">
        <f t="shared" si="133"/>
        <v>1.425663585873016</v>
      </c>
      <c r="S749" s="16">
        <f t="shared" si="134"/>
        <v>2.0443068048076269E-4</v>
      </c>
      <c r="T749" s="17">
        <f t="shared" si="137"/>
        <v>0.10630395384999659</v>
      </c>
      <c r="U749" s="16">
        <f t="shared" si="138"/>
        <v>99.323516844453778</v>
      </c>
      <c r="V749" s="17">
        <f t="shared" si="139"/>
        <v>0.20716916072984159</v>
      </c>
      <c r="W749" s="16">
        <f t="shared" si="135"/>
        <v>745808.97862742969</v>
      </c>
      <c r="X749">
        <f>('Hybrid Info'!$A$2-Track!P749)*(L749-L748)*1000+X748</f>
        <v>-23047.687527647089</v>
      </c>
    </row>
    <row r="750" spans="1:24">
      <c r="A750" s="16">
        <f t="shared" si="136"/>
        <v>749</v>
      </c>
      <c r="B750" s="17">
        <f t="shared" si="130"/>
        <v>13.411199999999999</v>
      </c>
      <c r="C750" s="16">
        <f>Specification!$G$29</f>
        <v>164.943378</v>
      </c>
      <c r="D750" s="17">
        <f>0.5*Specification!$K$4*Track!B750^2*Specification!$K$3*Specification!$K$2</f>
        <v>93.159842569492653</v>
      </c>
      <c r="E750" s="16">
        <v>0</v>
      </c>
      <c r="F750" s="17">
        <f>Specification!$C$23*9.81*SIN((E750*PI()/180))</f>
        <v>0</v>
      </c>
      <c r="G750" s="18">
        <f>IF(J750=1,VLOOKUP(K750,RPM!$E$2:$H$62,3,FALSE)-F750-E750-D750,IF(J750=2,VLOOKUP(K750,RPM!$H$2:$K$62,3,FALSE)-F750-E750-D750,IF(J750=3,VLOOKUP(K750,RPM!$K$2:$N$62,3,FALSE)-F750-E750-D750)))</f>
        <v>688.48526429214962</v>
      </c>
      <c r="H750" s="19">
        <f>IF(J750=1,Specification!$I$14,IF(J750=2,Specification!$I$15,IF(J750=3,Specification!$I$16)))</f>
        <v>582.50936296077191</v>
      </c>
      <c r="I750" s="16">
        <f t="shared" si="141"/>
        <v>0</v>
      </c>
      <c r="J750" s="17">
        <v>2</v>
      </c>
      <c r="K750" s="16">
        <f>IF(J750=1,VLOOKUP(B750,RPM!$F$2:$H$62,3,TRUE),IF(J750=2,VLOOKUP(B750,RPM!$I$2:$K$62,3,TRUE),IF(J750=3,VLOOKUP(B750,RPM!$L$2:$N$62,3,TRUE))))</f>
        <v>7000</v>
      </c>
      <c r="L750" s="17">
        <f t="shared" si="140"/>
        <v>60.124183136771535</v>
      </c>
      <c r="M750" s="16">
        <f t="shared" si="131"/>
        <v>0</v>
      </c>
      <c r="N750" s="17">
        <f>VLOOKUP(K750,RPM!$A$2:$D$62,3,FALSE)</f>
        <v>13</v>
      </c>
      <c r="O750" s="16">
        <f>VLOOKUP(K750,RPM!$A$2:$D$62,4,FALSE)</f>
        <v>13.235857142857142</v>
      </c>
      <c r="P750" s="17">
        <f t="shared" si="132"/>
        <v>9.8699786714285711</v>
      </c>
      <c r="Q750" s="16" cm="1">
        <f t="array" ref="Q750">_xlfn.XLOOKUP(O750,BSFC!$A$2:$A$24,_xlfn.XLOOKUP(K750,BSFC!$B$1:$O$1,BSFC!$B$2:$O$24,,-1),,-1)</f>
        <v>520</v>
      </c>
      <c r="R750" s="17">
        <f t="shared" si="133"/>
        <v>1.425663585873016</v>
      </c>
      <c r="S750" s="16">
        <f t="shared" si="134"/>
        <v>2.0443068048076269E-4</v>
      </c>
      <c r="T750" s="17">
        <f t="shared" si="137"/>
        <v>0.10630395384999659</v>
      </c>
      <c r="U750" s="16">
        <f t="shared" si="138"/>
        <v>99.42982079830378</v>
      </c>
      <c r="V750" s="17">
        <f t="shared" si="139"/>
        <v>0.20737359141032236</v>
      </c>
      <c r="W750" s="16">
        <f t="shared" si="135"/>
        <v>746544.92907716043</v>
      </c>
      <c r="X750">
        <f>('Hybrid Info'!$A$2-Track!P750)*(L750-L749)*1000+X749</f>
        <v>-22879.881818660822</v>
      </c>
    </row>
    <row r="751" spans="1:24">
      <c r="A751" s="16">
        <f t="shared" si="136"/>
        <v>750</v>
      </c>
      <c r="B751" s="17">
        <f t="shared" si="130"/>
        <v>13.411199999999999</v>
      </c>
      <c r="C751" s="16">
        <f>Specification!$G$29</f>
        <v>164.943378</v>
      </c>
      <c r="D751" s="17">
        <f>0.5*Specification!$K$4*Track!B751^2*Specification!$K$3*Specification!$K$2</f>
        <v>93.159842569492653</v>
      </c>
      <c r="E751" s="16">
        <v>0</v>
      </c>
      <c r="F751" s="17">
        <f>Specification!$C$23*9.81*SIN((E751*PI()/180))</f>
        <v>0</v>
      </c>
      <c r="G751" s="18">
        <f>IF(J751=1,VLOOKUP(K751,RPM!$E$2:$H$62,3,FALSE)-F751-E751-D751,IF(J751=2,VLOOKUP(K751,RPM!$H$2:$K$62,3,FALSE)-F751-E751-D751,IF(J751=3,VLOOKUP(K751,RPM!$K$2:$N$62,3,FALSE)-F751-E751-D751)))</f>
        <v>688.48526429214962</v>
      </c>
      <c r="H751" s="19">
        <f>IF(J751=1,Specification!$I$14,IF(J751=2,Specification!$I$15,IF(J751=3,Specification!$I$16)))</f>
        <v>582.50936296077191</v>
      </c>
      <c r="I751" s="16">
        <f t="shared" si="141"/>
        <v>0</v>
      </c>
      <c r="J751" s="17">
        <v>2</v>
      </c>
      <c r="K751" s="16">
        <f>IF(J751=1,VLOOKUP(B751,RPM!$F$2:$H$62,3,TRUE),IF(J751=2,VLOOKUP(B751,RPM!$I$2:$K$62,3,TRUE),IF(J751=3,VLOOKUP(B751,RPM!$L$2:$N$62,3,TRUE))))</f>
        <v>7000</v>
      </c>
      <c r="L751" s="17">
        <f t="shared" si="140"/>
        <v>60.198747679840018</v>
      </c>
      <c r="M751" s="16">
        <f t="shared" si="131"/>
        <v>0</v>
      </c>
      <c r="N751" s="17">
        <f>VLOOKUP(K751,RPM!$A$2:$D$62,3,FALSE)</f>
        <v>13</v>
      </c>
      <c r="O751" s="16">
        <f>VLOOKUP(K751,RPM!$A$2:$D$62,4,FALSE)</f>
        <v>13.235857142857142</v>
      </c>
      <c r="P751" s="17">
        <f t="shared" si="132"/>
        <v>9.8699786714285711</v>
      </c>
      <c r="Q751" s="16" cm="1">
        <f t="array" ref="Q751">_xlfn.XLOOKUP(O751,BSFC!$A$2:$A$24,_xlfn.XLOOKUP(K751,BSFC!$B$1:$O$1,BSFC!$B$2:$O$24,,-1),,-1)</f>
        <v>520</v>
      </c>
      <c r="R751" s="17">
        <f t="shared" si="133"/>
        <v>1.425663585873016</v>
      </c>
      <c r="S751" s="16">
        <f t="shared" si="134"/>
        <v>2.0443068048076269E-4</v>
      </c>
      <c r="T751" s="17">
        <f t="shared" si="137"/>
        <v>0.10630395384999659</v>
      </c>
      <c r="U751" s="16">
        <f t="shared" si="138"/>
        <v>99.536124752153782</v>
      </c>
      <c r="V751" s="17">
        <f t="shared" si="139"/>
        <v>0.20757802209080312</v>
      </c>
      <c r="W751" s="16">
        <f t="shared" si="135"/>
        <v>747280.87952689116</v>
      </c>
      <c r="X751">
        <f>('Hybrid Info'!$A$2-Track!P751)*(L751-L750)*1000+X750</f>
        <v>-22712.076109674555</v>
      </c>
    </row>
    <row r="752" spans="1:24">
      <c r="A752" s="16">
        <f t="shared" si="136"/>
        <v>751</v>
      </c>
      <c r="B752" s="17">
        <f t="shared" si="130"/>
        <v>13.411199999999999</v>
      </c>
      <c r="C752" s="16">
        <f>Specification!$G$29</f>
        <v>164.943378</v>
      </c>
      <c r="D752" s="17">
        <f>0.5*Specification!$K$4*Track!B752^2*Specification!$K$3*Specification!$K$2</f>
        <v>93.159842569492653</v>
      </c>
      <c r="E752" s="16">
        <v>0</v>
      </c>
      <c r="F752" s="17">
        <f>Specification!$C$23*9.81*SIN((E752*PI()/180))</f>
        <v>0</v>
      </c>
      <c r="G752" s="18">
        <f>IF(J752=1,VLOOKUP(K752,RPM!$E$2:$H$62,3,FALSE)-F752-E752-D752,IF(J752=2,VLOOKUP(K752,RPM!$H$2:$K$62,3,FALSE)-F752-E752-D752,IF(J752=3,VLOOKUP(K752,RPM!$K$2:$N$62,3,FALSE)-F752-E752-D752)))</f>
        <v>688.48526429214962</v>
      </c>
      <c r="H752" s="19">
        <f>IF(J752=1,Specification!$I$14,IF(J752=2,Specification!$I$15,IF(J752=3,Specification!$I$16)))</f>
        <v>582.50936296077191</v>
      </c>
      <c r="I752" s="16">
        <f t="shared" si="141"/>
        <v>0</v>
      </c>
      <c r="J752" s="17">
        <v>2</v>
      </c>
      <c r="K752" s="16">
        <f>IF(J752=1,VLOOKUP(B752,RPM!$F$2:$H$62,3,TRUE),IF(J752=2,VLOOKUP(B752,RPM!$I$2:$K$62,3,TRUE),IF(J752=3,VLOOKUP(B752,RPM!$L$2:$N$62,3,TRUE))))</f>
        <v>7000</v>
      </c>
      <c r="L752" s="17">
        <f t="shared" si="140"/>
        <v>60.273312222908501</v>
      </c>
      <c r="M752" s="16">
        <f t="shared" si="131"/>
        <v>0</v>
      </c>
      <c r="N752" s="17">
        <f>VLOOKUP(K752,RPM!$A$2:$D$62,3,FALSE)</f>
        <v>13</v>
      </c>
      <c r="O752" s="16">
        <f>VLOOKUP(K752,RPM!$A$2:$D$62,4,FALSE)</f>
        <v>13.235857142857142</v>
      </c>
      <c r="P752" s="17">
        <f t="shared" si="132"/>
        <v>9.8699786714285711</v>
      </c>
      <c r="Q752" s="16" cm="1">
        <f t="array" ref="Q752">_xlfn.XLOOKUP(O752,BSFC!$A$2:$A$24,_xlfn.XLOOKUP(K752,BSFC!$B$1:$O$1,BSFC!$B$2:$O$24,,-1),,-1)</f>
        <v>520</v>
      </c>
      <c r="R752" s="17">
        <f t="shared" si="133"/>
        <v>1.425663585873016</v>
      </c>
      <c r="S752" s="16">
        <f t="shared" si="134"/>
        <v>2.0443068048076269E-4</v>
      </c>
      <c r="T752" s="17">
        <f t="shared" si="137"/>
        <v>0.10630395384999659</v>
      </c>
      <c r="U752" s="16">
        <f t="shared" si="138"/>
        <v>99.642428706003784</v>
      </c>
      <c r="V752" s="17">
        <f t="shared" si="139"/>
        <v>0.20778245277128388</v>
      </c>
      <c r="W752" s="16">
        <f t="shared" si="135"/>
        <v>748016.82997662202</v>
      </c>
      <c r="X752">
        <f>('Hybrid Info'!$A$2-Track!P752)*(L752-L751)*1000+X751</f>
        <v>-22544.270400688289</v>
      </c>
    </row>
    <row r="753" spans="1:24">
      <c r="A753" s="16">
        <f t="shared" si="136"/>
        <v>752</v>
      </c>
      <c r="B753" s="17">
        <f t="shared" ref="B753:B816" si="142">IF(SQRT(B752^2+2*I752)&gt;13.4112,13.4112,SQRT(B752^2+2*I752))</f>
        <v>13.411199999999999</v>
      </c>
      <c r="C753" s="16">
        <f>Specification!$G$29</f>
        <v>164.943378</v>
      </c>
      <c r="D753" s="17">
        <f>0.5*Specification!$K$4*Track!B753^2*Specification!$K$3*Specification!$K$2</f>
        <v>93.159842569492653</v>
      </c>
      <c r="E753" s="16">
        <v>0</v>
      </c>
      <c r="F753" s="17">
        <f>Specification!$C$23*9.81*SIN((E753*PI()/180))</f>
        <v>0</v>
      </c>
      <c r="G753" s="18">
        <f>IF(J753=1,VLOOKUP(K753,RPM!$E$2:$H$62,3,FALSE)-F753-E753-D753,IF(J753=2,VLOOKUP(K753,RPM!$H$2:$K$62,3,FALSE)-F753-E753-D753,IF(J753=3,VLOOKUP(K753,RPM!$K$2:$N$62,3,FALSE)-F753-E753-D753)))</f>
        <v>688.48526429214962</v>
      </c>
      <c r="H753" s="19">
        <f>IF(J753=1,Specification!$I$14,IF(J753=2,Specification!$I$15,IF(J753=3,Specification!$I$16)))</f>
        <v>582.50936296077191</v>
      </c>
      <c r="I753" s="16">
        <f t="shared" si="141"/>
        <v>0</v>
      </c>
      <c r="J753" s="17">
        <v>2</v>
      </c>
      <c r="K753" s="16">
        <f>IF(J753=1,VLOOKUP(B753,RPM!$F$2:$H$62,3,TRUE),IF(J753=2,VLOOKUP(B753,RPM!$I$2:$K$62,3,TRUE),IF(J753=3,VLOOKUP(B753,RPM!$L$2:$N$62,3,TRUE))))</f>
        <v>7000</v>
      </c>
      <c r="L753" s="17">
        <f t="shared" si="140"/>
        <v>60.347876765976984</v>
      </c>
      <c r="M753" s="16">
        <f t="shared" si="131"/>
        <v>0</v>
      </c>
      <c r="N753" s="17">
        <f>VLOOKUP(K753,RPM!$A$2:$D$62,3,FALSE)</f>
        <v>13</v>
      </c>
      <c r="O753" s="16">
        <f>VLOOKUP(K753,RPM!$A$2:$D$62,4,FALSE)</f>
        <v>13.235857142857142</v>
      </c>
      <c r="P753" s="17">
        <f t="shared" si="132"/>
        <v>9.8699786714285711</v>
      </c>
      <c r="Q753" s="16" cm="1">
        <f t="array" ref="Q753">_xlfn.XLOOKUP(O753,BSFC!$A$2:$A$24,_xlfn.XLOOKUP(K753,BSFC!$B$1:$O$1,BSFC!$B$2:$O$24,,-1),,-1)</f>
        <v>520</v>
      </c>
      <c r="R753" s="17">
        <f t="shared" si="133"/>
        <v>1.425663585873016</v>
      </c>
      <c r="S753" s="16">
        <f t="shared" si="134"/>
        <v>2.0443068048076269E-4</v>
      </c>
      <c r="T753" s="17">
        <f t="shared" si="137"/>
        <v>0.10630395384999659</v>
      </c>
      <c r="U753" s="16">
        <f t="shared" si="138"/>
        <v>99.748732659853786</v>
      </c>
      <c r="V753" s="17">
        <f t="shared" si="139"/>
        <v>0.20798688345176464</v>
      </c>
      <c r="W753" s="16">
        <f t="shared" si="135"/>
        <v>748752.78042635275</v>
      </c>
      <c r="X753">
        <f>('Hybrid Info'!$A$2-Track!P753)*(L753-L752)*1000+X752</f>
        <v>-22376.464691702022</v>
      </c>
    </row>
    <row r="754" spans="1:24">
      <c r="A754" s="16">
        <f t="shared" si="136"/>
        <v>753</v>
      </c>
      <c r="B754" s="17">
        <f t="shared" si="142"/>
        <v>13.411199999999999</v>
      </c>
      <c r="C754" s="16">
        <f>Specification!$G$29</f>
        <v>164.943378</v>
      </c>
      <c r="D754" s="17">
        <f>0.5*Specification!$K$4*Track!B754^2*Specification!$K$3*Specification!$K$2</f>
        <v>93.159842569492653</v>
      </c>
      <c r="E754" s="16">
        <v>0</v>
      </c>
      <c r="F754" s="17">
        <f>Specification!$C$23*9.81*SIN((E754*PI()/180))</f>
        <v>0</v>
      </c>
      <c r="G754" s="18">
        <f>IF(J754=1,VLOOKUP(K754,RPM!$E$2:$H$62,3,FALSE)-F754-E754-D754,IF(J754=2,VLOOKUP(K754,RPM!$H$2:$K$62,3,FALSE)-F754-E754-D754,IF(J754=3,VLOOKUP(K754,RPM!$K$2:$N$62,3,FALSE)-F754-E754-D754)))</f>
        <v>688.48526429214962</v>
      </c>
      <c r="H754" s="19">
        <f>IF(J754=1,Specification!$I$14,IF(J754=2,Specification!$I$15,IF(J754=3,Specification!$I$16)))</f>
        <v>582.50936296077191</v>
      </c>
      <c r="I754" s="16">
        <f t="shared" si="141"/>
        <v>0</v>
      </c>
      <c r="J754" s="17">
        <v>2</v>
      </c>
      <c r="K754" s="16">
        <f>IF(J754=1,VLOOKUP(B754,RPM!$F$2:$H$62,3,TRUE),IF(J754=2,VLOOKUP(B754,RPM!$I$2:$K$62,3,TRUE),IF(J754=3,VLOOKUP(B754,RPM!$L$2:$N$62,3,TRUE))))</f>
        <v>7000</v>
      </c>
      <c r="L754" s="17">
        <f t="shared" si="140"/>
        <v>60.422441309045468</v>
      </c>
      <c r="M754" s="16">
        <f t="shared" si="131"/>
        <v>0</v>
      </c>
      <c r="N754" s="17">
        <f>VLOOKUP(K754,RPM!$A$2:$D$62,3,FALSE)</f>
        <v>13</v>
      </c>
      <c r="O754" s="16">
        <f>VLOOKUP(K754,RPM!$A$2:$D$62,4,FALSE)</f>
        <v>13.235857142857142</v>
      </c>
      <c r="P754" s="17">
        <f t="shared" si="132"/>
        <v>9.8699786714285711</v>
      </c>
      <c r="Q754" s="16" cm="1">
        <f t="array" ref="Q754">_xlfn.XLOOKUP(O754,BSFC!$A$2:$A$24,_xlfn.XLOOKUP(K754,BSFC!$B$1:$O$1,BSFC!$B$2:$O$24,,-1),,-1)</f>
        <v>520</v>
      </c>
      <c r="R754" s="17">
        <f t="shared" si="133"/>
        <v>1.425663585873016</v>
      </c>
      <c r="S754" s="16">
        <f t="shared" si="134"/>
        <v>2.0443068048076269E-4</v>
      </c>
      <c r="T754" s="17">
        <f t="shared" si="137"/>
        <v>0.10630395384999659</v>
      </c>
      <c r="U754" s="16">
        <f t="shared" si="138"/>
        <v>99.855036613703788</v>
      </c>
      <c r="V754" s="17">
        <f t="shared" si="139"/>
        <v>0.2081913141322454</v>
      </c>
      <c r="W754" s="16">
        <f t="shared" si="135"/>
        <v>749488.73087608337</v>
      </c>
      <c r="X754">
        <f>('Hybrid Info'!$A$2-Track!P754)*(L754-L753)*1000+X753</f>
        <v>-22208.658982715755</v>
      </c>
    </row>
    <row r="755" spans="1:24">
      <c r="A755" s="16">
        <f t="shared" si="136"/>
        <v>754</v>
      </c>
      <c r="B755" s="17">
        <f t="shared" si="142"/>
        <v>13.411199999999999</v>
      </c>
      <c r="C755" s="16">
        <f>Specification!$G$29</f>
        <v>164.943378</v>
      </c>
      <c r="D755" s="17">
        <f>0.5*Specification!$K$4*Track!B755^2*Specification!$K$3*Specification!$K$2</f>
        <v>93.159842569492653</v>
      </c>
      <c r="E755" s="16">
        <v>0</v>
      </c>
      <c r="F755" s="17">
        <f>Specification!$C$23*9.81*SIN((E755*PI()/180))</f>
        <v>0</v>
      </c>
      <c r="G755" s="18">
        <f>IF(J755=1,VLOOKUP(K755,RPM!$E$2:$H$62,3,FALSE)-F755-E755-D755,IF(J755=2,VLOOKUP(K755,RPM!$H$2:$K$62,3,FALSE)-F755-E755-D755,IF(J755=3,VLOOKUP(K755,RPM!$K$2:$N$62,3,FALSE)-F755-E755-D755)))</f>
        <v>688.48526429214962</v>
      </c>
      <c r="H755" s="19">
        <f>IF(J755=1,Specification!$I$14,IF(J755=2,Specification!$I$15,IF(J755=3,Specification!$I$16)))</f>
        <v>582.50936296077191</v>
      </c>
      <c r="I755" s="16">
        <f t="shared" si="141"/>
        <v>0</v>
      </c>
      <c r="J755" s="17">
        <v>2</v>
      </c>
      <c r="K755" s="16">
        <f>IF(J755=1,VLOOKUP(B755,RPM!$F$2:$H$62,3,TRUE),IF(J755=2,VLOOKUP(B755,RPM!$I$2:$K$62,3,TRUE),IF(J755=3,VLOOKUP(B755,RPM!$L$2:$N$62,3,TRUE))))</f>
        <v>7000</v>
      </c>
      <c r="L755" s="17">
        <f t="shared" si="140"/>
        <v>60.497005852113951</v>
      </c>
      <c r="M755" s="16">
        <f t="shared" ref="M755:M818" si="143">TAN(E755*PI()/180)+M754</f>
        <v>0</v>
      </c>
      <c r="N755" s="17">
        <f>VLOOKUP(K755,RPM!$A$2:$D$62,3,FALSE)</f>
        <v>13</v>
      </c>
      <c r="O755" s="16">
        <f>VLOOKUP(K755,RPM!$A$2:$D$62,4,FALSE)</f>
        <v>13.235857142857142</v>
      </c>
      <c r="P755" s="17">
        <f t="shared" si="132"/>
        <v>9.8699786714285711</v>
      </c>
      <c r="Q755" s="16" cm="1">
        <f t="array" ref="Q755">_xlfn.XLOOKUP(O755,BSFC!$A$2:$A$24,_xlfn.XLOOKUP(K755,BSFC!$B$1:$O$1,BSFC!$B$2:$O$24,,-1),,-1)</f>
        <v>520</v>
      </c>
      <c r="R755" s="17">
        <f t="shared" si="133"/>
        <v>1.425663585873016</v>
      </c>
      <c r="S755" s="16">
        <f t="shared" si="134"/>
        <v>2.0443068048076269E-4</v>
      </c>
      <c r="T755" s="17">
        <f t="shared" si="137"/>
        <v>0.10630395384999659</v>
      </c>
      <c r="U755" s="16">
        <f t="shared" si="138"/>
        <v>99.96134056755379</v>
      </c>
      <c r="V755" s="17">
        <f t="shared" si="139"/>
        <v>0.20839574481272616</v>
      </c>
      <c r="W755" s="16">
        <f t="shared" si="135"/>
        <v>750224.6813258141</v>
      </c>
      <c r="X755">
        <f>('Hybrid Info'!$A$2-Track!P755)*(L755-L754)*1000+X754</f>
        <v>-22040.853273729488</v>
      </c>
    </row>
    <row r="756" spans="1:24">
      <c r="A756" s="16">
        <f t="shared" si="136"/>
        <v>755</v>
      </c>
      <c r="B756" s="17">
        <f t="shared" si="142"/>
        <v>13.411199999999999</v>
      </c>
      <c r="C756" s="16">
        <f>Specification!$G$29</f>
        <v>164.943378</v>
      </c>
      <c r="D756" s="17">
        <f>0.5*Specification!$K$4*Track!B756^2*Specification!$K$3*Specification!$K$2</f>
        <v>93.159842569492653</v>
      </c>
      <c r="E756" s="16">
        <v>0</v>
      </c>
      <c r="F756" s="17">
        <f>Specification!$C$23*9.81*SIN((E756*PI()/180))</f>
        <v>0</v>
      </c>
      <c r="G756" s="18">
        <f>IF(J756=1,VLOOKUP(K756,RPM!$E$2:$H$62,3,FALSE)-F756-E756-D756,IF(J756=2,VLOOKUP(K756,RPM!$H$2:$K$62,3,FALSE)-F756-E756-D756,IF(J756=3,VLOOKUP(K756,RPM!$K$2:$N$62,3,FALSE)-F756-E756-D756)))</f>
        <v>688.48526429214962</v>
      </c>
      <c r="H756" s="19">
        <f>IF(J756=1,Specification!$I$14,IF(J756=2,Specification!$I$15,IF(J756=3,Specification!$I$16)))</f>
        <v>582.50936296077191</v>
      </c>
      <c r="I756" s="16">
        <f t="shared" si="141"/>
        <v>0</v>
      </c>
      <c r="J756" s="17">
        <v>2</v>
      </c>
      <c r="K756" s="16">
        <f>IF(J756=1,VLOOKUP(B756,RPM!$F$2:$H$62,3,TRUE),IF(J756=2,VLOOKUP(B756,RPM!$I$2:$K$62,3,TRUE),IF(J756=3,VLOOKUP(B756,RPM!$L$2:$N$62,3,TRUE))))</f>
        <v>7000</v>
      </c>
      <c r="L756" s="17">
        <f t="shared" si="140"/>
        <v>60.571570395182434</v>
      </c>
      <c r="M756" s="16">
        <f t="shared" si="143"/>
        <v>0</v>
      </c>
      <c r="N756" s="17">
        <f>VLOOKUP(K756,RPM!$A$2:$D$62,3,FALSE)</f>
        <v>13</v>
      </c>
      <c r="O756" s="16">
        <f>VLOOKUP(K756,RPM!$A$2:$D$62,4,FALSE)</f>
        <v>13.235857142857142</v>
      </c>
      <c r="P756" s="17">
        <f t="shared" si="132"/>
        <v>9.8699786714285711</v>
      </c>
      <c r="Q756" s="16" cm="1">
        <f t="array" ref="Q756">_xlfn.XLOOKUP(O756,BSFC!$A$2:$A$24,_xlfn.XLOOKUP(K756,BSFC!$B$1:$O$1,BSFC!$B$2:$O$24,,-1),,-1)</f>
        <v>520</v>
      </c>
      <c r="R756" s="17">
        <f t="shared" si="133"/>
        <v>1.425663585873016</v>
      </c>
      <c r="S756" s="16">
        <f t="shared" si="134"/>
        <v>2.0443068048076269E-4</v>
      </c>
      <c r="T756" s="17">
        <f t="shared" si="137"/>
        <v>0.10630395384999659</v>
      </c>
      <c r="U756" s="16">
        <f t="shared" si="138"/>
        <v>100.06764452140379</v>
      </c>
      <c r="V756" s="17">
        <f t="shared" si="139"/>
        <v>0.20860017549320692</v>
      </c>
      <c r="W756" s="16">
        <f t="shared" si="135"/>
        <v>750960.63177554484</v>
      </c>
      <c r="X756">
        <f>('Hybrid Info'!$A$2-Track!P756)*(L756-L755)*1000+X755</f>
        <v>-21873.047564743221</v>
      </c>
    </row>
    <row r="757" spans="1:24">
      <c r="A757" s="16">
        <f t="shared" si="136"/>
        <v>756</v>
      </c>
      <c r="B757" s="17">
        <f t="shared" si="142"/>
        <v>13.411199999999999</v>
      </c>
      <c r="C757" s="16">
        <f>Specification!$G$29</f>
        <v>164.943378</v>
      </c>
      <c r="D757" s="17">
        <f>0.5*Specification!$K$4*Track!B757^2*Specification!$K$3*Specification!$K$2</f>
        <v>93.159842569492653</v>
      </c>
      <c r="E757" s="16">
        <v>0</v>
      </c>
      <c r="F757" s="17">
        <f>Specification!$C$23*9.81*SIN((E757*PI()/180))</f>
        <v>0</v>
      </c>
      <c r="G757" s="18">
        <f>IF(J757=1,VLOOKUP(K757,RPM!$E$2:$H$62,3,FALSE)-F757-E757-D757,IF(J757=2,VLOOKUP(K757,RPM!$H$2:$K$62,3,FALSE)-F757-E757-D757,IF(J757=3,VLOOKUP(K757,RPM!$K$2:$N$62,3,FALSE)-F757-E757-D757)))</f>
        <v>688.48526429214962</v>
      </c>
      <c r="H757" s="19">
        <f>IF(J757=1,Specification!$I$14,IF(J757=2,Specification!$I$15,IF(J757=3,Specification!$I$16)))</f>
        <v>582.50936296077191</v>
      </c>
      <c r="I757" s="16">
        <f t="shared" si="141"/>
        <v>0</v>
      </c>
      <c r="J757" s="17">
        <v>2</v>
      </c>
      <c r="K757" s="16">
        <f>IF(J757=1,VLOOKUP(B757,RPM!$F$2:$H$62,3,TRUE),IF(J757=2,VLOOKUP(B757,RPM!$I$2:$K$62,3,TRUE),IF(J757=3,VLOOKUP(B757,RPM!$L$2:$N$62,3,TRUE))))</f>
        <v>7000</v>
      </c>
      <c r="L757" s="17">
        <f t="shared" si="140"/>
        <v>60.646134938250917</v>
      </c>
      <c r="M757" s="16">
        <f t="shared" si="143"/>
        <v>0</v>
      </c>
      <c r="N757" s="17">
        <f>VLOOKUP(K757,RPM!$A$2:$D$62,3,FALSE)</f>
        <v>13</v>
      </c>
      <c r="O757" s="16">
        <f>VLOOKUP(K757,RPM!$A$2:$D$62,4,FALSE)</f>
        <v>13.235857142857142</v>
      </c>
      <c r="P757" s="17">
        <f t="shared" si="132"/>
        <v>9.8699786714285711</v>
      </c>
      <c r="Q757" s="16" cm="1">
        <f t="array" ref="Q757">_xlfn.XLOOKUP(O757,BSFC!$A$2:$A$24,_xlfn.XLOOKUP(K757,BSFC!$B$1:$O$1,BSFC!$B$2:$O$24,,-1),,-1)</f>
        <v>520</v>
      </c>
      <c r="R757" s="17">
        <f t="shared" si="133"/>
        <v>1.425663585873016</v>
      </c>
      <c r="S757" s="16">
        <f t="shared" si="134"/>
        <v>2.0443068048076269E-4</v>
      </c>
      <c r="T757" s="17">
        <f t="shared" si="137"/>
        <v>0.10630395384999659</v>
      </c>
      <c r="U757" s="16">
        <f t="shared" si="138"/>
        <v>100.17394847525379</v>
      </c>
      <c r="V757" s="17">
        <f t="shared" si="139"/>
        <v>0.20880460617368768</v>
      </c>
      <c r="W757" s="16">
        <f t="shared" si="135"/>
        <v>751696.58222527569</v>
      </c>
      <c r="X757">
        <f>('Hybrid Info'!$A$2-Track!P757)*(L757-L756)*1000+X756</f>
        <v>-21705.241855756954</v>
      </c>
    </row>
    <row r="758" spans="1:24">
      <c r="A758" s="16">
        <f t="shared" si="136"/>
        <v>757</v>
      </c>
      <c r="B758" s="17">
        <f t="shared" si="142"/>
        <v>13.411199999999999</v>
      </c>
      <c r="C758" s="16">
        <f>Specification!$G$29</f>
        <v>164.943378</v>
      </c>
      <c r="D758" s="17">
        <f>0.5*Specification!$K$4*Track!B758^2*Specification!$K$3*Specification!$K$2</f>
        <v>93.159842569492653</v>
      </c>
      <c r="E758" s="16">
        <v>0</v>
      </c>
      <c r="F758" s="17">
        <f>Specification!$C$23*9.81*SIN((E758*PI()/180))</f>
        <v>0</v>
      </c>
      <c r="G758" s="18">
        <f>IF(J758=1,VLOOKUP(K758,RPM!$E$2:$H$62,3,FALSE)-F758-E758-D758,IF(J758=2,VLOOKUP(K758,RPM!$H$2:$K$62,3,FALSE)-F758-E758-D758,IF(J758=3,VLOOKUP(K758,RPM!$K$2:$N$62,3,FALSE)-F758-E758-D758)))</f>
        <v>688.48526429214962</v>
      </c>
      <c r="H758" s="19">
        <f>IF(J758=1,Specification!$I$14,IF(J758=2,Specification!$I$15,IF(J758=3,Specification!$I$16)))</f>
        <v>582.50936296077191</v>
      </c>
      <c r="I758" s="16">
        <f t="shared" si="141"/>
        <v>0</v>
      </c>
      <c r="J758" s="17">
        <v>2</v>
      </c>
      <c r="K758" s="16">
        <f>IF(J758=1,VLOOKUP(B758,RPM!$F$2:$H$62,3,TRUE),IF(J758=2,VLOOKUP(B758,RPM!$I$2:$K$62,3,TRUE),IF(J758=3,VLOOKUP(B758,RPM!$L$2:$N$62,3,TRUE))))</f>
        <v>7000</v>
      </c>
      <c r="L758" s="17">
        <f t="shared" si="140"/>
        <v>60.7206994813194</v>
      </c>
      <c r="M758" s="16">
        <f t="shared" si="143"/>
        <v>0</v>
      </c>
      <c r="N758" s="17">
        <f>VLOOKUP(K758,RPM!$A$2:$D$62,3,FALSE)</f>
        <v>13</v>
      </c>
      <c r="O758" s="16">
        <f>VLOOKUP(K758,RPM!$A$2:$D$62,4,FALSE)</f>
        <v>13.235857142857142</v>
      </c>
      <c r="P758" s="17">
        <f t="shared" si="132"/>
        <v>9.8699786714285711</v>
      </c>
      <c r="Q758" s="16" cm="1">
        <f t="array" ref="Q758">_xlfn.XLOOKUP(O758,BSFC!$A$2:$A$24,_xlfn.XLOOKUP(K758,BSFC!$B$1:$O$1,BSFC!$B$2:$O$24,,-1),,-1)</f>
        <v>520</v>
      </c>
      <c r="R758" s="17">
        <f t="shared" si="133"/>
        <v>1.425663585873016</v>
      </c>
      <c r="S758" s="16">
        <f t="shared" si="134"/>
        <v>2.0443068048076269E-4</v>
      </c>
      <c r="T758" s="17">
        <f t="shared" si="137"/>
        <v>0.10630395384999659</v>
      </c>
      <c r="U758" s="16">
        <f t="shared" si="138"/>
        <v>100.2802524291038</v>
      </c>
      <c r="V758" s="17">
        <f t="shared" si="139"/>
        <v>0.20900903685416844</v>
      </c>
      <c r="W758" s="16">
        <f t="shared" si="135"/>
        <v>752432.53267500643</v>
      </c>
      <c r="X758">
        <f>('Hybrid Info'!$A$2-Track!P758)*(L758-L757)*1000+X757</f>
        <v>-21537.436146770688</v>
      </c>
    </row>
    <row r="759" spans="1:24">
      <c r="A759" s="16">
        <f t="shared" si="136"/>
        <v>758</v>
      </c>
      <c r="B759" s="17">
        <f t="shared" si="142"/>
        <v>13.411199999999999</v>
      </c>
      <c r="C759" s="16">
        <f>Specification!$G$29</f>
        <v>164.943378</v>
      </c>
      <c r="D759" s="17">
        <f>0.5*Specification!$K$4*Track!B759^2*Specification!$K$3*Specification!$K$2</f>
        <v>93.159842569492653</v>
      </c>
      <c r="E759" s="16">
        <v>0</v>
      </c>
      <c r="F759" s="17">
        <f>Specification!$C$23*9.81*SIN((E759*PI()/180))</f>
        <v>0</v>
      </c>
      <c r="G759" s="18">
        <f>IF(J759=1,VLOOKUP(K759,RPM!$E$2:$H$62,3,FALSE)-F759-E759-D759,IF(J759=2,VLOOKUP(K759,RPM!$H$2:$K$62,3,FALSE)-F759-E759-D759,IF(J759=3,VLOOKUP(K759,RPM!$K$2:$N$62,3,FALSE)-F759-E759-D759)))</f>
        <v>688.48526429214962</v>
      </c>
      <c r="H759" s="19">
        <f>IF(J759=1,Specification!$I$14,IF(J759=2,Specification!$I$15,IF(J759=3,Specification!$I$16)))</f>
        <v>582.50936296077191</v>
      </c>
      <c r="I759" s="16">
        <f t="shared" si="141"/>
        <v>0</v>
      </c>
      <c r="J759" s="17">
        <v>2</v>
      </c>
      <c r="K759" s="16">
        <f>IF(J759=1,VLOOKUP(B759,RPM!$F$2:$H$62,3,TRUE),IF(J759=2,VLOOKUP(B759,RPM!$I$2:$K$62,3,TRUE),IF(J759=3,VLOOKUP(B759,RPM!$L$2:$N$62,3,TRUE))))</f>
        <v>7000</v>
      </c>
      <c r="L759" s="17">
        <f t="shared" si="140"/>
        <v>60.795264024387883</v>
      </c>
      <c r="M759" s="16">
        <f t="shared" si="143"/>
        <v>0</v>
      </c>
      <c r="N759" s="17">
        <f>VLOOKUP(K759,RPM!$A$2:$D$62,3,FALSE)</f>
        <v>13</v>
      </c>
      <c r="O759" s="16">
        <f>VLOOKUP(K759,RPM!$A$2:$D$62,4,FALSE)</f>
        <v>13.235857142857142</v>
      </c>
      <c r="P759" s="17">
        <f t="shared" si="132"/>
        <v>9.8699786714285711</v>
      </c>
      <c r="Q759" s="16" cm="1">
        <f t="array" ref="Q759">_xlfn.XLOOKUP(O759,BSFC!$A$2:$A$24,_xlfn.XLOOKUP(K759,BSFC!$B$1:$O$1,BSFC!$B$2:$O$24,,-1),,-1)</f>
        <v>520</v>
      </c>
      <c r="R759" s="17">
        <f t="shared" si="133"/>
        <v>1.425663585873016</v>
      </c>
      <c r="S759" s="16">
        <f t="shared" si="134"/>
        <v>2.0443068048076269E-4</v>
      </c>
      <c r="T759" s="17">
        <f t="shared" si="137"/>
        <v>0.10630395384999659</v>
      </c>
      <c r="U759" s="16">
        <f t="shared" si="138"/>
        <v>100.3865563829538</v>
      </c>
      <c r="V759" s="17">
        <f t="shared" si="139"/>
        <v>0.2092134675346492</v>
      </c>
      <c r="W759" s="16">
        <f t="shared" si="135"/>
        <v>753168.48312473716</v>
      </c>
      <c r="X759">
        <f>('Hybrid Info'!$A$2-Track!P759)*(L759-L758)*1000+X758</f>
        <v>-21369.630437784421</v>
      </c>
    </row>
    <row r="760" spans="1:24">
      <c r="A760" s="16">
        <f t="shared" si="136"/>
        <v>759</v>
      </c>
      <c r="B760" s="17">
        <f t="shared" si="142"/>
        <v>13.411199999999999</v>
      </c>
      <c r="C760" s="16">
        <f>Specification!$G$29</f>
        <v>164.943378</v>
      </c>
      <c r="D760" s="17">
        <f>0.5*Specification!$K$4*Track!B760^2*Specification!$K$3*Specification!$K$2</f>
        <v>93.159842569492653</v>
      </c>
      <c r="E760" s="16">
        <v>0</v>
      </c>
      <c r="F760" s="17">
        <f>Specification!$C$23*9.81*SIN((E760*PI()/180))</f>
        <v>0</v>
      </c>
      <c r="G760" s="18">
        <f>IF(J760=1,VLOOKUP(K760,RPM!$E$2:$H$62,3,FALSE)-F760-E760-D760,IF(J760=2,VLOOKUP(K760,RPM!$H$2:$K$62,3,FALSE)-F760-E760-D760,IF(J760=3,VLOOKUP(K760,RPM!$K$2:$N$62,3,FALSE)-F760-E760-D760)))</f>
        <v>688.48526429214962</v>
      </c>
      <c r="H760" s="19">
        <f>IF(J760=1,Specification!$I$14,IF(J760=2,Specification!$I$15,IF(J760=3,Specification!$I$16)))</f>
        <v>582.50936296077191</v>
      </c>
      <c r="I760" s="16">
        <f t="shared" si="141"/>
        <v>0</v>
      </c>
      <c r="J760" s="17">
        <v>2</v>
      </c>
      <c r="K760" s="16">
        <f>IF(J760=1,VLOOKUP(B760,RPM!$F$2:$H$62,3,TRUE),IF(J760=2,VLOOKUP(B760,RPM!$I$2:$K$62,3,TRUE),IF(J760=3,VLOOKUP(B760,RPM!$L$2:$N$62,3,TRUE))))</f>
        <v>7000</v>
      </c>
      <c r="L760" s="17">
        <f t="shared" si="140"/>
        <v>60.869828567456366</v>
      </c>
      <c r="M760" s="16">
        <f t="shared" si="143"/>
        <v>0</v>
      </c>
      <c r="N760" s="17">
        <f>VLOOKUP(K760,RPM!$A$2:$D$62,3,FALSE)</f>
        <v>13</v>
      </c>
      <c r="O760" s="16">
        <f>VLOOKUP(K760,RPM!$A$2:$D$62,4,FALSE)</f>
        <v>13.235857142857142</v>
      </c>
      <c r="P760" s="17">
        <f t="shared" si="132"/>
        <v>9.8699786714285711</v>
      </c>
      <c r="Q760" s="16" cm="1">
        <f t="array" ref="Q760">_xlfn.XLOOKUP(O760,BSFC!$A$2:$A$24,_xlfn.XLOOKUP(K760,BSFC!$B$1:$O$1,BSFC!$B$2:$O$24,,-1),,-1)</f>
        <v>520</v>
      </c>
      <c r="R760" s="17">
        <f t="shared" si="133"/>
        <v>1.425663585873016</v>
      </c>
      <c r="S760" s="16">
        <f t="shared" si="134"/>
        <v>2.0443068048076269E-4</v>
      </c>
      <c r="T760" s="17">
        <f t="shared" si="137"/>
        <v>0.10630395384999659</v>
      </c>
      <c r="U760" s="16">
        <f t="shared" si="138"/>
        <v>100.4928603368038</v>
      </c>
      <c r="V760" s="17">
        <f t="shared" si="139"/>
        <v>0.20941789821512996</v>
      </c>
      <c r="W760" s="16">
        <f t="shared" si="135"/>
        <v>753904.43357446778</v>
      </c>
      <c r="X760">
        <f>('Hybrid Info'!$A$2-Track!P760)*(L760-L759)*1000+X759</f>
        <v>-21201.824728798154</v>
      </c>
    </row>
    <row r="761" spans="1:24">
      <c r="A761" s="16">
        <f t="shared" si="136"/>
        <v>760</v>
      </c>
      <c r="B761" s="17">
        <f t="shared" si="142"/>
        <v>13.411199999999999</v>
      </c>
      <c r="C761" s="16">
        <f>Specification!$G$29</f>
        <v>164.943378</v>
      </c>
      <c r="D761" s="17">
        <f>0.5*Specification!$K$4*Track!B761^2*Specification!$K$3*Specification!$K$2</f>
        <v>93.159842569492653</v>
      </c>
      <c r="E761" s="16">
        <v>0</v>
      </c>
      <c r="F761" s="17">
        <f>Specification!$C$23*9.81*SIN((E761*PI()/180))</f>
        <v>0</v>
      </c>
      <c r="G761" s="18">
        <f>IF(J761=1,VLOOKUP(K761,RPM!$E$2:$H$62,3,FALSE)-F761-E761-D761,IF(J761=2,VLOOKUP(K761,RPM!$H$2:$K$62,3,FALSE)-F761-E761-D761,IF(J761=3,VLOOKUP(K761,RPM!$K$2:$N$62,3,FALSE)-F761-E761-D761)))</f>
        <v>688.48526429214962</v>
      </c>
      <c r="H761" s="19">
        <f>IF(J761=1,Specification!$I$14,IF(J761=2,Specification!$I$15,IF(J761=3,Specification!$I$16)))</f>
        <v>582.50936296077191</v>
      </c>
      <c r="I761" s="16">
        <f t="shared" si="141"/>
        <v>0</v>
      </c>
      <c r="J761" s="17">
        <v>2</v>
      </c>
      <c r="K761" s="16">
        <f>IF(J761=1,VLOOKUP(B761,RPM!$F$2:$H$62,3,TRUE),IF(J761=2,VLOOKUP(B761,RPM!$I$2:$K$62,3,TRUE),IF(J761=3,VLOOKUP(B761,RPM!$L$2:$N$62,3,TRUE))))</f>
        <v>7000</v>
      </c>
      <c r="L761" s="17">
        <f t="shared" si="140"/>
        <v>60.94439311052485</v>
      </c>
      <c r="M761" s="16">
        <f t="shared" si="143"/>
        <v>0</v>
      </c>
      <c r="N761" s="17">
        <f>VLOOKUP(K761,RPM!$A$2:$D$62,3,FALSE)</f>
        <v>13</v>
      </c>
      <c r="O761" s="16">
        <f>VLOOKUP(K761,RPM!$A$2:$D$62,4,FALSE)</f>
        <v>13.235857142857142</v>
      </c>
      <c r="P761" s="17">
        <f t="shared" si="132"/>
        <v>9.8699786714285711</v>
      </c>
      <c r="Q761" s="16" cm="1">
        <f t="array" ref="Q761">_xlfn.XLOOKUP(O761,BSFC!$A$2:$A$24,_xlfn.XLOOKUP(K761,BSFC!$B$1:$O$1,BSFC!$B$2:$O$24,,-1),,-1)</f>
        <v>520</v>
      </c>
      <c r="R761" s="17">
        <f t="shared" si="133"/>
        <v>1.425663585873016</v>
      </c>
      <c r="S761" s="16">
        <f t="shared" si="134"/>
        <v>2.0443068048076269E-4</v>
      </c>
      <c r="T761" s="17">
        <f t="shared" si="137"/>
        <v>0.10630395384999659</v>
      </c>
      <c r="U761" s="16">
        <f t="shared" si="138"/>
        <v>100.5991642906538</v>
      </c>
      <c r="V761" s="17">
        <f t="shared" si="139"/>
        <v>0.20962232889561072</v>
      </c>
      <c r="W761" s="16">
        <f t="shared" si="135"/>
        <v>754640.38402419863</v>
      </c>
      <c r="X761">
        <f>('Hybrid Info'!$A$2-Track!P761)*(L761-L760)*1000+X760</f>
        <v>-21034.019019811887</v>
      </c>
    </row>
    <row r="762" spans="1:24">
      <c r="A762" s="16">
        <f t="shared" si="136"/>
        <v>761</v>
      </c>
      <c r="B762" s="17">
        <f t="shared" si="142"/>
        <v>13.411199999999999</v>
      </c>
      <c r="C762" s="16">
        <f>Specification!$G$29</f>
        <v>164.943378</v>
      </c>
      <c r="D762" s="17">
        <f>0.5*Specification!$K$4*Track!B762^2*Specification!$K$3*Specification!$K$2</f>
        <v>93.159842569492653</v>
      </c>
      <c r="E762" s="16">
        <v>0</v>
      </c>
      <c r="F762" s="17">
        <f>Specification!$C$23*9.81*SIN((E762*PI()/180))</f>
        <v>0</v>
      </c>
      <c r="G762" s="18">
        <f>IF(J762=1,VLOOKUP(K762,RPM!$E$2:$H$62,3,FALSE)-F762-E762-D762,IF(J762=2,VLOOKUP(K762,RPM!$H$2:$K$62,3,FALSE)-F762-E762-D762,IF(J762=3,VLOOKUP(K762,RPM!$K$2:$N$62,3,FALSE)-F762-E762-D762)))</f>
        <v>688.48526429214962</v>
      </c>
      <c r="H762" s="19">
        <f>IF(J762=1,Specification!$I$14,IF(J762=2,Specification!$I$15,IF(J762=3,Specification!$I$16)))</f>
        <v>582.50936296077191</v>
      </c>
      <c r="I762" s="16">
        <f t="shared" si="141"/>
        <v>0</v>
      </c>
      <c r="J762" s="17">
        <v>2</v>
      </c>
      <c r="K762" s="16">
        <f>IF(J762=1,VLOOKUP(B762,RPM!$F$2:$H$62,3,TRUE),IF(J762=2,VLOOKUP(B762,RPM!$I$2:$K$62,3,TRUE),IF(J762=3,VLOOKUP(B762,RPM!$L$2:$N$62,3,TRUE))))</f>
        <v>7000</v>
      </c>
      <c r="L762" s="17">
        <f t="shared" si="140"/>
        <v>61.018957653593333</v>
      </c>
      <c r="M762" s="16">
        <f t="shared" si="143"/>
        <v>0</v>
      </c>
      <c r="N762" s="17">
        <f>VLOOKUP(K762,RPM!$A$2:$D$62,3,FALSE)</f>
        <v>13</v>
      </c>
      <c r="O762" s="16">
        <f>VLOOKUP(K762,RPM!$A$2:$D$62,4,FALSE)</f>
        <v>13.235857142857142</v>
      </c>
      <c r="P762" s="17">
        <f t="shared" si="132"/>
        <v>9.8699786714285711</v>
      </c>
      <c r="Q762" s="16" cm="1">
        <f t="array" ref="Q762">_xlfn.XLOOKUP(O762,BSFC!$A$2:$A$24,_xlfn.XLOOKUP(K762,BSFC!$B$1:$O$1,BSFC!$B$2:$O$24,,-1),,-1)</f>
        <v>520</v>
      </c>
      <c r="R762" s="17">
        <f t="shared" si="133"/>
        <v>1.425663585873016</v>
      </c>
      <c r="S762" s="16">
        <f t="shared" si="134"/>
        <v>2.0443068048076269E-4</v>
      </c>
      <c r="T762" s="17">
        <f t="shared" si="137"/>
        <v>0.10630395384999659</v>
      </c>
      <c r="U762" s="16">
        <f t="shared" si="138"/>
        <v>100.70546824450381</v>
      </c>
      <c r="V762" s="17">
        <f t="shared" si="139"/>
        <v>0.20982675957609148</v>
      </c>
      <c r="W762" s="16">
        <f t="shared" si="135"/>
        <v>755376.33447392937</v>
      </c>
      <c r="X762">
        <f>('Hybrid Info'!$A$2-Track!P762)*(L762-L761)*1000+X761</f>
        <v>-20866.21331082562</v>
      </c>
    </row>
    <row r="763" spans="1:24">
      <c r="A763" s="16">
        <f t="shared" si="136"/>
        <v>762</v>
      </c>
      <c r="B763" s="17">
        <f t="shared" si="142"/>
        <v>13.411199999999999</v>
      </c>
      <c r="C763" s="16">
        <f>Specification!$G$29</f>
        <v>164.943378</v>
      </c>
      <c r="D763" s="17">
        <f>0.5*Specification!$K$4*Track!B763^2*Specification!$K$3*Specification!$K$2</f>
        <v>93.159842569492653</v>
      </c>
      <c r="E763" s="16">
        <v>0</v>
      </c>
      <c r="F763" s="17">
        <f>Specification!$C$23*9.81*SIN((E763*PI()/180))</f>
        <v>0</v>
      </c>
      <c r="G763" s="18">
        <f>IF(J763=1,VLOOKUP(K763,RPM!$E$2:$H$62,3,FALSE)-F763-E763-D763,IF(J763=2,VLOOKUP(K763,RPM!$H$2:$K$62,3,FALSE)-F763-E763-D763,IF(J763=3,VLOOKUP(K763,RPM!$K$2:$N$62,3,FALSE)-F763-E763-D763)))</f>
        <v>688.48526429214962</v>
      </c>
      <c r="H763" s="19">
        <f>IF(J763=1,Specification!$I$14,IF(J763=2,Specification!$I$15,IF(J763=3,Specification!$I$16)))</f>
        <v>582.50936296077191</v>
      </c>
      <c r="I763" s="16">
        <f t="shared" si="141"/>
        <v>0</v>
      </c>
      <c r="J763" s="17">
        <v>2</v>
      </c>
      <c r="K763" s="16">
        <f>IF(J763=1,VLOOKUP(B763,RPM!$F$2:$H$62,3,TRUE),IF(J763=2,VLOOKUP(B763,RPM!$I$2:$K$62,3,TRUE),IF(J763=3,VLOOKUP(B763,RPM!$L$2:$N$62,3,TRUE))))</f>
        <v>7000</v>
      </c>
      <c r="L763" s="17">
        <f t="shared" si="140"/>
        <v>61.093522196661816</v>
      </c>
      <c r="M763" s="16">
        <f t="shared" si="143"/>
        <v>0</v>
      </c>
      <c r="N763" s="17">
        <f>VLOOKUP(K763,RPM!$A$2:$D$62,3,FALSE)</f>
        <v>13</v>
      </c>
      <c r="O763" s="16">
        <f>VLOOKUP(K763,RPM!$A$2:$D$62,4,FALSE)</f>
        <v>13.235857142857142</v>
      </c>
      <c r="P763" s="17">
        <f t="shared" si="132"/>
        <v>9.8699786714285711</v>
      </c>
      <c r="Q763" s="16" cm="1">
        <f t="array" ref="Q763">_xlfn.XLOOKUP(O763,BSFC!$A$2:$A$24,_xlfn.XLOOKUP(K763,BSFC!$B$1:$O$1,BSFC!$B$2:$O$24,,-1),,-1)</f>
        <v>520</v>
      </c>
      <c r="R763" s="17">
        <f t="shared" si="133"/>
        <v>1.425663585873016</v>
      </c>
      <c r="S763" s="16">
        <f t="shared" si="134"/>
        <v>2.0443068048076269E-4</v>
      </c>
      <c r="T763" s="17">
        <f t="shared" si="137"/>
        <v>0.10630395384999659</v>
      </c>
      <c r="U763" s="16">
        <f t="shared" si="138"/>
        <v>100.81177219835381</v>
      </c>
      <c r="V763" s="17">
        <f t="shared" si="139"/>
        <v>0.21003119025657224</v>
      </c>
      <c r="W763" s="16">
        <f t="shared" si="135"/>
        <v>756112.2849236601</v>
      </c>
      <c r="X763">
        <f>('Hybrid Info'!$A$2-Track!P763)*(L763-L762)*1000+X762</f>
        <v>-20698.407601839353</v>
      </c>
    </row>
    <row r="764" spans="1:24">
      <c r="A764" s="16">
        <f t="shared" si="136"/>
        <v>763</v>
      </c>
      <c r="B764" s="17">
        <f t="shared" si="142"/>
        <v>13.411199999999999</v>
      </c>
      <c r="C764" s="16">
        <f>Specification!$G$29</f>
        <v>164.943378</v>
      </c>
      <c r="D764" s="17">
        <f>0.5*Specification!$K$4*Track!B764^2*Specification!$K$3*Specification!$K$2</f>
        <v>93.159842569492653</v>
      </c>
      <c r="E764" s="16">
        <v>0</v>
      </c>
      <c r="F764" s="17">
        <f>Specification!$C$23*9.81*SIN((E764*PI()/180))</f>
        <v>0</v>
      </c>
      <c r="G764" s="18">
        <f>IF(J764=1,VLOOKUP(K764,RPM!$E$2:$H$62,3,FALSE)-F764-E764-D764,IF(J764=2,VLOOKUP(K764,RPM!$H$2:$K$62,3,FALSE)-F764-E764-D764,IF(J764=3,VLOOKUP(K764,RPM!$K$2:$N$62,3,FALSE)-F764-E764-D764)))</f>
        <v>688.48526429214962</v>
      </c>
      <c r="H764" s="19">
        <f>IF(J764=1,Specification!$I$14,IF(J764=2,Specification!$I$15,IF(J764=3,Specification!$I$16)))</f>
        <v>582.50936296077191</v>
      </c>
      <c r="I764" s="16">
        <f t="shared" si="141"/>
        <v>0</v>
      </c>
      <c r="J764" s="17">
        <v>2</v>
      </c>
      <c r="K764" s="16">
        <f>IF(J764=1,VLOOKUP(B764,RPM!$F$2:$H$62,3,TRUE),IF(J764=2,VLOOKUP(B764,RPM!$I$2:$K$62,3,TRUE),IF(J764=3,VLOOKUP(B764,RPM!$L$2:$N$62,3,TRUE))))</f>
        <v>7000</v>
      </c>
      <c r="L764" s="17">
        <f t="shared" si="140"/>
        <v>61.168086739730299</v>
      </c>
      <c r="M764" s="16">
        <f t="shared" si="143"/>
        <v>0</v>
      </c>
      <c r="N764" s="17">
        <f>VLOOKUP(K764,RPM!$A$2:$D$62,3,FALSE)</f>
        <v>13</v>
      </c>
      <c r="O764" s="16">
        <f>VLOOKUP(K764,RPM!$A$2:$D$62,4,FALSE)</f>
        <v>13.235857142857142</v>
      </c>
      <c r="P764" s="17">
        <f t="shared" si="132"/>
        <v>9.8699786714285711</v>
      </c>
      <c r="Q764" s="16" cm="1">
        <f t="array" ref="Q764">_xlfn.XLOOKUP(O764,BSFC!$A$2:$A$24,_xlfn.XLOOKUP(K764,BSFC!$B$1:$O$1,BSFC!$B$2:$O$24,,-1),,-1)</f>
        <v>520</v>
      </c>
      <c r="R764" s="17">
        <f t="shared" si="133"/>
        <v>1.425663585873016</v>
      </c>
      <c r="S764" s="16">
        <f t="shared" si="134"/>
        <v>2.0443068048076269E-4</v>
      </c>
      <c r="T764" s="17">
        <f t="shared" si="137"/>
        <v>0.10630395384999659</v>
      </c>
      <c r="U764" s="16">
        <f t="shared" si="138"/>
        <v>100.91807615220381</v>
      </c>
      <c r="V764" s="17">
        <f t="shared" si="139"/>
        <v>0.210235620937053</v>
      </c>
      <c r="W764" s="16">
        <f t="shared" si="135"/>
        <v>756848.23537339084</v>
      </c>
      <c r="X764">
        <f>('Hybrid Info'!$A$2-Track!P764)*(L764-L763)*1000+X763</f>
        <v>-20530.601892853087</v>
      </c>
    </row>
    <row r="765" spans="1:24">
      <c r="A765" s="16">
        <f t="shared" si="136"/>
        <v>764</v>
      </c>
      <c r="B765" s="17">
        <f t="shared" si="142"/>
        <v>13.411199999999999</v>
      </c>
      <c r="C765" s="16">
        <f>Specification!$G$29</f>
        <v>164.943378</v>
      </c>
      <c r="D765" s="17">
        <f>0.5*Specification!$K$4*Track!B765^2*Specification!$K$3*Specification!$K$2</f>
        <v>93.159842569492653</v>
      </c>
      <c r="E765" s="16">
        <v>0</v>
      </c>
      <c r="F765" s="17">
        <f>Specification!$C$23*9.81*SIN((E765*PI()/180))</f>
        <v>0</v>
      </c>
      <c r="G765" s="18">
        <f>IF(J765=1,VLOOKUP(K765,RPM!$E$2:$H$62,3,FALSE)-F765-E765-D765,IF(J765=2,VLOOKUP(K765,RPM!$H$2:$K$62,3,FALSE)-F765-E765-D765,IF(J765=3,VLOOKUP(K765,RPM!$K$2:$N$62,3,FALSE)-F765-E765-D765)))</f>
        <v>688.48526429214962</v>
      </c>
      <c r="H765" s="19">
        <f>IF(J765=1,Specification!$I$14,IF(J765=2,Specification!$I$15,IF(J765=3,Specification!$I$16)))</f>
        <v>582.50936296077191</v>
      </c>
      <c r="I765" s="16">
        <f t="shared" si="141"/>
        <v>0</v>
      </c>
      <c r="J765" s="17">
        <v>2</v>
      </c>
      <c r="K765" s="16">
        <f>IF(J765=1,VLOOKUP(B765,RPM!$F$2:$H$62,3,TRUE),IF(J765=2,VLOOKUP(B765,RPM!$I$2:$K$62,3,TRUE),IF(J765=3,VLOOKUP(B765,RPM!$L$2:$N$62,3,TRUE))))</f>
        <v>7000</v>
      </c>
      <c r="L765" s="17">
        <f t="shared" si="140"/>
        <v>61.242651282798782</v>
      </c>
      <c r="M765" s="16">
        <f t="shared" si="143"/>
        <v>0</v>
      </c>
      <c r="N765" s="17">
        <f>VLOOKUP(K765,RPM!$A$2:$D$62,3,FALSE)</f>
        <v>13</v>
      </c>
      <c r="O765" s="16">
        <f>VLOOKUP(K765,RPM!$A$2:$D$62,4,FALSE)</f>
        <v>13.235857142857142</v>
      </c>
      <c r="P765" s="17">
        <f t="shared" si="132"/>
        <v>9.8699786714285711</v>
      </c>
      <c r="Q765" s="16" cm="1">
        <f t="array" ref="Q765">_xlfn.XLOOKUP(O765,BSFC!$A$2:$A$24,_xlfn.XLOOKUP(K765,BSFC!$B$1:$O$1,BSFC!$B$2:$O$24,,-1),,-1)</f>
        <v>520</v>
      </c>
      <c r="R765" s="17">
        <f t="shared" si="133"/>
        <v>1.425663585873016</v>
      </c>
      <c r="S765" s="16">
        <f t="shared" si="134"/>
        <v>2.0443068048076269E-4</v>
      </c>
      <c r="T765" s="17">
        <f t="shared" si="137"/>
        <v>0.10630395384999659</v>
      </c>
      <c r="U765" s="16">
        <f t="shared" si="138"/>
        <v>101.02438010605381</v>
      </c>
      <c r="V765" s="17">
        <f t="shared" si="139"/>
        <v>0.21044005161753376</v>
      </c>
      <c r="W765" s="16">
        <f t="shared" si="135"/>
        <v>757584.18582312157</v>
      </c>
      <c r="X765">
        <f>('Hybrid Info'!$A$2-Track!P765)*(L765-L764)*1000+X764</f>
        <v>-20362.79618386682</v>
      </c>
    </row>
    <row r="766" spans="1:24">
      <c r="A766" s="16">
        <f t="shared" si="136"/>
        <v>765</v>
      </c>
      <c r="B766" s="17">
        <f t="shared" si="142"/>
        <v>13.411199999999999</v>
      </c>
      <c r="C766" s="16">
        <f>Specification!$G$29</f>
        <v>164.943378</v>
      </c>
      <c r="D766" s="17">
        <f>0.5*Specification!$K$4*Track!B766^2*Specification!$K$3*Specification!$K$2</f>
        <v>93.159842569492653</v>
      </c>
      <c r="E766" s="16">
        <v>0</v>
      </c>
      <c r="F766" s="17">
        <f>Specification!$C$23*9.81*SIN((E766*PI()/180))</f>
        <v>0</v>
      </c>
      <c r="G766" s="18">
        <f>IF(J766=1,VLOOKUP(K766,RPM!$E$2:$H$62,3,FALSE)-F766-E766-D766,IF(J766=2,VLOOKUP(K766,RPM!$H$2:$K$62,3,FALSE)-F766-E766-D766,IF(J766=3,VLOOKUP(K766,RPM!$K$2:$N$62,3,FALSE)-F766-E766-D766)))</f>
        <v>688.48526429214962</v>
      </c>
      <c r="H766" s="19">
        <f>IF(J766=1,Specification!$I$14,IF(J766=2,Specification!$I$15,IF(J766=3,Specification!$I$16)))</f>
        <v>582.50936296077191</v>
      </c>
      <c r="I766" s="16">
        <f t="shared" si="141"/>
        <v>0</v>
      </c>
      <c r="J766" s="17">
        <v>2</v>
      </c>
      <c r="K766" s="16">
        <f>IF(J766=1,VLOOKUP(B766,RPM!$F$2:$H$62,3,TRUE),IF(J766=2,VLOOKUP(B766,RPM!$I$2:$K$62,3,TRUE),IF(J766=3,VLOOKUP(B766,RPM!$L$2:$N$62,3,TRUE))))</f>
        <v>7000</v>
      </c>
      <c r="L766" s="17">
        <f t="shared" si="140"/>
        <v>61.317215825867265</v>
      </c>
      <c r="M766" s="16">
        <f t="shared" si="143"/>
        <v>0</v>
      </c>
      <c r="N766" s="17">
        <f>VLOOKUP(K766,RPM!$A$2:$D$62,3,FALSE)</f>
        <v>13</v>
      </c>
      <c r="O766" s="16">
        <f>VLOOKUP(K766,RPM!$A$2:$D$62,4,FALSE)</f>
        <v>13.235857142857142</v>
      </c>
      <c r="P766" s="17">
        <f t="shared" si="132"/>
        <v>9.8699786714285711</v>
      </c>
      <c r="Q766" s="16" cm="1">
        <f t="array" ref="Q766">_xlfn.XLOOKUP(O766,BSFC!$A$2:$A$24,_xlfn.XLOOKUP(K766,BSFC!$B$1:$O$1,BSFC!$B$2:$O$24,,-1),,-1)</f>
        <v>520</v>
      </c>
      <c r="R766" s="17">
        <f t="shared" si="133"/>
        <v>1.425663585873016</v>
      </c>
      <c r="S766" s="16">
        <f t="shared" si="134"/>
        <v>2.0443068048076269E-4</v>
      </c>
      <c r="T766" s="17">
        <f t="shared" si="137"/>
        <v>0.10630395384999659</v>
      </c>
      <c r="U766" s="16">
        <f t="shared" si="138"/>
        <v>101.13068405990381</v>
      </c>
      <c r="V766" s="17">
        <f t="shared" si="139"/>
        <v>0.21064448229801452</v>
      </c>
      <c r="W766" s="16">
        <f t="shared" si="135"/>
        <v>758320.13627285231</v>
      </c>
      <c r="X766">
        <f>('Hybrid Info'!$A$2-Track!P766)*(L766-L765)*1000+X765</f>
        <v>-20194.990474880553</v>
      </c>
    </row>
    <row r="767" spans="1:24">
      <c r="A767" s="16">
        <f t="shared" si="136"/>
        <v>766</v>
      </c>
      <c r="B767" s="17">
        <f t="shared" si="142"/>
        <v>13.411199999999999</v>
      </c>
      <c r="C767" s="16">
        <f>Specification!$G$29</f>
        <v>164.943378</v>
      </c>
      <c r="D767" s="17">
        <f>0.5*Specification!$K$4*Track!B767^2*Specification!$K$3*Specification!$K$2</f>
        <v>93.159842569492653</v>
      </c>
      <c r="E767" s="16">
        <v>0</v>
      </c>
      <c r="F767" s="17">
        <f>Specification!$C$23*9.81*SIN((E767*PI()/180))</f>
        <v>0</v>
      </c>
      <c r="G767" s="18">
        <f>IF(J767=1,VLOOKUP(K767,RPM!$E$2:$H$62,3,FALSE)-F767-E767-D767,IF(J767=2,VLOOKUP(K767,RPM!$H$2:$K$62,3,FALSE)-F767-E767-D767,IF(J767=3,VLOOKUP(K767,RPM!$K$2:$N$62,3,FALSE)-F767-E767-D767)))</f>
        <v>688.48526429214962</v>
      </c>
      <c r="H767" s="19">
        <f>IF(J767=1,Specification!$I$14,IF(J767=2,Specification!$I$15,IF(J767=3,Specification!$I$16)))</f>
        <v>582.50936296077191</v>
      </c>
      <c r="I767" s="16">
        <f t="shared" si="141"/>
        <v>0</v>
      </c>
      <c r="J767" s="17">
        <v>2</v>
      </c>
      <c r="K767" s="16">
        <f>IF(J767=1,VLOOKUP(B767,RPM!$F$2:$H$62,3,TRUE),IF(J767=2,VLOOKUP(B767,RPM!$I$2:$K$62,3,TRUE),IF(J767=3,VLOOKUP(B767,RPM!$L$2:$N$62,3,TRUE))))</f>
        <v>7000</v>
      </c>
      <c r="L767" s="17">
        <f t="shared" si="140"/>
        <v>61.391780368935748</v>
      </c>
      <c r="M767" s="16">
        <f t="shared" si="143"/>
        <v>0</v>
      </c>
      <c r="N767" s="17">
        <f>VLOOKUP(K767,RPM!$A$2:$D$62,3,FALSE)</f>
        <v>13</v>
      </c>
      <c r="O767" s="16">
        <f>VLOOKUP(K767,RPM!$A$2:$D$62,4,FALSE)</f>
        <v>13.235857142857142</v>
      </c>
      <c r="P767" s="17">
        <f t="shared" si="132"/>
        <v>9.8699786714285711</v>
      </c>
      <c r="Q767" s="16" cm="1">
        <f t="array" ref="Q767">_xlfn.XLOOKUP(O767,BSFC!$A$2:$A$24,_xlfn.XLOOKUP(K767,BSFC!$B$1:$O$1,BSFC!$B$2:$O$24,,-1),,-1)</f>
        <v>520</v>
      </c>
      <c r="R767" s="17">
        <f t="shared" si="133"/>
        <v>1.425663585873016</v>
      </c>
      <c r="S767" s="16">
        <f t="shared" si="134"/>
        <v>2.0443068048076269E-4</v>
      </c>
      <c r="T767" s="17">
        <f t="shared" si="137"/>
        <v>0.10630395384999659</v>
      </c>
      <c r="U767" s="16">
        <f t="shared" si="138"/>
        <v>101.23698801375382</v>
      </c>
      <c r="V767" s="17">
        <f t="shared" si="139"/>
        <v>0.21084891297849528</v>
      </c>
      <c r="W767" s="16">
        <f t="shared" si="135"/>
        <v>759056.08672258304</v>
      </c>
      <c r="X767">
        <f>('Hybrid Info'!$A$2-Track!P767)*(L767-L766)*1000+X766</f>
        <v>-20027.184765894286</v>
      </c>
    </row>
    <row r="768" spans="1:24">
      <c r="A768" s="16">
        <f t="shared" si="136"/>
        <v>767</v>
      </c>
      <c r="B768" s="17">
        <f t="shared" si="142"/>
        <v>13.411199999999999</v>
      </c>
      <c r="C768" s="16">
        <f>Specification!$G$29</f>
        <v>164.943378</v>
      </c>
      <c r="D768" s="17">
        <f>0.5*Specification!$K$4*Track!B768^2*Specification!$K$3*Specification!$K$2</f>
        <v>93.159842569492653</v>
      </c>
      <c r="E768" s="16">
        <v>0</v>
      </c>
      <c r="F768" s="17">
        <f>Specification!$C$23*9.81*SIN((E768*PI()/180))</f>
        <v>0</v>
      </c>
      <c r="G768" s="18">
        <f>IF(J768=1,VLOOKUP(K768,RPM!$E$2:$H$62,3,FALSE)-F768-E768-D768,IF(J768=2,VLOOKUP(K768,RPM!$H$2:$K$62,3,FALSE)-F768-E768-D768,IF(J768=3,VLOOKUP(K768,RPM!$K$2:$N$62,3,FALSE)-F768-E768-D768)))</f>
        <v>688.48526429214962</v>
      </c>
      <c r="H768" s="19">
        <f>IF(J768=1,Specification!$I$14,IF(J768=2,Specification!$I$15,IF(J768=3,Specification!$I$16)))</f>
        <v>582.50936296077191</v>
      </c>
      <c r="I768" s="16">
        <f t="shared" si="141"/>
        <v>0</v>
      </c>
      <c r="J768" s="17">
        <v>2</v>
      </c>
      <c r="K768" s="16">
        <f>IF(J768=1,VLOOKUP(B768,RPM!$F$2:$H$62,3,TRUE),IF(J768=2,VLOOKUP(B768,RPM!$I$2:$K$62,3,TRUE),IF(J768=3,VLOOKUP(B768,RPM!$L$2:$N$62,3,TRUE))))</f>
        <v>7000</v>
      </c>
      <c r="L768" s="17">
        <f t="shared" si="140"/>
        <v>61.466344912004232</v>
      </c>
      <c r="M768" s="16">
        <f t="shared" si="143"/>
        <v>0</v>
      </c>
      <c r="N768" s="17">
        <f>VLOOKUP(K768,RPM!$A$2:$D$62,3,FALSE)</f>
        <v>13</v>
      </c>
      <c r="O768" s="16">
        <f>VLOOKUP(K768,RPM!$A$2:$D$62,4,FALSE)</f>
        <v>13.235857142857142</v>
      </c>
      <c r="P768" s="17">
        <f t="shared" si="132"/>
        <v>9.8699786714285711</v>
      </c>
      <c r="Q768" s="16" cm="1">
        <f t="array" ref="Q768">_xlfn.XLOOKUP(O768,BSFC!$A$2:$A$24,_xlfn.XLOOKUP(K768,BSFC!$B$1:$O$1,BSFC!$B$2:$O$24,,-1),,-1)</f>
        <v>520</v>
      </c>
      <c r="R768" s="17">
        <f t="shared" si="133"/>
        <v>1.425663585873016</v>
      </c>
      <c r="S768" s="16">
        <f t="shared" si="134"/>
        <v>2.0443068048076269E-4</v>
      </c>
      <c r="T768" s="17">
        <f t="shared" si="137"/>
        <v>0.10630395384999659</v>
      </c>
      <c r="U768" s="16">
        <f t="shared" si="138"/>
        <v>101.34329196760382</v>
      </c>
      <c r="V768" s="17">
        <f t="shared" si="139"/>
        <v>0.21105334365897604</v>
      </c>
      <c r="W768" s="16">
        <f t="shared" si="135"/>
        <v>759792.03717231378</v>
      </c>
      <c r="X768">
        <f>('Hybrid Info'!$A$2-Track!P768)*(L768-L767)*1000+X767</f>
        <v>-19859.379056908019</v>
      </c>
    </row>
    <row r="769" spans="1:24">
      <c r="A769" s="16">
        <f t="shared" si="136"/>
        <v>768</v>
      </c>
      <c r="B769" s="17">
        <f t="shared" si="142"/>
        <v>13.411199999999999</v>
      </c>
      <c r="C769" s="16">
        <f>Specification!$G$29</f>
        <v>164.943378</v>
      </c>
      <c r="D769" s="17">
        <f>0.5*Specification!$K$4*Track!B769^2*Specification!$K$3*Specification!$K$2</f>
        <v>93.159842569492653</v>
      </c>
      <c r="E769" s="16">
        <v>0</v>
      </c>
      <c r="F769" s="17">
        <f>Specification!$C$23*9.81*SIN((E769*PI()/180))</f>
        <v>0</v>
      </c>
      <c r="G769" s="18">
        <f>IF(J769=1,VLOOKUP(K769,RPM!$E$2:$H$62,3,FALSE)-F769-E769-D769,IF(J769=2,VLOOKUP(K769,RPM!$H$2:$K$62,3,FALSE)-F769-E769-D769,IF(J769=3,VLOOKUP(K769,RPM!$K$2:$N$62,3,FALSE)-F769-E769-D769)))</f>
        <v>688.48526429214962</v>
      </c>
      <c r="H769" s="19">
        <f>IF(J769=1,Specification!$I$14,IF(J769=2,Specification!$I$15,IF(J769=3,Specification!$I$16)))</f>
        <v>582.50936296077191</v>
      </c>
      <c r="I769" s="16">
        <f t="shared" si="141"/>
        <v>0</v>
      </c>
      <c r="J769" s="17">
        <v>2</v>
      </c>
      <c r="K769" s="16">
        <f>IF(J769=1,VLOOKUP(B769,RPM!$F$2:$H$62,3,TRUE),IF(J769=2,VLOOKUP(B769,RPM!$I$2:$K$62,3,TRUE),IF(J769=3,VLOOKUP(B769,RPM!$L$2:$N$62,3,TRUE))))</f>
        <v>7000</v>
      </c>
      <c r="L769" s="17">
        <f t="shared" si="140"/>
        <v>61.540909455072715</v>
      </c>
      <c r="M769" s="16">
        <f t="shared" si="143"/>
        <v>0</v>
      </c>
      <c r="N769" s="17">
        <f>VLOOKUP(K769,RPM!$A$2:$D$62,3,FALSE)</f>
        <v>13</v>
      </c>
      <c r="O769" s="16">
        <f>VLOOKUP(K769,RPM!$A$2:$D$62,4,FALSE)</f>
        <v>13.235857142857142</v>
      </c>
      <c r="P769" s="17">
        <f t="shared" si="132"/>
        <v>9.8699786714285711</v>
      </c>
      <c r="Q769" s="16" cm="1">
        <f t="array" ref="Q769">_xlfn.XLOOKUP(O769,BSFC!$A$2:$A$24,_xlfn.XLOOKUP(K769,BSFC!$B$1:$O$1,BSFC!$B$2:$O$24,,-1),,-1)</f>
        <v>520</v>
      </c>
      <c r="R769" s="17">
        <f t="shared" si="133"/>
        <v>1.425663585873016</v>
      </c>
      <c r="S769" s="16">
        <f t="shared" si="134"/>
        <v>2.0443068048076269E-4</v>
      </c>
      <c r="T769" s="17">
        <f t="shared" si="137"/>
        <v>0.10630395384999659</v>
      </c>
      <c r="U769" s="16">
        <f t="shared" si="138"/>
        <v>101.44959592145382</v>
      </c>
      <c r="V769" s="17">
        <f t="shared" si="139"/>
        <v>0.21125777433945681</v>
      </c>
      <c r="W769" s="16">
        <f t="shared" si="135"/>
        <v>760527.98762204451</v>
      </c>
      <c r="X769">
        <f>('Hybrid Info'!$A$2-Track!P769)*(L769-L768)*1000+X768</f>
        <v>-19691.573347921752</v>
      </c>
    </row>
    <row r="770" spans="1:24">
      <c r="A770" s="16">
        <f t="shared" si="136"/>
        <v>769</v>
      </c>
      <c r="B770" s="17">
        <f t="shared" si="142"/>
        <v>13.411199999999999</v>
      </c>
      <c r="C770" s="16">
        <f>Specification!$G$29</f>
        <v>164.943378</v>
      </c>
      <c r="D770" s="17">
        <f>0.5*Specification!$K$4*Track!B770^2*Specification!$K$3*Specification!$K$2</f>
        <v>93.159842569492653</v>
      </c>
      <c r="E770" s="16">
        <v>0</v>
      </c>
      <c r="F770" s="17">
        <f>Specification!$C$23*9.81*SIN((E770*PI()/180))</f>
        <v>0</v>
      </c>
      <c r="G770" s="18">
        <f>IF(J770=1,VLOOKUP(K770,RPM!$E$2:$H$62,3,FALSE)-F770-E770-D770,IF(J770=2,VLOOKUP(K770,RPM!$H$2:$K$62,3,FALSE)-F770-E770-D770,IF(J770=3,VLOOKUP(K770,RPM!$K$2:$N$62,3,FALSE)-F770-E770-D770)))</f>
        <v>688.48526429214962</v>
      </c>
      <c r="H770" s="19">
        <f>IF(J770=1,Specification!$I$14,IF(J770=2,Specification!$I$15,IF(J770=3,Specification!$I$16)))</f>
        <v>582.50936296077191</v>
      </c>
      <c r="I770" s="16">
        <f t="shared" si="141"/>
        <v>0</v>
      </c>
      <c r="J770" s="17">
        <v>2</v>
      </c>
      <c r="K770" s="16">
        <f>IF(J770=1,VLOOKUP(B770,RPM!$F$2:$H$62,3,TRUE),IF(J770=2,VLOOKUP(B770,RPM!$I$2:$K$62,3,TRUE),IF(J770=3,VLOOKUP(B770,RPM!$L$2:$N$62,3,TRUE))))</f>
        <v>7000</v>
      </c>
      <c r="L770" s="17">
        <f t="shared" si="140"/>
        <v>61.615473998141198</v>
      </c>
      <c r="M770" s="16">
        <f t="shared" si="143"/>
        <v>0</v>
      </c>
      <c r="N770" s="17">
        <f>VLOOKUP(K770,RPM!$A$2:$D$62,3,FALSE)</f>
        <v>13</v>
      </c>
      <c r="O770" s="16">
        <f>VLOOKUP(K770,RPM!$A$2:$D$62,4,FALSE)</f>
        <v>13.235857142857142</v>
      </c>
      <c r="P770" s="17">
        <f t="shared" ref="P770:P833" si="144">O770*0.7457</f>
        <v>9.8699786714285711</v>
      </c>
      <c r="Q770" s="16" cm="1">
        <f t="array" ref="Q770">_xlfn.XLOOKUP(O770,BSFC!$A$2:$A$24,_xlfn.XLOOKUP(K770,BSFC!$B$1:$O$1,BSFC!$B$2:$O$24,,-1),,-1)</f>
        <v>520</v>
      </c>
      <c r="R770" s="17">
        <f t="shared" ref="R770:R833" si="145">Q770*P770/3600</f>
        <v>1.425663585873016</v>
      </c>
      <c r="S770" s="16">
        <f t="shared" si="134"/>
        <v>2.0443068048076269E-4</v>
      </c>
      <c r="T770" s="17">
        <f t="shared" si="137"/>
        <v>0.10630395384999659</v>
      </c>
      <c r="U770" s="16">
        <f t="shared" si="138"/>
        <v>101.55589987530382</v>
      </c>
      <c r="V770" s="17">
        <f t="shared" si="139"/>
        <v>0.21146220501993757</v>
      </c>
      <c r="W770" s="16">
        <f t="shared" si="135"/>
        <v>761263.93807177525</v>
      </c>
      <c r="X770">
        <f>('Hybrid Info'!$A$2-Track!P770)*(L770-L769)*1000+X769</f>
        <v>-19523.767638935486</v>
      </c>
    </row>
    <row r="771" spans="1:24">
      <c r="A771" s="16">
        <f t="shared" si="136"/>
        <v>770</v>
      </c>
      <c r="B771" s="17">
        <f t="shared" si="142"/>
        <v>13.411199999999999</v>
      </c>
      <c r="C771" s="16">
        <f>Specification!$G$29</f>
        <v>164.943378</v>
      </c>
      <c r="D771" s="17">
        <f>0.5*Specification!$K$4*Track!B771^2*Specification!$K$3*Specification!$K$2</f>
        <v>93.159842569492653</v>
      </c>
      <c r="E771" s="16">
        <v>0</v>
      </c>
      <c r="F771" s="17">
        <f>Specification!$C$23*9.81*SIN((E771*PI()/180))</f>
        <v>0</v>
      </c>
      <c r="G771" s="18">
        <f>IF(J771=1,VLOOKUP(K771,RPM!$E$2:$H$62,3,FALSE)-F771-E771-D771,IF(J771=2,VLOOKUP(K771,RPM!$H$2:$K$62,3,FALSE)-F771-E771-D771,IF(J771=3,VLOOKUP(K771,RPM!$K$2:$N$62,3,FALSE)-F771-E771-D771)))</f>
        <v>688.48526429214962</v>
      </c>
      <c r="H771" s="19">
        <f>IF(J771=1,Specification!$I$14,IF(J771=2,Specification!$I$15,IF(J771=3,Specification!$I$16)))</f>
        <v>582.50936296077191</v>
      </c>
      <c r="I771" s="16">
        <f t="shared" si="141"/>
        <v>0</v>
      </c>
      <c r="J771" s="17">
        <v>2</v>
      </c>
      <c r="K771" s="16">
        <f>IF(J771=1,VLOOKUP(B771,RPM!$F$2:$H$62,3,TRUE),IF(J771=2,VLOOKUP(B771,RPM!$I$2:$K$62,3,TRUE),IF(J771=3,VLOOKUP(B771,RPM!$L$2:$N$62,3,TRUE))))</f>
        <v>7000</v>
      </c>
      <c r="L771" s="17">
        <f t="shared" si="140"/>
        <v>61.690038541209681</v>
      </c>
      <c r="M771" s="16">
        <f t="shared" si="143"/>
        <v>0</v>
      </c>
      <c r="N771" s="17">
        <f>VLOOKUP(K771,RPM!$A$2:$D$62,3,FALSE)</f>
        <v>13</v>
      </c>
      <c r="O771" s="16">
        <f>VLOOKUP(K771,RPM!$A$2:$D$62,4,FALSE)</f>
        <v>13.235857142857142</v>
      </c>
      <c r="P771" s="17">
        <f t="shared" si="144"/>
        <v>9.8699786714285711</v>
      </c>
      <c r="Q771" s="16" cm="1">
        <f t="array" ref="Q771">_xlfn.XLOOKUP(O771,BSFC!$A$2:$A$24,_xlfn.XLOOKUP(K771,BSFC!$B$1:$O$1,BSFC!$B$2:$O$24,,-1),,-1)</f>
        <v>520</v>
      </c>
      <c r="R771" s="17">
        <f t="shared" si="145"/>
        <v>1.425663585873016</v>
      </c>
      <c r="S771" s="16">
        <f t="shared" ref="S771:S834" si="146">(L771-L770)/3600*P771</f>
        <v>2.0443068048076269E-4</v>
      </c>
      <c r="T771" s="17">
        <f t="shared" si="137"/>
        <v>0.10630395384999659</v>
      </c>
      <c r="U771" s="16">
        <f t="shared" si="138"/>
        <v>101.66220382915382</v>
      </c>
      <c r="V771" s="17">
        <f t="shared" si="139"/>
        <v>0.21166663570041833</v>
      </c>
      <c r="W771" s="16">
        <f t="shared" ref="W771:W834" si="147">V771*1000*3600</f>
        <v>761999.88852150599</v>
      </c>
      <c r="X771">
        <f>('Hybrid Info'!$A$2-Track!P771)*(L771-L770)*1000+X770</f>
        <v>-19355.961929949219</v>
      </c>
    </row>
    <row r="772" spans="1:24">
      <c r="A772" s="16">
        <f t="shared" ref="A772:A835" si="148">A771+1</f>
        <v>771</v>
      </c>
      <c r="B772" s="17">
        <f t="shared" si="142"/>
        <v>13.411199999999999</v>
      </c>
      <c r="C772" s="16">
        <f>Specification!$G$29</f>
        <v>164.943378</v>
      </c>
      <c r="D772" s="17">
        <f>0.5*Specification!$K$4*Track!B772^2*Specification!$K$3*Specification!$K$2</f>
        <v>93.159842569492653</v>
      </c>
      <c r="E772" s="16">
        <v>0</v>
      </c>
      <c r="F772" s="17">
        <f>Specification!$C$23*9.81*SIN((E772*PI()/180))</f>
        <v>0</v>
      </c>
      <c r="G772" s="18">
        <f>IF(J772=1,VLOOKUP(K772,RPM!$E$2:$H$62,3,FALSE)-F772-E772-D772,IF(J772=2,VLOOKUP(K772,RPM!$H$2:$K$62,3,FALSE)-F772-E772-D772,IF(J772=3,VLOOKUP(K772,RPM!$K$2:$N$62,3,FALSE)-F772-E772-D772)))</f>
        <v>688.48526429214962</v>
      </c>
      <c r="H772" s="19">
        <f>IF(J772=1,Specification!$I$14,IF(J772=2,Specification!$I$15,IF(J772=3,Specification!$I$16)))</f>
        <v>582.50936296077191</v>
      </c>
      <c r="I772" s="16">
        <f t="shared" si="141"/>
        <v>0</v>
      </c>
      <c r="J772" s="17">
        <v>2</v>
      </c>
      <c r="K772" s="16">
        <f>IF(J772=1,VLOOKUP(B772,RPM!$F$2:$H$62,3,TRUE),IF(J772=2,VLOOKUP(B772,RPM!$I$2:$K$62,3,TRUE),IF(J772=3,VLOOKUP(B772,RPM!$L$2:$N$62,3,TRUE))))</f>
        <v>7000</v>
      </c>
      <c r="L772" s="17">
        <f t="shared" si="140"/>
        <v>61.764603084278164</v>
      </c>
      <c r="M772" s="16">
        <f t="shared" si="143"/>
        <v>0</v>
      </c>
      <c r="N772" s="17">
        <f>VLOOKUP(K772,RPM!$A$2:$D$62,3,FALSE)</f>
        <v>13</v>
      </c>
      <c r="O772" s="16">
        <f>VLOOKUP(K772,RPM!$A$2:$D$62,4,FALSE)</f>
        <v>13.235857142857142</v>
      </c>
      <c r="P772" s="17">
        <f t="shared" si="144"/>
        <v>9.8699786714285711</v>
      </c>
      <c r="Q772" s="16" cm="1">
        <f t="array" ref="Q772">_xlfn.XLOOKUP(O772,BSFC!$A$2:$A$24,_xlfn.XLOOKUP(K772,BSFC!$B$1:$O$1,BSFC!$B$2:$O$24,,-1),,-1)</f>
        <v>520</v>
      </c>
      <c r="R772" s="17">
        <f t="shared" si="145"/>
        <v>1.425663585873016</v>
      </c>
      <c r="S772" s="16">
        <f t="shared" si="146"/>
        <v>2.0443068048076269E-4</v>
      </c>
      <c r="T772" s="17">
        <f t="shared" ref="T772:T835" si="149">S772*Q772</f>
        <v>0.10630395384999659</v>
      </c>
      <c r="U772" s="16">
        <f t="shared" ref="U772:U835" si="150">U771+T772</f>
        <v>101.76850778300383</v>
      </c>
      <c r="V772" s="17">
        <f t="shared" si="139"/>
        <v>0.21187106638089909</v>
      </c>
      <c r="W772" s="16">
        <f t="shared" si="147"/>
        <v>762735.83897123672</v>
      </c>
      <c r="X772">
        <f>('Hybrid Info'!$A$2-Track!P772)*(L772-L771)*1000+X771</f>
        <v>-19188.156220962952</v>
      </c>
    </row>
    <row r="773" spans="1:24">
      <c r="A773" s="16">
        <f t="shared" si="148"/>
        <v>772</v>
      </c>
      <c r="B773" s="17">
        <f t="shared" si="142"/>
        <v>13.411199999999999</v>
      </c>
      <c r="C773" s="16">
        <f>Specification!$G$29</f>
        <v>164.943378</v>
      </c>
      <c r="D773" s="17">
        <f>0.5*Specification!$K$4*Track!B773^2*Specification!$K$3*Specification!$K$2</f>
        <v>93.159842569492653</v>
      </c>
      <c r="E773" s="16">
        <v>0</v>
      </c>
      <c r="F773" s="17">
        <f>Specification!$C$23*9.81*SIN((E773*PI()/180))</f>
        <v>0</v>
      </c>
      <c r="G773" s="18">
        <f>IF(J773=1,VLOOKUP(K773,RPM!$E$2:$H$62,3,FALSE)-F773-E773-D773,IF(J773=2,VLOOKUP(K773,RPM!$H$2:$K$62,3,FALSE)-F773-E773-D773,IF(J773=3,VLOOKUP(K773,RPM!$K$2:$N$62,3,FALSE)-F773-E773-D773)))</f>
        <v>688.48526429214962</v>
      </c>
      <c r="H773" s="19">
        <f>IF(J773=1,Specification!$I$14,IF(J773=2,Specification!$I$15,IF(J773=3,Specification!$I$16)))</f>
        <v>582.50936296077191</v>
      </c>
      <c r="I773" s="16">
        <f t="shared" si="141"/>
        <v>0</v>
      </c>
      <c r="J773" s="17">
        <v>2</v>
      </c>
      <c r="K773" s="16">
        <f>IF(J773=1,VLOOKUP(B773,RPM!$F$2:$H$62,3,TRUE),IF(J773=2,VLOOKUP(B773,RPM!$I$2:$K$62,3,TRUE),IF(J773=3,VLOOKUP(B773,RPM!$L$2:$N$62,3,TRUE))))</f>
        <v>7000</v>
      </c>
      <c r="L773" s="17">
        <f t="shared" si="140"/>
        <v>61.839167627346647</v>
      </c>
      <c r="M773" s="16">
        <f t="shared" si="143"/>
        <v>0</v>
      </c>
      <c r="N773" s="17">
        <f>VLOOKUP(K773,RPM!$A$2:$D$62,3,FALSE)</f>
        <v>13</v>
      </c>
      <c r="O773" s="16">
        <f>VLOOKUP(K773,RPM!$A$2:$D$62,4,FALSE)</f>
        <v>13.235857142857142</v>
      </c>
      <c r="P773" s="17">
        <f t="shared" si="144"/>
        <v>9.8699786714285711</v>
      </c>
      <c r="Q773" s="16" cm="1">
        <f t="array" ref="Q773">_xlfn.XLOOKUP(O773,BSFC!$A$2:$A$24,_xlfn.XLOOKUP(K773,BSFC!$B$1:$O$1,BSFC!$B$2:$O$24,,-1),,-1)</f>
        <v>520</v>
      </c>
      <c r="R773" s="17">
        <f t="shared" si="145"/>
        <v>1.425663585873016</v>
      </c>
      <c r="S773" s="16">
        <f t="shared" si="146"/>
        <v>2.0443068048076269E-4</v>
      </c>
      <c r="T773" s="17">
        <f t="shared" si="149"/>
        <v>0.10630395384999659</v>
      </c>
      <c r="U773" s="16">
        <f t="shared" si="150"/>
        <v>101.87481173685383</v>
      </c>
      <c r="V773" s="17">
        <f t="shared" ref="V773:V836" si="151">V772+S773</f>
        <v>0.21207549706137985</v>
      </c>
      <c r="W773" s="16">
        <f t="shared" si="147"/>
        <v>763471.78942096746</v>
      </c>
      <c r="X773">
        <f>('Hybrid Info'!$A$2-Track!P773)*(L773-L772)*1000+X772</f>
        <v>-19020.350511976685</v>
      </c>
    </row>
    <row r="774" spans="1:24">
      <c r="A774" s="16">
        <f t="shared" si="148"/>
        <v>773</v>
      </c>
      <c r="B774" s="17">
        <f t="shared" si="142"/>
        <v>13.411199999999999</v>
      </c>
      <c r="C774" s="16">
        <f>Specification!$G$29</f>
        <v>164.943378</v>
      </c>
      <c r="D774" s="17">
        <f>0.5*Specification!$K$4*Track!B774^2*Specification!$K$3*Specification!$K$2</f>
        <v>93.159842569492653</v>
      </c>
      <c r="E774" s="16">
        <v>0</v>
      </c>
      <c r="F774" s="17">
        <f>Specification!$C$23*9.81*SIN((E774*PI()/180))</f>
        <v>0</v>
      </c>
      <c r="G774" s="18">
        <f>IF(J774=1,VLOOKUP(K774,RPM!$E$2:$H$62,3,FALSE)-F774-E774-D774,IF(J774=2,VLOOKUP(K774,RPM!$H$2:$K$62,3,FALSE)-F774-E774-D774,IF(J774=3,VLOOKUP(K774,RPM!$K$2:$N$62,3,FALSE)-F774-E774-D774)))</f>
        <v>688.48526429214962</v>
      </c>
      <c r="H774" s="19">
        <f>IF(J774=1,Specification!$I$14,IF(J774=2,Specification!$I$15,IF(J774=3,Specification!$I$16)))</f>
        <v>582.50936296077191</v>
      </c>
      <c r="I774" s="16">
        <f t="shared" si="141"/>
        <v>0</v>
      </c>
      <c r="J774" s="17">
        <v>2</v>
      </c>
      <c r="K774" s="16">
        <f>IF(J774=1,VLOOKUP(B774,RPM!$F$2:$H$62,3,TRUE),IF(J774=2,VLOOKUP(B774,RPM!$I$2:$K$62,3,TRUE),IF(J774=3,VLOOKUP(B774,RPM!$L$2:$N$62,3,TRUE))))</f>
        <v>7000</v>
      </c>
      <c r="L774" s="17">
        <f t="shared" si="140"/>
        <v>61.91373217041513</v>
      </c>
      <c r="M774" s="16">
        <f t="shared" si="143"/>
        <v>0</v>
      </c>
      <c r="N774" s="17">
        <f>VLOOKUP(K774,RPM!$A$2:$D$62,3,FALSE)</f>
        <v>13</v>
      </c>
      <c r="O774" s="16">
        <f>VLOOKUP(K774,RPM!$A$2:$D$62,4,FALSE)</f>
        <v>13.235857142857142</v>
      </c>
      <c r="P774" s="17">
        <f t="shared" si="144"/>
        <v>9.8699786714285711</v>
      </c>
      <c r="Q774" s="16" cm="1">
        <f t="array" ref="Q774">_xlfn.XLOOKUP(O774,BSFC!$A$2:$A$24,_xlfn.XLOOKUP(K774,BSFC!$B$1:$O$1,BSFC!$B$2:$O$24,,-1),,-1)</f>
        <v>520</v>
      </c>
      <c r="R774" s="17">
        <f t="shared" si="145"/>
        <v>1.425663585873016</v>
      </c>
      <c r="S774" s="16">
        <f t="shared" si="146"/>
        <v>2.0443068048076269E-4</v>
      </c>
      <c r="T774" s="17">
        <f t="shared" si="149"/>
        <v>0.10630395384999659</v>
      </c>
      <c r="U774" s="16">
        <f t="shared" si="150"/>
        <v>101.98111569070383</v>
      </c>
      <c r="V774" s="17">
        <f t="shared" si="151"/>
        <v>0.21227992774186061</v>
      </c>
      <c r="W774" s="16">
        <f t="shared" si="147"/>
        <v>764207.73987069819</v>
      </c>
      <c r="X774">
        <f>('Hybrid Info'!$A$2-Track!P774)*(L774-L773)*1000+X773</f>
        <v>-18852.544802990418</v>
      </c>
    </row>
    <row r="775" spans="1:24">
      <c r="A775" s="16">
        <f t="shared" si="148"/>
        <v>774</v>
      </c>
      <c r="B775" s="17">
        <f t="shared" si="142"/>
        <v>13.411199999999999</v>
      </c>
      <c r="C775" s="16">
        <f>Specification!$G$29</f>
        <v>164.943378</v>
      </c>
      <c r="D775" s="17">
        <f>0.5*Specification!$K$4*Track!B775^2*Specification!$K$3*Specification!$K$2</f>
        <v>93.159842569492653</v>
      </c>
      <c r="E775" s="16">
        <v>1</v>
      </c>
      <c r="F775" s="17">
        <f>Specification!$C$23*9.81*SIN((E775*PI()/180))</f>
        <v>95.955295733149597</v>
      </c>
      <c r="G775" s="18">
        <f>IF(J775=1,VLOOKUP(K775,RPM!$E$2:$H$62,3,FALSE)-F775-E775-D775,IF(J775=2,VLOOKUP(K775,RPM!$H$2:$K$62,3,FALSE)-F775-E775-D775,IF(J775=3,VLOOKUP(K775,RPM!$K$2:$N$62,3,FALSE)-F775-E775-D775)))</f>
        <v>591.52996855900005</v>
      </c>
      <c r="H775" s="19">
        <f>IF(J775=1,Specification!$I$14,IF(J775=2,Specification!$I$15,IF(J775=3,Specification!$I$16)))</f>
        <v>582.50936296077191</v>
      </c>
      <c r="I775" s="16">
        <f t="shared" si="141"/>
        <v>0</v>
      </c>
      <c r="J775" s="17">
        <v>2</v>
      </c>
      <c r="K775" s="16">
        <f>IF(J775=1,VLOOKUP(B775,RPM!$F$2:$H$62,3,TRUE),IF(J775=2,VLOOKUP(B775,RPM!$I$2:$K$62,3,TRUE),IF(J775=3,VLOOKUP(B775,RPM!$L$2:$N$62,3,TRUE))))</f>
        <v>7000</v>
      </c>
      <c r="L775" s="17">
        <f t="shared" si="140"/>
        <v>61.988296713483614</v>
      </c>
      <c r="M775" s="16">
        <f t="shared" si="143"/>
        <v>1.7455064928217585E-2</v>
      </c>
      <c r="N775" s="17">
        <f>VLOOKUP(K775,RPM!$A$2:$D$62,3,FALSE)</f>
        <v>13</v>
      </c>
      <c r="O775" s="16">
        <f>VLOOKUP(K775,RPM!$A$2:$D$62,4,FALSE)</f>
        <v>13.235857142857142</v>
      </c>
      <c r="P775" s="17">
        <f t="shared" si="144"/>
        <v>9.8699786714285711</v>
      </c>
      <c r="Q775" s="16" cm="1">
        <f t="array" ref="Q775">_xlfn.XLOOKUP(O775,BSFC!$A$2:$A$24,_xlfn.XLOOKUP(K775,BSFC!$B$1:$O$1,BSFC!$B$2:$O$24,,-1),,-1)</f>
        <v>520</v>
      </c>
      <c r="R775" s="17">
        <f t="shared" si="145"/>
        <v>1.425663585873016</v>
      </c>
      <c r="S775" s="16">
        <f t="shared" si="146"/>
        <v>2.0443068048076269E-4</v>
      </c>
      <c r="T775" s="17">
        <f t="shared" si="149"/>
        <v>0.10630395384999659</v>
      </c>
      <c r="U775" s="16">
        <f t="shared" si="150"/>
        <v>102.08741964455383</v>
      </c>
      <c r="V775" s="17">
        <f t="shared" si="151"/>
        <v>0.21248435842234137</v>
      </c>
      <c r="W775" s="16">
        <f t="shared" si="147"/>
        <v>764943.69032042893</v>
      </c>
      <c r="X775">
        <f>('Hybrid Info'!$A$2-Track!P775)*(L775-L774)*1000+X774</f>
        <v>-18684.739094004151</v>
      </c>
    </row>
    <row r="776" spans="1:24">
      <c r="A776" s="16">
        <f t="shared" si="148"/>
        <v>775</v>
      </c>
      <c r="B776" s="17">
        <f t="shared" si="142"/>
        <v>13.411199999999999</v>
      </c>
      <c r="C776" s="16">
        <f>Specification!$G$29</f>
        <v>164.943378</v>
      </c>
      <c r="D776" s="17">
        <f>0.5*Specification!$K$4*Track!B776^2*Specification!$K$3*Specification!$K$2</f>
        <v>93.159842569492653</v>
      </c>
      <c r="E776" s="16">
        <v>2</v>
      </c>
      <c r="F776" s="17">
        <f>Specification!$C$23*9.81*SIN((E776*PI()/180))</f>
        <v>191.88136255367905</v>
      </c>
      <c r="G776" s="18">
        <f>IF(J776=1,VLOOKUP(K776,RPM!$E$2:$H$62,3,FALSE)-F776-E776-D776,IF(J776=2,VLOOKUP(K776,RPM!$H$2:$K$62,3,FALSE)-F776-E776-D776,IF(J776=3,VLOOKUP(K776,RPM!$K$2:$N$62,3,FALSE)-F776-E776-D776)))</f>
        <v>494.60390173847054</v>
      </c>
      <c r="H776" s="19">
        <f>IF(J776=1,Specification!$I$14,IF(J776=2,Specification!$I$15,IF(J776=3,Specification!$I$16)))</f>
        <v>582.50936296077191</v>
      </c>
      <c r="I776" s="16">
        <f t="shared" si="141"/>
        <v>0</v>
      </c>
      <c r="J776" s="17">
        <v>2</v>
      </c>
      <c r="K776" s="16">
        <f>IF(J776=1,VLOOKUP(B776,RPM!$F$2:$H$62,3,TRUE),IF(J776=2,VLOOKUP(B776,RPM!$I$2:$K$62,3,TRUE),IF(J776=3,VLOOKUP(B776,RPM!$L$2:$N$62,3,TRUE))))</f>
        <v>7000</v>
      </c>
      <c r="L776" s="17">
        <f t="shared" si="140"/>
        <v>62.062861256552097</v>
      </c>
      <c r="M776" s="16">
        <f t="shared" si="143"/>
        <v>5.2375834419965316E-2</v>
      </c>
      <c r="N776" s="17">
        <f>VLOOKUP(K776,RPM!$A$2:$D$62,3,FALSE)</f>
        <v>13</v>
      </c>
      <c r="O776" s="16">
        <f>VLOOKUP(K776,RPM!$A$2:$D$62,4,FALSE)</f>
        <v>13.235857142857142</v>
      </c>
      <c r="P776" s="17">
        <f t="shared" si="144"/>
        <v>9.8699786714285711</v>
      </c>
      <c r="Q776" s="16" cm="1">
        <f t="array" ref="Q776">_xlfn.XLOOKUP(O776,BSFC!$A$2:$A$24,_xlfn.XLOOKUP(K776,BSFC!$B$1:$O$1,BSFC!$B$2:$O$24,,-1),,-1)</f>
        <v>520</v>
      </c>
      <c r="R776" s="17">
        <f t="shared" si="145"/>
        <v>1.425663585873016</v>
      </c>
      <c r="S776" s="16">
        <f t="shared" si="146"/>
        <v>2.0443068048076269E-4</v>
      </c>
      <c r="T776" s="17">
        <f t="shared" si="149"/>
        <v>0.10630395384999659</v>
      </c>
      <c r="U776" s="16">
        <f t="shared" si="150"/>
        <v>102.19372359840384</v>
      </c>
      <c r="V776" s="17">
        <f t="shared" si="151"/>
        <v>0.21268878910282213</v>
      </c>
      <c r="W776" s="16">
        <f t="shared" si="147"/>
        <v>765679.64077015966</v>
      </c>
      <c r="X776">
        <f>('Hybrid Info'!$A$2-Track!P776)*(L776-L775)*1000+X775</f>
        <v>-18516.933385017885</v>
      </c>
    </row>
    <row r="777" spans="1:24">
      <c r="A777" s="16">
        <f t="shared" si="148"/>
        <v>776</v>
      </c>
      <c r="B777" s="17">
        <f t="shared" si="142"/>
        <v>13.411199999999999</v>
      </c>
      <c r="C777" s="16">
        <f>Specification!$G$29</f>
        <v>164.943378</v>
      </c>
      <c r="D777" s="17">
        <f>0.5*Specification!$K$4*Track!B777^2*Specification!$K$3*Specification!$K$2</f>
        <v>93.159842569492653</v>
      </c>
      <c r="E777" s="16">
        <v>3</v>
      </c>
      <c r="F777" s="17">
        <f>Specification!$C$23*9.81*SIN((E777*PI()/180))</f>
        <v>287.74898045237813</v>
      </c>
      <c r="G777" s="18">
        <f>IF(J777=1,VLOOKUP(K777,RPM!$E$2:$H$62,3,FALSE)-F777-E777-D777,IF(J777=2,VLOOKUP(K777,RPM!$H$2:$K$62,3,FALSE)-F777-E777-D777,IF(J777=3,VLOOKUP(K777,RPM!$K$2:$N$62,3,FALSE)-F777-E777-D777)))</f>
        <v>397.73628383977149</v>
      </c>
      <c r="H777" s="19">
        <f>IF(J777=1,Specification!$I$14,IF(J777=2,Specification!$I$15,IF(J777=3,Specification!$I$16)))</f>
        <v>582.50936296077191</v>
      </c>
      <c r="I777" s="16">
        <f t="shared" si="141"/>
        <v>0</v>
      </c>
      <c r="J777" s="17">
        <v>2</v>
      </c>
      <c r="K777" s="16">
        <f>IF(J777=1,VLOOKUP(B777,RPM!$F$2:$H$62,3,TRUE),IF(J777=2,VLOOKUP(B777,RPM!$I$2:$K$62,3,TRUE),IF(J777=3,VLOOKUP(B777,RPM!$L$2:$N$62,3,TRUE))))</f>
        <v>7000</v>
      </c>
      <c r="L777" s="17">
        <f t="shared" si="140"/>
        <v>62.13742579962058</v>
      </c>
      <c r="M777" s="16">
        <f t="shared" si="143"/>
        <v>0.10478361370300651</v>
      </c>
      <c r="N777" s="17">
        <f>VLOOKUP(K777,RPM!$A$2:$D$62,3,FALSE)</f>
        <v>13</v>
      </c>
      <c r="O777" s="16">
        <f>VLOOKUP(K777,RPM!$A$2:$D$62,4,FALSE)</f>
        <v>13.235857142857142</v>
      </c>
      <c r="P777" s="17">
        <f t="shared" si="144"/>
        <v>9.8699786714285711</v>
      </c>
      <c r="Q777" s="16" cm="1">
        <f t="array" ref="Q777">_xlfn.XLOOKUP(O777,BSFC!$A$2:$A$24,_xlfn.XLOOKUP(K777,BSFC!$B$1:$O$1,BSFC!$B$2:$O$24,,-1),,-1)</f>
        <v>520</v>
      </c>
      <c r="R777" s="17">
        <f t="shared" si="145"/>
        <v>1.425663585873016</v>
      </c>
      <c r="S777" s="16">
        <f t="shared" si="146"/>
        <v>2.0443068048076269E-4</v>
      </c>
      <c r="T777" s="17">
        <f t="shared" si="149"/>
        <v>0.10630395384999659</v>
      </c>
      <c r="U777" s="16">
        <f t="shared" si="150"/>
        <v>102.30002755225384</v>
      </c>
      <c r="V777" s="17">
        <f t="shared" si="151"/>
        <v>0.21289321978330289</v>
      </c>
      <c r="W777" s="16">
        <f t="shared" si="147"/>
        <v>766415.5912198904</v>
      </c>
      <c r="X777">
        <f>('Hybrid Info'!$A$2-Track!P777)*(L777-L776)*1000+X776</f>
        <v>-18349.127676031618</v>
      </c>
    </row>
    <row r="778" spans="1:24">
      <c r="A778" s="16">
        <f t="shared" si="148"/>
        <v>777</v>
      </c>
      <c r="B778" s="17">
        <f t="shared" si="142"/>
        <v>13.411199999999999</v>
      </c>
      <c r="C778" s="16">
        <f>Specification!$G$29</f>
        <v>164.943378</v>
      </c>
      <c r="D778" s="17">
        <f>0.5*Specification!$K$4*Track!B778^2*Specification!$K$3*Specification!$K$2</f>
        <v>93.159842569492653</v>
      </c>
      <c r="E778" s="16">
        <v>4</v>
      </c>
      <c r="F778" s="17">
        <f>Specification!$C$23*9.81*SIN((E778*PI()/180))</f>
        <v>383.52894722414453</v>
      </c>
      <c r="G778" s="18">
        <f>IF(J778=1,VLOOKUP(K778,RPM!$E$2:$H$62,3,FALSE)-F778-E778-D778,IF(J778=2,VLOOKUP(K778,RPM!$H$2:$K$62,3,FALSE)-F778-E778-D778,IF(J778=3,VLOOKUP(K778,RPM!$K$2:$N$62,3,FALSE)-F778-E778-D778)))</f>
        <v>300.95631706800509</v>
      </c>
      <c r="H778" s="19">
        <f>IF(J778=1,Specification!$I$14,IF(J778=2,Specification!$I$15,IF(J778=3,Specification!$I$16)))</f>
        <v>582.50936296077191</v>
      </c>
      <c r="I778" s="16">
        <f t="shared" si="141"/>
        <v>0</v>
      </c>
      <c r="J778" s="17">
        <v>2</v>
      </c>
      <c r="K778" s="16">
        <f>IF(J778=1,VLOOKUP(B778,RPM!$F$2:$H$62,3,TRUE),IF(J778=2,VLOOKUP(B778,RPM!$I$2:$K$62,3,TRUE),IF(J778=3,VLOOKUP(B778,RPM!$L$2:$N$62,3,TRUE))))</f>
        <v>7000</v>
      </c>
      <c r="L778" s="17">
        <f t="shared" si="140"/>
        <v>62.211990342689063</v>
      </c>
      <c r="M778" s="16">
        <f t="shared" si="143"/>
        <v>0.17471042564651693</v>
      </c>
      <c r="N778" s="17">
        <f>VLOOKUP(K778,RPM!$A$2:$D$62,3,FALSE)</f>
        <v>13</v>
      </c>
      <c r="O778" s="16">
        <f>VLOOKUP(K778,RPM!$A$2:$D$62,4,FALSE)</f>
        <v>13.235857142857142</v>
      </c>
      <c r="P778" s="17">
        <f t="shared" si="144"/>
        <v>9.8699786714285711</v>
      </c>
      <c r="Q778" s="16" cm="1">
        <f t="array" ref="Q778">_xlfn.XLOOKUP(O778,BSFC!$A$2:$A$24,_xlfn.XLOOKUP(K778,BSFC!$B$1:$O$1,BSFC!$B$2:$O$24,,-1),,-1)</f>
        <v>520</v>
      </c>
      <c r="R778" s="17">
        <f t="shared" si="145"/>
        <v>1.425663585873016</v>
      </c>
      <c r="S778" s="16">
        <f t="shared" si="146"/>
        <v>2.0443068048076269E-4</v>
      </c>
      <c r="T778" s="17">
        <f t="shared" si="149"/>
        <v>0.10630395384999659</v>
      </c>
      <c r="U778" s="16">
        <f t="shared" si="150"/>
        <v>102.40633150610384</v>
      </c>
      <c r="V778" s="17">
        <f t="shared" si="151"/>
        <v>0.21309765046378365</v>
      </c>
      <c r="W778" s="16">
        <f t="shared" si="147"/>
        <v>767151.54166962113</v>
      </c>
      <c r="X778">
        <f>('Hybrid Info'!$A$2-Track!P778)*(L778-L777)*1000+X777</f>
        <v>-18181.321967045351</v>
      </c>
    </row>
    <row r="779" spans="1:24">
      <c r="A779" s="16">
        <f t="shared" si="148"/>
        <v>778</v>
      </c>
      <c r="B779" s="17">
        <f t="shared" si="142"/>
        <v>13.411199999999999</v>
      </c>
      <c r="C779" s="16">
        <f>Specification!$G$29</f>
        <v>164.943378</v>
      </c>
      <c r="D779" s="17">
        <f>0.5*Specification!$K$4*Track!B779^2*Specification!$K$3*Specification!$K$2</f>
        <v>93.159842569492653</v>
      </c>
      <c r="E779" s="16">
        <v>5</v>
      </c>
      <c r="F779" s="17">
        <f>Specification!$C$23*9.81*SIN((E779*PI()/180))</f>
        <v>479.192087363258</v>
      </c>
      <c r="G779" s="18">
        <f>IF(J779=1,VLOOKUP(K779,RPM!$E$2:$H$62,3,FALSE)-F779-E779-D779,IF(J779=2,VLOOKUP(K779,RPM!$H$2:$K$62,3,FALSE)-F779-E779-D779,IF(J779=3,VLOOKUP(K779,RPM!$K$2:$N$62,3,FALSE)-F779-E779-D779)))</f>
        <v>204.29317692889163</v>
      </c>
      <c r="H779" s="19">
        <f>IF(J779=1,Specification!$I$14,IF(J779=2,Specification!$I$15,IF(J779=3,Specification!$I$16)))</f>
        <v>582.50936296077191</v>
      </c>
      <c r="I779" s="16">
        <f t="shared" si="141"/>
        <v>0</v>
      </c>
      <c r="J779" s="17">
        <v>2</v>
      </c>
      <c r="K779" s="16">
        <f>IF(J779=1,VLOOKUP(B779,RPM!$F$2:$H$62,3,TRUE),IF(J779=2,VLOOKUP(B779,RPM!$I$2:$K$62,3,TRUE),IF(J779=3,VLOOKUP(B779,RPM!$L$2:$N$62,3,TRUE))))</f>
        <v>7000</v>
      </c>
      <c r="L779" s="17">
        <f t="shared" si="140"/>
        <v>62.286554885757546</v>
      </c>
      <c r="M779" s="16">
        <f t="shared" si="143"/>
        <v>0.26219908917244095</v>
      </c>
      <c r="N779" s="17">
        <f>VLOOKUP(K779,RPM!$A$2:$D$62,3,FALSE)</f>
        <v>13</v>
      </c>
      <c r="O779" s="16">
        <f>VLOOKUP(K779,RPM!$A$2:$D$62,4,FALSE)</f>
        <v>13.235857142857142</v>
      </c>
      <c r="P779" s="17">
        <f t="shared" si="144"/>
        <v>9.8699786714285711</v>
      </c>
      <c r="Q779" s="16" cm="1">
        <f t="array" ref="Q779">_xlfn.XLOOKUP(O779,BSFC!$A$2:$A$24,_xlfn.XLOOKUP(K779,BSFC!$B$1:$O$1,BSFC!$B$2:$O$24,,-1),,-1)</f>
        <v>520</v>
      </c>
      <c r="R779" s="17">
        <f t="shared" si="145"/>
        <v>1.425663585873016</v>
      </c>
      <c r="S779" s="16">
        <f t="shared" si="146"/>
        <v>2.0443068048076269E-4</v>
      </c>
      <c r="T779" s="17">
        <f t="shared" si="149"/>
        <v>0.10630395384999659</v>
      </c>
      <c r="U779" s="16">
        <f t="shared" si="150"/>
        <v>102.51263545995384</v>
      </c>
      <c r="V779" s="17">
        <f t="shared" si="151"/>
        <v>0.21330208114426441</v>
      </c>
      <c r="W779" s="16">
        <f t="shared" si="147"/>
        <v>767887.49211935187</v>
      </c>
      <c r="X779">
        <f>('Hybrid Info'!$A$2-Track!P779)*(L779-L778)*1000+X778</f>
        <v>-18013.516258059084</v>
      </c>
    </row>
    <row r="780" spans="1:24">
      <c r="A780" s="16">
        <f t="shared" si="148"/>
        <v>779</v>
      </c>
      <c r="B780" s="17">
        <f t="shared" si="142"/>
        <v>13.411199999999999</v>
      </c>
      <c r="C780" s="16">
        <f>Specification!$G$29</f>
        <v>164.943378</v>
      </c>
      <c r="D780" s="17">
        <f>0.5*Specification!$K$4*Track!B780^2*Specification!$K$3*Specification!$K$2</f>
        <v>93.159842569492653</v>
      </c>
      <c r="E780" s="16">
        <v>6</v>
      </c>
      <c r="F780" s="17">
        <f>Specification!$C$23*9.81*SIN((E780*PI()/180))</f>
        <v>574.70926095052266</v>
      </c>
      <c r="G780" s="18">
        <f>IF(J780=1,VLOOKUP(K780,RPM!$E$2:$H$62,3,FALSE)-F780-E780-D780,IF(J780=2,VLOOKUP(K780,RPM!$H$2:$K$62,3,FALSE)-F780-E780-D780,IF(J780=3,VLOOKUP(K780,RPM!$K$2:$N$62,3,FALSE)-F780-E780-D780)))</f>
        <v>107.77600334162695</v>
      </c>
      <c r="H780" s="19">
        <f>IF(J780=1,Specification!$I$14,IF(J780=2,Specification!$I$15,IF(J780=3,Specification!$I$16)))</f>
        <v>582.50936296077191</v>
      </c>
      <c r="I780" s="16">
        <f t="shared" si="141"/>
        <v>0</v>
      </c>
      <c r="J780" s="17">
        <v>2</v>
      </c>
      <c r="K780" s="16">
        <f>IF(J780=1,VLOOKUP(B780,RPM!$F$2:$H$62,3,TRUE),IF(J780=2,VLOOKUP(B780,RPM!$I$2:$K$62,3,TRUE),IF(J780=3,VLOOKUP(B780,RPM!$L$2:$N$62,3,TRUE))))</f>
        <v>7000</v>
      </c>
      <c r="L780" s="17">
        <f t="shared" si="140"/>
        <v>62.361119428826029</v>
      </c>
      <c r="M780" s="16">
        <f t="shared" si="143"/>
        <v>0.36730332443811742</v>
      </c>
      <c r="N780" s="17">
        <f>VLOOKUP(K780,RPM!$A$2:$D$62,3,FALSE)</f>
        <v>13</v>
      </c>
      <c r="O780" s="16">
        <f>VLOOKUP(K780,RPM!$A$2:$D$62,4,FALSE)</f>
        <v>13.235857142857142</v>
      </c>
      <c r="P780" s="17">
        <f t="shared" si="144"/>
        <v>9.8699786714285711</v>
      </c>
      <c r="Q780" s="16" cm="1">
        <f t="array" ref="Q780">_xlfn.XLOOKUP(O780,BSFC!$A$2:$A$24,_xlfn.XLOOKUP(K780,BSFC!$B$1:$O$1,BSFC!$B$2:$O$24,,-1),,-1)</f>
        <v>520</v>
      </c>
      <c r="R780" s="17">
        <f t="shared" si="145"/>
        <v>1.425663585873016</v>
      </c>
      <c r="S780" s="16">
        <f t="shared" si="146"/>
        <v>2.0443068048076269E-4</v>
      </c>
      <c r="T780" s="17">
        <f t="shared" si="149"/>
        <v>0.10630395384999659</v>
      </c>
      <c r="U780" s="16">
        <f t="shared" si="150"/>
        <v>102.61893941380384</v>
      </c>
      <c r="V780" s="17">
        <f t="shared" si="151"/>
        <v>0.21350651182474517</v>
      </c>
      <c r="W780" s="16">
        <f t="shared" si="147"/>
        <v>768623.4425690826</v>
      </c>
      <c r="X780">
        <f>('Hybrid Info'!$A$2-Track!P780)*(L780-L779)*1000+X779</f>
        <v>-17845.710549072817</v>
      </c>
    </row>
    <row r="781" spans="1:24">
      <c r="A781" s="16">
        <f t="shared" si="148"/>
        <v>780</v>
      </c>
      <c r="B781" s="17">
        <f t="shared" si="142"/>
        <v>13.411199999999999</v>
      </c>
      <c r="C781" s="16">
        <f>Specification!$G$29</f>
        <v>164.943378</v>
      </c>
      <c r="D781" s="17">
        <f>0.5*Specification!$K$4*Track!B781^2*Specification!$K$3*Specification!$K$2</f>
        <v>93.159842569492653</v>
      </c>
      <c r="E781" s="16">
        <v>7</v>
      </c>
      <c r="F781" s="17">
        <f>Specification!$C$23*9.81*SIN((E781*PI()/180))</f>
        <v>670.05137252956831</v>
      </c>
      <c r="G781" s="18">
        <f>IF(J781=1,VLOOKUP(K781,RPM!$E$2:$H$62,3,FALSE)-F781-E781-D781,IF(J781=2,VLOOKUP(K781,RPM!$H$2:$K$62,3,FALSE)-F781-E781-D781,IF(J781=3,VLOOKUP(K781,RPM!$K$2:$N$62,3,FALSE)-F781-E781-D781)))</f>
        <v>11.433891762581297</v>
      </c>
      <c r="H781" s="19">
        <f>IF(J781=1,Specification!$I$14,IF(J781=2,Specification!$I$15,IF(J781=3,Specification!$I$16)))</f>
        <v>582.50936296077191</v>
      </c>
      <c r="I781" s="16">
        <f t="shared" si="141"/>
        <v>0</v>
      </c>
      <c r="J781" s="17">
        <v>2</v>
      </c>
      <c r="K781" s="16">
        <f>IF(J781=1,VLOOKUP(B781,RPM!$F$2:$H$62,3,TRUE),IF(J781=2,VLOOKUP(B781,RPM!$I$2:$K$62,3,TRUE),IF(J781=3,VLOOKUP(B781,RPM!$L$2:$N$62,3,TRUE))))</f>
        <v>7000</v>
      </c>
      <c r="L781" s="17">
        <f t="shared" ref="L781:L844" si="152">IF(I781=0,ABS(1/B781)+L780,IF(ABS(B782-B781)=0,1/B781+L780,ABS((B782-B781)/I781)+L780))</f>
        <v>62.435683971894512</v>
      </c>
      <c r="M781" s="16">
        <f t="shared" si="143"/>
        <v>0.49008788534102199</v>
      </c>
      <c r="N781" s="17">
        <f>VLOOKUP(K781,RPM!$A$2:$D$62,3,FALSE)</f>
        <v>13</v>
      </c>
      <c r="O781" s="16">
        <f>VLOOKUP(K781,RPM!$A$2:$D$62,4,FALSE)</f>
        <v>13.235857142857142</v>
      </c>
      <c r="P781" s="17">
        <f t="shared" si="144"/>
        <v>9.8699786714285711</v>
      </c>
      <c r="Q781" s="16" cm="1">
        <f t="array" ref="Q781">_xlfn.XLOOKUP(O781,BSFC!$A$2:$A$24,_xlfn.XLOOKUP(K781,BSFC!$B$1:$O$1,BSFC!$B$2:$O$24,,-1),,-1)</f>
        <v>520</v>
      </c>
      <c r="R781" s="17">
        <f t="shared" si="145"/>
        <v>1.425663585873016</v>
      </c>
      <c r="S781" s="16">
        <f t="shared" si="146"/>
        <v>2.0443068048076269E-4</v>
      </c>
      <c r="T781" s="17">
        <f t="shared" si="149"/>
        <v>0.10630395384999659</v>
      </c>
      <c r="U781" s="16">
        <f t="shared" si="150"/>
        <v>102.72524336765385</v>
      </c>
      <c r="V781" s="17">
        <f t="shared" si="151"/>
        <v>0.21371094250522593</v>
      </c>
      <c r="W781" s="16">
        <f t="shared" si="147"/>
        <v>769359.39301881345</v>
      </c>
      <c r="X781">
        <f>('Hybrid Info'!$A$2-Track!P781)*(L781-L780)*1000+X780</f>
        <v>-17677.90484008655</v>
      </c>
    </row>
    <row r="782" spans="1:24">
      <c r="A782" s="16">
        <f t="shared" si="148"/>
        <v>781</v>
      </c>
      <c r="B782" s="17">
        <f t="shared" si="142"/>
        <v>13.411199999999999</v>
      </c>
      <c r="C782" s="16">
        <f>Specification!$G$29</f>
        <v>164.943378</v>
      </c>
      <c r="D782" s="17">
        <f>0.5*Specification!$K$4*Track!B782^2*Specification!$K$3*Specification!$K$2</f>
        <v>93.159842569492653</v>
      </c>
      <c r="E782" s="16">
        <v>8</v>
      </c>
      <c r="F782" s="17">
        <f>Specification!$C$23*9.81*SIN((E782*PI()/180))</f>
        <v>765.1893799696079</v>
      </c>
      <c r="G782" s="18">
        <f>IF(J782=1,VLOOKUP(K782,RPM!$E$2:$H$62,3,FALSE)-F782-E782-D782,IF(J782=2,VLOOKUP(K782,RPM!$H$2:$K$62,3,FALSE)-F782-E782-D782,IF(J782=3,VLOOKUP(K782,RPM!$K$2:$N$62,3,FALSE)-F782-E782-D782)))</f>
        <v>-84.70411567745829</v>
      </c>
      <c r="H782" s="19">
        <f>IF(J782=1,Specification!$I$14,IF(J782=2,Specification!$I$15,IF(J782=3,Specification!$I$16)))</f>
        <v>582.50936296077191</v>
      </c>
      <c r="I782" s="16">
        <f t="shared" si="141"/>
        <v>0</v>
      </c>
      <c r="J782" s="17">
        <v>2</v>
      </c>
      <c r="K782" s="16">
        <f>IF(J782=1,VLOOKUP(B782,RPM!$F$2:$H$62,3,TRUE),IF(J782=2,VLOOKUP(B782,RPM!$I$2:$K$62,3,TRUE),IF(J782=3,VLOOKUP(B782,RPM!$L$2:$N$62,3,TRUE))))</f>
        <v>7000</v>
      </c>
      <c r="L782" s="17">
        <f t="shared" si="152"/>
        <v>62.510248514962996</v>
      </c>
      <c r="M782" s="16">
        <f t="shared" si="143"/>
        <v>0.63062872004341342</v>
      </c>
      <c r="N782" s="17">
        <f>VLOOKUP(K782,RPM!$A$2:$D$62,3,FALSE)</f>
        <v>13</v>
      </c>
      <c r="O782" s="16">
        <f>VLOOKUP(K782,RPM!$A$2:$D$62,4,FALSE)</f>
        <v>13.235857142857142</v>
      </c>
      <c r="P782" s="17">
        <f t="shared" si="144"/>
        <v>9.8699786714285711</v>
      </c>
      <c r="Q782" s="16" cm="1">
        <f t="array" ref="Q782">_xlfn.XLOOKUP(O782,BSFC!$A$2:$A$24,_xlfn.XLOOKUP(K782,BSFC!$B$1:$O$1,BSFC!$B$2:$O$24,,-1),,-1)</f>
        <v>520</v>
      </c>
      <c r="R782" s="17">
        <f t="shared" si="145"/>
        <v>1.425663585873016</v>
      </c>
      <c r="S782" s="16">
        <f t="shared" si="146"/>
        <v>2.0443068048076269E-4</v>
      </c>
      <c r="T782" s="17">
        <f t="shared" si="149"/>
        <v>0.10630395384999659</v>
      </c>
      <c r="U782" s="16">
        <f t="shared" si="150"/>
        <v>102.83154732150385</v>
      </c>
      <c r="V782" s="17">
        <f t="shared" si="151"/>
        <v>0.21391537318570669</v>
      </c>
      <c r="W782" s="16">
        <f t="shared" si="147"/>
        <v>770095.34346854407</v>
      </c>
      <c r="X782">
        <f>('Hybrid Info'!$A$2-Track!P782)*(L782-L781)*1000+X781</f>
        <v>-17510.099131100284</v>
      </c>
    </row>
    <row r="783" spans="1:24">
      <c r="A783" s="16">
        <f t="shared" si="148"/>
        <v>782</v>
      </c>
      <c r="B783" s="17">
        <f t="shared" si="142"/>
        <v>13.411199999999999</v>
      </c>
      <c r="C783" s="16">
        <f>Specification!$G$29</f>
        <v>164.943378</v>
      </c>
      <c r="D783" s="17">
        <f>0.5*Specification!$K$4*Track!B783^2*Specification!$K$3*Specification!$K$2</f>
        <v>93.159842569492653</v>
      </c>
      <c r="E783" s="16">
        <v>8</v>
      </c>
      <c r="F783" s="17">
        <f>Specification!$C$23*9.81*SIN((E783*PI()/180))</f>
        <v>765.1893799696079</v>
      </c>
      <c r="G783" s="18">
        <f>IF(J783=1,VLOOKUP(K783,RPM!$E$2:$H$62,3,FALSE)-F783-E783-D783,IF(J783=2,VLOOKUP(K783,RPM!$H$2:$K$62,3,FALSE)-F783-E783-D783,IF(J783=3,VLOOKUP(K783,RPM!$K$2:$N$62,3,FALSE)-F783-E783-D783)))</f>
        <v>-84.70411567745829</v>
      </c>
      <c r="H783" s="19">
        <f>IF(J783=1,Specification!$I$14,IF(J783=2,Specification!$I$15,IF(J783=3,Specification!$I$16)))</f>
        <v>582.50936296077191</v>
      </c>
      <c r="I783" s="16">
        <f t="shared" si="141"/>
        <v>0</v>
      </c>
      <c r="J783" s="17">
        <v>2</v>
      </c>
      <c r="K783" s="16">
        <f>IF(J783=1,VLOOKUP(B783,RPM!$F$2:$H$62,3,TRUE),IF(J783=2,VLOOKUP(B783,RPM!$I$2:$K$62,3,TRUE),IF(J783=3,VLOOKUP(B783,RPM!$L$2:$N$62,3,TRUE))))</f>
        <v>7000</v>
      </c>
      <c r="L783" s="17">
        <f t="shared" si="152"/>
        <v>62.584813058031479</v>
      </c>
      <c r="M783" s="16">
        <f t="shared" si="143"/>
        <v>0.77116955474580484</v>
      </c>
      <c r="N783" s="17">
        <f>VLOOKUP(K783,RPM!$A$2:$D$62,3,FALSE)</f>
        <v>13</v>
      </c>
      <c r="O783" s="16">
        <f>VLOOKUP(K783,RPM!$A$2:$D$62,4,FALSE)</f>
        <v>13.235857142857142</v>
      </c>
      <c r="P783" s="17">
        <f t="shared" si="144"/>
        <v>9.8699786714285711</v>
      </c>
      <c r="Q783" s="16" cm="1">
        <f t="array" ref="Q783">_xlfn.XLOOKUP(O783,BSFC!$A$2:$A$24,_xlfn.XLOOKUP(K783,BSFC!$B$1:$O$1,BSFC!$B$2:$O$24,,-1),,-1)</f>
        <v>520</v>
      </c>
      <c r="R783" s="17">
        <f t="shared" si="145"/>
        <v>1.425663585873016</v>
      </c>
      <c r="S783" s="16">
        <f t="shared" si="146"/>
        <v>2.0443068048076269E-4</v>
      </c>
      <c r="T783" s="17">
        <f t="shared" si="149"/>
        <v>0.10630395384999659</v>
      </c>
      <c r="U783" s="16">
        <f t="shared" si="150"/>
        <v>102.93785127535385</v>
      </c>
      <c r="V783" s="17">
        <f t="shared" si="151"/>
        <v>0.21411980386618745</v>
      </c>
      <c r="W783" s="16">
        <f t="shared" si="147"/>
        <v>770831.29391827481</v>
      </c>
      <c r="X783">
        <f>('Hybrid Info'!$A$2-Track!P783)*(L783-L782)*1000+X782</f>
        <v>-17342.293422114017</v>
      </c>
    </row>
    <row r="784" spans="1:24">
      <c r="A784" s="16">
        <f t="shared" si="148"/>
        <v>783</v>
      </c>
      <c r="B784" s="17">
        <f t="shared" si="142"/>
        <v>13.411199999999999</v>
      </c>
      <c r="C784" s="16">
        <f>Specification!$G$29</f>
        <v>164.943378</v>
      </c>
      <c r="D784" s="17">
        <f>0.5*Specification!$K$4*Track!B784^2*Specification!$K$3*Specification!$K$2</f>
        <v>93.159842569492653</v>
      </c>
      <c r="E784" s="16">
        <v>8</v>
      </c>
      <c r="F784" s="17">
        <f>Specification!$C$23*9.81*SIN((E784*PI()/180))</f>
        <v>765.1893799696079</v>
      </c>
      <c r="G784" s="18">
        <f>IF(J784=1,VLOOKUP(K784,RPM!$E$2:$H$62,3,FALSE)-F784-E784-D784,IF(J784=2,VLOOKUP(K784,RPM!$H$2:$K$62,3,FALSE)-F784-E784-D784,IF(J784=3,VLOOKUP(K784,RPM!$K$2:$N$62,3,FALSE)-F784-E784-D784)))</f>
        <v>-84.70411567745829</v>
      </c>
      <c r="H784" s="19">
        <f>IF(J784=1,Specification!$I$14,IF(J784=2,Specification!$I$15,IF(J784=3,Specification!$I$16)))</f>
        <v>582.50936296077191</v>
      </c>
      <c r="I784" s="16">
        <f t="shared" si="141"/>
        <v>0</v>
      </c>
      <c r="J784" s="17">
        <v>2</v>
      </c>
      <c r="K784" s="16">
        <f>IF(J784=1,VLOOKUP(B784,RPM!$F$2:$H$62,3,TRUE),IF(J784=2,VLOOKUP(B784,RPM!$I$2:$K$62,3,TRUE),IF(J784=3,VLOOKUP(B784,RPM!$L$2:$N$62,3,TRUE))))</f>
        <v>7000</v>
      </c>
      <c r="L784" s="17">
        <f t="shared" si="152"/>
        <v>62.659377601099962</v>
      </c>
      <c r="M784" s="16">
        <f t="shared" si="143"/>
        <v>0.91171038944819627</v>
      </c>
      <c r="N784" s="17">
        <f>VLOOKUP(K784,RPM!$A$2:$D$62,3,FALSE)</f>
        <v>13</v>
      </c>
      <c r="O784" s="16">
        <f>VLOOKUP(K784,RPM!$A$2:$D$62,4,FALSE)</f>
        <v>13.235857142857142</v>
      </c>
      <c r="P784" s="17">
        <f t="shared" si="144"/>
        <v>9.8699786714285711</v>
      </c>
      <c r="Q784" s="16" cm="1">
        <f t="array" ref="Q784">_xlfn.XLOOKUP(O784,BSFC!$A$2:$A$24,_xlfn.XLOOKUP(K784,BSFC!$B$1:$O$1,BSFC!$B$2:$O$24,,-1),,-1)</f>
        <v>520</v>
      </c>
      <c r="R784" s="17">
        <f t="shared" si="145"/>
        <v>1.425663585873016</v>
      </c>
      <c r="S784" s="16">
        <f t="shared" si="146"/>
        <v>2.0443068048076269E-4</v>
      </c>
      <c r="T784" s="17">
        <f t="shared" si="149"/>
        <v>0.10630395384999659</v>
      </c>
      <c r="U784" s="16">
        <f t="shared" si="150"/>
        <v>103.04415522920385</v>
      </c>
      <c r="V784" s="17">
        <f t="shared" si="151"/>
        <v>0.21432423454666821</v>
      </c>
      <c r="W784" s="16">
        <f t="shared" si="147"/>
        <v>771567.24436800554</v>
      </c>
      <c r="X784">
        <f>('Hybrid Info'!$A$2-Track!P784)*(L784-L783)*1000+X783</f>
        <v>-17174.48771312775</v>
      </c>
    </row>
    <row r="785" spans="1:24">
      <c r="A785" s="16">
        <f t="shared" si="148"/>
        <v>784</v>
      </c>
      <c r="B785" s="17">
        <f t="shared" si="142"/>
        <v>13.411199999999999</v>
      </c>
      <c r="C785" s="16">
        <f>Specification!$G$29</f>
        <v>164.943378</v>
      </c>
      <c r="D785" s="17">
        <f>0.5*Specification!$K$4*Track!B785^2*Specification!$K$3*Specification!$K$2</f>
        <v>93.159842569492653</v>
      </c>
      <c r="E785" s="16">
        <v>8</v>
      </c>
      <c r="F785" s="17">
        <f>Specification!$C$23*9.81*SIN((E785*PI()/180))</f>
        <v>765.1893799696079</v>
      </c>
      <c r="G785" s="18">
        <f>IF(J785=1,VLOOKUP(K785,RPM!$E$2:$H$62,3,FALSE)-F785-E785-D785,IF(J785=2,VLOOKUP(K785,RPM!$H$2:$K$62,3,FALSE)-F785-E785-D785,IF(J785=3,VLOOKUP(K785,RPM!$K$2:$N$62,3,FALSE)-F785-E785-D785)))</f>
        <v>-84.70411567745829</v>
      </c>
      <c r="H785" s="19">
        <f>IF(J785=1,Specification!$I$14,IF(J785=2,Specification!$I$15,IF(J785=3,Specification!$I$16)))</f>
        <v>582.50936296077191</v>
      </c>
      <c r="I785" s="16">
        <f t="shared" si="141"/>
        <v>0</v>
      </c>
      <c r="J785" s="17">
        <v>2</v>
      </c>
      <c r="K785" s="16">
        <f>IF(J785=1,VLOOKUP(B785,RPM!$F$2:$H$62,3,TRUE),IF(J785=2,VLOOKUP(B785,RPM!$I$2:$K$62,3,TRUE),IF(J785=3,VLOOKUP(B785,RPM!$L$2:$N$62,3,TRUE))))</f>
        <v>7000</v>
      </c>
      <c r="L785" s="17">
        <f t="shared" si="152"/>
        <v>62.733942144168445</v>
      </c>
      <c r="M785" s="16">
        <f t="shared" si="143"/>
        <v>1.0522512241505877</v>
      </c>
      <c r="N785" s="17">
        <f>VLOOKUP(K785,RPM!$A$2:$D$62,3,FALSE)</f>
        <v>13</v>
      </c>
      <c r="O785" s="16">
        <f>VLOOKUP(K785,RPM!$A$2:$D$62,4,FALSE)</f>
        <v>13.235857142857142</v>
      </c>
      <c r="P785" s="17">
        <f t="shared" si="144"/>
        <v>9.8699786714285711</v>
      </c>
      <c r="Q785" s="16" cm="1">
        <f t="array" ref="Q785">_xlfn.XLOOKUP(O785,BSFC!$A$2:$A$24,_xlfn.XLOOKUP(K785,BSFC!$B$1:$O$1,BSFC!$B$2:$O$24,,-1),,-1)</f>
        <v>520</v>
      </c>
      <c r="R785" s="17">
        <f t="shared" si="145"/>
        <v>1.425663585873016</v>
      </c>
      <c r="S785" s="16">
        <f t="shared" si="146"/>
        <v>2.0443068048076269E-4</v>
      </c>
      <c r="T785" s="17">
        <f t="shared" si="149"/>
        <v>0.10630395384999659</v>
      </c>
      <c r="U785" s="16">
        <f t="shared" si="150"/>
        <v>103.15045918305385</v>
      </c>
      <c r="V785" s="17">
        <f t="shared" si="151"/>
        <v>0.21452866522714897</v>
      </c>
      <c r="W785" s="16">
        <f t="shared" si="147"/>
        <v>772303.19481773628</v>
      </c>
      <c r="X785">
        <f>('Hybrid Info'!$A$2-Track!P785)*(L785-L784)*1000+X784</f>
        <v>-17006.682004141483</v>
      </c>
    </row>
    <row r="786" spans="1:24">
      <c r="A786" s="16">
        <f t="shared" si="148"/>
        <v>785</v>
      </c>
      <c r="B786" s="17">
        <f t="shared" si="142"/>
        <v>13.411199999999999</v>
      </c>
      <c r="C786" s="16">
        <f>Specification!$G$29</f>
        <v>164.943378</v>
      </c>
      <c r="D786" s="17">
        <f>0.5*Specification!$K$4*Track!B786^2*Specification!$K$3*Specification!$K$2</f>
        <v>93.159842569492653</v>
      </c>
      <c r="E786" s="16">
        <v>8</v>
      </c>
      <c r="F786" s="17">
        <f>Specification!$C$23*9.81*SIN((E786*PI()/180))</f>
        <v>765.1893799696079</v>
      </c>
      <c r="G786" s="18">
        <f>IF(J786=1,VLOOKUP(K786,RPM!$E$2:$H$62,3,FALSE)-F786-E786-D786,IF(J786=2,VLOOKUP(K786,RPM!$H$2:$K$62,3,FALSE)-F786-E786-D786,IF(J786=3,VLOOKUP(K786,RPM!$K$2:$N$62,3,FALSE)-F786-E786-D786)))</f>
        <v>-84.70411567745829</v>
      </c>
      <c r="H786" s="19">
        <f>IF(J786=1,Specification!$I$14,IF(J786=2,Specification!$I$15,IF(J786=3,Specification!$I$16)))</f>
        <v>582.50936296077191</v>
      </c>
      <c r="I786" s="16">
        <f t="shared" si="141"/>
        <v>0</v>
      </c>
      <c r="J786" s="17">
        <v>2</v>
      </c>
      <c r="K786" s="16">
        <f>IF(J786=1,VLOOKUP(B786,RPM!$F$2:$H$62,3,TRUE),IF(J786=2,VLOOKUP(B786,RPM!$I$2:$K$62,3,TRUE),IF(J786=3,VLOOKUP(B786,RPM!$L$2:$N$62,3,TRUE))))</f>
        <v>7000</v>
      </c>
      <c r="L786" s="17">
        <f t="shared" si="152"/>
        <v>62.808506687236928</v>
      </c>
      <c r="M786" s="16">
        <f t="shared" si="143"/>
        <v>1.1927920588529792</v>
      </c>
      <c r="N786" s="17">
        <f>VLOOKUP(K786,RPM!$A$2:$D$62,3,FALSE)</f>
        <v>13</v>
      </c>
      <c r="O786" s="16">
        <f>VLOOKUP(K786,RPM!$A$2:$D$62,4,FALSE)</f>
        <v>13.235857142857142</v>
      </c>
      <c r="P786" s="17">
        <f t="shared" si="144"/>
        <v>9.8699786714285711</v>
      </c>
      <c r="Q786" s="16" cm="1">
        <f t="array" ref="Q786">_xlfn.XLOOKUP(O786,BSFC!$A$2:$A$24,_xlfn.XLOOKUP(K786,BSFC!$B$1:$O$1,BSFC!$B$2:$O$24,,-1),,-1)</f>
        <v>520</v>
      </c>
      <c r="R786" s="17">
        <f t="shared" si="145"/>
        <v>1.425663585873016</v>
      </c>
      <c r="S786" s="16">
        <f t="shared" si="146"/>
        <v>2.0443068048076269E-4</v>
      </c>
      <c r="T786" s="17">
        <f t="shared" si="149"/>
        <v>0.10630395384999659</v>
      </c>
      <c r="U786" s="16">
        <f t="shared" si="150"/>
        <v>103.25676313690386</v>
      </c>
      <c r="V786" s="17">
        <f t="shared" si="151"/>
        <v>0.21473309590762973</v>
      </c>
      <c r="W786" s="16">
        <f t="shared" si="147"/>
        <v>773039.14526746713</v>
      </c>
      <c r="X786">
        <f>('Hybrid Info'!$A$2-Track!P786)*(L786-L785)*1000+X785</f>
        <v>-16838.876295155216</v>
      </c>
    </row>
    <row r="787" spans="1:24">
      <c r="A787" s="16">
        <f t="shared" si="148"/>
        <v>786</v>
      </c>
      <c r="B787" s="17">
        <f t="shared" si="142"/>
        <v>13.411199999999999</v>
      </c>
      <c r="C787" s="16">
        <f>Specification!$G$29</f>
        <v>164.943378</v>
      </c>
      <c r="D787" s="17">
        <f>0.5*Specification!$K$4*Track!B787^2*Specification!$K$3*Specification!$K$2</f>
        <v>93.159842569492653</v>
      </c>
      <c r="E787" s="16">
        <v>8</v>
      </c>
      <c r="F787" s="17">
        <f>Specification!$C$23*9.81*SIN((E787*PI()/180))</f>
        <v>765.1893799696079</v>
      </c>
      <c r="G787" s="18">
        <f>IF(J787=1,VLOOKUP(K787,RPM!$E$2:$H$62,3,FALSE)-F787-E787-D787,IF(J787=2,VLOOKUP(K787,RPM!$H$2:$K$62,3,FALSE)-F787-E787-D787,IF(J787=3,VLOOKUP(K787,RPM!$K$2:$N$62,3,FALSE)-F787-E787-D787)))</f>
        <v>-84.70411567745829</v>
      </c>
      <c r="H787" s="19">
        <f>IF(J787=1,Specification!$I$14,IF(J787=2,Specification!$I$15,IF(J787=3,Specification!$I$16)))</f>
        <v>582.50936296077191</v>
      </c>
      <c r="I787" s="16">
        <f t="shared" si="141"/>
        <v>0</v>
      </c>
      <c r="J787" s="17">
        <v>2</v>
      </c>
      <c r="K787" s="16">
        <f>IF(J787=1,VLOOKUP(B787,RPM!$F$2:$H$62,3,TRUE),IF(J787=2,VLOOKUP(B787,RPM!$I$2:$K$62,3,TRUE),IF(J787=3,VLOOKUP(B787,RPM!$L$2:$N$62,3,TRUE))))</f>
        <v>7000</v>
      </c>
      <c r="L787" s="17">
        <f t="shared" si="152"/>
        <v>62.883071230305411</v>
      </c>
      <c r="M787" s="16">
        <f t="shared" si="143"/>
        <v>1.3333328935553708</v>
      </c>
      <c r="N787" s="17">
        <f>VLOOKUP(K787,RPM!$A$2:$D$62,3,FALSE)</f>
        <v>13</v>
      </c>
      <c r="O787" s="16">
        <f>VLOOKUP(K787,RPM!$A$2:$D$62,4,FALSE)</f>
        <v>13.235857142857142</v>
      </c>
      <c r="P787" s="17">
        <f t="shared" si="144"/>
        <v>9.8699786714285711</v>
      </c>
      <c r="Q787" s="16" cm="1">
        <f t="array" ref="Q787">_xlfn.XLOOKUP(O787,BSFC!$A$2:$A$24,_xlfn.XLOOKUP(K787,BSFC!$B$1:$O$1,BSFC!$B$2:$O$24,,-1),,-1)</f>
        <v>520</v>
      </c>
      <c r="R787" s="17">
        <f t="shared" si="145"/>
        <v>1.425663585873016</v>
      </c>
      <c r="S787" s="16">
        <f t="shared" si="146"/>
        <v>2.0443068048076269E-4</v>
      </c>
      <c r="T787" s="17">
        <f t="shared" si="149"/>
        <v>0.10630395384999659</v>
      </c>
      <c r="U787" s="16">
        <f t="shared" si="150"/>
        <v>103.36306709075386</v>
      </c>
      <c r="V787" s="17">
        <f t="shared" si="151"/>
        <v>0.21493752658811049</v>
      </c>
      <c r="W787" s="16">
        <f t="shared" si="147"/>
        <v>773775.09571719775</v>
      </c>
      <c r="X787">
        <f>('Hybrid Info'!$A$2-Track!P787)*(L787-L786)*1000+X786</f>
        <v>-16671.070586168949</v>
      </c>
    </row>
    <row r="788" spans="1:24">
      <c r="A788" s="16">
        <f t="shared" si="148"/>
        <v>787</v>
      </c>
      <c r="B788" s="17">
        <f t="shared" si="142"/>
        <v>13.411199999999999</v>
      </c>
      <c r="C788" s="16">
        <f>Specification!$G$29</f>
        <v>164.943378</v>
      </c>
      <c r="D788" s="17">
        <f>0.5*Specification!$K$4*Track!B788^2*Specification!$K$3*Specification!$K$2</f>
        <v>93.159842569492653</v>
      </c>
      <c r="E788" s="16">
        <v>8</v>
      </c>
      <c r="F788" s="17">
        <f>Specification!$C$23*9.81*SIN((E788*PI()/180))</f>
        <v>765.1893799696079</v>
      </c>
      <c r="G788" s="18">
        <f>IF(J788=1,VLOOKUP(K788,RPM!$E$2:$H$62,3,FALSE)-F788-E788-D788,IF(J788=2,VLOOKUP(K788,RPM!$H$2:$K$62,3,FALSE)-F788-E788-D788,IF(J788=3,VLOOKUP(K788,RPM!$K$2:$N$62,3,FALSE)-F788-E788-D788)))</f>
        <v>-84.70411567745829</v>
      </c>
      <c r="H788" s="19">
        <f>IF(J788=1,Specification!$I$14,IF(J788=2,Specification!$I$15,IF(J788=3,Specification!$I$16)))</f>
        <v>582.50936296077191</v>
      </c>
      <c r="I788" s="16">
        <f t="shared" si="141"/>
        <v>0</v>
      </c>
      <c r="J788" s="17">
        <v>2</v>
      </c>
      <c r="K788" s="16">
        <f>IF(J788=1,VLOOKUP(B788,RPM!$F$2:$H$62,3,TRUE),IF(J788=2,VLOOKUP(B788,RPM!$I$2:$K$62,3,TRUE),IF(J788=3,VLOOKUP(B788,RPM!$L$2:$N$62,3,TRUE))))</f>
        <v>7000</v>
      </c>
      <c r="L788" s="17">
        <f t="shared" si="152"/>
        <v>62.957635773373894</v>
      </c>
      <c r="M788" s="16">
        <f t="shared" si="143"/>
        <v>1.4738737282577623</v>
      </c>
      <c r="N788" s="17">
        <f>VLOOKUP(K788,RPM!$A$2:$D$62,3,FALSE)</f>
        <v>13</v>
      </c>
      <c r="O788" s="16">
        <f>VLOOKUP(K788,RPM!$A$2:$D$62,4,FALSE)</f>
        <v>13.235857142857142</v>
      </c>
      <c r="P788" s="17">
        <f t="shared" si="144"/>
        <v>9.8699786714285711</v>
      </c>
      <c r="Q788" s="16" cm="1">
        <f t="array" ref="Q788">_xlfn.XLOOKUP(O788,BSFC!$A$2:$A$24,_xlfn.XLOOKUP(K788,BSFC!$B$1:$O$1,BSFC!$B$2:$O$24,,-1),,-1)</f>
        <v>520</v>
      </c>
      <c r="R788" s="17">
        <f t="shared" si="145"/>
        <v>1.425663585873016</v>
      </c>
      <c r="S788" s="16">
        <f t="shared" si="146"/>
        <v>2.0443068048076269E-4</v>
      </c>
      <c r="T788" s="17">
        <f t="shared" si="149"/>
        <v>0.10630395384999659</v>
      </c>
      <c r="U788" s="16">
        <f t="shared" si="150"/>
        <v>103.46937104460386</v>
      </c>
      <c r="V788" s="17">
        <f t="shared" si="151"/>
        <v>0.21514195726859126</v>
      </c>
      <c r="W788" s="16">
        <f t="shared" si="147"/>
        <v>774511.04616692849</v>
      </c>
      <c r="X788">
        <f>('Hybrid Info'!$A$2-Track!P788)*(L788-L787)*1000+X787</f>
        <v>-16503.264877182683</v>
      </c>
    </row>
    <row r="789" spans="1:24">
      <c r="A789" s="16">
        <f t="shared" si="148"/>
        <v>788</v>
      </c>
      <c r="B789" s="17">
        <f t="shared" si="142"/>
        <v>13.411199999999999</v>
      </c>
      <c r="C789" s="16">
        <f>Specification!$G$29</f>
        <v>164.943378</v>
      </c>
      <c r="D789" s="17">
        <f>0.5*Specification!$K$4*Track!B789^2*Specification!$K$3*Specification!$K$2</f>
        <v>93.159842569492653</v>
      </c>
      <c r="E789" s="16">
        <v>8</v>
      </c>
      <c r="F789" s="17">
        <f>Specification!$C$23*9.81*SIN((E789*PI()/180))</f>
        <v>765.1893799696079</v>
      </c>
      <c r="G789" s="18">
        <f>IF(J789=1,VLOOKUP(K789,RPM!$E$2:$H$62,3,FALSE)-F789-E789-D789,IF(J789=2,VLOOKUP(K789,RPM!$H$2:$K$62,3,FALSE)-F789-E789-D789,IF(J789=3,VLOOKUP(K789,RPM!$K$2:$N$62,3,FALSE)-F789-E789-D789)))</f>
        <v>-84.70411567745829</v>
      </c>
      <c r="H789" s="19">
        <f>IF(J789=1,Specification!$I$14,IF(J789=2,Specification!$I$15,IF(J789=3,Specification!$I$16)))</f>
        <v>582.50936296077191</v>
      </c>
      <c r="I789" s="16">
        <f t="shared" si="141"/>
        <v>0</v>
      </c>
      <c r="J789" s="17">
        <v>2</v>
      </c>
      <c r="K789" s="16">
        <f>IF(J789=1,VLOOKUP(B789,RPM!$F$2:$H$62,3,TRUE),IF(J789=2,VLOOKUP(B789,RPM!$I$2:$K$62,3,TRUE),IF(J789=3,VLOOKUP(B789,RPM!$L$2:$N$62,3,TRUE))))</f>
        <v>7000</v>
      </c>
      <c r="L789" s="17">
        <f t="shared" si="152"/>
        <v>63.032200316442378</v>
      </c>
      <c r="M789" s="16">
        <f t="shared" si="143"/>
        <v>1.6144145629601538</v>
      </c>
      <c r="N789" s="17">
        <f>VLOOKUP(K789,RPM!$A$2:$D$62,3,FALSE)</f>
        <v>13</v>
      </c>
      <c r="O789" s="16">
        <f>VLOOKUP(K789,RPM!$A$2:$D$62,4,FALSE)</f>
        <v>13.235857142857142</v>
      </c>
      <c r="P789" s="17">
        <f t="shared" si="144"/>
        <v>9.8699786714285711</v>
      </c>
      <c r="Q789" s="16" cm="1">
        <f t="array" ref="Q789">_xlfn.XLOOKUP(O789,BSFC!$A$2:$A$24,_xlfn.XLOOKUP(K789,BSFC!$B$1:$O$1,BSFC!$B$2:$O$24,,-1),,-1)</f>
        <v>520</v>
      </c>
      <c r="R789" s="17">
        <f t="shared" si="145"/>
        <v>1.425663585873016</v>
      </c>
      <c r="S789" s="16">
        <f t="shared" si="146"/>
        <v>2.0443068048076269E-4</v>
      </c>
      <c r="T789" s="17">
        <f t="shared" si="149"/>
        <v>0.10630395384999659</v>
      </c>
      <c r="U789" s="16">
        <f t="shared" si="150"/>
        <v>103.57567499845386</v>
      </c>
      <c r="V789" s="17">
        <f t="shared" si="151"/>
        <v>0.21534638794907202</v>
      </c>
      <c r="W789" s="16">
        <f t="shared" si="147"/>
        <v>775246.99661665922</v>
      </c>
      <c r="X789">
        <f>('Hybrid Info'!$A$2-Track!P789)*(L789-L788)*1000+X788</f>
        <v>-16335.459168196414</v>
      </c>
    </row>
    <row r="790" spans="1:24">
      <c r="A790" s="16">
        <f t="shared" si="148"/>
        <v>789</v>
      </c>
      <c r="B790" s="17">
        <f t="shared" si="142"/>
        <v>13.411199999999999</v>
      </c>
      <c r="C790" s="16">
        <f>Specification!$G$29</f>
        <v>164.943378</v>
      </c>
      <c r="D790" s="17">
        <f>0.5*Specification!$K$4*Track!B790^2*Specification!$K$3*Specification!$K$2</f>
        <v>93.159842569492653</v>
      </c>
      <c r="E790" s="16">
        <v>8</v>
      </c>
      <c r="F790" s="17">
        <f>Specification!$C$23*9.81*SIN((E790*PI()/180))</f>
        <v>765.1893799696079</v>
      </c>
      <c r="G790" s="18">
        <f>IF(J790=1,VLOOKUP(K790,RPM!$E$2:$H$62,3,FALSE)-F790-E790-D790,IF(J790=2,VLOOKUP(K790,RPM!$H$2:$K$62,3,FALSE)-F790-E790-D790,IF(J790=3,VLOOKUP(K790,RPM!$K$2:$N$62,3,FALSE)-F790-E790-D790)))</f>
        <v>-84.70411567745829</v>
      </c>
      <c r="H790" s="19">
        <f>IF(J790=1,Specification!$I$14,IF(J790=2,Specification!$I$15,IF(J790=3,Specification!$I$16)))</f>
        <v>582.50936296077191</v>
      </c>
      <c r="I790" s="16">
        <f t="shared" si="141"/>
        <v>0</v>
      </c>
      <c r="J790" s="17">
        <v>2</v>
      </c>
      <c r="K790" s="16">
        <f>IF(J790=1,VLOOKUP(B790,RPM!$F$2:$H$62,3,TRUE),IF(J790=2,VLOOKUP(B790,RPM!$I$2:$K$62,3,TRUE),IF(J790=3,VLOOKUP(B790,RPM!$L$2:$N$62,3,TRUE))))</f>
        <v>7000</v>
      </c>
      <c r="L790" s="17">
        <f t="shared" si="152"/>
        <v>63.106764859510861</v>
      </c>
      <c r="M790" s="16">
        <f t="shared" si="143"/>
        <v>1.7549553976625454</v>
      </c>
      <c r="N790" s="17">
        <f>VLOOKUP(K790,RPM!$A$2:$D$62,3,FALSE)</f>
        <v>13</v>
      </c>
      <c r="O790" s="16">
        <f>VLOOKUP(K790,RPM!$A$2:$D$62,4,FALSE)</f>
        <v>13.235857142857142</v>
      </c>
      <c r="P790" s="17">
        <f t="shared" si="144"/>
        <v>9.8699786714285711</v>
      </c>
      <c r="Q790" s="16" cm="1">
        <f t="array" ref="Q790">_xlfn.XLOOKUP(O790,BSFC!$A$2:$A$24,_xlfn.XLOOKUP(K790,BSFC!$B$1:$O$1,BSFC!$B$2:$O$24,,-1),,-1)</f>
        <v>520</v>
      </c>
      <c r="R790" s="17">
        <f t="shared" si="145"/>
        <v>1.425663585873016</v>
      </c>
      <c r="S790" s="16">
        <f t="shared" si="146"/>
        <v>2.0443068048076269E-4</v>
      </c>
      <c r="T790" s="17">
        <f t="shared" si="149"/>
        <v>0.10630395384999659</v>
      </c>
      <c r="U790" s="16">
        <f t="shared" si="150"/>
        <v>103.68197895230387</v>
      </c>
      <c r="V790" s="17">
        <f t="shared" si="151"/>
        <v>0.21555081862955278</v>
      </c>
      <c r="W790" s="16">
        <f t="shared" si="147"/>
        <v>775982.94706638996</v>
      </c>
      <c r="X790">
        <f>('Hybrid Info'!$A$2-Track!P790)*(L790-L789)*1000+X789</f>
        <v>-16167.653459210145</v>
      </c>
    </row>
    <row r="791" spans="1:24">
      <c r="A791" s="16">
        <f t="shared" si="148"/>
        <v>790</v>
      </c>
      <c r="B791" s="17">
        <f t="shared" si="142"/>
        <v>13.411199999999999</v>
      </c>
      <c r="C791" s="16">
        <f>Specification!$G$29</f>
        <v>164.943378</v>
      </c>
      <c r="D791" s="17">
        <f>0.5*Specification!$K$4*Track!B791^2*Specification!$K$3*Specification!$K$2</f>
        <v>93.159842569492653</v>
      </c>
      <c r="E791" s="16">
        <v>8</v>
      </c>
      <c r="F791" s="17">
        <f>Specification!$C$23*9.81*SIN((E791*PI()/180))</f>
        <v>765.1893799696079</v>
      </c>
      <c r="G791" s="18">
        <f>IF(J791=1,VLOOKUP(K791,RPM!$E$2:$H$62,3,FALSE)-F791-E791-D791,IF(J791=2,VLOOKUP(K791,RPM!$H$2:$K$62,3,FALSE)-F791-E791-D791,IF(J791=3,VLOOKUP(K791,RPM!$K$2:$N$62,3,FALSE)-F791-E791-D791)))</f>
        <v>-84.70411567745829</v>
      </c>
      <c r="H791" s="19">
        <f>IF(J791=1,Specification!$I$14,IF(J791=2,Specification!$I$15,IF(J791=3,Specification!$I$16)))</f>
        <v>582.50936296077191</v>
      </c>
      <c r="I791" s="16">
        <f t="shared" si="141"/>
        <v>0</v>
      </c>
      <c r="J791" s="17">
        <v>2</v>
      </c>
      <c r="K791" s="16">
        <f>IF(J791=1,VLOOKUP(B791,RPM!$F$2:$H$62,3,TRUE),IF(J791=2,VLOOKUP(B791,RPM!$I$2:$K$62,3,TRUE),IF(J791=3,VLOOKUP(B791,RPM!$L$2:$N$62,3,TRUE))))</f>
        <v>7000</v>
      </c>
      <c r="L791" s="17">
        <f t="shared" si="152"/>
        <v>63.181329402579344</v>
      </c>
      <c r="M791" s="16">
        <f t="shared" si="143"/>
        <v>1.8954962323649369</v>
      </c>
      <c r="N791" s="17">
        <f>VLOOKUP(K791,RPM!$A$2:$D$62,3,FALSE)</f>
        <v>13</v>
      </c>
      <c r="O791" s="16">
        <f>VLOOKUP(K791,RPM!$A$2:$D$62,4,FALSE)</f>
        <v>13.235857142857142</v>
      </c>
      <c r="P791" s="17">
        <f t="shared" si="144"/>
        <v>9.8699786714285711</v>
      </c>
      <c r="Q791" s="16" cm="1">
        <f t="array" ref="Q791">_xlfn.XLOOKUP(O791,BSFC!$A$2:$A$24,_xlfn.XLOOKUP(K791,BSFC!$B$1:$O$1,BSFC!$B$2:$O$24,,-1),,-1)</f>
        <v>520</v>
      </c>
      <c r="R791" s="17">
        <f t="shared" si="145"/>
        <v>1.425663585873016</v>
      </c>
      <c r="S791" s="16">
        <f t="shared" si="146"/>
        <v>2.0443068048076269E-4</v>
      </c>
      <c r="T791" s="17">
        <f t="shared" si="149"/>
        <v>0.10630395384999659</v>
      </c>
      <c r="U791" s="16">
        <f t="shared" si="150"/>
        <v>103.78828290615387</v>
      </c>
      <c r="V791" s="17">
        <f t="shared" si="151"/>
        <v>0.21575524931003354</v>
      </c>
      <c r="W791" s="16">
        <f t="shared" si="147"/>
        <v>776718.89751612081</v>
      </c>
      <c r="X791">
        <f>('Hybrid Info'!$A$2-Track!P791)*(L791-L790)*1000+X790</f>
        <v>-15999.847750223877</v>
      </c>
    </row>
    <row r="792" spans="1:24">
      <c r="A792" s="16">
        <f t="shared" si="148"/>
        <v>791</v>
      </c>
      <c r="B792" s="17">
        <f t="shared" si="142"/>
        <v>13.411199999999999</v>
      </c>
      <c r="C792" s="16">
        <f>Specification!$G$29</f>
        <v>164.943378</v>
      </c>
      <c r="D792" s="17">
        <f>0.5*Specification!$K$4*Track!B792^2*Specification!$K$3*Specification!$K$2</f>
        <v>93.159842569492653</v>
      </c>
      <c r="E792" s="16">
        <v>8</v>
      </c>
      <c r="F792" s="17">
        <f>Specification!$C$23*9.81*SIN((E792*PI()/180))</f>
        <v>765.1893799696079</v>
      </c>
      <c r="G792" s="18">
        <f>IF(J792=1,VLOOKUP(K792,RPM!$E$2:$H$62,3,FALSE)-F792-E792-D792,IF(J792=2,VLOOKUP(K792,RPM!$H$2:$K$62,3,FALSE)-F792-E792-D792,IF(J792=3,VLOOKUP(K792,RPM!$K$2:$N$62,3,FALSE)-F792-E792-D792)))</f>
        <v>-84.70411567745829</v>
      </c>
      <c r="H792" s="19">
        <f>IF(J792=1,Specification!$I$14,IF(J792=2,Specification!$I$15,IF(J792=3,Specification!$I$16)))</f>
        <v>582.50936296077191</v>
      </c>
      <c r="I792" s="16">
        <f t="shared" si="141"/>
        <v>0</v>
      </c>
      <c r="J792" s="17">
        <v>2</v>
      </c>
      <c r="K792" s="16">
        <f>IF(J792=1,VLOOKUP(B792,RPM!$F$2:$H$62,3,TRUE),IF(J792=2,VLOOKUP(B792,RPM!$I$2:$K$62,3,TRUE),IF(J792=3,VLOOKUP(B792,RPM!$L$2:$N$62,3,TRUE))))</f>
        <v>7000</v>
      </c>
      <c r="L792" s="17">
        <f t="shared" si="152"/>
        <v>63.255893945647827</v>
      </c>
      <c r="M792" s="16">
        <f t="shared" si="143"/>
        <v>2.0360370670673285</v>
      </c>
      <c r="N792" s="17">
        <f>VLOOKUP(K792,RPM!$A$2:$D$62,3,FALSE)</f>
        <v>13</v>
      </c>
      <c r="O792" s="16">
        <f>VLOOKUP(K792,RPM!$A$2:$D$62,4,FALSE)</f>
        <v>13.235857142857142</v>
      </c>
      <c r="P792" s="17">
        <f t="shared" si="144"/>
        <v>9.8699786714285711</v>
      </c>
      <c r="Q792" s="16" cm="1">
        <f t="array" ref="Q792">_xlfn.XLOOKUP(O792,BSFC!$A$2:$A$24,_xlfn.XLOOKUP(K792,BSFC!$B$1:$O$1,BSFC!$B$2:$O$24,,-1),,-1)</f>
        <v>520</v>
      </c>
      <c r="R792" s="17">
        <f t="shared" si="145"/>
        <v>1.425663585873016</v>
      </c>
      <c r="S792" s="16">
        <f t="shared" si="146"/>
        <v>2.0443068048076269E-4</v>
      </c>
      <c r="T792" s="17">
        <f t="shared" si="149"/>
        <v>0.10630395384999659</v>
      </c>
      <c r="U792" s="16">
        <f t="shared" si="150"/>
        <v>103.89458686000387</v>
      </c>
      <c r="V792" s="17">
        <f t="shared" si="151"/>
        <v>0.2159596799905143</v>
      </c>
      <c r="W792" s="16">
        <f t="shared" si="147"/>
        <v>777454.84796585154</v>
      </c>
      <c r="X792">
        <f>('Hybrid Info'!$A$2-Track!P792)*(L792-L791)*1000+X791</f>
        <v>-15832.042041237608</v>
      </c>
    </row>
    <row r="793" spans="1:24">
      <c r="A793" s="16">
        <f t="shared" si="148"/>
        <v>792</v>
      </c>
      <c r="B793" s="17">
        <f t="shared" si="142"/>
        <v>13.411199999999999</v>
      </c>
      <c r="C793" s="16">
        <f>Specification!$G$29</f>
        <v>164.943378</v>
      </c>
      <c r="D793" s="17">
        <f>0.5*Specification!$K$4*Track!B793^2*Specification!$K$3*Specification!$K$2</f>
        <v>93.159842569492653</v>
      </c>
      <c r="E793" s="16">
        <v>7</v>
      </c>
      <c r="F793" s="17">
        <f>Specification!$C$23*9.81*SIN((E793*PI()/180))</f>
        <v>670.05137252956831</v>
      </c>
      <c r="G793" s="18">
        <f>IF(J793=1,VLOOKUP(K793,RPM!$E$2:$H$62,3,FALSE)-F793-E793-D793,IF(J793=2,VLOOKUP(K793,RPM!$H$2:$K$62,3,FALSE)-F793-E793-D793,IF(J793=3,VLOOKUP(K793,RPM!$K$2:$N$62,3,FALSE)-F793-E793-D793)))</f>
        <v>11.433891762581297</v>
      </c>
      <c r="H793" s="19">
        <f>IF(J793=1,Specification!$I$14,IF(J793=2,Specification!$I$15,IF(J793=3,Specification!$I$16)))</f>
        <v>582.50936296077191</v>
      </c>
      <c r="I793" s="16">
        <f t="shared" si="141"/>
        <v>0</v>
      </c>
      <c r="J793" s="17">
        <v>2</v>
      </c>
      <c r="K793" s="16">
        <f>IF(J793=1,VLOOKUP(B793,RPM!$F$2:$H$62,3,TRUE),IF(J793=2,VLOOKUP(B793,RPM!$I$2:$K$62,3,TRUE),IF(J793=3,VLOOKUP(B793,RPM!$L$2:$N$62,3,TRUE))))</f>
        <v>7000</v>
      </c>
      <c r="L793" s="17">
        <f t="shared" si="152"/>
        <v>63.33045848871631</v>
      </c>
      <c r="M793" s="16">
        <f t="shared" si="143"/>
        <v>2.1588216279702332</v>
      </c>
      <c r="N793" s="17">
        <f>VLOOKUP(K793,RPM!$A$2:$D$62,3,FALSE)</f>
        <v>13</v>
      </c>
      <c r="O793" s="16">
        <f>VLOOKUP(K793,RPM!$A$2:$D$62,4,FALSE)</f>
        <v>13.235857142857142</v>
      </c>
      <c r="P793" s="17">
        <f t="shared" si="144"/>
        <v>9.8699786714285711</v>
      </c>
      <c r="Q793" s="16" cm="1">
        <f t="array" ref="Q793">_xlfn.XLOOKUP(O793,BSFC!$A$2:$A$24,_xlfn.XLOOKUP(K793,BSFC!$B$1:$O$1,BSFC!$B$2:$O$24,,-1),,-1)</f>
        <v>520</v>
      </c>
      <c r="R793" s="17">
        <f t="shared" si="145"/>
        <v>1.425663585873016</v>
      </c>
      <c r="S793" s="16">
        <f t="shared" si="146"/>
        <v>2.0443068048076269E-4</v>
      </c>
      <c r="T793" s="17">
        <f t="shared" si="149"/>
        <v>0.10630395384999659</v>
      </c>
      <c r="U793" s="16">
        <f t="shared" si="150"/>
        <v>104.00089081385387</v>
      </c>
      <c r="V793" s="17">
        <f t="shared" si="151"/>
        <v>0.21616411067099506</v>
      </c>
      <c r="W793" s="16">
        <f t="shared" si="147"/>
        <v>778190.79841558216</v>
      </c>
      <c r="X793">
        <f>('Hybrid Info'!$A$2-Track!P793)*(L793-L792)*1000+X792</f>
        <v>-15664.236332251339</v>
      </c>
    </row>
    <row r="794" spans="1:24">
      <c r="A794" s="16">
        <f t="shared" si="148"/>
        <v>793</v>
      </c>
      <c r="B794" s="17">
        <f t="shared" si="142"/>
        <v>13.411199999999999</v>
      </c>
      <c r="C794" s="16">
        <f>Specification!$G$29</f>
        <v>164.943378</v>
      </c>
      <c r="D794" s="17">
        <f>0.5*Specification!$K$4*Track!B794^2*Specification!$K$3*Specification!$K$2</f>
        <v>93.159842569492653</v>
      </c>
      <c r="E794" s="16">
        <v>6</v>
      </c>
      <c r="F794" s="17">
        <f>Specification!$C$23*9.81*SIN((E794*PI()/180))</f>
        <v>574.70926095052266</v>
      </c>
      <c r="G794" s="18">
        <f>IF(J794=1,VLOOKUP(K794,RPM!$E$2:$H$62,3,FALSE)-F794-E794-D794,IF(J794=2,VLOOKUP(K794,RPM!$H$2:$K$62,3,FALSE)-F794-E794-D794,IF(J794=3,VLOOKUP(K794,RPM!$K$2:$N$62,3,FALSE)-F794-E794-D794)))</f>
        <v>107.77600334162695</v>
      </c>
      <c r="H794" s="19">
        <f>IF(J794=1,Specification!$I$14,IF(J794=2,Specification!$I$15,IF(J794=3,Specification!$I$16)))</f>
        <v>582.50936296077191</v>
      </c>
      <c r="I794" s="16">
        <f t="shared" si="141"/>
        <v>0</v>
      </c>
      <c r="J794" s="17">
        <v>2</v>
      </c>
      <c r="K794" s="16">
        <f>IF(J794=1,VLOOKUP(B794,RPM!$F$2:$H$62,3,TRUE),IF(J794=2,VLOOKUP(B794,RPM!$I$2:$K$62,3,TRUE),IF(J794=3,VLOOKUP(B794,RPM!$L$2:$N$62,3,TRUE))))</f>
        <v>7000</v>
      </c>
      <c r="L794" s="17">
        <f t="shared" si="152"/>
        <v>63.405023031784793</v>
      </c>
      <c r="M794" s="16">
        <f t="shared" si="143"/>
        <v>2.2639258632359098</v>
      </c>
      <c r="N794" s="17">
        <f>VLOOKUP(K794,RPM!$A$2:$D$62,3,FALSE)</f>
        <v>13</v>
      </c>
      <c r="O794" s="16">
        <f>VLOOKUP(K794,RPM!$A$2:$D$62,4,FALSE)</f>
        <v>13.235857142857142</v>
      </c>
      <c r="P794" s="17">
        <f t="shared" si="144"/>
        <v>9.8699786714285711</v>
      </c>
      <c r="Q794" s="16" cm="1">
        <f t="array" ref="Q794">_xlfn.XLOOKUP(O794,BSFC!$A$2:$A$24,_xlfn.XLOOKUP(K794,BSFC!$B$1:$O$1,BSFC!$B$2:$O$24,,-1),,-1)</f>
        <v>520</v>
      </c>
      <c r="R794" s="17">
        <f t="shared" si="145"/>
        <v>1.425663585873016</v>
      </c>
      <c r="S794" s="16">
        <f t="shared" si="146"/>
        <v>2.0443068048076269E-4</v>
      </c>
      <c r="T794" s="17">
        <f t="shared" si="149"/>
        <v>0.10630395384999659</v>
      </c>
      <c r="U794" s="16">
        <f t="shared" si="150"/>
        <v>104.10719476770387</v>
      </c>
      <c r="V794" s="17">
        <f t="shared" si="151"/>
        <v>0.21636854135147582</v>
      </c>
      <c r="W794" s="16">
        <f t="shared" si="147"/>
        <v>778926.7488653129</v>
      </c>
      <c r="X794">
        <f>('Hybrid Info'!$A$2-Track!P794)*(L794-L793)*1000+X793</f>
        <v>-15496.430623265071</v>
      </c>
    </row>
    <row r="795" spans="1:24">
      <c r="A795" s="16">
        <f t="shared" si="148"/>
        <v>794</v>
      </c>
      <c r="B795" s="17">
        <f t="shared" si="142"/>
        <v>13.411199999999999</v>
      </c>
      <c r="C795" s="16">
        <f>Specification!$G$29</f>
        <v>164.943378</v>
      </c>
      <c r="D795" s="17">
        <f>0.5*Specification!$K$4*Track!B795^2*Specification!$K$3*Specification!$K$2</f>
        <v>93.159842569492653</v>
      </c>
      <c r="E795" s="16">
        <v>5</v>
      </c>
      <c r="F795" s="17">
        <f>Specification!$C$23*9.81*SIN((E795*PI()/180))</f>
        <v>479.192087363258</v>
      </c>
      <c r="G795" s="18">
        <f>IF(J795=1,VLOOKUP(K795,RPM!$E$2:$H$62,3,FALSE)-F795-E795-D795,IF(J795=2,VLOOKUP(K795,RPM!$H$2:$K$62,3,FALSE)-F795-E795-D795,IF(J795=3,VLOOKUP(K795,RPM!$K$2:$N$62,3,FALSE)-F795-E795-D795)))</f>
        <v>204.29317692889163</v>
      </c>
      <c r="H795" s="19">
        <f>IF(J795=1,Specification!$I$14,IF(J795=2,Specification!$I$15,IF(J795=3,Specification!$I$16)))</f>
        <v>582.50936296077191</v>
      </c>
      <c r="I795" s="16">
        <f t="shared" si="141"/>
        <v>0</v>
      </c>
      <c r="J795" s="17">
        <v>2</v>
      </c>
      <c r="K795" s="16">
        <f>IF(J795=1,VLOOKUP(B795,RPM!$F$2:$H$62,3,TRUE),IF(J795=2,VLOOKUP(B795,RPM!$I$2:$K$62,3,TRUE),IF(J795=3,VLOOKUP(B795,RPM!$L$2:$N$62,3,TRUE))))</f>
        <v>7000</v>
      </c>
      <c r="L795" s="17">
        <f t="shared" si="152"/>
        <v>63.479587574853277</v>
      </c>
      <c r="M795" s="16">
        <f t="shared" si="143"/>
        <v>2.3514145267618338</v>
      </c>
      <c r="N795" s="17">
        <f>VLOOKUP(K795,RPM!$A$2:$D$62,3,FALSE)</f>
        <v>13</v>
      </c>
      <c r="O795" s="16">
        <f>VLOOKUP(K795,RPM!$A$2:$D$62,4,FALSE)</f>
        <v>13.235857142857142</v>
      </c>
      <c r="P795" s="17">
        <f t="shared" si="144"/>
        <v>9.8699786714285711</v>
      </c>
      <c r="Q795" s="16" cm="1">
        <f t="array" ref="Q795">_xlfn.XLOOKUP(O795,BSFC!$A$2:$A$24,_xlfn.XLOOKUP(K795,BSFC!$B$1:$O$1,BSFC!$B$2:$O$24,,-1),,-1)</f>
        <v>520</v>
      </c>
      <c r="R795" s="17">
        <f t="shared" si="145"/>
        <v>1.425663585873016</v>
      </c>
      <c r="S795" s="16">
        <f t="shared" si="146"/>
        <v>2.0443068048076269E-4</v>
      </c>
      <c r="T795" s="17">
        <f t="shared" si="149"/>
        <v>0.10630395384999659</v>
      </c>
      <c r="U795" s="16">
        <f t="shared" si="150"/>
        <v>104.21349872155388</v>
      </c>
      <c r="V795" s="17">
        <f t="shared" si="151"/>
        <v>0.21657297203195658</v>
      </c>
      <c r="W795" s="16">
        <f t="shared" si="147"/>
        <v>779662.69931504363</v>
      </c>
      <c r="X795">
        <f>('Hybrid Info'!$A$2-Track!P795)*(L795-L794)*1000+X794</f>
        <v>-15328.624914278802</v>
      </c>
    </row>
    <row r="796" spans="1:24">
      <c r="A796" s="16">
        <f t="shared" si="148"/>
        <v>795</v>
      </c>
      <c r="B796" s="17">
        <f t="shared" si="142"/>
        <v>13.411199999999999</v>
      </c>
      <c r="C796" s="16">
        <f>Specification!$G$29</f>
        <v>164.943378</v>
      </c>
      <c r="D796" s="17">
        <f>0.5*Specification!$K$4*Track!B796^2*Specification!$K$3*Specification!$K$2</f>
        <v>93.159842569492653</v>
      </c>
      <c r="E796" s="16">
        <v>4</v>
      </c>
      <c r="F796" s="17">
        <f>Specification!$C$23*9.81*SIN((E796*PI()/180))</f>
        <v>383.52894722414453</v>
      </c>
      <c r="G796" s="18">
        <f>IF(J796=1,VLOOKUP(K796,RPM!$E$2:$H$62,3,FALSE)-F796-E796-D796,IF(J796=2,VLOOKUP(K796,RPM!$H$2:$K$62,3,FALSE)-F796-E796-D796,IF(J796=3,VLOOKUP(K796,RPM!$K$2:$N$62,3,FALSE)-F796-E796-D796)))</f>
        <v>300.95631706800509</v>
      </c>
      <c r="H796" s="19">
        <f>IF(J796=1,Specification!$I$14,IF(J796=2,Specification!$I$15,IF(J796=3,Specification!$I$16)))</f>
        <v>582.50936296077191</v>
      </c>
      <c r="I796" s="16">
        <f t="shared" si="141"/>
        <v>0</v>
      </c>
      <c r="J796" s="17">
        <v>2</v>
      </c>
      <c r="K796" s="16">
        <f>IF(J796=1,VLOOKUP(B796,RPM!$F$2:$H$62,3,TRUE),IF(J796=2,VLOOKUP(B796,RPM!$I$2:$K$62,3,TRUE),IF(J796=3,VLOOKUP(B796,RPM!$L$2:$N$62,3,TRUE))))</f>
        <v>7000</v>
      </c>
      <c r="L796" s="17">
        <f t="shared" si="152"/>
        <v>63.55415211792176</v>
      </c>
      <c r="M796" s="16">
        <f t="shared" si="143"/>
        <v>2.4213413387053442</v>
      </c>
      <c r="N796" s="17">
        <f>VLOOKUP(K796,RPM!$A$2:$D$62,3,FALSE)</f>
        <v>13</v>
      </c>
      <c r="O796" s="16">
        <f>VLOOKUP(K796,RPM!$A$2:$D$62,4,FALSE)</f>
        <v>13.235857142857142</v>
      </c>
      <c r="P796" s="17">
        <f t="shared" si="144"/>
        <v>9.8699786714285711</v>
      </c>
      <c r="Q796" s="16" cm="1">
        <f t="array" ref="Q796">_xlfn.XLOOKUP(O796,BSFC!$A$2:$A$24,_xlfn.XLOOKUP(K796,BSFC!$B$1:$O$1,BSFC!$B$2:$O$24,,-1),,-1)</f>
        <v>520</v>
      </c>
      <c r="R796" s="17">
        <f t="shared" si="145"/>
        <v>1.425663585873016</v>
      </c>
      <c r="S796" s="16">
        <f t="shared" si="146"/>
        <v>2.0443068048076269E-4</v>
      </c>
      <c r="T796" s="17">
        <f t="shared" si="149"/>
        <v>0.10630395384999659</v>
      </c>
      <c r="U796" s="16">
        <f t="shared" si="150"/>
        <v>104.31980267540388</v>
      </c>
      <c r="V796" s="17">
        <f t="shared" si="151"/>
        <v>0.21677740271243734</v>
      </c>
      <c r="W796" s="16">
        <f t="shared" si="147"/>
        <v>780398.64976477448</v>
      </c>
      <c r="X796">
        <f>('Hybrid Info'!$A$2-Track!P796)*(L796-L795)*1000+X795</f>
        <v>-15160.819205292533</v>
      </c>
    </row>
    <row r="797" spans="1:24">
      <c r="A797" s="16">
        <f t="shared" si="148"/>
        <v>796</v>
      </c>
      <c r="B797" s="17">
        <f t="shared" si="142"/>
        <v>13.411199999999999</v>
      </c>
      <c r="C797" s="16">
        <f>Specification!$G$29</f>
        <v>164.943378</v>
      </c>
      <c r="D797" s="17">
        <f>0.5*Specification!$K$4*Track!B797^2*Specification!$K$3*Specification!$K$2</f>
        <v>93.159842569492653</v>
      </c>
      <c r="E797" s="16">
        <v>3</v>
      </c>
      <c r="F797" s="17">
        <f>Specification!$C$23*9.81*SIN((E797*PI()/180))</f>
        <v>287.74898045237813</v>
      </c>
      <c r="G797" s="18">
        <f>IF(J797=1,VLOOKUP(K797,RPM!$E$2:$H$62,3,FALSE)-F797-E797-D797,IF(J797=2,VLOOKUP(K797,RPM!$H$2:$K$62,3,FALSE)-F797-E797-D797,IF(J797=3,VLOOKUP(K797,RPM!$K$2:$N$62,3,FALSE)-F797-E797-D797)))</f>
        <v>258.81319858589342</v>
      </c>
      <c r="H797" s="19">
        <f>IF(J797=1,Specification!$I$14,IF(J797=2,Specification!$I$15,IF(J797=3,Specification!$I$16)))</f>
        <v>578.93404261974786</v>
      </c>
      <c r="I797" s="16">
        <f t="shared" si="141"/>
        <v>0</v>
      </c>
      <c r="J797" s="17">
        <v>3</v>
      </c>
      <c r="K797" s="16">
        <f>IF(J797=1,VLOOKUP(B797,RPM!$F$2:$H$62,3,TRUE),IF(J797=2,VLOOKUP(B797,RPM!$I$2:$K$62,3,TRUE),IF(J797=3,VLOOKUP(B797,RPM!$L$2:$N$62,3,TRUE))))</f>
        <v>4300</v>
      </c>
      <c r="L797" s="17">
        <f t="shared" si="152"/>
        <v>63.628716660990243</v>
      </c>
      <c r="M797" s="16">
        <f t="shared" si="143"/>
        <v>2.4737491179883855</v>
      </c>
      <c r="N797" s="17">
        <f>VLOOKUP(K797,RPM!$A$2:$D$62,3,FALSE)</f>
        <v>11.4</v>
      </c>
      <c r="O797" s="16">
        <f>VLOOKUP(K797,RPM!$A$2:$D$62,4,FALSE)</f>
        <v>18.894837209302327</v>
      </c>
      <c r="P797" s="17">
        <f t="shared" si="144"/>
        <v>14.089880106976747</v>
      </c>
      <c r="Q797" s="16" cm="1">
        <f t="array" ref="Q797">_xlfn.XLOOKUP(O797,BSFC!$A$2:$A$24,_xlfn.XLOOKUP(K797,BSFC!$B$1:$O$1,BSFC!$B$2:$O$24,,-1),,-1)</f>
        <v>480</v>
      </c>
      <c r="R797" s="17">
        <f t="shared" si="145"/>
        <v>1.8786506809302328</v>
      </c>
      <c r="S797" s="16">
        <f t="shared" si="146"/>
        <v>2.9183485335178652E-4</v>
      </c>
      <c r="T797" s="17">
        <f t="shared" si="149"/>
        <v>0.14008072960885753</v>
      </c>
      <c r="U797" s="16">
        <f t="shared" si="150"/>
        <v>104.45988340501273</v>
      </c>
      <c r="V797" s="17">
        <f t="shared" si="151"/>
        <v>0.21706923756578914</v>
      </c>
      <c r="W797" s="16">
        <f t="shared" si="147"/>
        <v>781449.25523684092</v>
      </c>
      <c r="X797">
        <f>('Hybrid Info'!$A$2-Track!P797)*(L797-L796)*1000+X796</f>
        <v>-15307.668518641951</v>
      </c>
    </row>
    <row r="798" spans="1:24">
      <c r="A798" s="16">
        <f t="shared" si="148"/>
        <v>797</v>
      </c>
      <c r="B798" s="17">
        <f t="shared" si="142"/>
        <v>13.411199999999999</v>
      </c>
      <c r="C798" s="16">
        <f>Specification!$G$29</f>
        <v>164.943378</v>
      </c>
      <c r="D798" s="17">
        <f>0.5*Specification!$K$4*Track!B798^2*Specification!$K$3*Specification!$K$2</f>
        <v>93.159842569492653</v>
      </c>
      <c r="E798" s="16">
        <v>2</v>
      </c>
      <c r="F798" s="17">
        <f>Specification!$C$23*9.81*SIN((E798*PI()/180))</f>
        <v>191.88136255367905</v>
      </c>
      <c r="G798" s="18">
        <f>IF(J798=1,VLOOKUP(K798,RPM!$E$2:$H$62,3,FALSE)-F798-E798-D798,IF(J798=2,VLOOKUP(K798,RPM!$H$2:$K$62,3,FALSE)-F798-E798-D798,IF(J798=3,VLOOKUP(K798,RPM!$K$2:$N$62,3,FALSE)-F798-E798-D798)))</f>
        <v>494.60390173847054</v>
      </c>
      <c r="H798" s="19">
        <f>IF(J798=1,Specification!$I$14,IF(J798=2,Specification!$I$15,IF(J798=3,Specification!$I$16)))</f>
        <v>582.50936296077191</v>
      </c>
      <c r="I798" s="16">
        <f t="shared" si="141"/>
        <v>0</v>
      </c>
      <c r="J798" s="17">
        <v>2</v>
      </c>
      <c r="K798" s="16">
        <f>IF(J798=1,VLOOKUP(B798,RPM!$F$2:$H$62,3,TRUE),IF(J798=2,VLOOKUP(B798,RPM!$I$2:$K$62,3,TRUE),IF(J798=3,VLOOKUP(B798,RPM!$L$2:$N$62,3,TRUE))))</f>
        <v>7000</v>
      </c>
      <c r="L798" s="17">
        <f t="shared" si="152"/>
        <v>63.703281204058726</v>
      </c>
      <c r="M798" s="16">
        <f t="shared" si="143"/>
        <v>2.5086698874801332</v>
      </c>
      <c r="N798" s="17">
        <f>VLOOKUP(K798,RPM!$A$2:$D$62,3,FALSE)</f>
        <v>13</v>
      </c>
      <c r="O798" s="16">
        <f>VLOOKUP(K798,RPM!$A$2:$D$62,4,FALSE)</f>
        <v>13.235857142857142</v>
      </c>
      <c r="P798" s="17">
        <f t="shared" si="144"/>
        <v>9.8699786714285711</v>
      </c>
      <c r="Q798" s="16" cm="1">
        <f t="array" ref="Q798">_xlfn.XLOOKUP(O798,BSFC!$A$2:$A$24,_xlfn.XLOOKUP(K798,BSFC!$B$1:$O$1,BSFC!$B$2:$O$24,,-1),,-1)</f>
        <v>520</v>
      </c>
      <c r="R798" s="17">
        <f t="shared" si="145"/>
        <v>1.425663585873016</v>
      </c>
      <c r="S798" s="16">
        <f t="shared" si="146"/>
        <v>2.0443068048076269E-4</v>
      </c>
      <c r="T798" s="17">
        <f t="shared" si="149"/>
        <v>0.10630395384999659</v>
      </c>
      <c r="U798" s="16">
        <f t="shared" si="150"/>
        <v>104.56618735886273</v>
      </c>
      <c r="V798" s="17">
        <f t="shared" si="151"/>
        <v>0.2172736682462699</v>
      </c>
      <c r="W798" s="16">
        <f t="shared" si="147"/>
        <v>782185.20568657166</v>
      </c>
      <c r="X798">
        <f>('Hybrid Info'!$A$2-Track!P798)*(L798-L797)*1000+X797</f>
        <v>-15139.862809655682</v>
      </c>
    </row>
    <row r="799" spans="1:24">
      <c r="A799" s="16">
        <f t="shared" si="148"/>
        <v>798</v>
      </c>
      <c r="B799" s="17">
        <f t="shared" si="142"/>
        <v>13.411199999999999</v>
      </c>
      <c r="C799" s="16">
        <f>Specification!$G$29</f>
        <v>164.943378</v>
      </c>
      <c r="D799" s="17">
        <f>0.5*Specification!$K$4*Track!B799^2*Specification!$K$3*Specification!$K$2</f>
        <v>93.159842569492653</v>
      </c>
      <c r="E799" s="16">
        <v>1</v>
      </c>
      <c r="F799" s="17">
        <f>Specification!$C$23*9.81*SIN((E799*PI()/180))</f>
        <v>95.955295733149597</v>
      </c>
      <c r="G799" s="18">
        <f>IF(J799=1,VLOOKUP(K799,RPM!$E$2:$H$62,3,FALSE)-F799-E799-D799,IF(J799=2,VLOOKUP(K799,RPM!$H$2:$K$62,3,FALSE)-F799-E799-D799,IF(J799=3,VLOOKUP(K799,RPM!$K$2:$N$62,3,FALSE)-F799-E799-D799)))</f>
        <v>591.52996855900005</v>
      </c>
      <c r="H799" s="19">
        <f>IF(J799=1,Specification!$I$14,IF(J799=2,Specification!$I$15,IF(J799=3,Specification!$I$16)))</f>
        <v>582.50936296077191</v>
      </c>
      <c r="I799" s="16">
        <f t="shared" si="141"/>
        <v>0</v>
      </c>
      <c r="J799" s="17">
        <v>2</v>
      </c>
      <c r="K799" s="16">
        <f>IF(J799=1,VLOOKUP(B799,RPM!$F$2:$H$62,3,TRUE),IF(J799=2,VLOOKUP(B799,RPM!$I$2:$K$62,3,TRUE),IF(J799=3,VLOOKUP(B799,RPM!$L$2:$N$62,3,TRUE))))</f>
        <v>7000</v>
      </c>
      <c r="L799" s="17">
        <f t="shared" si="152"/>
        <v>63.777845747127209</v>
      </c>
      <c r="M799" s="16">
        <f t="shared" si="143"/>
        <v>2.5261249524083507</v>
      </c>
      <c r="N799" s="17">
        <f>VLOOKUP(K799,RPM!$A$2:$D$62,3,FALSE)</f>
        <v>13</v>
      </c>
      <c r="O799" s="16">
        <f>VLOOKUP(K799,RPM!$A$2:$D$62,4,FALSE)</f>
        <v>13.235857142857142</v>
      </c>
      <c r="P799" s="17">
        <f t="shared" si="144"/>
        <v>9.8699786714285711</v>
      </c>
      <c r="Q799" s="16" cm="1">
        <f t="array" ref="Q799">_xlfn.XLOOKUP(O799,BSFC!$A$2:$A$24,_xlfn.XLOOKUP(K799,BSFC!$B$1:$O$1,BSFC!$B$2:$O$24,,-1),,-1)</f>
        <v>520</v>
      </c>
      <c r="R799" s="17">
        <f t="shared" si="145"/>
        <v>1.425663585873016</v>
      </c>
      <c r="S799" s="16">
        <f t="shared" si="146"/>
        <v>2.0443068048076269E-4</v>
      </c>
      <c r="T799" s="17">
        <f t="shared" si="149"/>
        <v>0.10630395384999659</v>
      </c>
      <c r="U799" s="16">
        <f t="shared" si="150"/>
        <v>104.67249131271274</v>
      </c>
      <c r="V799" s="17">
        <f t="shared" si="151"/>
        <v>0.21747809892675066</v>
      </c>
      <c r="W799" s="16">
        <f t="shared" si="147"/>
        <v>782921.15613630228</v>
      </c>
      <c r="X799">
        <f>('Hybrid Info'!$A$2-Track!P799)*(L799-L798)*1000+X798</f>
        <v>-14972.057100669414</v>
      </c>
    </row>
    <row r="800" spans="1:24">
      <c r="A800" s="16">
        <f t="shared" si="148"/>
        <v>799</v>
      </c>
      <c r="B800" s="17">
        <f t="shared" si="142"/>
        <v>13.411199999999999</v>
      </c>
      <c r="C800" s="16">
        <f>Specification!$G$29</f>
        <v>164.943378</v>
      </c>
      <c r="D800" s="17">
        <f>0.5*Specification!$K$4*Track!B800^2*Specification!$K$3*Specification!$K$2</f>
        <v>93.159842569492653</v>
      </c>
      <c r="E800" s="16">
        <v>0</v>
      </c>
      <c r="F800" s="17">
        <f>Specification!$C$23*9.81*SIN((E800*PI()/180))</f>
        <v>0</v>
      </c>
      <c r="G800" s="18">
        <f>IF(J800=1,VLOOKUP(K800,RPM!$E$2:$H$62,3,FALSE)-F800-E800-D800,IF(J800=2,VLOOKUP(K800,RPM!$H$2:$K$62,3,FALSE)-F800-E800-D800,IF(J800=3,VLOOKUP(K800,RPM!$K$2:$N$62,3,FALSE)-F800-E800-D800)))</f>
        <v>688.48526429214962</v>
      </c>
      <c r="H800" s="19">
        <f>IF(J800=1,Specification!$I$14,IF(J800=2,Specification!$I$15,IF(J800=3,Specification!$I$16)))</f>
        <v>582.50936296077191</v>
      </c>
      <c r="I800" s="16">
        <f t="shared" si="141"/>
        <v>0</v>
      </c>
      <c r="J800" s="17">
        <v>2</v>
      </c>
      <c r="K800" s="16">
        <f>IF(J800=1,VLOOKUP(B800,RPM!$F$2:$H$62,3,TRUE),IF(J800=2,VLOOKUP(B800,RPM!$I$2:$K$62,3,TRUE),IF(J800=3,VLOOKUP(B800,RPM!$L$2:$N$62,3,TRUE))))</f>
        <v>7000</v>
      </c>
      <c r="L800" s="17">
        <f t="shared" si="152"/>
        <v>63.852410290195692</v>
      </c>
      <c r="M800" s="16">
        <f t="shared" si="143"/>
        <v>2.5261249524083507</v>
      </c>
      <c r="N800" s="17">
        <f>VLOOKUP(K800,RPM!$A$2:$D$62,3,FALSE)</f>
        <v>13</v>
      </c>
      <c r="O800" s="16">
        <f>VLOOKUP(K800,RPM!$A$2:$D$62,4,FALSE)</f>
        <v>13.235857142857142</v>
      </c>
      <c r="P800" s="17">
        <f t="shared" si="144"/>
        <v>9.8699786714285711</v>
      </c>
      <c r="Q800" s="16" cm="1">
        <f t="array" ref="Q800">_xlfn.XLOOKUP(O800,BSFC!$A$2:$A$24,_xlfn.XLOOKUP(K800,BSFC!$B$1:$O$1,BSFC!$B$2:$O$24,,-1),,-1)</f>
        <v>520</v>
      </c>
      <c r="R800" s="17">
        <f t="shared" si="145"/>
        <v>1.425663585873016</v>
      </c>
      <c r="S800" s="16">
        <f t="shared" si="146"/>
        <v>2.0443068048076269E-4</v>
      </c>
      <c r="T800" s="17">
        <f t="shared" si="149"/>
        <v>0.10630395384999659</v>
      </c>
      <c r="U800" s="16">
        <f t="shared" si="150"/>
        <v>104.77879526656274</v>
      </c>
      <c r="V800" s="17">
        <f t="shared" si="151"/>
        <v>0.21768252960723142</v>
      </c>
      <c r="W800" s="16">
        <f t="shared" si="147"/>
        <v>783657.10658603313</v>
      </c>
      <c r="X800">
        <f>('Hybrid Info'!$A$2-Track!P800)*(L800-L799)*1000+X799</f>
        <v>-14804.251391683145</v>
      </c>
    </row>
    <row r="801" spans="1:24">
      <c r="A801" s="16">
        <f t="shared" si="148"/>
        <v>800</v>
      </c>
      <c r="B801" s="17">
        <f t="shared" si="142"/>
        <v>13.411199999999999</v>
      </c>
      <c r="C801" s="16">
        <f>Specification!$G$29</f>
        <v>164.943378</v>
      </c>
      <c r="D801" s="17">
        <f>0.5*Specification!$K$4*Track!B801^2*Specification!$K$3*Specification!$K$2</f>
        <v>93.159842569492653</v>
      </c>
      <c r="E801" s="16">
        <v>0</v>
      </c>
      <c r="F801" s="17">
        <f>Specification!$C$23*9.81*SIN((E801*PI()/180))</f>
        <v>0</v>
      </c>
      <c r="G801" s="18">
        <f>IF(J801=1,VLOOKUP(K801,RPM!$E$2:$H$62,3,FALSE)-F801-E801-D801,IF(J801=2,VLOOKUP(K801,RPM!$H$2:$K$62,3,FALSE)-F801-E801-D801,IF(J801=3,VLOOKUP(K801,RPM!$K$2:$N$62,3,FALSE)-F801-E801-D801)))</f>
        <v>688.48526429214962</v>
      </c>
      <c r="H801" s="19">
        <f>IF(J801=1,Specification!$I$14,IF(J801=2,Specification!$I$15,IF(J801=3,Specification!$I$16)))</f>
        <v>582.50936296077191</v>
      </c>
      <c r="I801" s="16">
        <f t="shared" si="141"/>
        <v>0</v>
      </c>
      <c r="J801" s="17">
        <v>2</v>
      </c>
      <c r="K801" s="16">
        <f>IF(J801=1,VLOOKUP(B801,RPM!$F$2:$H$62,3,TRUE),IF(J801=2,VLOOKUP(B801,RPM!$I$2:$K$62,3,TRUE),IF(J801=3,VLOOKUP(B801,RPM!$L$2:$N$62,3,TRUE))))</f>
        <v>7000</v>
      </c>
      <c r="L801" s="17">
        <f t="shared" si="152"/>
        <v>63.926974833264175</v>
      </c>
      <c r="M801" s="16">
        <f t="shared" si="143"/>
        <v>2.5261249524083507</v>
      </c>
      <c r="N801" s="17">
        <f>VLOOKUP(K801,RPM!$A$2:$D$62,3,FALSE)</f>
        <v>13</v>
      </c>
      <c r="O801" s="16">
        <f>VLOOKUP(K801,RPM!$A$2:$D$62,4,FALSE)</f>
        <v>13.235857142857142</v>
      </c>
      <c r="P801" s="17">
        <f t="shared" si="144"/>
        <v>9.8699786714285711</v>
      </c>
      <c r="Q801" s="16" cm="1">
        <f t="array" ref="Q801">_xlfn.XLOOKUP(O801,BSFC!$A$2:$A$24,_xlfn.XLOOKUP(K801,BSFC!$B$1:$O$1,BSFC!$B$2:$O$24,,-1),,-1)</f>
        <v>520</v>
      </c>
      <c r="R801" s="17">
        <f t="shared" si="145"/>
        <v>1.425663585873016</v>
      </c>
      <c r="S801" s="16">
        <f t="shared" si="146"/>
        <v>2.0443068048076269E-4</v>
      </c>
      <c r="T801" s="17">
        <f t="shared" si="149"/>
        <v>0.10630395384999659</v>
      </c>
      <c r="U801" s="16">
        <f t="shared" si="150"/>
        <v>104.88509922041274</v>
      </c>
      <c r="V801" s="17">
        <f t="shared" si="151"/>
        <v>0.21788696028771218</v>
      </c>
      <c r="W801" s="16">
        <f t="shared" si="147"/>
        <v>784393.05703576386</v>
      </c>
      <c r="X801">
        <f>('Hybrid Info'!$A$2-Track!P801)*(L801-L800)*1000+X800</f>
        <v>-14636.445682696876</v>
      </c>
    </row>
    <row r="802" spans="1:24">
      <c r="A802" s="16">
        <f t="shared" si="148"/>
        <v>801</v>
      </c>
      <c r="B802" s="17">
        <f t="shared" si="142"/>
        <v>13.411199999999999</v>
      </c>
      <c r="C802" s="16">
        <f>Specification!$G$29</f>
        <v>164.943378</v>
      </c>
      <c r="D802" s="17">
        <f>0.5*Specification!$K$4*Track!B802^2*Specification!$K$3*Specification!$K$2</f>
        <v>93.159842569492653</v>
      </c>
      <c r="E802" s="16">
        <v>0</v>
      </c>
      <c r="F802" s="17">
        <f>Specification!$C$23*9.81*SIN((E802*PI()/180))</f>
        <v>0</v>
      </c>
      <c r="G802" s="18">
        <f>IF(J802=1,VLOOKUP(K802,RPM!$E$2:$H$62,3,FALSE)-F802-E802-D802,IF(J802=2,VLOOKUP(K802,RPM!$H$2:$K$62,3,FALSE)-F802-E802-D802,IF(J802=3,VLOOKUP(K802,RPM!$K$2:$N$62,3,FALSE)-F802-E802-D802)))</f>
        <v>688.48526429214962</v>
      </c>
      <c r="H802" s="19">
        <f>IF(J802=1,Specification!$I$14,IF(J802=2,Specification!$I$15,IF(J802=3,Specification!$I$16)))</f>
        <v>582.50936296077191</v>
      </c>
      <c r="I802" s="16">
        <f t="shared" si="141"/>
        <v>0</v>
      </c>
      <c r="J802" s="17">
        <v>2</v>
      </c>
      <c r="K802" s="16">
        <f>IF(J802=1,VLOOKUP(B802,RPM!$F$2:$H$62,3,TRUE),IF(J802=2,VLOOKUP(B802,RPM!$I$2:$K$62,3,TRUE),IF(J802=3,VLOOKUP(B802,RPM!$L$2:$N$62,3,TRUE))))</f>
        <v>7000</v>
      </c>
      <c r="L802" s="17">
        <f t="shared" si="152"/>
        <v>64.001539376332659</v>
      </c>
      <c r="M802" s="16">
        <f t="shared" si="143"/>
        <v>2.5261249524083507</v>
      </c>
      <c r="N802" s="17">
        <f>VLOOKUP(K802,RPM!$A$2:$D$62,3,FALSE)</f>
        <v>13</v>
      </c>
      <c r="O802" s="16">
        <f>VLOOKUP(K802,RPM!$A$2:$D$62,4,FALSE)</f>
        <v>13.235857142857142</v>
      </c>
      <c r="P802" s="17">
        <f t="shared" si="144"/>
        <v>9.8699786714285711</v>
      </c>
      <c r="Q802" s="16" cm="1">
        <f t="array" ref="Q802">_xlfn.XLOOKUP(O802,BSFC!$A$2:$A$24,_xlfn.XLOOKUP(K802,BSFC!$B$1:$O$1,BSFC!$B$2:$O$24,,-1),,-1)</f>
        <v>520</v>
      </c>
      <c r="R802" s="17">
        <f t="shared" si="145"/>
        <v>1.425663585873016</v>
      </c>
      <c r="S802" s="16">
        <f t="shared" si="146"/>
        <v>2.0443068048076269E-4</v>
      </c>
      <c r="T802" s="17">
        <f t="shared" si="149"/>
        <v>0.10630395384999659</v>
      </c>
      <c r="U802" s="16">
        <f t="shared" si="150"/>
        <v>104.99140317426274</v>
      </c>
      <c r="V802" s="17">
        <f t="shared" si="151"/>
        <v>0.21809139096819294</v>
      </c>
      <c r="W802" s="16">
        <f t="shared" si="147"/>
        <v>785129.0074854946</v>
      </c>
      <c r="X802">
        <f>('Hybrid Info'!$A$2-Track!P802)*(L802-L801)*1000+X801</f>
        <v>-14468.639973710608</v>
      </c>
    </row>
    <row r="803" spans="1:24">
      <c r="A803" s="16">
        <f t="shared" si="148"/>
        <v>802</v>
      </c>
      <c r="B803" s="17">
        <f t="shared" si="142"/>
        <v>13.411199999999999</v>
      </c>
      <c r="C803" s="16">
        <f>Specification!$G$29</f>
        <v>164.943378</v>
      </c>
      <c r="D803" s="17">
        <f>0.5*Specification!$K$4*Track!B803^2*Specification!$K$3*Specification!$K$2</f>
        <v>93.159842569492653</v>
      </c>
      <c r="E803" s="16">
        <v>0</v>
      </c>
      <c r="F803" s="17">
        <f>Specification!$C$23*9.81*SIN((E803*PI()/180))</f>
        <v>0</v>
      </c>
      <c r="G803" s="18">
        <f>IF(J803=1,VLOOKUP(K803,RPM!$E$2:$H$62,3,FALSE)-F803-E803-D803,IF(J803=2,VLOOKUP(K803,RPM!$H$2:$K$62,3,FALSE)-F803-E803-D803,IF(J803=3,VLOOKUP(K803,RPM!$K$2:$N$62,3,FALSE)-F803-E803-D803)))</f>
        <v>688.48526429214962</v>
      </c>
      <c r="H803" s="19">
        <f>IF(J803=1,Specification!$I$14,IF(J803=2,Specification!$I$15,IF(J803=3,Specification!$I$16)))</f>
        <v>582.50936296077191</v>
      </c>
      <c r="I803" s="16">
        <f t="shared" si="141"/>
        <v>0</v>
      </c>
      <c r="J803" s="17">
        <v>2</v>
      </c>
      <c r="K803" s="16">
        <f>IF(J803=1,VLOOKUP(B803,RPM!$F$2:$H$62,3,TRUE),IF(J803=2,VLOOKUP(B803,RPM!$I$2:$K$62,3,TRUE),IF(J803=3,VLOOKUP(B803,RPM!$L$2:$N$62,3,TRUE))))</f>
        <v>7000</v>
      </c>
      <c r="L803" s="17">
        <f t="shared" si="152"/>
        <v>64.076103919401135</v>
      </c>
      <c r="M803" s="16">
        <f t="shared" si="143"/>
        <v>2.5261249524083507</v>
      </c>
      <c r="N803" s="17">
        <f>VLOOKUP(K803,RPM!$A$2:$D$62,3,FALSE)</f>
        <v>13</v>
      </c>
      <c r="O803" s="16">
        <f>VLOOKUP(K803,RPM!$A$2:$D$62,4,FALSE)</f>
        <v>13.235857142857142</v>
      </c>
      <c r="P803" s="17">
        <f t="shared" si="144"/>
        <v>9.8699786714285711</v>
      </c>
      <c r="Q803" s="16" cm="1">
        <f t="array" ref="Q803">_xlfn.XLOOKUP(O803,BSFC!$A$2:$A$24,_xlfn.XLOOKUP(K803,BSFC!$B$1:$O$1,BSFC!$B$2:$O$24,,-1),,-1)</f>
        <v>520</v>
      </c>
      <c r="R803" s="17">
        <f t="shared" si="145"/>
        <v>1.425663585873016</v>
      </c>
      <c r="S803" s="16">
        <f t="shared" si="146"/>
        <v>2.0443068048074323E-4</v>
      </c>
      <c r="T803" s="17">
        <f t="shared" si="149"/>
        <v>0.10630395384998648</v>
      </c>
      <c r="U803" s="16">
        <f t="shared" si="150"/>
        <v>105.09770712811273</v>
      </c>
      <c r="V803" s="17">
        <f t="shared" si="151"/>
        <v>0.21829582164867367</v>
      </c>
      <c r="W803" s="16">
        <f t="shared" si="147"/>
        <v>785864.95793522522</v>
      </c>
      <c r="X803">
        <f>('Hybrid Info'!$A$2-Track!P803)*(L803-L802)*1000+X802</f>
        <v>-14300.834264724355</v>
      </c>
    </row>
    <row r="804" spans="1:24">
      <c r="A804" s="16">
        <f t="shared" si="148"/>
        <v>803</v>
      </c>
      <c r="B804" s="17">
        <f t="shared" si="142"/>
        <v>13.411199999999999</v>
      </c>
      <c r="C804" s="16">
        <f>Specification!$G$29</f>
        <v>164.943378</v>
      </c>
      <c r="D804" s="17">
        <f>0.5*Specification!$K$4*Track!B804^2*Specification!$K$3*Specification!$K$2</f>
        <v>93.159842569492653</v>
      </c>
      <c r="E804" s="16">
        <v>-1</v>
      </c>
      <c r="F804" s="17">
        <f>Specification!$C$23*9.81*SIN((E804*PI()/180))</f>
        <v>-95.955295733149597</v>
      </c>
      <c r="G804" s="18">
        <f>IF(J804=1,VLOOKUP(K804,RPM!$E$2:$H$62,3,FALSE)-F804-E804-D804,IF(J804=2,VLOOKUP(K804,RPM!$H$2:$K$62,3,FALSE)-F804-E804-D804,IF(J804=3,VLOOKUP(K804,RPM!$K$2:$N$62,3,FALSE)-F804-E804-D804)))</f>
        <v>785.44056002529919</v>
      </c>
      <c r="H804" s="19">
        <f>IF(J804=1,Specification!$I$14,IF(J804=2,Specification!$I$15,IF(J804=3,Specification!$I$16)))</f>
        <v>582.50936296077191</v>
      </c>
      <c r="I804" s="16">
        <f t="shared" ref="I804:I867" si="153">IF(B804=13.4112,0,G804/H804)</f>
        <v>0</v>
      </c>
      <c r="J804" s="17">
        <v>2</v>
      </c>
      <c r="K804" s="16">
        <f>IF(J804=1,VLOOKUP(B804,RPM!$F$2:$H$62,3,TRUE),IF(J804=2,VLOOKUP(B804,RPM!$I$2:$K$62,3,TRUE),IF(J804=3,VLOOKUP(B804,RPM!$L$2:$N$62,3,TRUE))))</f>
        <v>7000</v>
      </c>
      <c r="L804" s="17">
        <f t="shared" si="152"/>
        <v>64.150668462469611</v>
      </c>
      <c r="M804" s="16">
        <f t="shared" si="143"/>
        <v>2.5086698874801332</v>
      </c>
      <c r="N804" s="17">
        <f>VLOOKUP(K804,RPM!$A$2:$D$62,3,FALSE)</f>
        <v>13</v>
      </c>
      <c r="O804" s="16">
        <f>VLOOKUP(K804,RPM!$A$2:$D$62,4,FALSE)</f>
        <v>13.235857142857142</v>
      </c>
      <c r="P804" s="17">
        <f t="shared" si="144"/>
        <v>9.8699786714285711</v>
      </c>
      <c r="Q804" s="16" cm="1">
        <f t="array" ref="Q804">_xlfn.XLOOKUP(O804,BSFC!$A$2:$A$24,_xlfn.XLOOKUP(K804,BSFC!$B$1:$O$1,BSFC!$B$2:$O$24,,-1),,-1)</f>
        <v>520</v>
      </c>
      <c r="R804" s="17">
        <f t="shared" si="145"/>
        <v>1.425663585873016</v>
      </c>
      <c r="S804" s="16">
        <f t="shared" si="146"/>
        <v>2.0443068048074323E-4</v>
      </c>
      <c r="T804" s="17">
        <f t="shared" si="149"/>
        <v>0.10630395384998648</v>
      </c>
      <c r="U804" s="16">
        <f t="shared" si="150"/>
        <v>105.20401108196272</v>
      </c>
      <c r="V804" s="17">
        <f t="shared" si="151"/>
        <v>0.2185002523291544</v>
      </c>
      <c r="W804" s="16">
        <f t="shared" si="147"/>
        <v>786600.90838495584</v>
      </c>
      <c r="X804">
        <f>('Hybrid Info'!$A$2-Track!P804)*(L804-L803)*1000+X803</f>
        <v>-14133.028555738103</v>
      </c>
    </row>
    <row r="805" spans="1:24">
      <c r="A805" s="16">
        <f t="shared" si="148"/>
        <v>804</v>
      </c>
      <c r="B805" s="17">
        <f t="shared" si="142"/>
        <v>13.411199999999999</v>
      </c>
      <c r="C805" s="16">
        <f>Specification!$G$29</f>
        <v>164.943378</v>
      </c>
      <c r="D805" s="17">
        <f>0.5*Specification!$K$4*Track!B805^2*Specification!$K$3*Specification!$K$2</f>
        <v>93.159842569492653</v>
      </c>
      <c r="E805" s="16">
        <v>-2</v>
      </c>
      <c r="F805" s="17">
        <f>Specification!$C$23*9.81*SIN((E805*PI()/180))</f>
        <v>-191.88136255367905</v>
      </c>
      <c r="G805" s="18">
        <f>IF(J805=1,VLOOKUP(K805,RPM!$E$2:$H$62,3,FALSE)-F805-E805-D805,IF(J805=2,VLOOKUP(K805,RPM!$H$2:$K$62,3,FALSE)-F805-E805-D805,IF(J805=3,VLOOKUP(K805,RPM!$K$2:$N$62,3,FALSE)-F805-E805-D805)))</f>
        <v>743.44354159195063</v>
      </c>
      <c r="H805" s="19">
        <f>IF(J805=1,Specification!$I$14,IF(J805=2,Specification!$I$15,IF(J805=3,Specification!$I$16)))</f>
        <v>578.93404261974786</v>
      </c>
      <c r="I805" s="16">
        <f t="shared" si="153"/>
        <v>0</v>
      </c>
      <c r="J805" s="17">
        <v>3</v>
      </c>
      <c r="K805" s="16">
        <f>IF(J805=1,VLOOKUP(B805,RPM!$F$2:$H$62,3,TRUE),IF(J805=2,VLOOKUP(B805,RPM!$I$2:$K$62,3,TRUE),IF(J805=3,VLOOKUP(B805,RPM!$L$2:$N$62,3,TRUE))))</f>
        <v>4300</v>
      </c>
      <c r="L805" s="17">
        <f t="shared" si="152"/>
        <v>64.225233005538087</v>
      </c>
      <c r="M805" s="16">
        <f t="shared" si="143"/>
        <v>2.4737491179883855</v>
      </c>
      <c r="N805" s="17">
        <f>VLOOKUP(K805,RPM!$A$2:$D$62,3,FALSE)</f>
        <v>11.4</v>
      </c>
      <c r="O805" s="16">
        <f>VLOOKUP(K805,RPM!$A$2:$D$62,4,FALSE)</f>
        <v>18.894837209302327</v>
      </c>
      <c r="P805" s="17">
        <f t="shared" si="144"/>
        <v>14.089880106976747</v>
      </c>
      <c r="Q805" s="16" cm="1">
        <f t="array" ref="Q805">_xlfn.XLOOKUP(O805,BSFC!$A$2:$A$24,_xlfn.XLOOKUP(K805,BSFC!$B$1:$O$1,BSFC!$B$2:$O$24,,-1),,-1)</f>
        <v>480</v>
      </c>
      <c r="R805" s="17">
        <f t="shared" si="145"/>
        <v>1.8786506809302328</v>
      </c>
      <c r="S805" s="16">
        <f t="shared" si="146"/>
        <v>2.9183485335175871E-4</v>
      </c>
      <c r="T805" s="17">
        <f t="shared" si="149"/>
        <v>0.14008072960884418</v>
      </c>
      <c r="U805" s="16">
        <f t="shared" si="150"/>
        <v>105.34409181157156</v>
      </c>
      <c r="V805" s="17">
        <f t="shared" si="151"/>
        <v>0.21879208718250617</v>
      </c>
      <c r="W805" s="16">
        <f t="shared" si="147"/>
        <v>787651.51385702228</v>
      </c>
      <c r="X805">
        <f>('Hybrid Info'!$A$2-Track!P805)*(L805-L804)*1000+X804</f>
        <v>-14279.877869087506</v>
      </c>
    </row>
    <row r="806" spans="1:24">
      <c r="A806" s="16">
        <f t="shared" si="148"/>
        <v>805</v>
      </c>
      <c r="B806" s="17">
        <f t="shared" si="142"/>
        <v>13.411199999999999</v>
      </c>
      <c r="C806" s="16">
        <f>Specification!$G$29</f>
        <v>164.943378</v>
      </c>
      <c r="D806" s="17">
        <f>0.5*Specification!$K$4*Track!B806^2*Specification!$K$3*Specification!$K$2</f>
        <v>93.159842569492653</v>
      </c>
      <c r="E806" s="16">
        <v>-3</v>
      </c>
      <c r="F806" s="17">
        <f>Specification!$C$23*9.81*SIN((E806*PI()/180))</f>
        <v>-287.74898045237813</v>
      </c>
      <c r="G806" s="18">
        <f>IF(J806=1,VLOOKUP(K806,RPM!$E$2:$H$62,3,FALSE)-F806-E806-D806,IF(J806=2,VLOOKUP(K806,RPM!$H$2:$K$62,3,FALSE)-F806-E806-D806,IF(J806=3,VLOOKUP(K806,RPM!$K$2:$N$62,3,FALSE)-F806-E806-D806)))</f>
        <v>840.31115949064974</v>
      </c>
      <c r="H806" s="19">
        <f>IF(J806=1,Specification!$I$14,IF(J806=2,Specification!$I$15,IF(J806=3,Specification!$I$16)))</f>
        <v>578.93404261974786</v>
      </c>
      <c r="I806" s="16">
        <f t="shared" si="153"/>
        <v>0</v>
      </c>
      <c r="J806" s="17">
        <v>3</v>
      </c>
      <c r="K806" s="16">
        <f>IF(J806=1,VLOOKUP(B806,RPM!$F$2:$H$62,3,TRUE),IF(J806=2,VLOOKUP(B806,RPM!$I$2:$K$62,3,TRUE),IF(J806=3,VLOOKUP(B806,RPM!$L$2:$N$62,3,TRUE))))</f>
        <v>4300</v>
      </c>
      <c r="L806" s="17">
        <f t="shared" si="152"/>
        <v>64.299797548606563</v>
      </c>
      <c r="M806" s="16">
        <f t="shared" si="143"/>
        <v>2.4213413387053442</v>
      </c>
      <c r="N806" s="17">
        <f>VLOOKUP(K806,RPM!$A$2:$D$62,3,FALSE)</f>
        <v>11.4</v>
      </c>
      <c r="O806" s="16">
        <f>VLOOKUP(K806,RPM!$A$2:$D$62,4,FALSE)</f>
        <v>18.894837209302327</v>
      </c>
      <c r="P806" s="17">
        <f t="shared" si="144"/>
        <v>14.089880106976747</v>
      </c>
      <c r="Q806" s="16" cm="1">
        <f t="array" ref="Q806">_xlfn.XLOOKUP(O806,BSFC!$A$2:$A$24,_xlfn.XLOOKUP(K806,BSFC!$B$1:$O$1,BSFC!$B$2:$O$24,,-1),,-1)</f>
        <v>480</v>
      </c>
      <c r="R806" s="17">
        <f t="shared" si="145"/>
        <v>1.8786506809302328</v>
      </c>
      <c r="S806" s="16">
        <f t="shared" si="146"/>
        <v>2.9183485335175871E-4</v>
      </c>
      <c r="T806" s="17">
        <f t="shared" si="149"/>
        <v>0.14008072960884418</v>
      </c>
      <c r="U806" s="16">
        <f t="shared" si="150"/>
        <v>105.4841725411804</v>
      </c>
      <c r="V806" s="17">
        <f t="shared" si="151"/>
        <v>0.21908392203585794</v>
      </c>
      <c r="W806" s="16">
        <f t="shared" si="147"/>
        <v>788702.1193290886</v>
      </c>
      <c r="X806">
        <f>('Hybrid Info'!$A$2-Track!P806)*(L806-L805)*1000+X805</f>
        <v>-14426.727182436909</v>
      </c>
    </row>
    <row r="807" spans="1:24">
      <c r="A807" s="16">
        <f t="shared" si="148"/>
        <v>806</v>
      </c>
      <c r="B807" s="17">
        <f t="shared" si="142"/>
        <v>13.411199999999999</v>
      </c>
      <c r="C807" s="16">
        <f>Specification!$G$29</f>
        <v>164.943378</v>
      </c>
      <c r="D807" s="17">
        <f>0.5*Specification!$K$4*Track!B807^2*Specification!$K$3*Specification!$K$2</f>
        <v>93.159842569492653</v>
      </c>
      <c r="E807" s="16">
        <v>-4</v>
      </c>
      <c r="F807" s="17">
        <f>Specification!$C$23*9.81*SIN((E807*PI()/180))</f>
        <v>-383.52894722414453</v>
      </c>
      <c r="G807" s="18">
        <f>IF(J807=1,VLOOKUP(K807,RPM!$E$2:$H$62,3,FALSE)-F807-E807-D807,IF(J807=2,VLOOKUP(K807,RPM!$H$2:$K$62,3,FALSE)-F807-E807-D807,IF(J807=3,VLOOKUP(K807,RPM!$K$2:$N$62,3,FALSE)-F807-E807-D807)))</f>
        <v>937.09112626241608</v>
      </c>
      <c r="H807" s="19">
        <f>IF(J807=1,Specification!$I$14,IF(J807=2,Specification!$I$15,IF(J807=3,Specification!$I$16)))</f>
        <v>578.93404261974786</v>
      </c>
      <c r="I807" s="16">
        <f t="shared" si="153"/>
        <v>0</v>
      </c>
      <c r="J807" s="17">
        <v>3</v>
      </c>
      <c r="K807" s="16">
        <f>IF(J807=1,VLOOKUP(B807,RPM!$F$2:$H$62,3,TRUE),IF(J807=2,VLOOKUP(B807,RPM!$I$2:$K$62,3,TRUE),IF(J807=3,VLOOKUP(B807,RPM!$L$2:$N$62,3,TRUE))))</f>
        <v>4300</v>
      </c>
      <c r="L807" s="17">
        <f t="shared" si="152"/>
        <v>64.374362091675039</v>
      </c>
      <c r="M807" s="16">
        <f t="shared" si="143"/>
        <v>2.3514145267618338</v>
      </c>
      <c r="N807" s="17">
        <f>VLOOKUP(K807,RPM!$A$2:$D$62,3,FALSE)</f>
        <v>11.4</v>
      </c>
      <c r="O807" s="16">
        <f>VLOOKUP(K807,RPM!$A$2:$D$62,4,FALSE)</f>
        <v>18.894837209302327</v>
      </c>
      <c r="P807" s="17">
        <f t="shared" si="144"/>
        <v>14.089880106976747</v>
      </c>
      <c r="Q807" s="16" cm="1">
        <f t="array" ref="Q807">_xlfn.XLOOKUP(O807,BSFC!$A$2:$A$24,_xlfn.XLOOKUP(K807,BSFC!$B$1:$O$1,BSFC!$B$2:$O$24,,-1),,-1)</f>
        <v>480</v>
      </c>
      <c r="R807" s="17">
        <f t="shared" si="145"/>
        <v>1.8786506809302328</v>
      </c>
      <c r="S807" s="16">
        <f t="shared" si="146"/>
        <v>2.9183485335175871E-4</v>
      </c>
      <c r="T807" s="17">
        <f t="shared" si="149"/>
        <v>0.14008072960884418</v>
      </c>
      <c r="U807" s="16">
        <f t="shared" si="150"/>
        <v>105.62425327078924</v>
      </c>
      <c r="V807" s="17">
        <f t="shared" si="151"/>
        <v>0.21937575688920971</v>
      </c>
      <c r="W807" s="16">
        <f t="shared" si="147"/>
        <v>789752.72480115492</v>
      </c>
      <c r="X807">
        <f>('Hybrid Info'!$A$2-Track!P807)*(L807-L806)*1000+X806</f>
        <v>-14573.576495786312</v>
      </c>
    </row>
    <row r="808" spans="1:24">
      <c r="A808" s="16">
        <f t="shared" si="148"/>
        <v>807</v>
      </c>
      <c r="B808" s="17">
        <f t="shared" si="142"/>
        <v>13.411199999999999</v>
      </c>
      <c r="C808" s="16">
        <f>Specification!$G$29</f>
        <v>164.943378</v>
      </c>
      <c r="D808" s="17">
        <f>0.5*Specification!$K$4*Track!B808^2*Specification!$K$3*Specification!$K$2</f>
        <v>93.159842569492653</v>
      </c>
      <c r="E808" s="16">
        <v>-5</v>
      </c>
      <c r="F808" s="17">
        <f>Specification!$C$23*9.81*SIN((E808*PI()/180))</f>
        <v>-479.192087363258</v>
      </c>
      <c r="G808" s="18">
        <f>IF(J808=1,VLOOKUP(K808,RPM!$E$2:$H$62,3,FALSE)-F808-E808-D808,IF(J808=2,VLOOKUP(K808,RPM!$H$2:$K$62,3,FALSE)-F808-E808-D808,IF(J808=3,VLOOKUP(K808,RPM!$K$2:$N$62,3,FALSE)-F808-E808-D808)))</f>
        <v>1033.7542664015295</v>
      </c>
      <c r="H808" s="19">
        <f>IF(J808=1,Specification!$I$14,IF(J808=2,Specification!$I$15,IF(J808=3,Specification!$I$16)))</f>
        <v>578.93404261974786</v>
      </c>
      <c r="I808" s="16">
        <f t="shared" si="153"/>
        <v>0</v>
      </c>
      <c r="J808" s="17">
        <v>3</v>
      </c>
      <c r="K808" s="16">
        <f>IF(J808=1,VLOOKUP(B808,RPM!$F$2:$H$62,3,TRUE),IF(J808=2,VLOOKUP(B808,RPM!$I$2:$K$62,3,TRUE),IF(J808=3,VLOOKUP(B808,RPM!$L$2:$N$62,3,TRUE))))</f>
        <v>4300</v>
      </c>
      <c r="L808" s="17">
        <f t="shared" si="152"/>
        <v>64.448926634743515</v>
      </c>
      <c r="M808" s="16">
        <f t="shared" si="143"/>
        <v>2.2639258632359098</v>
      </c>
      <c r="N808" s="17">
        <f>VLOOKUP(K808,RPM!$A$2:$D$62,3,FALSE)</f>
        <v>11.4</v>
      </c>
      <c r="O808" s="16">
        <f>VLOOKUP(K808,RPM!$A$2:$D$62,4,FALSE)</f>
        <v>18.894837209302327</v>
      </c>
      <c r="P808" s="17">
        <f t="shared" si="144"/>
        <v>14.089880106976747</v>
      </c>
      <c r="Q808" s="16" cm="1">
        <f t="array" ref="Q808">_xlfn.XLOOKUP(O808,BSFC!$A$2:$A$24,_xlfn.XLOOKUP(K808,BSFC!$B$1:$O$1,BSFC!$B$2:$O$24,,-1),,-1)</f>
        <v>480</v>
      </c>
      <c r="R808" s="17">
        <f t="shared" si="145"/>
        <v>1.8786506809302328</v>
      </c>
      <c r="S808" s="16">
        <f t="shared" si="146"/>
        <v>2.9183485335175871E-4</v>
      </c>
      <c r="T808" s="17">
        <f t="shared" si="149"/>
        <v>0.14008072960884418</v>
      </c>
      <c r="U808" s="16">
        <f t="shared" si="150"/>
        <v>105.76433400039808</v>
      </c>
      <c r="V808" s="17">
        <f t="shared" si="151"/>
        <v>0.21966759174256148</v>
      </c>
      <c r="W808" s="16">
        <f t="shared" si="147"/>
        <v>790803.33027322136</v>
      </c>
      <c r="X808">
        <f>('Hybrid Info'!$A$2-Track!P808)*(L808-L807)*1000+X807</f>
        <v>-14720.425809135715</v>
      </c>
    </row>
    <row r="809" spans="1:24">
      <c r="A809" s="16">
        <f t="shared" si="148"/>
        <v>808</v>
      </c>
      <c r="B809" s="17">
        <f t="shared" si="142"/>
        <v>13.411199999999999</v>
      </c>
      <c r="C809" s="16">
        <f>Specification!$G$29</f>
        <v>164.943378</v>
      </c>
      <c r="D809" s="17">
        <f>0.5*Specification!$K$4*Track!B809^2*Specification!$K$3*Specification!$K$2</f>
        <v>93.159842569492653</v>
      </c>
      <c r="E809" s="16">
        <v>-6</v>
      </c>
      <c r="F809" s="17">
        <f>Specification!$C$23*9.81*SIN((E809*PI()/180))</f>
        <v>-574.70926095052266</v>
      </c>
      <c r="G809" s="18">
        <f>IF(J809=1,VLOOKUP(K809,RPM!$E$2:$H$62,3,FALSE)-F809-E809-D809,IF(J809=2,VLOOKUP(K809,RPM!$H$2:$K$62,3,FALSE)-F809-E809-D809,IF(J809=3,VLOOKUP(K809,RPM!$K$2:$N$62,3,FALSE)-F809-E809-D809)))</f>
        <v>1130.2714399887943</v>
      </c>
      <c r="H809" s="19">
        <f>IF(J809=1,Specification!$I$14,IF(J809=2,Specification!$I$15,IF(J809=3,Specification!$I$16)))</f>
        <v>578.93404261974786</v>
      </c>
      <c r="I809" s="16">
        <f t="shared" si="153"/>
        <v>0</v>
      </c>
      <c r="J809" s="17">
        <v>3</v>
      </c>
      <c r="K809" s="16">
        <f>IF(J809=1,VLOOKUP(B809,RPM!$F$2:$H$62,3,TRUE),IF(J809=2,VLOOKUP(B809,RPM!$I$2:$K$62,3,TRUE),IF(J809=3,VLOOKUP(B809,RPM!$L$2:$N$62,3,TRUE))))</f>
        <v>4300</v>
      </c>
      <c r="L809" s="17">
        <f t="shared" si="152"/>
        <v>64.523491177811991</v>
      </c>
      <c r="M809" s="16">
        <f t="shared" si="143"/>
        <v>2.1588216279702332</v>
      </c>
      <c r="N809" s="17">
        <f>VLOOKUP(K809,RPM!$A$2:$D$62,3,FALSE)</f>
        <v>11.4</v>
      </c>
      <c r="O809" s="16">
        <f>VLOOKUP(K809,RPM!$A$2:$D$62,4,FALSE)</f>
        <v>18.894837209302327</v>
      </c>
      <c r="P809" s="17">
        <f t="shared" si="144"/>
        <v>14.089880106976747</v>
      </c>
      <c r="Q809" s="16" cm="1">
        <f t="array" ref="Q809">_xlfn.XLOOKUP(O809,BSFC!$A$2:$A$24,_xlfn.XLOOKUP(K809,BSFC!$B$1:$O$1,BSFC!$B$2:$O$24,,-1),,-1)</f>
        <v>480</v>
      </c>
      <c r="R809" s="17">
        <f t="shared" si="145"/>
        <v>1.8786506809302328</v>
      </c>
      <c r="S809" s="16">
        <f t="shared" si="146"/>
        <v>2.9183485335175871E-4</v>
      </c>
      <c r="T809" s="17">
        <f t="shared" si="149"/>
        <v>0.14008072960884418</v>
      </c>
      <c r="U809" s="16">
        <f t="shared" si="150"/>
        <v>105.90441473000692</v>
      </c>
      <c r="V809" s="17">
        <f t="shared" si="151"/>
        <v>0.21995942659591325</v>
      </c>
      <c r="W809" s="16">
        <f t="shared" si="147"/>
        <v>791853.93574528769</v>
      </c>
      <c r="X809">
        <f>('Hybrid Info'!$A$2-Track!P809)*(L809-L808)*1000+X808</f>
        <v>-14867.275122485118</v>
      </c>
    </row>
    <row r="810" spans="1:24">
      <c r="A810" s="16">
        <f t="shared" si="148"/>
        <v>809</v>
      </c>
      <c r="B810" s="17">
        <f t="shared" si="142"/>
        <v>13.411199999999999</v>
      </c>
      <c r="C810" s="16">
        <f>Specification!$G$29</f>
        <v>164.943378</v>
      </c>
      <c r="D810" s="17">
        <f>0.5*Specification!$K$4*Track!B810^2*Specification!$K$3*Specification!$K$2</f>
        <v>93.159842569492653</v>
      </c>
      <c r="E810" s="16">
        <v>-7</v>
      </c>
      <c r="F810" s="17">
        <f>Specification!$C$23*9.81*SIN((E810*PI()/180))</f>
        <v>-670.05137252956831</v>
      </c>
      <c r="G810" s="18">
        <f>IF(J810=1,VLOOKUP(K810,RPM!$E$2:$H$62,3,FALSE)-F810-E810-D810,IF(J810=2,VLOOKUP(K810,RPM!$H$2:$K$62,3,FALSE)-F810-E810-D810,IF(J810=3,VLOOKUP(K810,RPM!$K$2:$N$62,3,FALSE)-F810-E810-D810)))</f>
        <v>1226.61355156784</v>
      </c>
      <c r="H810" s="19">
        <f>IF(J810=1,Specification!$I$14,IF(J810=2,Specification!$I$15,IF(J810=3,Specification!$I$16)))</f>
        <v>578.93404261974786</v>
      </c>
      <c r="I810" s="16">
        <f t="shared" si="153"/>
        <v>0</v>
      </c>
      <c r="J810" s="17">
        <v>3</v>
      </c>
      <c r="K810" s="16">
        <f>IF(J810=1,VLOOKUP(B810,RPM!$F$2:$H$62,3,TRUE),IF(J810=2,VLOOKUP(B810,RPM!$I$2:$K$62,3,TRUE),IF(J810=3,VLOOKUP(B810,RPM!$L$2:$N$62,3,TRUE))))</f>
        <v>4300</v>
      </c>
      <c r="L810" s="17">
        <f t="shared" si="152"/>
        <v>64.598055720880467</v>
      </c>
      <c r="M810" s="16">
        <f t="shared" si="143"/>
        <v>2.0360370670673285</v>
      </c>
      <c r="N810" s="17">
        <f>VLOOKUP(K810,RPM!$A$2:$D$62,3,FALSE)</f>
        <v>11.4</v>
      </c>
      <c r="O810" s="16">
        <f>VLOOKUP(K810,RPM!$A$2:$D$62,4,FALSE)</f>
        <v>18.894837209302327</v>
      </c>
      <c r="P810" s="17">
        <f t="shared" si="144"/>
        <v>14.089880106976747</v>
      </c>
      <c r="Q810" s="16" cm="1">
        <f t="array" ref="Q810">_xlfn.XLOOKUP(O810,BSFC!$A$2:$A$24,_xlfn.XLOOKUP(K810,BSFC!$B$1:$O$1,BSFC!$B$2:$O$24,,-1),,-1)</f>
        <v>480</v>
      </c>
      <c r="R810" s="17">
        <f t="shared" si="145"/>
        <v>1.8786506809302328</v>
      </c>
      <c r="S810" s="16">
        <f t="shared" si="146"/>
        <v>2.9183485335175871E-4</v>
      </c>
      <c r="T810" s="17">
        <f t="shared" si="149"/>
        <v>0.14008072960884418</v>
      </c>
      <c r="U810" s="16">
        <f t="shared" si="150"/>
        <v>106.04449545961576</v>
      </c>
      <c r="V810" s="17">
        <f t="shared" si="151"/>
        <v>0.22025126144926502</v>
      </c>
      <c r="W810" s="16">
        <f t="shared" si="147"/>
        <v>792904.54121735413</v>
      </c>
      <c r="X810">
        <f>('Hybrid Info'!$A$2-Track!P810)*(L810-L809)*1000+X809</f>
        <v>-15014.124435834521</v>
      </c>
    </row>
    <row r="811" spans="1:24">
      <c r="A811" s="16">
        <f t="shared" si="148"/>
        <v>810</v>
      </c>
      <c r="B811" s="17">
        <f t="shared" si="142"/>
        <v>13.411199999999999</v>
      </c>
      <c r="C811" s="16">
        <f>Specification!$G$29</f>
        <v>164.943378</v>
      </c>
      <c r="D811" s="17">
        <f>0.5*Specification!$K$4*Track!B811^2*Specification!$K$3*Specification!$K$2</f>
        <v>93.159842569492653</v>
      </c>
      <c r="E811" s="16">
        <v>-8</v>
      </c>
      <c r="F811" s="17">
        <f>Specification!$C$23*9.81*SIN((E811*PI()/180))</f>
        <v>-765.1893799696079</v>
      </c>
      <c r="G811" s="18">
        <f>IF(J811=1,VLOOKUP(K811,RPM!$E$2:$H$62,3,FALSE)-F811-E811-D811,IF(J811=2,VLOOKUP(K811,RPM!$H$2:$K$62,3,FALSE)-F811-E811-D811,IF(J811=3,VLOOKUP(K811,RPM!$K$2:$N$62,3,FALSE)-F811-E811-D811)))</f>
        <v>1322.7515590078795</v>
      </c>
      <c r="H811" s="19">
        <f>IF(J811=1,Specification!$I$14,IF(J811=2,Specification!$I$15,IF(J811=3,Specification!$I$16)))</f>
        <v>578.93404261974786</v>
      </c>
      <c r="I811" s="16">
        <f t="shared" si="153"/>
        <v>0</v>
      </c>
      <c r="J811" s="17">
        <v>3</v>
      </c>
      <c r="K811" s="16">
        <f>IF(J811=1,VLOOKUP(B811,RPM!$F$2:$H$62,3,TRUE),IF(J811=2,VLOOKUP(B811,RPM!$I$2:$K$62,3,TRUE),IF(J811=3,VLOOKUP(B811,RPM!$L$2:$N$62,3,TRUE))))</f>
        <v>4300</v>
      </c>
      <c r="L811" s="17">
        <f t="shared" si="152"/>
        <v>64.672620263948943</v>
      </c>
      <c r="M811" s="16">
        <f t="shared" si="143"/>
        <v>1.8954962323649369</v>
      </c>
      <c r="N811" s="17">
        <f>VLOOKUP(K811,RPM!$A$2:$D$62,3,FALSE)</f>
        <v>11.4</v>
      </c>
      <c r="O811" s="16">
        <f>VLOOKUP(K811,RPM!$A$2:$D$62,4,FALSE)</f>
        <v>18.894837209302327</v>
      </c>
      <c r="P811" s="17">
        <f t="shared" si="144"/>
        <v>14.089880106976747</v>
      </c>
      <c r="Q811" s="16" cm="1">
        <f t="array" ref="Q811">_xlfn.XLOOKUP(O811,BSFC!$A$2:$A$24,_xlfn.XLOOKUP(K811,BSFC!$B$1:$O$1,BSFC!$B$2:$O$24,,-1),,-1)</f>
        <v>480</v>
      </c>
      <c r="R811" s="17">
        <f t="shared" si="145"/>
        <v>1.8786506809302328</v>
      </c>
      <c r="S811" s="16">
        <f t="shared" si="146"/>
        <v>2.9183485335175871E-4</v>
      </c>
      <c r="T811" s="17">
        <f t="shared" si="149"/>
        <v>0.14008072960884418</v>
      </c>
      <c r="U811" s="16">
        <f t="shared" si="150"/>
        <v>106.1845761892246</v>
      </c>
      <c r="V811" s="17">
        <f t="shared" si="151"/>
        <v>0.22054309630261679</v>
      </c>
      <c r="W811" s="16">
        <f t="shared" si="147"/>
        <v>793955.14668942045</v>
      </c>
      <c r="X811">
        <f>('Hybrid Info'!$A$2-Track!P811)*(L811-L810)*1000+X810</f>
        <v>-15160.973749183924</v>
      </c>
    </row>
    <row r="812" spans="1:24">
      <c r="A812" s="16">
        <f t="shared" si="148"/>
        <v>811</v>
      </c>
      <c r="B812" s="17">
        <f t="shared" si="142"/>
        <v>13.411199999999999</v>
      </c>
      <c r="C812" s="16">
        <f>Specification!$G$29</f>
        <v>164.943378</v>
      </c>
      <c r="D812" s="17">
        <f>0.5*Specification!$K$4*Track!B812^2*Specification!$K$3*Specification!$K$2</f>
        <v>93.159842569492653</v>
      </c>
      <c r="E812" s="16">
        <v>-8</v>
      </c>
      <c r="F812" s="17">
        <f>Specification!$C$23*9.81*SIN((E812*PI()/180))</f>
        <v>-765.1893799696079</v>
      </c>
      <c r="G812" s="18">
        <f>IF(J812=1,VLOOKUP(K812,RPM!$E$2:$H$62,3,FALSE)-F812-E812-D812,IF(J812=2,VLOOKUP(K812,RPM!$H$2:$K$62,3,FALSE)-F812-E812-D812,IF(J812=3,VLOOKUP(K812,RPM!$K$2:$N$62,3,FALSE)-F812-E812-D812)))</f>
        <v>1322.7515590078795</v>
      </c>
      <c r="H812" s="19">
        <f>IF(J812=1,Specification!$I$14,IF(J812=2,Specification!$I$15,IF(J812=3,Specification!$I$16)))</f>
        <v>578.93404261974786</v>
      </c>
      <c r="I812" s="16">
        <f t="shared" si="153"/>
        <v>0</v>
      </c>
      <c r="J812" s="17">
        <v>3</v>
      </c>
      <c r="K812" s="16">
        <f>IF(J812=1,VLOOKUP(B812,RPM!$F$2:$H$62,3,TRUE),IF(J812=2,VLOOKUP(B812,RPM!$I$2:$K$62,3,TRUE),IF(J812=3,VLOOKUP(B812,RPM!$L$2:$N$62,3,TRUE))))</f>
        <v>4300</v>
      </c>
      <c r="L812" s="17">
        <f t="shared" si="152"/>
        <v>64.747184807017419</v>
      </c>
      <c r="M812" s="16">
        <f t="shared" si="143"/>
        <v>1.7549553976625454</v>
      </c>
      <c r="N812" s="17">
        <f>VLOOKUP(K812,RPM!$A$2:$D$62,3,FALSE)</f>
        <v>11.4</v>
      </c>
      <c r="O812" s="16">
        <f>VLOOKUP(K812,RPM!$A$2:$D$62,4,FALSE)</f>
        <v>18.894837209302327</v>
      </c>
      <c r="P812" s="17">
        <f t="shared" si="144"/>
        <v>14.089880106976747</v>
      </c>
      <c r="Q812" s="16" cm="1">
        <f t="array" ref="Q812">_xlfn.XLOOKUP(O812,BSFC!$A$2:$A$24,_xlfn.XLOOKUP(K812,BSFC!$B$1:$O$1,BSFC!$B$2:$O$24,,-1),,-1)</f>
        <v>480</v>
      </c>
      <c r="R812" s="17">
        <f t="shared" si="145"/>
        <v>1.8786506809302328</v>
      </c>
      <c r="S812" s="16">
        <f t="shared" si="146"/>
        <v>2.9183485335175871E-4</v>
      </c>
      <c r="T812" s="17">
        <f t="shared" si="149"/>
        <v>0.14008072960884418</v>
      </c>
      <c r="U812" s="16">
        <f t="shared" si="150"/>
        <v>106.32465691883344</v>
      </c>
      <c r="V812" s="17">
        <f t="shared" si="151"/>
        <v>0.22083493115596856</v>
      </c>
      <c r="W812" s="16">
        <f t="shared" si="147"/>
        <v>795005.75216148677</v>
      </c>
      <c r="X812">
        <f>('Hybrid Info'!$A$2-Track!P812)*(L812-L811)*1000+X811</f>
        <v>-15307.823062533327</v>
      </c>
    </row>
    <row r="813" spans="1:24">
      <c r="A813" s="16">
        <f t="shared" si="148"/>
        <v>812</v>
      </c>
      <c r="B813" s="17">
        <f t="shared" si="142"/>
        <v>13.411199999999999</v>
      </c>
      <c r="C813" s="16">
        <f>Specification!$G$29</f>
        <v>164.943378</v>
      </c>
      <c r="D813" s="17">
        <f>0.5*Specification!$K$4*Track!B813^2*Specification!$K$3*Specification!$K$2</f>
        <v>93.159842569492653</v>
      </c>
      <c r="E813" s="16">
        <v>-8</v>
      </c>
      <c r="F813" s="17">
        <f>Specification!$C$23*9.81*SIN((E813*PI()/180))</f>
        <v>-765.1893799696079</v>
      </c>
      <c r="G813" s="18">
        <f>IF(J813=1,VLOOKUP(K813,RPM!$E$2:$H$62,3,FALSE)-F813-E813-D813,IF(J813=2,VLOOKUP(K813,RPM!$H$2:$K$62,3,FALSE)-F813-E813-D813,IF(J813=3,VLOOKUP(K813,RPM!$K$2:$N$62,3,FALSE)-F813-E813-D813)))</f>
        <v>1322.7515590078795</v>
      </c>
      <c r="H813" s="19">
        <f>IF(J813=1,Specification!$I$14,IF(J813=2,Specification!$I$15,IF(J813=3,Specification!$I$16)))</f>
        <v>578.93404261974786</v>
      </c>
      <c r="I813" s="16">
        <f t="shared" si="153"/>
        <v>0</v>
      </c>
      <c r="J813" s="17">
        <v>3</v>
      </c>
      <c r="K813" s="16">
        <f>IF(J813=1,VLOOKUP(B813,RPM!$F$2:$H$62,3,TRUE),IF(J813=2,VLOOKUP(B813,RPM!$I$2:$K$62,3,TRUE),IF(J813=3,VLOOKUP(B813,RPM!$L$2:$N$62,3,TRUE))))</f>
        <v>4300</v>
      </c>
      <c r="L813" s="17">
        <f t="shared" si="152"/>
        <v>64.821749350085895</v>
      </c>
      <c r="M813" s="16">
        <f t="shared" si="143"/>
        <v>1.6144145629601538</v>
      </c>
      <c r="N813" s="17">
        <f>VLOOKUP(K813,RPM!$A$2:$D$62,3,FALSE)</f>
        <v>11.4</v>
      </c>
      <c r="O813" s="16">
        <f>VLOOKUP(K813,RPM!$A$2:$D$62,4,FALSE)</f>
        <v>18.894837209302327</v>
      </c>
      <c r="P813" s="17">
        <f t="shared" si="144"/>
        <v>14.089880106976747</v>
      </c>
      <c r="Q813" s="16" cm="1">
        <f t="array" ref="Q813">_xlfn.XLOOKUP(O813,BSFC!$A$2:$A$24,_xlfn.XLOOKUP(K813,BSFC!$B$1:$O$1,BSFC!$B$2:$O$24,,-1),,-1)</f>
        <v>480</v>
      </c>
      <c r="R813" s="17">
        <f t="shared" si="145"/>
        <v>1.8786506809302328</v>
      </c>
      <c r="S813" s="16">
        <f t="shared" si="146"/>
        <v>2.9183485335175871E-4</v>
      </c>
      <c r="T813" s="17">
        <f t="shared" si="149"/>
        <v>0.14008072960884418</v>
      </c>
      <c r="U813" s="16">
        <f t="shared" si="150"/>
        <v>106.46473764844228</v>
      </c>
      <c r="V813" s="17">
        <f t="shared" si="151"/>
        <v>0.22112676600932032</v>
      </c>
      <c r="W813" s="16">
        <f t="shared" si="147"/>
        <v>796056.35763355321</v>
      </c>
      <c r="X813">
        <f>('Hybrid Info'!$A$2-Track!P813)*(L813-L812)*1000+X812</f>
        <v>-15454.67237588273</v>
      </c>
    </row>
    <row r="814" spans="1:24">
      <c r="A814" s="16">
        <f t="shared" si="148"/>
        <v>813</v>
      </c>
      <c r="B814" s="17">
        <f t="shared" si="142"/>
        <v>13.411199999999999</v>
      </c>
      <c r="C814" s="16">
        <f>Specification!$G$29</f>
        <v>164.943378</v>
      </c>
      <c r="D814" s="17">
        <f>0.5*Specification!$K$4*Track!B814^2*Specification!$K$3*Specification!$K$2</f>
        <v>93.159842569492653</v>
      </c>
      <c r="E814" s="16">
        <v>-8</v>
      </c>
      <c r="F814" s="17">
        <f>Specification!$C$23*9.81*SIN((E814*PI()/180))</f>
        <v>-765.1893799696079</v>
      </c>
      <c r="G814" s="18">
        <f>IF(J814=1,VLOOKUP(K814,RPM!$E$2:$H$62,3,FALSE)-F814-E814-D814,IF(J814=2,VLOOKUP(K814,RPM!$H$2:$K$62,3,FALSE)-F814-E814-D814,IF(J814=3,VLOOKUP(K814,RPM!$K$2:$N$62,3,FALSE)-F814-E814-D814)))</f>
        <v>1322.7515590078795</v>
      </c>
      <c r="H814" s="19">
        <f>IF(J814=1,Specification!$I$14,IF(J814=2,Specification!$I$15,IF(J814=3,Specification!$I$16)))</f>
        <v>578.93404261974786</v>
      </c>
      <c r="I814" s="16">
        <f t="shared" si="153"/>
        <v>0</v>
      </c>
      <c r="J814" s="17">
        <v>3</v>
      </c>
      <c r="K814" s="16">
        <f>IF(J814=1,VLOOKUP(B814,RPM!$F$2:$H$62,3,TRUE),IF(J814=2,VLOOKUP(B814,RPM!$I$2:$K$62,3,TRUE),IF(J814=3,VLOOKUP(B814,RPM!$L$2:$N$62,3,TRUE))))</f>
        <v>4300</v>
      </c>
      <c r="L814" s="17">
        <f t="shared" si="152"/>
        <v>64.896313893154371</v>
      </c>
      <c r="M814" s="16">
        <f t="shared" si="143"/>
        <v>1.4738737282577623</v>
      </c>
      <c r="N814" s="17">
        <f>VLOOKUP(K814,RPM!$A$2:$D$62,3,FALSE)</f>
        <v>11.4</v>
      </c>
      <c r="O814" s="16">
        <f>VLOOKUP(K814,RPM!$A$2:$D$62,4,FALSE)</f>
        <v>18.894837209302327</v>
      </c>
      <c r="P814" s="17">
        <f t="shared" si="144"/>
        <v>14.089880106976747</v>
      </c>
      <c r="Q814" s="16" cm="1">
        <f t="array" ref="Q814">_xlfn.XLOOKUP(O814,BSFC!$A$2:$A$24,_xlfn.XLOOKUP(K814,BSFC!$B$1:$O$1,BSFC!$B$2:$O$24,,-1),,-1)</f>
        <v>480</v>
      </c>
      <c r="R814" s="17">
        <f t="shared" si="145"/>
        <v>1.8786506809302328</v>
      </c>
      <c r="S814" s="16">
        <f t="shared" si="146"/>
        <v>2.9183485335175871E-4</v>
      </c>
      <c r="T814" s="17">
        <f t="shared" si="149"/>
        <v>0.14008072960884418</v>
      </c>
      <c r="U814" s="16">
        <f t="shared" si="150"/>
        <v>106.60481837805112</v>
      </c>
      <c r="V814" s="17">
        <f t="shared" si="151"/>
        <v>0.22141860086267209</v>
      </c>
      <c r="W814" s="16">
        <f t="shared" si="147"/>
        <v>797106.96310561954</v>
      </c>
      <c r="X814">
        <f>('Hybrid Info'!$A$2-Track!P814)*(L814-L813)*1000+X813</f>
        <v>-15601.521689232133</v>
      </c>
    </row>
    <row r="815" spans="1:24">
      <c r="A815" s="16">
        <f t="shared" si="148"/>
        <v>814</v>
      </c>
      <c r="B815" s="17">
        <f t="shared" si="142"/>
        <v>13.411199999999999</v>
      </c>
      <c r="C815" s="16">
        <f>Specification!$G$29</f>
        <v>164.943378</v>
      </c>
      <c r="D815" s="17">
        <f>0.5*Specification!$K$4*Track!B815^2*Specification!$K$3*Specification!$K$2</f>
        <v>93.159842569492653</v>
      </c>
      <c r="E815" s="16">
        <v>-8</v>
      </c>
      <c r="F815" s="17">
        <f>Specification!$C$23*9.81*SIN((E815*PI()/180))</f>
        <v>-765.1893799696079</v>
      </c>
      <c r="G815" s="18">
        <f>IF(J815=1,VLOOKUP(K815,RPM!$E$2:$H$62,3,FALSE)-F815-E815-D815,IF(J815=2,VLOOKUP(K815,RPM!$H$2:$K$62,3,FALSE)-F815-E815-D815,IF(J815=3,VLOOKUP(K815,RPM!$K$2:$N$62,3,FALSE)-F815-E815-D815)))</f>
        <v>1322.7515590078795</v>
      </c>
      <c r="H815" s="19">
        <f>IF(J815=1,Specification!$I$14,IF(J815=2,Specification!$I$15,IF(J815=3,Specification!$I$16)))</f>
        <v>578.93404261974786</v>
      </c>
      <c r="I815" s="16">
        <f t="shared" si="153"/>
        <v>0</v>
      </c>
      <c r="J815" s="17">
        <v>3</v>
      </c>
      <c r="K815" s="16">
        <f>IF(J815=1,VLOOKUP(B815,RPM!$F$2:$H$62,3,TRUE),IF(J815=2,VLOOKUP(B815,RPM!$I$2:$K$62,3,TRUE),IF(J815=3,VLOOKUP(B815,RPM!$L$2:$N$62,3,TRUE))))</f>
        <v>4300</v>
      </c>
      <c r="L815" s="17">
        <f t="shared" si="152"/>
        <v>64.970878436222847</v>
      </c>
      <c r="M815" s="16">
        <f t="shared" si="143"/>
        <v>1.3333328935553708</v>
      </c>
      <c r="N815" s="17">
        <f>VLOOKUP(K815,RPM!$A$2:$D$62,3,FALSE)</f>
        <v>11.4</v>
      </c>
      <c r="O815" s="16">
        <f>VLOOKUP(K815,RPM!$A$2:$D$62,4,FALSE)</f>
        <v>18.894837209302327</v>
      </c>
      <c r="P815" s="17">
        <f t="shared" si="144"/>
        <v>14.089880106976747</v>
      </c>
      <c r="Q815" s="16" cm="1">
        <f t="array" ref="Q815">_xlfn.XLOOKUP(O815,BSFC!$A$2:$A$24,_xlfn.XLOOKUP(K815,BSFC!$B$1:$O$1,BSFC!$B$2:$O$24,,-1),,-1)</f>
        <v>480</v>
      </c>
      <c r="R815" s="17">
        <f t="shared" si="145"/>
        <v>1.8786506809302328</v>
      </c>
      <c r="S815" s="16">
        <f t="shared" si="146"/>
        <v>2.9183485335175871E-4</v>
      </c>
      <c r="T815" s="17">
        <f t="shared" si="149"/>
        <v>0.14008072960884418</v>
      </c>
      <c r="U815" s="16">
        <f t="shared" si="150"/>
        <v>106.74489910765996</v>
      </c>
      <c r="V815" s="17">
        <f t="shared" si="151"/>
        <v>0.22171043571602386</v>
      </c>
      <c r="W815" s="16">
        <f t="shared" si="147"/>
        <v>798157.56857768586</v>
      </c>
      <c r="X815">
        <f>('Hybrid Info'!$A$2-Track!P815)*(L815-L814)*1000+X814</f>
        <v>-15748.371002581536</v>
      </c>
    </row>
    <row r="816" spans="1:24">
      <c r="A816" s="16">
        <f t="shared" si="148"/>
        <v>815</v>
      </c>
      <c r="B816" s="17">
        <f t="shared" si="142"/>
        <v>13.411199999999999</v>
      </c>
      <c r="C816" s="16">
        <f>Specification!$G$29</f>
        <v>164.943378</v>
      </c>
      <c r="D816" s="17">
        <f>0.5*Specification!$K$4*Track!B816^2*Specification!$K$3*Specification!$K$2</f>
        <v>93.159842569492653</v>
      </c>
      <c r="E816" s="16">
        <v>-8</v>
      </c>
      <c r="F816" s="17">
        <f>Specification!$C$23*9.81*SIN((E816*PI()/180))</f>
        <v>-765.1893799696079</v>
      </c>
      <c r="G816" s="18">
        <f>IF(J816=1,VLOOKUP(K816,RPM!$E$2:$H$62,3,FALSE)-F816-E816-D816,IF(J816=2,VLOOKUP(K816,RPM!$H$2:$K$62,3,FALSE)-F816-E816-D816,IF(J816=3,VLOOKUP(K816,RPM!$K$2:$N$62,3,FALSE)-F816-E816-D816)))</f>
        <v>1322.7515590078795</v>
      </c>
      <c r="H816" s="19">
        <f>IF(J816=1,Specification!$I$14,IF(J816=2,Specification!$I$15,IF(J816=3,Specification!$I$16)))</f>
        <v>578.93404261974786</v>
      </c>
      <c r="I816" s="16">
        <f t="shared" si="153"/>
        <v>0</v>
      </c>
      <c r="J816" s="17">
        <v>3</v>
      </c>
      <c r="K816" s="16">
        <f>IF(J816=1,VLOOKUP(B816,RPM!$F$2:$H$62,3,TRUE),IF(J816=2,VLOOKUP(B816,RPM!$I$2:$K$62,3,TRUE),IF(J816=3,VLOOKUP(B816,RPM!$L$2:$N$62,3,TRUE))))</f>
        <v>4300</v>
      </c>
      <c r="L816" s="17">
        <f t="shared" si="152"/>
        <v>65.045442979291323</v>
      </c>
      <c r="M816" s="16">
        <f t="shared" si="143"/>
        <v>1.1927920588529792</v>
      </c>
      <c r="N816" s="17">
        <f>VLOOKUP(K816,RPM!$A$2:$D$62,3,FALSE)</f>
        <v>11.4</v>
      </c>
      <c r="O816" s="16">
        <f>VLOOKUP(K816,RPM!$A$2:$D$62,4,FALSE)</f>
        <v>18.894837209302327</v>
      </c>
      <c r="P816" s="17">
        <f t="shared" si="144"/>
        <v>14.089880106976747</v>
      </c>
      <c r="Q816" s="16" cm="1">
        <f t="array" ref="Q816">_xlfn.XLOOKUP(O816,BSFC!$A$2:$A$24,_xlfn.XLOOKUP(K816,BSFC!$B$1:$O$1,BSFC!$B$2:$O$24,,-1),,-1)</f>
        <v>480</v>
      </c>
      <c r="R816" s="17">
        <f t="shared" si="145"/>
        <v>1.8786506809302328</v>
      </c>
      <c r="S816" s="16">
        <f t="shared" si="146"/>
        <v>2.9183485335175871E-4</v>
      </c>
      <c r="T816" s="17">
        <f t="shared" si="149"/>
        <v>0.14008072960884418</v>
      </c>
      <c r="U816" s="16">
        <f t="shared" si="150"/>
        <v>106.8849798372688</v>
      </c>
      <c r="V816" s="17">
        <f t="shared" si="151"/>
        <v>0.22200227056937563</v>
      </c>
      <c r="W816" s="16">
        <f t="shared" si="147"/>
        <v>799208.1740497523</v>
      </c>
      <c r="X816">
        <f>('Hybrid Info'!$A$2-Track!P816)*(L816-L815)*1000+X815</f>
        <v>-15895.220315930939</v>
      </c>
    </row>
    <row r="817" spans="1:24">
      <c r="A817" s="16">
        <f t="shared" si="148"/>
        <v>816</v>
      </c>
      <c r="B817" s="17">
        <f t="shared" ref="B817:B880" si="154">IF(SQRT(B816^2+2*I816)&gt;13.4112,13.4112,SQRT(B816^2+2*I816))</f>
        <v>13.411199999999999</v>
      </c>
      <c r="C817" s="16">
        <f>Specification!$G$29</f>
        <v>164.943378</v>
      </c>
      <c r="D817" s="17">
        <f>0.5*Specification!$K$4*Track!B817^2*Specification!$K$3*Specification!$K$2</f>
        <v>93.159842569492653</v>
      </c>
      <c r="E817" s="16">
        <v>-8</v>
      </c>
      <c r="F817" s="17">
        <f>Specification!$C$23*9.81*SIN((E817*PI()/180))</f>
        <v>-765.1893799696079</v>
      </c>
      <c r="G817" s="18">
        <f>IF(J817=1,VLOOKUP(K817,RPM!$E$2:$H$62,3,FALSE)-F817-E817-D817,IF(J817=2,VLOOKUP(K817,RPM!$H$2:$K$62,3,FALSE)-F817-E817-D817,IF(J817=3,VLOOKUP(K817,RPM!$K$2:$N$62,3,FALSE)-F817-E817-D817)))</f>
        <v>1322.7515590078795</v>
      </c>
      <c r="H817" s="19">
        <f>IF(J817=1,Specification!$I$14,IF(J817=2,Specification!$I$15,IF(J817=3,Specification!$I$16)))</f>
        <v>578.93404261974786</v>
      </c>
      <c r="I817" s="16">
        <f t="shared" si="153"/>
        <v>0</v>
      </c>
      <c r="J817" s="17">
        <v>3</v>
      </c>
      <c r="K817" s="16">
        <f>IF(J817=1,VLOOKUP(B817,RPM!$F$2:$H$62,3,TRUE),IF(J817=2,VLOOKUP(B817,RPM!$I$2:$K$62,3,TRUE),IF(J817=3,VLOOKUP(B817,RPM!$L$2:$N$62,3,TRUE))))</f>
        <v>4300</v>
      </c>
      <c r="L817" s="17">
        <f t="shared" si="152"/>
        <v>65.120007522359799</v>
      </c>
      <c r="M817" s="16">
        <f t="shared" si="143"/>
        <v>1.0522512241505877</v>
      </c>
      <c r="N817" s="17">
        <f>VLOOKUP(K817,RPM!$A$2:$D$62,3,FALSE)</f>
        <v>11.4</v>
      </c>
      <c r="O817" s="16">
        <f>VLOOKUP(K817,RPM!$A$2:$D$62,4,FALSE)</f>
        <v>18.894837209302327</v>
      </c>
      <c r="P817" s="17">
        <f t="shared" si="144"/>
        <v>14.089880106976747</v>
      </c>
      <c r="Q817" s="16" cm="1">
        <f t="array" ref="Q817">_xlfn.XLOOKUP(O817,BSFC!$A$2:$A$24,_xlfn.XLOOKUP(K817,BSFC!$B$1:$O$1,BSFC!$B$2:$O$24,,-1),,-1)</f>
        <v>480</v>
      </c>
      <c r="R817" s="17">
        <f t="shared" si="145"/>
        <v>1.8786506809302328</v>
      </c>
      <c r="S817" s="16">
        <f t="shared" si="146"/>
        <v>2.9183485335175871E-4</v>
      </c>
      <c r="T817" s="17">
        <f t="shared" si="149"/>
        <v>0.14008072960884418</v>
      </c>
      <c r="U817" s="16">
        <f t="shared" si="150"/>
        <v>107.02506056687764</v>
      </c>
      <c r="V817" s="17">
        <f t="shared" si="151"/>
        <v>0.2222941054227274</v>
      </c>
      <c r="W817" s="16">
        <f t="shared" si="147"/>
        <v>800258.77952181862</v>
      </c>
      <c r="X817">
        <f>('Hybrid Info'!$A$2-Track!P817)*(L817-L816)*1000+X816</f>
        <v>-16042.069629280342</v>
      </c>
    </row>
    <row r="818" spans="1:24">
      <c r="A818" s="16">
        <f t="shared" si="148"/>
        <v>817</v>
      </c>
      <c r="B818" s="17">
        <f t="shared" si="154"/>
        <v>13.411199999999999</v>
      </c>
      <c r="C818" s="16">
        <f>Specification!$G$29</f>
        <v>164.943378</v>
      </c>
      <c r="D818" s="17">
        <f>0.5*Specification!$K$4*Track!B818^2*Specification!$K$3*Specification!$K$2</f>
        <v>93.159842569492653</v>
      </c>
      <c r="E818" s="16">
        <v>-8</v>
      </c>
      <c r="F818" s="17">
        <f>Specification!$C$23*9.81*SIN((E818*PI()/180))</f>
        <v>-765.1893799696079</v>
      </c>
      <c r="G818" s="18">
        <f>IF(J818=1,VLOOKUP(K818,RPM!$E$2:$H$62,3,FALSE)-F818-E818-D818,IF(J818=2,VLOOKUP(K818,RPM!$H$2:$K$62,3,FALSE)-F818-E818-D818,IF(J818=3,VLOOKUP(K818,RPM!$K$2:$N$62,3,FALSE)-F818-E818-D818)))</f>
        <v>1322.7515590078795</v>
      </c>
      <c r="H818" s="19">
        <f>IF(J818=1,Specification!$I$14,IF(J818=2,Specification!$I$15,IF(J818=3,Specification!$I$16)))</f>
        <v>578.93404261974786</v>
      </c>
      <c r="I818" s="16">
        <f t="shared" si="153"/>
        <v>0</v>
      </c>
      <c r="J818" s="17">
        <v>3</v>
      </c>
      <c r="K818" s="16">
        <f>IF(J818=1,VLOOKUP(B818,RPM!$F$2:$H$62,3,TRUE),IF(J818=2,VLOOKUP(B818,RPM!$I$2:$K$62,3,TRUE),IF(J818=3,VLOOKUP(B818,RPM!$L$2:$N$62,3,TRUE))))</f>
        <v>4300</v>
      </c>
      <c r="L818" s="17">
        <f t="shared" si="152"/>
        <v>65.194572065428275</v>
      </c>
      <c r="M818" s="16">
        <f t="shared" si="143"/>
        <v>0.91171038944819627</v>
      </c>
      <c r="N818" s="17">
        <f>VLOOKUP(K818,RPM!$A$2:$D$62,3,FALSE)</f>
        <v>11.4</v>
      </c>
      <c r="O818" s="16">
        <f>VLOOKUP(K818,RPM!$A$2:$D$62,4,FALSE)</f>
        <v>18.894837209302327</v>
      </c>
      <c r="P818" s="17">
        <f t="shared" si="144"/>
        <v>14.089880106976747</v>
      </c>
      <c r="Q818" s="16" cm="1">
        <f t="array" ref="Q818">_xlfn.XLOOKUP(O818,BSFC!$A$2:$A$24,_xlfn.XLOOKUP(K818,BSFC!$B$1:$O$1,BSFC!$B$2:$O$24,,-1),,-1)</f>
        <v>480</v>
      </c>
      <c r="R818" s="17">
        <f t="shared" si="145"/>
        <v>1.8786506809302328</v>
      </c>
      <c r="S818" s="16">
        <f t="shared" si="146"/>
        <v>2.9183485335175871E-4</v>
      </c>
      <c r="T818" s="17">
        <f t="shared" si="149"/>
        <v>0.14008072960884418</v>
      </c>
      <c r="U818" s="16">
        <f t="shared" si="150"/>
        <v>107.16514129648648</v>
      </c>
      <c r="V818" s="17">
        <f t="shared" si="151"/>
        <v>0.22258594027607917</v>
      </c>
      <c r="W818" s="16">
        <f t="shared" si="147"/>
        <v>801309.38499388495</v>
      </c>
      <c r="X818">
        <f>('Hybrid Info'!$A$2-Track!P818)*(L818-L817)*1000+X817</f>
        <v>-16188.918942629745</v>
      </c>
    </row>
    <row r="819" spans="1:24">
      <c r="A819" s="16">
        <f t="shared" si="148"/>
        <v>818</v>
      </c>
      <c r="B819" s="17">
        <f t="shared" si="154"/>
        <v>13.411199999999999</v>
      </c>
      <c r="C819" s="16">
        <f>Specification!$G$29</f>
        <v>164.943378</v>
      </c>
      <c r="D819" s="17">
        <f>0.5*Specification!$K$4*Track!B819^2*Specification!$K$3*Specification!$K$2</f>
        <v>93.159842569492653</v>
      </c>
      <c r="E819" s="16">
        <v>-8</v>
      </c>
      <c r="F819" s="17">
        <f>Specification!$C$23*9.81*SIN((E819*PI()/180))</f>
        <v>-765.1893799696079</v>
      </c>
      <c r="G819" s="18">
        <f>IF(J819=1,VLOOKUP(K819,RPM!$E$2:$H$62,3,FALSE)-F819-E819-D819,IF(J819=2,VLOOKUP(K819,RPM!$H$2:$K$62,3,FALSE)-F819-E819-D819,IF(J819=3,VLOOKUP(K819,RPM!$K$2:$N$62,3,FALSE)-F819-E819-D819)))</f>
        <v>1322.7515590078795</v>
      </c>
      <c r="H819" s="19">
        <f>IF(J819=1,Specification!$I$14,IF(J819=2,Specification!$I$15,IF(J819=3,Specification!$I$16)))</f>
        <v>578.93404261974786</v>
      </c>
      <c r="I819" s="16">
        <f t="shared" si="153"/>
        <v>0</v>
      </c>
      <c r="J819" s="17">
        <v>3</v>
      </c>
      <c r="K819" s="16">
        <f>IF(J819=1,VLOOKUP(B819,RPM!$F$2:$H$62,3,TRUE),IF(J819=2,VLOOKUP(B819,RPM!$I$2:$K$62,3,TRUE),IF(J819=3,VLOOKUP(B819,RPM!$L$2:$N$62,3,TRUE))))</f>
        <v>4300</v>
      </c>
      <c r="L819" s="17">
        <f t="shared" si="152"/>
        <v>65.269136608496751</v>
      </c>
      <c r="M819" s="16">
        <f t="shared" ref="M819:M882" si="155">TAN(E819*PI()/180)+M818</f>
        <v>0.77116955474580484</v>
      </c>
      <c r="N819" s="17">
        <f>VLOOKUP(K819,RPM!$A$2:$D$62,3,FALSE)</f>
        <v>11.4</v>
      </c>
      <c r="O819" s="16">
        <f>VLOOKUP(K819,RPM!$A$2:$D$62,4,FALSE)</f>
        <v>18.894837209302327</v>
      </c>
      <c r="P819" s="17">
        <f t="shared" si="144"/>
        <v>14.089880106976747</v>
      </c>
      <c r="Q819" s="16" cm="1">
        <f t="array" ref="Q819">_xlfn.XLOOKUP(O819,BSFC!$A$2:$A$24,_xlfn.XLOOKUP(K819,BSFC!$B$1:$O$1,BSFC!$B$2:$O$24,,-1),,-1)</f>
        <v>480</v>
      </c>
      <c r="R819" s="17">
        <f t="shared" si="145"/>
        <v>1.8786506809302328</v>
      </c>
      <c r="S819" s="16">
        <f t="shared" si="146"/>
        <v>2.9183485335175871E-4</v>
      </c>
      <c r="T819" s="17">
        <f t="shared" si="149"/>
        <v>0.14008072960884418</v>
      </c>
      <c r="U819" s="16">
        <f t="shared" si="150"/>
        <v>107.30522202609532</v>
      </c>
      <c r="V819" s="17">
        <f t="shared" si="151"/>
        <v>0.22287777512943094</v>
      </c>
      <c r="W819" s="16">
        <f t="shared" si="147"/>
        <v>802359.99046595138</v>
      </c>
      <c r="X819">
        <f>('Hybrid Info'!$A$2-Track!P819)*(L819-L818)*1000+X818</f>
        <v>-16335.768255979148</v>
      </c>
    </row>
    <row r="820" spans="1:24">
      <c r="A820" s="16">
        <f t="shared" si="148"/>
        <v>819</v>
      </c>
      <c r="B820" s="17">
        <f t="shared" si="154"/>
        <v>13.411199999999999</v>
      </c>
      <c r="C820" s="16">
        <f>Specification!$G$29</f>
        <v>164.943378</v>
      </c>
      <c r="D820" s="17">
        <f>0.5*Specification!$K$4*Track!B820^2*Specification!$K$3*Specification!$K$2</f>
        <v>93.159842569492653</v>
      </c>
      <c r="E820" s="16">
        <v>-8</v>
      </c>
      <c r="F820" s="17">
        <f>Specification!$C$23*9.81*SIN((E820*PI()/180))</f>
        <v>-765.1893799696079</v>
      </c>
      <c r="G820" s="18">
        <f>IF(J820=1,VLOOKUP(K820,RPM!$E$2:$H$62,3,FALSE)-F820-E820-D820,IF(J820=2,VLOOKUP(K820,RPM!$H$2:$K$62,3,FALSE)-F820-E820-D820,IF(J820=3,VLOOKUP(K820,RPM!$K$2:$N$62,3,FALSE)-F820-E820-D820)))</f>
        <v>1322.7515590078795</v>
      </c>
      <c r="H820" s="19">
        <f>IF(J820=1,Specification!$I$14,IF(J820=2,Specification!$I$15,IF(J820=3,Specification!$I$16)))</f>
        <v>578.93404261974786</v>
      </c>
      <c r="I820" s="16">
        <f t="shared" si="153"/>
        <v>0</v>
      </c>
      <c r="J820" s="17">
        <v>3</v>
      </c>
      <c r="K820" s="16">
        <f>IF(J820=1,VLOOKUP(B820,RPM!$F$2:$H$62,3,TRUE),IF(J820=2,VLOOKUP(B820,RPM!$I$2:$K$62,3,TRUE),IF(J820=3,VLOOKUP(B820,RPM!$L$2:$N$62,3,TRUE))))</f>
        <v>4300</v>
      </c>
      <c r="L820" s="17">
        <f t="shared" si="152"/>
        <v>65.343701151565227</v>
      </c>
      <c r="M820" s="16">
        <f t="shared" si="155"/>
        <v>0.63062872004341342</v>
      </c>
      <c r="N820" s="17">
        <f>VLOOKUP(K820,RPM!$A$2:$D$62,3,FALSE)</f>
        <v>11.4</v>
      </c>
      <c r="O820" s="16">
        <f>VLOOKUP(K820,RPM!$A$2:$D$62,4,FALSE)</f>
        <v>18.894837209302327</v>
      </c>
      <c r="P820" s="17">
        <f t="shared" si="144"/>
        <v>14.089880106976747</v>
      </c>
      <c r="Q820" s="16" cm="1">
        <f t="array" ref="Q820">_xlfn.XLOOKUP(O820,BSFC!$A$2:$A$24,_xlfn.XLOOKUP(K820,BSFC!$B$1:$O$1,BSFC!$B$2:$O$24,,-1),,-1)</f>
        <v>480</v>
      </c>
      <c r="R820" s="17">
        <f t="shared" si="145"/>
        <v>1.8786506809302328</v>
      </c>
      <c r="S820" s="16">
        <f t="shared" si="146"/>
        <v>2.9183485335175871E-4</v>
      </c>
      <c r="T820" s="17">
        <f t="shared" si="149"/>
        <v>0.14008072960884418</v>
      </c>
      <c r="U820" s="16">
        <f t="shared" si="150"/>
        <v>107.44530275570416</v>
      </c>
      <c r="V820" s="17">
        <f t="shared" si="151"/>
        <v>0.22316960998278271</v>
      </c>
      <c r="W820" s="16">
        <f t="shared" si="147"/>
        <v>803410.59593801771</v>
      </c>
      <c r="X820">
        <f>('Hybrid Info'!$A$2-Track!P820)*(L820-L819)*1000+X819</f>
        <v>-16482.617569328551</v>
      </c>
    </row>
    <row r="821" spans="1:24">
      <c r="A821" s="16">
        <f t="shared" si="148"/>
        <v>820</v>
      </c>
      <c r="B821" s="17">
        <f t="shared" si="154"/>
        <v>13.411199999999999</v>
      </c>
      <c r="C821" s="16">
        <f>Specification!$G$29</f>
        <v>164.943378</v>
      </c>
      <c r="D821" s="17">
        <f>0.5*Specification!$K$4*Track!B821^2*Specification!$K$3*Specification!$K$2</f>
        <v>93.159842569492653</v>
      </c>
      <c r="E821" s="16">
        <v>-8</v>
      </c>
      <c r="F821" s="17">
        <f>Specification!$C$23*9.81*SIN((E821*PI()/180))</f>
        <v>-765.1893799696079</v>
      </c>
      <c r="G821" s="18">
        <f>IF(J821=1,VLOOKUP(K821,RPM!$E$2:$H$62,3,FALSE)-F821-E821-D821,IF(J821=2,VLOOKUP(K821,RPM!$H$2:$K$62,3,FALSE)-F821-E821-D821,IF(J821=3,VLOOKUP(K821,RPM!$K$2:$N$62,3,FALSE)-F821-E821-D821)))</f>
        <v>1322.7515590078795</v>
      </c>
      <c r="H821" s="19">
        <f>IF(J821=1,Specification!$I$14,IF(J821=2,Specification!$I$15,IF(J821=3,Specification!$I$16)))</f>
        <v>578.93404261974786</v>
      </c>
      <c r="I821" s="16">
        <f t="shared" si="153"/>
        <v>0</v>
      </c>
      <c r="J821" s="17">
        <v>3</v>
      </c>
      <c r="K821" s="16">
        <f>IF(J821=1,VLOOKUP(B821,RPM!$F$2:$H$62,3,TRUE),IF(J821=2,VLOOKUP(B821,RPM!$I$2:$K$62,3,TRUE),IF(J821=3,VLOOKUP(B821,RPM!$L$2:$N$62,3,TRUE))))</f>
        <v>4300</v>
      </c>
      <c r="L821" s="17">
        <f t="shared" si="152"/>
        <v>65.418265694633703</v>
      </c>
      <c r="M821" s="16">
        <f t="shared" si="155"/>
        <v>0.49008788534102199</v>
      </c>
      <c r="N821" s="17">
        <f>VLOOKUP(K821,RPM!$A$2:$D$62,3,FALSE)</f>
        <v>11.4</v>
      </c>
      <c r="O821" s="16">
        <f>VLOOKUP(K821,RPM!$A$2:$D$62,4,FALSE)</f>
        <v>18.894837209302327</v>
      </c>
      <c r="P821" s="17">
        <f t="shared" si="144"/>
        <v>14.089880106976747</v>
      </c>
      <c r="Q821" s="16" cm="1">
        <f t="array" ref="Q821">_xlfn.XLOOKUP(O821,BSFC!$A$2:$A$24,_xlfn.XLOOKUP(K821,BSFC!$B$1:$O$1,BSFC!$B$2:$O$24,,-1),,-1)</f>
        <v>480</v>
      </c>
      <c r="R821" s="17">
        <f t="shared" si="145"/>
        <v>1.8786506809302328</v>
      </c>
      <c r="S821" s="16">
        <f t="shared" si="146"/>
        <v>2.9183485335175871E-4</v>
      </c>
      <c r="T821" s="17">
        <f t="shared" si="149"/>
        <v>0.14008072960884418</v>
      </c>
      <c r="U821" s="16">
        <f t="shared" si="150"/>
        <v>107.585383485313</v>
      </c>
      <c r="V821" s="17">
        <f t="shared" si="151"/>
        <v>0.22346144483613448</v>
      </c>
      <c r="W821" s="16">
        <f t="shared" si="147"/>
        <v>804461.20141008415</v>
      </c>
      <c r="X821">
        <f>('Hybrid Info'!$A$2-Track!P821)*(L821-L820)*1000+X820</f>
        <v>-16629.466882677956</v>
      </c>
    </row>
    <row r="822" spans="1:24">
      <c r="A822" s="16">
        <f t="shared" si="148"/>
        <v>821</v>
      </c>
      <c r="B822" s="17">
        <f t="shared" si="154"/>
        <v>13.411199999999999</v>
      </c>
      <c r="C822" s="16">
        <f>Specification!$G$29</f>
        <v>164.943378</v>
      </c>
      <c r="D822" s="17">
        <f>0.5*Specification!$K$4*Track!B822^2*Specification!$K$3*Specification!$K$2</f>
        <v>93.159842569492653</v>
      </c>
      <c r="E822" s="16">
        <v>-7</v>
      </c>
      <c r="F822" s="17">
        <f>Specification!$C$23*9.81*SIN((E822*PI()/180))</f>
        <v>-670.05137252956831</v>
      </c>
      <c r="G822" s="18">
        <f>IF(J822=1,VLOOKUP(K822,RPM!$E$2:$H$62,3,FALSE)-F822-E822-D822,IF(J822=2,VLOOKUP(K822,RPM!$H$2:$K$62,3,FALSE)-F822-E822-D822,IF(J822=3,VLOOKUP(K822,RPM!$K$2:$N$62,3,FALSE)-F822-E822-D822)))</f>
        <v>1226.61355156784</v>
      </c>
      <c r="H822" s="19">
        <f>IF(J822=1,Specification!$I$14,IF(J822=2,Specification!$I$15,IF(J822=3,Specification!$I$16)))</f>
        <v>578.93404261974786</v>
      </c>
      <c r="I822" s="16">
        <f t="shared" si="153"/>
        <v>0</v>
      </c>
      <c r="J822" s="17">
        <v>3</v>
      </c>
      <c r="K822" s="16">
        <f>IF(J822=1,VLOOKUP(B822,RPM!$F$2:$H$62,3,TRUE),IF(J822=2,VLOOKUP(B822,RPM!$I$2:$K$62,3,TRUE),IF(J822=3,VLOOKUP(B822,RPM!$L$2:$N$62,3,TRUE))))</f>
        <v>4300</v>
      </c>
      <c r="L822" s="17">
        <f t="shared" si="152"/>
        <v>65.492830237702179</v>
      </c>
      <c r="M822" s="16">
        <f t="shared" si="155"/>
        <v>0.36730332443811742</v>
      </c>
      <c r="N822" s="17">
        <f>VLOOKUP(K822,RPM!$A$2:$D$62,3,FALSE)</f>
        <v>11.4</v>
      </c>
      <c r="O822" s="16">
        <f>VLOOKUP(K822,RPM!$A$2:$D$62,4,FALSE)</f>
        <v>18.894837209302327</v>
      </c>
      <c r="P822" s="17">
        <f t="shared" si="144"/>
        <v>14.089880106976747</v>
      </c>
      <c r="Q822" s="16" cm="1">
        <f t="array" ref="Q822">_xlfn.XLOOKUP(O822,BSFC!$A$2:$A$24,_xlfn.XLOOKUP(K822,BSFC!$B$1:$O$1,BSFC!$B$2:$O$24,,-1),,-1)</f>
        <v>480</v>
      </c>
      <c r="R822" s="17">
        <f t="shared" si="145"/>
        <v>1.8786506809302328</v>
      </c>
      <c r="S822" s="16">
        <f t="shared" si="146"/>
        <v>2.9183485335175871E-4</v>
      </c>
      <c r="T822" s="17">
        <f t="shared" si="149"/>
        <v>0.14008072960884418</v>
      </c>
      <c r="U822" s="16">
        <f t="shared" si="150"/>
        <v>107.72546421492184</v>
      </c>
      <c r="V822" s="17">
        <f t="shared" si="151"/>
        <v>0.22375327968948625</v>
      </c>
      <c r="W822" s="16">
        <f t="shared" si="147"/>
        <v>805511.80688215047</v>
      </c>
      <c r="X822">
        <f>('Hybrid Info'!$A$2-Track!P822)*(L822-L821)*1000+X821</f>
        <v>-16776.316196027361</v>
      </c>
    </row>
    <row r="823" spans="1:24">
      <c r="A823" s="16">
        <f t="shared" si="148"/>
        <v>822</v>
      </c>
      <c r="B823" s="17">
        <f t="shared" si="154"/>
        <v>13.411199999999999</v>
      </c>
      <c r="C823" s="16">
        <f>Specification!$G$29</f>
        <v>164.943378</v>
      </c>
      <c r="D823" s="17">
        <f>0.5*Specification!$K$4*Track!B823^2*Specification!$K$3*Specification!$K$2</f>
        <v>93.159842569492653</v>
      </c>
      <c r="E823" s="16">
        <v>-6</v>
      </c>
      <c r="F823" s="17">
        <f>Specification!$C$23*9.81*SIN((E823*PI()/180))</f>
        <v>-574.70926095052266</v>
      </c>
      <c r="G823" s="18">
        <f>IF(J823=1,VLOOKUP(K823,RPM!$E$2:$H$62,3,FALSE)-F823-E823-D823,IF(J823=2,VLOOKUP(K823,RPM!$H$2:$K$62,3,FALSE)-F823-E823-D823,IF(J823=3,VLOOKUP(K823,RPM!$K$2:$N$62,3,FALSE)-F823-E823-D823)))</f>
        <v>1130.2714399887943</v>
      </c>
      <c r="H823" s="19">
        <f>IF(J823=1,Specification!$I$14,IF(J823=2,Specification!$I$15,IF(J823=3,Specification!$I$16)))</f>
        <v>578.93404261974786</v>
      </c>
      <c r="I823" s="16">
        <f t="shared" si="153"/>
        <v>0</v>
      </c>
      <c r="J823" s="17">
        <v>3</v>
      </c>
      <c r="K823" s="16">
        <f>IF(J823=1,VLOOKUP(B823,RPM!$F$2:$H$62,3,TRUE),IF(J823=2,VLOOKUP(B823,RPM!$I$2:$K$62,3,TRUE),IF(J823=3,VLOOKUP(B823,RPM!$L$2:$N$62,3,TRUE))))</f>
        <v>4300</v>
      </c>
      <c r="L823" s="17">
        <f t="shared" si="152"/>
        <v>65.567394780770655</v>
      </c>
      <c r="M823" s="16">
        <f t="shared" si="155"/>
        <v>0.26219908917244095</v>
      </c>
      <c r="N823" s="17">
        <f>VLOOKUP(K823,RPM!$A$2:$D$62,3,FALSE)</f>
        <v>11.4</v>
      </c>
      <c r="O823" s="16">
        <f>VLOOKUP(K823,RPM!$A$2:$D$62,4,FALSE)</f>
        <v>18.894837209302327</v>
      </c>
      <c r="P823" s="17">
        <f t="shared" si="144"/>
        <v>14.089880106976747</v>
      </c>
      <c r="Q823" s="16" cm="1">
        <f t="array" ref="Q823">_xlfn.XLOOKUP(O823,BSFC!$A$2:$A$24,_xlfn.XLOOKUP(K823,BSFC!$B$1:$O$1,BSFC!$B$2:$O$24,,-1),,-1)</f>
        <v>480</v>
      </c>
      <c r="R823" s="17">
        <f t="shared" si="145"/>
        <v>1.8786506809302328</v>
      </c>
      <c r="S823" s="16">
        <f t="shared" si="146"/>
        <v>2.9183485335175871E-4</v>
      </c>
      <c r="T823" s="17">
        <f t="shared" si="149"/>
        <v>0.14008072960884418</v>
      </c>
      <c r="U823" s="16">
        <f t="shared" si="150"/>
        <v>107.86554494453068</v>
      </c>
      <c r="V823" s="17">
        <f t="shared" si="151"/>
        <v>0.22404511454283801</v>
      </c>
      <c r="W823" s="16">
        <f t="shared" si="147"/>
        <v>806562.41235421679</v>
      </c>
      <c r="X823">
        <f>('Hybrid Info'!$A$2-Track!P823)*(L823-L822)*1000+X822</f>
        <v>-16923.165509376766</v>
      </c>
    </row>
    <row r="824" spans="1:24">
      <c r="A824" s="16">
        <f t="shared" si="148"/>
        <v>823</v>
      </c>
      <c r="B824" s="17">
        <f t="shared" si="154"/>
        <v>13.411199999999999</v>
      </c>
      <c r="C824" s="16">
        <f>Specification!$G$29</f>
        <v>164.943378</v>
      </c>
      <c r="D824" s="17">
        <f>0.5*Specification!$K$4*Track!B824^2*Specification!$K$3*Specification!$K$2</f>
        <v>93.159842569492653</v>
      </c>
      <c r="E824" s="16">
        <v>-5</v>
      </c>
      <c r="F824" s="17">
        <f>Specification!$C$23*9.81*SIN((E824*PI()/180))</f>
        <v>-479.192087363258</v>
      </c>
      <c r="G824" s="18">
        <f>IF(J824=1,VLOOKUP(K824,RPM!$E$2:$H$62,3,FALSE)-F824-E824-D824,IF(J824=2,VLOOKUP(K824,RPM!$H$2:$K$62,3,FALSE)-F824-E824-D824,IF(J824=3,VLOOKUP(K824,RPM!$K$2:$N$62,3,FALSE)-F824-E824-D824)))</f>
        <v>1033.7542664015295</v>
      </c>
      <c r="H824" s="19">
        <f>IF(J824=1,Specification!$I$14,IF(J824=2,Specification!$I$15,IF(J824=3,Specification!$I$16)))</f>
        <v>578.93404261974786</v>
      </c>
      <c r="I824" s="16">
        <f t="shared" si="153"/>
        <v>0</v>
      </c>
      <c r="J824" s="17">
        <v>3</v>
      </c>
      <c r="K824" s="16">
        <f>IF(J824=1,VLOOKUP(B824,RPM!$F$2:$H$62,3,TRUE),IF(J824=2,VLOOKUP(B824,RPM!$I$2:$K$62,3,TRUE),IF(J824=3,VLOOKUP(B824,RPM!$L$2:$N$62,3,TRUE))))</f>
        <v>4300</v>
      </c>
      <c r="L824" s="17">
        <f t="shared" si="152"/>
        <v>65.641959323839131</v>
      </c>
      <c r="M824" s="16">
        <f t="shared" si="155"/>
        <v>0.17471042564651695</v>
      </c>
      <c r="N824" s="17">
        <f>VLOOKUP(K824,RPM!$A$2:$D$62,3,FALSE)</f>
        <v>11.4</v>
      </c>
      <c r="O824" s="16">
        <f>VLOOKUP(K824,RPM!$A$2:$D$62,4,FALSE)</f>
        <v>18.894837209302327</v>
      </c>
      <c r="P824" s="17">
        <f t="shared" si="144"/>
        <v>14.089880106976747</v>
      </c>
      <c r="Q824" s="16" cm="1">
        <f t="array" ref="Q824">_xlfn.XLOOKUP(O824,BSFC!$A$2:$A$24,_xlfn.XLOOKUP(K824,BSFC!$B$1:$O$1,BSFC!$B$2:$O$24,,-1),,-1)</f>
        <v>480</v>
      </c>
      <c r="R824" s="17">
        <f t="shared" si="145"/>
        <v>1.8786506809302328</v>
      </c>
      <c r="S824" s="16">
        <f t="shared" si="146"/>
        <v>2.9183485335175871E-4</v>
      </c>
      <c r="T824" s="17">
        <f t="shared" si="149"/>
        <v>0.14008072960884418</v>
      </c>
      <c r="U824" s="16">
        <f t="shared" si="150"/>
        <v>108.00562567413952</v>
      </c>
      <c r="V824" s="17">
        <f t="shared" si="151"/>
        <v>0.22433694939618978</v>
      </c>
      <c r="W824" s="16">
        <f t="shared" si="147"/>
        <v>807613.01782628323</v>
      </c>
      <c r="X824">
        <f>('Hybrid Info'!$A$2-Track!P824)*(L824-L823)*1000+X823</f>
        <v>-17070.014822726171</v>
      </c>
    </row>
    <row r="825" spans="1:24">
      <c r="A825" s="16">
        <f t="shared" si="148"/>
        <v>824</v>
      </c>
      <c r="B825" s="17">
        <f t="shared" si="154"/>
        <v>13.411199999999999</v>
      </c>
      <c r="C825" s="16">
        <f>Specification!$G$29</f>
        <v>164.943378</v>
      </c>
      <c r="D825" s="17">
        <f>0.5*Specification!$K$4*Track!B825^2*Specification!$K$3*Specification!$K$2</f>
        <v>93.159842569492653</v>
      </c>
      <c r="E825" s="16">
        <v>-4</v>
      </c>
      <c r="F825" s="17">
        <f>Specification!$C$23*9.81*SIN((E825*PI()/180))</f>
        <v>-383.52894722414453</v>
      </c>
      <c r="G825" s="18">
        <f>IF(J825=1,VLOOKUP(K825,RPM!$E$2:$H$62,3,FALSE)-F825-E825-D825,IF(J825=2,VLOOKUP(K825,RPM!$H$2:$K$62,3,FALSE)-F825-E825-D825,IF(J825=3,VLOOKUP(K825,RPM!$K$2:$N$62,3,FALSE)-F825-E825-D825)))</f>
        <v>937.09112626241608</v>
      </c>
      <c r="H825" s="19">
        <f>IF(J825=1,Specification!$I$14,IF(J825=2,Specification!$I$15,IF(J825=3,Specification!$I$16)))</f>
        <v>578.93404261974786</v>
      </c>
      <c r="I825" s="16">
        <f t="shared" si="153"/>
        <v>0</v>
      </c>
      <c r="J825" s="17">
        <v>3</v>
      </c>
      <c r="K825" s="16">
        <f>IF(J825=1,VLOOKUP(B825,RPM!$F$2:$H$62,3,TRUE),IF(J825=2,VLOOKUP(B825,RPM!$I$2:$K$62,3,TRUE),IF(J825=3,VLOOKUP(B825,RPM!$L$2:$N$62,3,TRUE))))</f>
        <v>4300</v>
      </c>
      <c r="L825" s="17">
        <f t="shared" si="152"/>
        <v>65.716523866907607</v>
      </c>
      <c r="M825" s="16">
        <f t="shared" si="155"/>
        <v>0.10478361370300654</v>
      </c>
      <c r="N825" s="17">
        <f>VLOOKUP(K825,RPM!$A$2:$D$62,3,FALSE)</f>
        <v>11.4</v>
      </c>
      <c r="O825" s="16">
        <f>VLOOKUP(K825,RPM!$A$2:$D$62,4,FALSE)</f>
        <v>18.894837209302327</v>
      </c>
      <c r="P825" s="17">
        <f t="shared" si="144"/>
        <v>14.089880106976747</v>
      </c>
      <c r="Q825" s="16" cm="1">
        <f t="array" ref="Q825">_xlfn.XLOOKUP(O825,BSFC!$A$2:$A$24,_xlfn.XLOOKUP(K825,BSFC!$B$1:$O$1,BSFC!$B$2:$O$24,,-1),,-1)</f>
        <v>480</v>
      </c>
      <c r="R825" s="17">
        <f t="shared" si="145"/>
        <v>1.8786506809302328</v>
      </c>
      <c r="S825" s="16">
        <f t="shared" si="146"/>
        <v>2.9183485335175871E-4</v>
      </c>
      <c r="T825" s="17">
        <f t="shared" si="149"/>
        <v>0.14008072960884418</v>
      </c>
      <c r="U825" s="16">
        <f t="shared" si="150"/>
        <v>108.14570640374836</v>
      </c>
      <c r="V825" s="17">
        <f t="shared" si="151"/>
        <v>0.22462878424954155</v>
      </c>
      <c r="W825" s="16">
        <f t="shared" si="147"/>
        <v>808663.62329834956</v>
      </c>
      <c r="X825">
        <f>('Hybrid Info'!$A$2-Track!P825)*(L825-L824)*1000+X824</f>
        <v>-17216.864136075576</v>
      </c>
    </row>
    <row r="826" spans="1:24">
      <c r="A826" s="16">
        <f t="shared" si="148"/>
        <v>825</v>
      </c>
      <c r="B826" s="17">
        <f t="shared" si="154"/>
        <v>13.411199999999999</v>
      </c>
      <c r="C826" s="16">
        <f>Specification!$G$29</f>
        <v>164.943378</v>
      </c>
      <c r="D826" s="17">
        <f>0.5*Specification!$K$4*Track!B826^2*Specification!$K$3*Specification!$K$2</f>
        <v>93.159842569492653</v>
      </c>
      <c r="E826" s="16">
        <v>-3</v>
      </c>
      <c r="F826" s="17">
        <f>Specification!$C$23*9.81*SIN((E826*PI()/180))</f>
        <v>-287.74898045237813</v>
      </c>
      <c r="G826" s="18">
        <f>IF(J826=1,VLOOKUP(K826,RPM!$E$2:$H$62,3,FALSE)-F826-E826-D826,IF(J826=2,VLOOKUP(K826,RPM!$H$2:$K$62,3,FALSE)-F826-E826-D826,IF(J826=3,VLOOKUP(K826,RPM!$K$2:$N$62,3,FALSE)-F826-E826-D826)))</f>
        <v>840.31115949064974</v>
      </c>
      <c r="H826" s="19">
        <f>IF(J826=1,Specification!$I$14,IF(J826=2,Specification!$I$15,IF(J826=3,Specification!$I$16)))</f>
        <v>578.93404261974786</v>
      </c>
      <c r="I826" s="16">
        <f t="shared" si="153"/>
        <v>0</v>
      </c>
      <c r="J826" s="17">
        <v>3</v>
      </c>
      <c r="K826" s="16">
        <f>IF(J826=1,VLOOKUP(B826,RPM!$F$2:$H$62,3,TRUE),IF(J826=2,VLOOKUP(B826,RPM!$I$2:$K$62,3,TRUE),IF(J826=3,VLOOKUP(B826,RPM!$L$2:$N$62,3,TRUE))))</f>
        <v>4300</v>
      </c>
      <c r="L826" s="17">
        <f t="shared" si="152"/>
        <v>65.791088409976084</v>
      </c>
      <c r="M826" s="16">
        <f t="shared" si="155"/>
        <v>5.2375834419965343E-2</v>
      </c>
      <c r="N826" s="17">
        <f>VLOOKUP(K826,RPM!$A$2:$D$62,3,FALSE)</f>
        <v>11.4</v>
      </c>
      <c r="O826" s="16">
        <f>VLOOKUP(K826,RPM!$A$2:$D$62,4,FALSE)</f>
        <v>18.894837209302327</v>
      </c>
      <c r="P826" s="17">
        <f t="shared" si="144"/>
        <v>14.089880106976747</v>
      </c>
      <c r="Q826" s="16" cm="1">
        <f t="array" ref="Q826">_xlfn.XLOOKUP(O826,BSFC!$A$2:$A$24,_xlfn.XLOOKUP(K826,BSFC!$B$1:$O$1,BSFC!$B$2:$O$24,,-1),,-1)</f>
        <v>480</v>
      </c>
      <c r="R826" s="17">
        <f t="shared" si="145"/>
        <v>1.8786506809302328</v>
      </c>
      <c r="S826" s="16">
        <f t="shared" si="146"/>
        <v>2.9183485335175871E-4</v>
      </c>
      <c r="T826" s="17">
        <f t="shared" si="149"/>
        <v>0.14008072960884418</v>
      </c>
      <c r="U826" s="16">
        <f t="shared" si="150"/>
        <v>108.2857871333572</v>
      </c>
      <c r="V826" s="17">
        <f t="shared" si="151"/>
        <v>0.22492061910289332</v>
      </c>
      <c r="W826" s="16">
        <f t="shared" si="147"/>
        <v>809714.22877041588</v>
      </c>
      <c r="X826">
        <f>('Hybrid Info'!$A$2-Track!P826)*(L826-L825)*1000+X825</f>
        <v>-17363.71344942498</v>
      </c>
    </row>
    <row r="827" spans="1:24">
      <c r="A827" s="16">
        <f t="shared" si="148"/>
        <v>826</v>
      </c>
      <c r="B827" s="17">
        <f t="shared" si="154"/>
        <v>13.411199999999999</v>
      </c>
      <c r="C827" s="16">
        <f>Specification!$G$29</f>
        <v>164.943378</v>
      </c>
      <c r="D827" s="17">
        <f>0.5*Specification!$K$4*Track!B827^2*Specification!$K$3*Specification!$K$2</f>
        <v>93.159842569492653</v>
      </c>
      <c r="E827" s="16">
        <v>-2</v>
      </c>
      <c r="F827" s="17">
        <f>Specification!$C$23*9.81*SIN((E827*PI()/180))</f>
        <v>-191.88136255367905</v>
      </c>
      <c r="G827" s="18">
        <f>IF(J827=1,VLOOKUP(K827,RPM!$E$2:$H$62,3,FALSE)-F827-E827-D827,IF(J827=2,VLOOKUP(K827,RPM!$H$2:$K$62,3,FALSE)-F827-E827-D827,IF(J827=3,VLOOKUP(K827,RPM!$K$2:$N$62,3,FALSE)-F827-E827-D827)))</f>
        <v>743.44354159195063</v>
      </c>
      <c r="H827" s="19">
        <f>IF(J827=1,Specification!$I$14,IF(J827=2,Specification!$I$15,IF(J827=3,Specification!$I$16)))</f>
        <v>578.93404261974786</v>
      </c>
      <c r="I827" s="16">
        <f t="shared" si="153"/>
        <v>0</v>
      </c>
      <c r="J827" s="17">
        <v>3</v>
      </c>
      <c r="K827" s="16">
        <f>IF(J827=1,VLOOKUP(B827,RPM!$F$2:$H$62,3,TRUE),IF(J827=2,VLOOKUP(B827,RPM!$I$2:$K$62,3,TRUE),IF(J827=3,VLOOKUP(B827,RPM!$L$2:$N$62,3,TRUE))))</f>
        <v>4300</v>
      </c>
      <c r="L827" s="17">
        <f t="shared" si="152"/>
        <v>65.86565295304456</v>
      </c>
      <c r="M827" s="16">
        <f t="shared" si="155"/>
        <v>1.7455064928217613E-2</v>
      </c>
      <c r="N827" s="17">
        <f>VLOOKUP(K827,RPM!$A$2:$D$62,3,FALSE)</f>
        <v>11.4</v>
      </c>
      <c r="O827" s="16">
        <f>VLOOKUP(K827,RPM!$A$2:$D$62,4,FALSE)</f>
        <v>18.894837209302327</v>
      </c>
      <c r="P827" s="17">
        <f t="shared" si="144"/>
        <v>14.089880106976747</v>
      </c>
      <c r="Q827" s="16" cm="1">
        <f t="array" ref="Q827">_xlfn.XLOOKUP(O827,BSFC!$A$2:$A$24,_xlfn.XLOOKUP(K827,BSFC!$B$1:$O$1,BSFC!$B$2:$O$24,,-1),,-1)</f>
        <v>480</v>
      </c>
      <c r="R827" s="17">
        <f t="shared" si="145"/>
        <v>1.8786506809302328</v>
      </c>
      <c r="S827" s="16">
        <f t="shared" si="146"/>
        <v>2.9183485335175871E-4</v>
      </c>
      <c r="T827" s="17">
        <f t="shared" si="149"/>
        <v>0.14008072960884418</v>
      </c>
      <c r="U827" s="16">
        <f t="shared" si="150"/>
        <v>108.42586786296604</v>
      </c>
      <c r="V827" s="17">
        <f t="shared" si="151"/>
        <v>0.22521245395624509</v>
      </c>
      <c r="W827" s="16">
        <f t="shared" si="147"/>
        <v>810764.83424248232</v>
      </c>
      <c r="X827">
        <f>('Hybrid Info'!$A$2-Track!P827)*(L827-L826)*1000+X826</f>
        <v>-17510.562762774385</v>
      </c>
    </row>
    <row r="828" spans="1:24">
      <c r="A828" s="16">
        <f t="shared" si="148"/>
        <v>827</v>
      </c>
      <c r="B828" s="17">
        <f t="shared" si="154"/>
        <v>13.411199999999999</v>
      </c>
      <c r="C828" s="16">
        <f>Specification!$G$29</f>
        <v>164.943378</v>
      </c>
      <c r="D828" s="17">
        <f>0.5*Specification!$K$4*Track!B828^2*Specification!$K$3*Specification!$K$2</f>
        <v>93.159842569492653</v>
      </c>
      <c r="E828" s="16">
        <v>-1</v>
      </c>
      <c r="F828" s="17">
        <f>Specification!$C$23*9.81*SIN((E828*PI()/180))</f>
        <v>-95.955295733149597</v>
      </c>
      <c r="G828" s="18">
        <f>IF(J828=1,VLOOKUP(K828,RPM!$E$2:$H$62,3,FALSE)-F828-E828-D828,IF(J828=2,VLOOKUP(K828,RPM!$H$2:$K$62,3,FALSE)-F828-E828-D828,IF(J828=3,VLOOKUP(K828,RPM!$K$2:$N$62,3,FALSE)-F828-E828-D828)))</f>
        <v>646.51747477142112</v>
      </c>
      <c r="H828" s="19">
        <f>IF(J828=1,Specification!$I$14,IF(J828=2,Specification!$I$15,IF(J828=3,Specification!$I$16)))</f>
        <v>578.93404261974786</v>
      </c>
      <c r="I828" s="16">
        <f t="shared" si="153"/>
        <v>0</v>
      </c>
      <c r="J828" s="17">
        <v>3</v>
      </c>
      <c r="K828" s="16">
        <f>IF(J828=1,VLOOKUP(B828,RPM!$F$2:$H$62,3,TRUE),IF(J828=2,VLOOKUP(B828,RPM!$I$2:$K$62,3,TRUE),IF(J828=3,VLOOKUP(B828,RPM!$L$2:$N$62,3,TRUE))))</f>
        <v>4300</v>
      </c>
      <c r="L828" s="17">
        <f t="shared" si="152"/>
        <v>65.940217496113036</v>
      </c>
      <c r="M828" s="16">
        <v>0</v>
      </c>
      <c r="N828" s="17">
        <f>VLOOKUP(K828,RPM!$A$2:$D$62,3,FALSE)</f>
        <v>11.4</v>
      </c>
      <c r="O828" s="16">
        <f>VLOOKUP(K828,RPM!$A$2:$D$62,4,FALSE)</f>
        <v>18.894837209302327</v>
      </c>
      <c r="P828" s="17">
        <f t="shared" si="144"/>
        <v>14.089880106976747</v>
      </c>
      <c r="Q828" s="16" cm="1">
        <f t="array" ref="Q828">_xlfn.XLOOKUP(O828,BSFC!$A$2:$A$24,_xlfn.XLOOKUP(K828,BSFC!$B$1:$O$1,BSFC!$B$2:$O$24,,-1),,-1)</f>
        <v>480</v>
      </c>
      <c r="R828" s="17">
        <f t="shared" si="145"/>
        <v>1.8786506809302328</v>
      </c>
      <c r="S828" s="16">
        <f t="shared" si="146"/>
        <v>2.9183485335175871E-4</v>
      </c>
      <c r="T828" s="17">
        <f t="shared" si="149"/>
        <v>0.14008072960884418</v>
      </c>
      <c r="U828" s="16">
        <f t="shared" si="150"/>
        <v>108.56594859257488</v>
      </c>
      <c r="V828" s="17">
        <f t="shared" si="151"/>
        <v>0.22550428880959686</v>
      </c>
      <c r="W828" s="16">
        <f t="shared" si="147"/>
        <v>811815.43971454864</v>
      </c>
      <c r="X828">
        <f>('Hybrid Info'!$A$2-Track!P828)*(L828-L827)*1000+X827</f>
        <v>-17657.41207612379</v>
      </c>
    </row>
    <row r="829" spans="1:24">
      <c r="A829" s="16">
        <f t="shared" si="148"/>
        <v>828</v>
      </c>
      <c r="B829" s="17">
        <f t="shared" si="154"/>
        <v>13.411199999999999</v>
      </c>
      <c r="C829" s="16">
        <f>Specification!$G$29</f>
        <v>164.943378</v>
      </c>
      <c r="D829" s="17">
        <f>0.5*Specification!$K$4*Track!B829^2*Specification!$K$3*Specification!$K$2</f>
        <v>93.159842569492653</v>
      </c>
      <c r="E829" s="16">
        <v>0</v>
      </c>
      <c r="F829" s="17">
        <f>Specification!$C$23*9.81*SIN((E829*PI()/180))</f>
        <v>0</v>
      </c>
      <c r="G829" s="18">
        <f>IF(J829=1,VLOOKUP(K829,RPM!$E$2:$H$62,3,FALSE)-F829-E829-D829,IF(J829=2,VLOOKUP(K829,RPM!$H$2:$K$62,3,FALSE)-F829-E829-D829,IF(J829=3,VLOOKUP(K829,RPM!$K$2:$N$62,3,FALSE)-F829-E829-D829)))</f>
        <v>549.56217903827155</v>
      </c>
      <c r="H829" s="19">
        <f>IF(J829=1,Specification!$I$14,IF(J829=2,Specification!$I$15,IF(J829=3,Specification!$I$16)))</f>
        <v>578.93404261974786</v>
      </c>
      <c r="I829" s="16">
        <f t="shared" si="153"/>
        <v>0</v>
      </c>
      <c r="J829" s="17">
        <v>3</v>
      </c>
      <c r="K829" s="16">
        <f>IF(J829=1,VLOOKUP(B829,RPM!$F$2:$H$62,3,TRUE),IF(J829=2,VLOOKUP(B829,RPM!$I$2:$K$62,3,TRUE),IF(J829=3,VLOOKUP(B829,RPM!$L$2:$N$62,3,TRUE))))</f>
        <v>4300</v>
      </c>
      <c r="L829" s="17">
        <f t="shared" si="152"/>
        <v>66.014782039181512</v>
      </c>
      <c r="M829" s="16">
        <f t="shared" si="155"/>
        <v>0</v>
      </c>
      <c r="N829" s="17">
        <f>VLOOKUP(K829,RPM!$A$2:$D$62,3,FALSE)</f>
        <v>11.4</v>
      </c>
      <c r="O829" s="16">
        <f>VLOOKUP(K829,RPM!$A$2:$D$62,4,FALSE)</f>
        <v>18.894837209302327</v>
      </c>
      <c r="P829" s="17">
        <f t="shared" si="144"/>
        <v>14.089880106976747</v>
      </c>
      <c r="Q829" s="16" cm="1">
        <f t="array" ref="Q829">_xlfn.XLOOKUP(O829,BSFC!$A$2:$A$24,_xlfn.XLOOKUP(K829,BSFC!$B$1:$O$1,BSFC!$B$2:$O$24,,-1),,-1)</f>
        <v>480</v>
      </c>
      <c r="R829" s="17">
        <f t="shared" si="145"/>
        <v>1.8786506809302328</v>
      </c>
      <c r="S829" s="16">
        <f t="shared" si="146"/>
        <v>2.9183485335175871E-4</v>
      </c>
      <c r="T829" s="17">
        <f t="shared" si="149"/>
        <v>0.14008072960884418</v>
      </c>
      <c r="U829" s="16">
        <f t="shared" si="150"/>
        <v>108.70602932218372</v>
      </c>
      <c r="V829" s="17">
        <f t="shared" si="151"/>
        <v>0.22579612366294863</v>
      </c>
      <c r="W829" s="16">
        <f t="shared" si="147"/>
        <v>812866.04518661497</v>
      </c>
      <c r="X829">
        <f>('Hybrid Info'!$A$2-Track!P829)*(L829-L828)*1000+X828</f>
        <v>-17804.261389473195</v>
      </c>
    </row>
    <row r="830" spans="1:24">
      <c r="A830" s="16">
        <f t="shared" si="148"/>
        <v>829</v>
      </c>
      <c r="B830" s="17">
        <f t="shared" si="154"/>
        <v>13.411199999999999</v>
      </c>
      <c r="C830" s="16">
        <f>Specification!$G$29</f>
        <v>164.943378</v>
      </c>
      <c r="D830" s="17">
        <f>0.5*Specification!$K$4*Track!B830^2*Specification!$K$3*Specification!$K$2</f>
        <v>93.159842569492653</v>
      </c>
      <c r="E830" s="16">
        <v>0</v>
      </c>
      <c r="F830" s="17">
        <f>Specification!$C$23*9.81*SIN((E830*PI()/180))</f>
        <v>0</v>
      </c>
      <c r="G830" s="18">
        <f>IF(J830=1,VLOOKUP(K830,RPM!$E$2:$H$62,3,FALSE)-F830-E830-D830,IF(J830=2,VLOOKUP(K830,RPM!$H$2:$K$62,3,FALSE)-F830-E830-D830,IF(J830=3,VLOOKUP(K830,RPM!$K$2:$N$62,3,FALSE)-F830-E830-D830)))</f>
        <v>549.56217903827155</v>
      </c>
      <c r="H830" s="19">
        <f>IF(J830=1,Specification!$I$14,IF(J830=2,Specification!$I$15,IF(J830=3,Specification!$I$16)))</f>
        <v>578.93404261974786</v>
      </c>
      <c r="I830" s="16">
        <f t="shared" si="153"/>
        <v>0</v>
      </c>
      <c r="J830" s="17">
        <v>3</v>
      </c>
      <c r="K830" s="16">
        <f>IF(J830=1,VLOOKUP(B830,RPM!$F$2:$H$62,3,TRUE),IF(J830=2,VLOOKUP(B830,RPM!$I$2:$K$62,3,TRUE),IF(J830=3,VLOOKUP(B830,RPM!$L$2:$N$62,3,TRUE))))</f>
        <v>4300</v>
      </c>
      <c r="L830" s="17">
        <f t="shared" si="152"/>
        <v>66.089346582249988</v>
      </c>
      <c r="M830" s="16">
        <f t="shared" si="155"/>
        <v>0</v>
      </c>
      <c r="N830" s="17">
        <f>VLOOKUP(K830,RPM!$A$2:$D$62,3,FALSE)</f>
        <v>11.4</v>
      </c>
      <c r="O830" s="16">
        <f>VLOOKUP(K830,RPM!$A$2:$D$62,4,FALSE)</f>
        <v>18.894837209302327</v>
      </c>
      <c r="P830" s="17">
        <f t="shared" si="144"/>
        <v>14.089880106976747</v>
      </c>
      <c r="Q830" s="16" cm="1">
        <f t="array" ref="Q830">_xlfn.XLOOKUP(O830,BSFC!$A$2:$A$24,_xlfn.XLOOKUP(K830,BSFC!$B$1:$O$1,BSFC!$B$2:$O$24,,-1),,-1)</f>
        <v>480</v>
      </c>
      <c r="R830" s="17">
        <f t="shared" si="145"/>
        <v>1.8786506809302328</v>
      </c>
      <c r="S830" s="16">
        <f t="shared" si="146"/>
        <v>2.9183485335175871E-4</v>
      </c>
      <c r="T830" s="17">
        <f t="shared" si="149"/>
        <v>0.14008072960884418</v>
      </c>
      <c r="U830" s="16">
        <f t="shared" si="150"/>
        <v>108.84611005179256</v>
      </c>
      <c r="V830" s="17">
        <f t="shared" si="151"/>
        <v>0.2260879585163004</v>
      </c>
      <c r="W830" s="16">
        <f t="shared" si="147"/>
        <v>813916.65065868141</v>
      </c>
      <c r="X830">
        <f>('Hybrid Info'!$A$2-Track!P830)*(L830-L829)*1000+X829</f>
        <v>-17951.1107028226</v>
      </c>
    </row>
    <row r="831" spans="1:24">
      <c r="A831" s="16">
        <f t="shared" si="148"/>
        <v>830</v>
      </c>
      <c r="B831" s="17">
        <f t="shared" si="154"/>
        <v>13.411199999999999</v>
      </c>
      <c r="C831" s="16">
        <f>Specification!$G$29</f>
        <v>164.943378</v>
      </c>
      <c r="D831" s="17">
        <f>0.5*Specification!$K$4*Track!B831^2*Specification!$K$3*Specification!$K$2</f>
        <v>93.159842569492653</v>
      </c>
      <c r="E831" s="16">
        <v>0</v>
      </c>
      <c r="F831" s="17">
        <f>Specification!$C$23*9.81*SIN((E831*PI()/180))</f>
        <v>0</v>
      </c>
      <c r="G831" s="18">
        <f>IF(J831=1,VLOOKUP(K831,RPM!$E$2:$H$62,3,FALSE)-F831-E831-D831,IF(J831=2,VLOOKUP(K831,RPM!$H$2:$K$62,3,FALSE)-F831-E831-D831,IF(J831=3,VLOOKUP(K831,RPM!$K$2:$N$62,3,FALSE)-F831-E831-D831)))</f>
        <v>549.56217903827155</v>
      </c>
      <c r="H831" s="19">
        <f>IF(J831=1,Specification!$I$14,IF(J831=2,Specification!$I$15,IF(J831=3,Specification!$I$16)))</f>
        <v>578.93404261974786</v>
      </c>
      <c r="I831" s="16">
        <f t="shared" si="153"/>
        <v>0</v>
      </c>
      <c r="J831" s="17">
        <v>3</v>
      </c>
      <c r="K831" s="16">
        <f>IF(J831=1,VLOOKUP(B831,RPM!$F$2:$H$62,3,TRUE),IF(J831=2,VLOOKUP(B831,RPM!$I$2:$K$62,3,TRUE),IF(J831=3,VLOOKUP(B831,RPM!$L$2:$N$62,3,TRUE))))</f>
        <v>4300</v>
      </c>
      <c r="L831" s="17">
        <f t="shared" si="152"/>
        <v>66.163911125318464</v>
      </c>
      <c r="M831" s="16">
        <f t="shared" si="155"/>
        <v>0</v>
      </c>
      <c r="N831" s="17">
        <f>VLOOKUP(K831,RPM!$A$2:$D$62,3,FALSE)</f>
        <v>11.4</v>
      </c>
      <c r="O831" s="16">
        <f>VLOOKUP(K831,RPM!$A$2:$D$62,4,FALSE)</f>
        <v>18.894837209302327</v>
      </c>
      <c r="P831" s="17">
        <f t="shared" si="144"/>
        <v>14.089880106976747</v>
      </c>
      <c r="Q831" s="16" cm="1">
        <f t="array" ref="Q831">_xlfn.XLOOKUP(O831,BSFC!$A$2:$A$24,_xlfn.XLOOKUP(K831,BSFC!$B$1:$O$1,BSFC!$B$2:$O$24,,-1),,-1)</f>
        <v>480</v>
      </c>
      <c r="R831" s="17">
        <f t="shared" si="145"/>
        <v>1.8786506809302328</v>
      </c>
      <c r="S831" s="16">
        <f t="shared" si="146"/>
        <v>2.9183485335175871E-4</v>
      </c>
      <c r="T831" s="17">
        <f t="shared" si="149"/>
        <v>0.14008072960884418</v>
      </c>
      <c r="U831" s="16">
        <f t="shared" si="150"/>
        <v>108.9861907814014</v>
      </c>
      <c r="V831" s="17">
        <f t="shared" si="151"/>
        <v>0.22637979336965217</v>
      </c>
      <c r="W831" s="16">
        <f t="shared" si="147"/>
        <v>814967.25613074773</v>
      </c>
      <c r="X831">
        <f>('Hybrid Info'!$A$2-Track!P831)*(L831-L830)*1000+X830</f>
        <v>-18097.960016172005</v>
      </c>
    </row>
    <row r="832" spans="1:24">
      <c r="A832" s="16">
        <f t="shared" si="148"/>
        <v>831</v>
      </c>
      <c r="B832" s="17">
        <f t="shared" si="154"/>
        <v>13.411199999999999</v>
      </c>
      <c r="C832" s="16">
        <f>Specification!$G$29</f>
        <v>164.943378</v>
      </c>
      <c r="D832" s="17">
        <f>0.5*Specification!$K$4*Track!B832^2*Specification!$K$3*Specification!$K$2</f>
        <v>93.159842569492653</v>
      </c>
      <c r="E832" s="16">
        <v>0</v>
      </c>
      <c r="F832" s="17">
        <f>Specification!$C$23*9.81*SIN((E832*PI()/180))</f>
        <v>0</v>
      </c>
      <c r="G832" s="18">
        <f>IF(J832=1,VLOOKUP(K832,RPM!$E$2:$H$62,3,FALSE)-F832-E832-D832,IF(J832=2,VLOOKUP(K832,RPM!$H$2:$K$62,3,FALSE)-F832-E832-D832,IF(J832=3,VLOOKUP(K832,RPM!$K$2:$N$62,3,FALSE)-F832-E832-D832)))</f>
        <v>549.56217903827155</v>
      </c>
      <c r="H832" s="19">
        <f>IF(J832=1,Specification!$I$14,IF(J832=2,Specification!$I$15,IF(J832=3,Specification!$I$16)))</f>
        <v>578.93404261974786</v>
      </c>
      <c r="I832" s="16">
        <f t="shared" si="153"/>
        <v>0</v>
      </c>
      <c r="J832" s="17">
        <v>3</v>
      </c>
      <c r="K832" s="16">
        <f>IF(J832=1,VLOOKUP(B832,RPM!$F$2:$H$62,3,TRUE),IF(J832=2,VLOOKUP(B832,RPM!$I$2:$K$62,3,TRUE),IF(J832=3,VLOOKUP(B832,RPM!$L$2:$N$62,3,TRUE))))</f>
        <v>4300</v>
      </c>
      <c r="L832" s="17">
        <f t="shared" si="152"/>
        <v>66.23847566838694</v>
      </c>
      <c r="M832" s="16">
        <f t="shared" si="155"/>
        <v>0</v>
      </c>
      <c r="N832" s="17">
        <f>VLOOKUP(K832,RPM!$A$2:$D$62,3,FALSE)</f>
        <v>11.4</v>
      </c>
      <c r="O832" s="16">
        <f>VLOOKUP(K832,RPM!$A$2:$D$62,4,FALSE)</f>
        <v>18.894837209302327</v>
      </c>
      <c r="P832" s="17">
        <f t="shared" si="144"/>
        <v>14.089880106976747</v>
      </c>
      <c r="Q832" s="16" cm="1">
        <f t="array" ref="Q832">_xlfn.XLOOKUP(O832,BSFC!$A$2:$A$24,_xlfn.XLOOKUP(K832,BSFC!$B$1:$O$1,BSFC!$B$2:$O$24,,-1),,-1)</f>
        <v>480</v>
      </c>
      <c r="R832" s="17">
        <f t="shared" si="145"/>
        <v>1.8786506809302328</v>
      </c>
      <c r="S832" s="16">
        <f t="shared" si="146"/>
        <v>2.9183485335175871E-4</v>
      </c>
      <c r="T832" s="17">
        <f t="shared" si="149"/>
        <v>0.14008072960884418</v>
      </c>
      <c r="U832" s="16">
        <f t="shared" si="150"/>
        <v>109.12627151101024</v>
      </c>
      <c r="V832" s="17">
        <f t="shared" si="151"/>
        <v>0.22667162822300393</v>
      </c>
      <c r="W832" s="16">
        <f t="shared" si="147"/>
        <v>816017.86160281417</v>
      </c>
      <c r="X832">
        <f>('Hybrid Info'!$A$2-Track!P832)*(L832-L831)*1000+X831</f>
        <v>-18244.809329521409</v>
      </c>
    </row>
    <row r="833" spans="1:24">
      <c r="A833" s="16">
        <f t="shared" si="148"/>
        <v>832</v>
      </c>
      <c r="B833" s="17">
        <f t="shared" si="154"/>
        <v>13.411199999999999</v>
      </c>
      <c r="C833" s="16">
        <f>Specification!$G$29</f>
        <v>164.943378</v>
      </c>
      <c r="D833" s="17">
        <f>0.5*Specification!$K$4*Track!B833^2*Specification!$K$3*Specification!$K$2</f>
        <v>93.159842569492653</v>
      </c>
      <c r="E833" s="16">
        <v>0</v>
      </c>
      <c r="F833" s="17">
        <f>Specification!$C$23*9.81*SIN((E833*PI()/180))</f>
        <v>0</v>
      </c>
      <c r="G833" s="18">
        <f>IF(J833=1,VLOOKUP(K833,RPM!$E$2:$H$62,3,FALSE)-F833-E833-D833,IF(J833=2,VLOOKUP(K833,RPM!$H$2:$K$62,3,FALSE)-F833-E833-D833,IF(J833=3,VLOOKUP(K833,RPM!$K$2:$N$62,3,FALSE)-F833-E833-D833)))</f>
        <v>549.56217903827155</v>
      </c>
      <c r="H833" s="19">
        <f>IF(J833=1,Specification!$I$14,IF(J833=2,Specification!$I$15,IF(J833=3,Specification!$I$16)))</f>
        <v>578.93404261974786</v>
      </c>
      <c r="I833" s="16">
        <f t="shared" si="153"/>
        <v>0</v>
      </c>
      <c r="J833" s="17">
        <v>3</v>
      </c>
      <c r="K833" s="16">
        <f>IF(J833=1,VLOOKUP(B833,RPM!$F$2:$H$62,3,TRUE),IF(J833=2,VLOOKUP(B833,RPM!$I$2:$K$62,3,TRUE),IF(J833=3,VLOOKUP(B833,RPM!$L$2:$N$62,3,TRUE))))</f>
        <v>4300</v>
      </c>
      <c r="L833" s="17">
        <f t="shared" si="152"/>
        <v>66.313040211455416</v>
      </c>
      <c r="M833" s="16">
        <f t="shared" si="155"/>
        <v>0</v>
      </c>
      <c r="N833" s="17">
        <f>VLOOKUP(K833,RPM!$A$2:$D$62,3,FALSE)</f>
        <v>11.4</v>
      </c>
      <c r="O833" s="16">
        <f>VLOOKUP(K833,RPM!$A$2:$D$62,4,FALSE)</f>
        <v>18.894837209302327</v>
      </c>
      <c r="P833" s="17">
        <f t="shared" si="144"/>
        <v>14.089880106976747</v>
      </c>
      <c r="Q833" s="16" cm="1">
        <f t="array" ref="Q833">_xlfn.XLOOKUP(O833,BSFC!$A$2:$A$24,_xlfn.XLOOKUP(K833,BSFC!$B$1:$O$1,BSFC!$B$2:$O$24,,-1),,-1)</f>
        <v>480</v>
      </c>
      <c r="R833" s="17">
        <f t="shared" si="145"/>
        <v>1.8786506809302328</v>
      </c>
      <c r="S833" s="16">
        <f t="shared" si="146"/>
        <v>2.9183485335175871E-4</v>
      </c>
      <c r="T833" s="17">
        <f t="shared" si="149"/>
        <v>0.14008072960884418</v>
      </c>
      <c r="U833" s="16">
        <f t="shared" si="150"/>
        <v>109.26635224061909</v>
      </c>
      <c r="V833" s="17">
        <f t="shared" si="151"/>
        <v>0.2269634630763557</v>
      </c>
      <c r="W833" s="16">
        <f t="shared" si="147"/>
        <v>817068.46707488049</v>
      </c>
      <c r="X833">
        <f>('Hybrid Info'!$A$2-Track!P833)*(L833-L832)*1000+X832</f>
        <v>-18391.658642870814</v>
      </c>
    </row>
    <row r="834" spans="1:24">
      <c r="A834" s="16">
        <f t="shared" si="148"/>
        <v>833</v>
      </c>
      <c r="B834" s="17">
        <f t="shared" si="154"/>
        <v>13.411199999999999</v>
      </c>
      <c r="C834" s="16">
        <f>Specification!$G$29</f>
        <v>164.943378</v>
      </c>
      <c r="D834" s="17">
        <f>0.5*Specification!$K$4*Track!B834^2*Specification!$K$3*Specification!$K$2</f>
        <v>93.159842569492653</v>
      </c>
      <c r="E834" s="16">
        <v>0</v>
      </c>
      <c r="F834" s="17">
        <f>Specification!$C$23*9.81*SIN((E834*PI()/180))</f>
        <v>0</v>
      </c>
      <c r="G834" s="18">
        <f>IF(J834=1,VLOOKUP(K834,RPM!$E$2:$H$62,3,FALSE)-F834-E834-D834,IF(J834=2,VLOOKUP(K834,RPM!$H$2:$K$62,3,FALSE)-F834-E834-D834,IF(J834=3,VLOOKUP(K834,RPM!$K$2:$N$62,3,FALSE)-F834-E834-D834)))</f>
        <v>549.56217903827155</v>
      </c>
      <c r="H834" s="19">
        <f>IF(J834=1,Specification!$I$14,IF(J834=2,Specification!$I$15,IF(J834=3,Specification!$I$16)))</f>
        <v>578.93404261974786</v>
      </c>
      <c r="I834" s="16">
        <f t="shared" si="153"/>
        <v>0</v>
      </c>
      <c r="J834" s="17">
        <v>3</v>
      </c>
      <c r="K834" s="16">
        <f>IF(J834=1,VLOOKUP(B834,RPM!$F$2:$H$62,3,TRUE),IF(J834=2,VLOOKUP(B834,RPM!$I$2:$K$62,3,TRUE),IF(J834=3,VLOOKUP(B834,RPM!$L$2:$N$62,3,TRUE))))</f>
        <v>4300</v>
      </c>
      <c r="L834" s="17">
        <f t="shared" si="152"/>
        <v>66.387604754523892</v>
      </c>
      <c r="M834" s="16">
        <f t="shared" si="155"/>
        <v>0</v>
      </c>
      <c r="N834" s="17">
        <f>VLOOKUP(K834,RPM!$A$2:$D$62,3,FALSE)</f>
        <v>11.4</v>
      </c>
      <c r="O834" s="16">
        <f>VLOOKUP(K834,RPM!$A$2:$D$62,4,FALSE)</f>
        <v>18.894837209302327</v>
      </c>
      <c r="P834" s="17">
        <f t="shared" ref="P834:P897" si="156">O834*0.7457</f>
        <v>14.089880106976747</v>
      </c>
      <c r="Q834" s="16" cm="1">
        <f t="array" ref="Q834">_xlfn.XLOOKUP(O834,BSFC!$A$2:$A$24,_xlfn.XLOOKUP(K834,BSFC!$B$1:$O$1,BSFC!$B$2:$O$24,,-1),,-1)</f>
        <v>480</v>
      </c>
      <c r="R834" s="17">
        <f t="shared" ref="R834:R897" si="157">Q834*P834/3600</f>
        <v>1.8786506809302328</v>
      </c>
      <c r="S834" s="16">
        <f t="shared" si="146"/>
        <v>2.9183485335175871E-4</v>
      </c>
      <c r="T834" s="17">
        <f t="shared" si="149"/>
        <v>0.14008072960884418</v>
      </c>
      <c r="U834" s="16">
        <f t="shared" si="150"/>
        <v>109.40643297022793</v>
      </c>
      <c r="V834" s="17">
        <f t="shared" si="151"/>
        <v>0.22725529792970747</v>
      </c>
      <c r="W834" s="16">
        <f t="shared" si="147"/>
        <v>818119.07254694693</v>
      </c>
      <c r="X834">
        <f>('Hybrid Info'!$A$2-Track!P834)*(L834-L833)*1000+X833</f>
        <v>-18538.507956220219</v>
      </c>
    </row>
    <row r="835" spans="1:24">
      <c r="A835" s="16">
        <f t="shared" si="148"/>
        <v>834</v>
      </c>
      <c r="B835" s="17">
        <f t="shared" si="154"/>
        <v>13.411199999999999</v>
      </c>
      <c r="C835" s="16">
        <f>Specification!$G$29</f>
        <v>164.943378</v>
      </c>
      <c r="D835" s="17">
        <f>0.5*Specification!$K$4*Track!B835^2*Specification!$K$3*Specification!$K$2</f>
        <v>93.159842569492653</v>
      </c>
      <c r="E835" s="16">
        <v>0</v>
      </c>
      <c r="F835" s="17">
        <f>Specification!$C$23*9.81*SIN((E835*PI()/180))</f>
        <v>0</v>
      </c>
      <c r="G835" s="18">
        <f>IF(J835=1,VLOOKUP(K835,RPM!$E$2:$H$62,3,FALSE)-F835-E835-D835,IF(J835=2,VLOOKUP(K835,RPM!$H$2:$K$62,3,FALSE)-F835-E835-D835,IF(J835=3,VLOOKUP(K835,RPM!$K$2:$N$62,3,FALSE)-F835-E835-D835)))</f>
        <v>549.56217903827155</v>
      </c>
      <c r="H835" s="19">
        <f>IF(J835=1,Specification!$I$14,IF(J835=2,Specification!$I$15,IF(J835=3,Specification!$I$16)))</f>
        <v>578.93404261974786</v>
      </c>
      <c r="I835" s="16">
        <f t="shared" si="153"/>
        <v>0</v>
      </c>
      <c r="J835" s="17">
        <v>3</v>
      </c>
      <c r="K835" s="16">
        <f>IF(J835=1,VLOOKUP(B835,RPM!$F$2:$H$62,3,TRUE),IF(J835=2,VLOOKUP(B835,RPM!$I$2:$K$62,3,TRUE),IF(J835=3,VLOOKUP(B835,RPM!$L$2:$N$62,3,TRUE))))</f>
        <v>4300</v>
      </c>
      <c r="L835" s="17">
        <f t="shared" si="152"/>
        <v>66.462169297592368</v>
      </c>
      <c r="M835" s="16">
        <f t="shared" si="155"/>
        <v>0</v>
      </c>
      <c r="N835" s="17">
        <f>VLOOKUP(K835,RPM!$A$2:$D$62,3,FALSE)</f>
        <v>11.4</v>
      </c>
      <c r="O835" s="16">
        <f>VLOOKUP(K835,RPM!$A$2:$D$62,4,FALSE)</f>
        <v>18.894837209302327</v>
      </c>
      <c r="P835" s="17">
        <f t="shared" si="156"/>
        <v>14.089880106976747</v>
      </c>
      <c r="Q835" s="16" cm="1">
        <f t="array" ref="Q835">_xlfn.XLOOKUP(O835,BSFC!$A$2:$A$24,_xlfn.XLOOKUP(K835,BSFC!$B$1:$O$1,BSFC!$B$2:$O$24,,-1),,-1)</f>
        <v>480</v>
      </c>
      <c r="R835" s="17">
        <f t="shared" si="157"/>
        <v>1.8786506809302328</v>
      </c>
      <c r="S835" s="16">
        <f t="shared" ref="S835:S898" si="158">(L835-L834)/3600*P835</f>
        <v>2.9183485335175871E-4</v>
      </c>
      <c r="T835" s="17">
        <f t="shared" si="149"/>
        <v>0.14008072960884418</v>
      </c>
      <c r="U835" s="16">
        <f t="shared" si="150"/>
        <v>109.54651369983677</v>
      </c>
      <c r="V835" s="17">
        <f t="shared" si="151"/>
        <v>0.22754713278305924</v>
      </c>
      <c r="W835" s="16">
        <f t="shared" ref="W835:W898" si="159">V835*1000*3600</f>
        <v>819169.67801901337</v>
      </c>
      <c r="X835">
        <f>('Hybrid Info'!$A$2-Track!P835)*(L835-L834)*1000+X834</f>
        <v>-18685.357269569624</v>
      </c>
    </row>
    <row r="836" spans="1:24">
      <c r="A836" s="16">
        <f t="shared" ref="A836:A899" si="160">A835+1</f>
        <v>835</v>
      </c>
      <c r="B836" s="17">
        <f t="shared" si="154"/>
        <v>13.411199999999999</v>
      </c>
      <c r="C836" s="16">
        <f>Specification!$G$29</f>
        <v>164.943378</v>
      </c>
      <c r="D836" s="17">
        <f>0.5*Specification!$K$4*Track!B836^2*Specification!$K$3*Specification!$K$2</f>
        <v>93.159842569492653</v>
      </c>
      <c r="E836" s="16">
        <v>0</v>
      </c>
      <c r="F836" s="17">
        <f>Specification!$C$23*9.81*SIN((E836*PI()/180))</f>
        <v>0</v>
      </c>
      <c r="G836" s="18">
        <f>IF(J836=1,VLOOKUP(K836,RPM!$E$2:$H$62,3,FALSE)-F836-E836-D836,IF(J836=2,VLOOKUP(K836,RPM!$H$2:$K$62,3,FALSE)-F836-E836-D836,IF(J836=3,VLOOKUP(K836,RPM!$K$2:$N$62,3,FALSE)-F836-E836-D836)))</f>
        <v>549.56217903827155</v>
      </c>
      <c r="H836" s="19">
        <f>IF(J836=1,Specification!$I$14,IF(J836=2,Specification!$I$15,IF(J836=3,Specification!$I$16)))</f>
        <v>578.93404261974786</v>
      </c>
      <c r="I836" s="16">
        <f t="shared" si="153"/>
        <v>0</v>
      </c>
      <c r="J836" s="17">
        <v>3</v>
      </c>
      <c r="K836" s="16">
        <f>IF(J836=1,VLOOKUP(B836,RPM!$F$2:$H$62,3,TRUE),IF(J836=2,VLOOKUP(B836,RPM!$I$2:$K$62,3,TRUE),IF(J836=3,VLOOKUP(B836,RPM!$L$2:$N$62,3,TRUE))))</f>
        <v>4300</v>
      </c>
      <c r="L836" s="17">
        <f t="shared" si="152"/>
        <v>66.536733840660844</v>
      </c>
      <c r="M836" s="16">
        <f t="shared" si="155"/>
        <v>0</v>
      </c>
      <c r="N836" s="17">
        <f>VLOOKUP(K836,RPM!$A$2:$D$62,3,FALSE)</f>
        <v>11.4</v>
      </c>
      <c r="O836" s="16">
        <f>VLOOKUP(K836,RPM!$A$2:$D$62,4,FALSE)</f>
        <v>18.894837209302327</v>
      </c>
      <c r="P836" s="17">
        <f t="shared" si="156"/>
        <v>14.089880106976747</v>
      </c>
      <c r="Q836" s="16" cm="1">
        <f t="array" ref="Q836">_xlfn.XLOOKUP(O836,BSFC!$A$2:$A$24,_xlfn.XLOOKUP(K836,BSFC!$B$1:$O$1,BSFC!$B$2:$O$24,,-1),,-1)</f>
        <v>480</v>
      </c>
      <c r="R836" s="17">
        <f t="shared" si="157"/>
        <v>1.8786506809302328</v>
      </c>
      <c r="S836" s="16">
        <f t="shared" si="158"/>
        <v>2.9183485335175871E-4</v>
      </c>
      <c r="T836" s="17">
        <f t="shared" ref="T836:T899" si="161">S836*Q836</f>
        <v>0.14008072960884418</v>
      </c>
      <c r="U836" s="16">
        <f t="shared" ref="U836:U899" si="162">U835+T836</f>
        <v>109.68659442944561</v>
      </c>
      <c r="V836" s="17">
        <f t="shared" si="151"/>
        <v>0.22783896763641101</v>
      </c>
      <c r="W836" s="16">
        <f t="shared" si="159"/>
        <v>820220.2834910797</v>
      </c>
      <c r="X836">
        <f>('Hybrid Info'!$A$2-Track!P836)*(L836-L835)*1000+X835</f>
        <v>-18832.206582919029</v>
      </c>
    </row>
    <row r="837" spans="1:24">
      <c r="A837" s="16">
        <f t="shared" si="160"/>
        <v>836</v>
      </c>
      <c r="B837" s="17">
        <f t="shared" si="154"/>
        <v>13.411199999999999</v>
      </c>
      <c r="C837" s="16">
        <f>Specification!$G$29</f>
        <v>164.943378</v>
      </c>
      <c r="D837" s="17">
        <f>0.5*Specification!$K$4*Track!B837^2*Specification!$K$3*Specification!$K$2</f>
        <v>93.159842569492653</v>
      </c>
      <c r="E837" s="16">
        <v>0</v>
      </c>
      <c r="F837" s="17">
        <f>Specification!$C$23*9.81*SIN((E837*PI()/180))</f>
        <v>0</v>
      </c>
      <c r="G837" s="18">
        <f>IF(J837=1,VLOOKUP(K837,RPM!$E$2:$H$62,3,FALSE)-F837-E837-D837,IF(J837=2,VLOOKUP(K837,RPM!$H$2:$K$62,3,FALSE)-F837-E837-D837,IF(J837=3,VLOOKUP(K837,RPM!$K$2:$N$62,3,FALSE)-F837-E837-D837)))</f>
        <v>549.56217903827155</v>
      </c>
      <c r="H837" s="19">
        <f>IF(J837=1,Specification!$I$14,IF(J837=2,Specification!$I$15,IF(J837=3,Specification!$I$16)))</f>
        <v>578.93404261974786</v>
      </c>
      <c r="I837" s="16">
        <f t="shared" si="153"/>
        <v>0</v>
      </c>
      <c r="J837" s="17">
        <v>3</v>
      </c>
      <c r="K837" s="16">
        <f>IF(J837=1,VLOOKUP(B837,RPM!$F$2:$H$62,3,TRUE),IF(J837=2,VLOOKUP(B837,RPM!$I$2:$K$62,3,TRUE),IF(J837=3,VLOOKUP(B837,RPM!$L$2:$N$62,3,TRUE))))</f>
        <v>4300</v>
      </c>
      <c r="L837" s="17">
        <f t="shared" si="152"/>
        <v>66.61129838372932</v>
      </c>
      <c r="M837" s="16">
        <f t="shared" si="155"/>
        <v>0</v>
      </c>
      <c r="N837" s="17">
        <f>VLOOKUP(K837,RPM!$A$2:$D$62,3,FALSE)</f>
        <v>11.4</v>
      </c>
      <c r="O837" s="16">
        <f>VLOOKUP(K837,RPM!$A$2:$D$62,4,FALSE)</f>
        <v>18.894837209302327</v>
      </c>
      <c r="P837" s="17">
        <f t="shared" si="156"/>
        <v>14.089880106976747</v>
      </c>
      <c r="Q837" s="16" cm="1">
        <f t="array" ref="Q837">_xlfn.XLOOKUP(O837,BSFC!$A$2:$A$24,_xlfn.XLOOKUP(K837,BSFC!$B$1:$O$1,BSFC!$B$2:$O$24,,-1),,-1)</f>
        <v>480</v>
      </c>
      <c r="R837" s="17">
        <f t="shared" si="157"/>
        <v>1.8786506809302328</v>
      </c>
      <c r="S837" s="16">
        <f t="shared" si="158"/>
        <v>2.9183485335175871E-4</v>
      </c>
      <c r="T837" s="17">
        <f t="shared" si="161"/>
        <v>0.14008072960884418</v>
      </c>
      <c r="U837" s="16">
        <f t="shared" si="162"/>
        <v>109.82667515905445</v>
      </c>
      <c r="V837" s="17">
        <f t="shared" ref="V837:V900" si="163">V836+S837</f>
        <v>0.22813080248976278</v>
      </c>
      <c r="W837" s="16">
        <f t="shared" si="159"/>
        <v>821270.88896314602</v>
      </c>
      <c r="X837">
        <f>('Hybrid Info'!$A$2-Track!P837)*(L837-L836)*1000+X836</f>
        <v>-18979.055896268434</v>
      </c>
    </row>
    <row r="838" spans="1:24">
      <c r="A838" s="16">
        <f t="shared" si="160"/>
        <v>837</v>
      </c>
      <c r="B838" s="17">
        <f t="shared" si="154"/>
        <v>13.411199999999999</v>
      </c>
      <c r="C838" s="16">
        <f>Specification!$G$29</f>
        <v>164.943378</v>
      </c>
      <c r="D838" s="17">
        <f>0.5*Specification!$K$4*Track!B838^2*Specification!$K$3*Specification!$K$2</f>
        <v>93.159842569492653</v>
      </c>
      <c r="E838" s="16">
        <v>0</v>
      </c>
      <c r="F838" s="17">
        <f>Specification!$C$23*9.81*SIN((E838*PI()/180))</f>
        <v>0</v>
      </c>
      <c r="G838" s="18">
        <f>IF(J838=1,VLOOKUP(K838,RPM!$E$2:$H$62,3,FALSE)-F838-E838-D838,IF(J838=2,VLOOKUP(K838,RPM!$H$2:$K$62,3,FALSE)-F838-E838-D838,IF(J838=3,VLOOKUP(K838,RPM!$K$2:$N$62,3,FALSE)-F838-E838-D838)))</f>
        <v>549.56217903827155</v>
      </c>
      <c r="H838" s="19">
        <f>IF(J838=1,Specification!$I$14,IF(J838=2,Specification!$I$15,IF(J838=3,Specification!$I$16)))</f>
        <v>578.93404261974786</v>
      </c>
      <c r="I838" s="16">
        <f t="shared" si="153"/>
        <v>0</v>
      </c>
      <c r="J838" s="17">
        <v>3</v>
      </c>
      <c r="K838" s="16">
        <f>IF(J838=1,VLOOKUP(B838,RPM!$F$2:$H$62,3,TRUE),IF(J838=2,VLOOKUP(B838,RPM!$I$2:$K$62,3,TRUE),IF(J838=3,VLOOKUP(B838,RPM!$L$2:$N$62,3,TRUE))))</f>
        <v>4300</v>
      </c>
      <c r="L838" s="17">
        <f t="shared" si="152"/>
        <v>66.685862926797796</v>
      </c>
      <c r="M838" s="16">
        <f t="shared" si="155"/>
        <v>0</v>
      </c>
      <c r="N838" s="17">
        <f>VLOOKUP(K838,RPM!$A$2:$D$62,3,FALSE)</f>
        <v>11.4</v>
      </c>
      <c r="O838" s="16">
        <f>VLOOKUP(K838,RPM!$A$2:$D$62,4,FALSE)</f>
        <v>18.894837209302327</v>
      </c>
      <c r="P838" s="17">
        <f t="shared" si="156"/>
        <v>14.089880106976747</v>
      </c>
      <c r="Q838" s="16" cm="1">
        <f t="array" ref="Q838">_xlfn.XLOOKUP(O838,BSFC!$A$2:$A$24,_xlfn.XLOOKUP(K838,BSFC!$B$1:$O$1,BSFC!$B$2:$O$24,,-1),,-1)</f>
        <v>480</v>
      </c>
      <c r="R838" s="17">
        <f t="shared" si="157"/>
        <v>1.8786506809302328</v>
      </c>
      <c r="S838" s="16">
        <f t="shared" si="158"/>
        <v>2.9183485335175871E-4</v>
      </c>
      <c r="T838" s="17">
        <f t="shared" si="161"/>
        <v>0.14008072960884418</v>
      </c>
      <c r="U838" s="16">
        <f t="shared" si="162"/>
        <v>109.96675588866329</v>
      </c>
      <c r="V838" s="17">
        <f t="shared" si="163"/>
        <v>0.22842263734311455</v>
      </c>
      <c r="W838" s="16">
        <f t="shared" si="159"/>
        <v>822321.49443521246</v>
      </c>
      <c r="X838">
        <f>('Hybrid Info'!$A$2-Track!P838)*(L838-L837)*1000+X837</f>
        <v>-19125.905209617838</v>
      </c>
    </row>
    <row r="839" spans="1:24">
      <c r="A839" s="16">
        <f t="shared" si="160"/>
        <v>838</v>
      </c>
      <c r="B839" s="17">
        <f t="shared" si="154"/>
        <v>13.411199999999999</v>
      </c>
      <c r="C839" s="16">
        <f>Specification!$G$29</f>
        <v>164.943378</v>
      </c>
      <c r="D839" s="17">
        <f>0.5*Specification!$K$4*Track!B839^2*Specification!$K$3*Specification!$K$2</f>
        <v>93.159842569492653</v>
      </c>
      <c r="E839" s="16">
        <v>0</v>
      </c>
      <c r="F839" s="17">
        <f>Specification!$C$23*9.81*SIN((E839*PI()/180))</f>
        <v>0</v>
      </c>
      <c r="G839" s="18">
        <f>IF(J839=1,VLOOKUP(K839,RPM!$E$2:$H$62,3,FALSE)-F839-E839-D839,IF(J839=2,VLOOKUP(K839,RPM!$H$2:$K$62,3,FALSE)-F839-E839-D839,IF(J839=3,VLOOKUP(K839,RPM!$K$2:$N$62,3,FALSE)-F839-E839-D839)))</f>
        <v>549.56217903827155</v>
      </c>
      <c r="H839" s="19">
        <f>IF(J839=1,Specification!$I$14,IF(J839=2,Specification!$I$15,IF(J839=3,Specification!$I$16)))</f>
        <v>578.93404261974786</v>
      </c>
      <c r="I839" s="16">
        <f t="shared" si="153"/>
        <v>0</v>
      </c>
      <c r="J839" s="17">
        <v>3</v>
      </c>
      <c r="K839" s="16">
        <f>IF(J839=1,VLOOKUP(B839,RPM!$F$2:$H$62,3,TRUE),IF(J839=2,VLOOKUP(B839,RPM!$I$2:$K$62,3,TRUE),IF(J839=3,VLOOKUP(B839,RPM!$L$2:$N$62,3,TRUE))))</f>
        <v>4300</v>
      </c>
      <c r="L839" s="17">
        <f t="shared" si="152"/>
        <v>66.760427469866272</v>
      </c>
      <c r="M839" s="16">
        <f t="shared" si="155"/>
        <v>0</v>
      </c>
      <c r="N839" s="17">
        <f>VLOOKUP(K839,RPM!$A$2:$D$62,3,FALSE)</f>
        <v>11.4</v>
      </c>
      <c r="O839" s="16">
        <f>VLOOKUP(K839,RPM!$A$2:$D$62,4,FALSE)</f>
        <v>18.894837209302327</v>
      </c>
      <c r="P839" s="17">
        <f t="shared" si="156"/>
        <v>14.089880106976747</v>
      </c>
      <c r="Q839" s="16" cm="1">
        <f t="array" ref="Q839">_xlfn.XLOOKUP(O839,BSFC!$A$2:$A$24,_xlfn.XLOOKUP(K839,BSFC!$B$1:$O$1,BSFC!$B$2:$O$24,,-1),,-1)</f>
        <v>480</v>
      </c>
      <c r="R839" s="17">
        <f t="shared" si="157"/>
        <v>1.8786506809302328</v>
      </c>
      <c r="S839" s="16">
        <f t="shared" si="158"/>
        <v>2.9183485335175871E-4</v>
      </c>
      <c r="T839" s="17">
        <f t="shared" si="161"/>
        <v>0.14008072960884418</v>
      </c>
      <c r="U839" s="16">
        <f t="shared" si="162"/>
        <v>110.10683661827213</v>
      </c>
      <c r="V839" s="17">
        <f t="shared" si="163"/>
        <v>0.22871447219646632</v>
      </c>
      <c r="W839" s="16">
        <f t="shared" si="159"/>
        <v>823372.09990727878</v>
      </c>
      <c r="X839">
        <f>('Hybrid Info'!$A$2-Track!P839)*(L839-L838)*1000+X838</f>
        <v>-19272.754522967243</v>
      </c>
    </row>
    <row r="840" spans="1:24">
      <c r="A840" s="16">
        <f t="shared" si="160"/>
        <v>839</v>
      </c>
      <c r="B840" s="17">
        <f t="shared" si="154"/>
        <v>13.411199999999999</v>
      </c>
      <c r="C840" s="16">
        <f>Specification!$G$29</f>
        <v>164.943378</v>
      </c>
      <c r="D840" s="17">
        <f>0.5*Specification!$K$4*Track!B840^2*Specification!$K$3*Specification!$K$2</f>
        <v>93.159842569492653</v>
      </c>
      <c r="E840" s="16">
        <v>0</v>
      </c>
      <c r="F840" s="17">
        <f>Specification!$C$23*9.81*SIN((E840*PI()/180))</f>
        <v>0</v>
      </c>
      <c r="G840" s="18">
        <f>IF(J840=1,VLOOKUP(K840,RPM!$E$2:$H$62,3,FALSE)-F840-E840-D840,IF(J840=2,VLOOKUP(K840,RPM!$H$2:$K$62,3,FALSE)-F840-E840-D840,IF(J840=3,VLOOKUP(K840,RPM!$K$2:$N$62,3,FALSE)-F840-E840-D840)))</f>
        <v>549.56217903827155</v>
      </c>
      <c r="H840" s="19">
        <f>IF(J840=1,Specification!$I$14,IF(J840=2,Specification!$I$15,IF(J840=3,Specification!$I$16)))</f>
        <v>578.93404261974786</v>
      </c>
      <c r="I840" s="16">
        <f t="shared" si="153"/>
        <v>0</v>
      </c>
      <c r="J840" s="17">
        <v>3</v>
      </c>
      <c r="K840" s="16">
        <f>IF(J840=1,VLOOKUP(B840,RPM!$F$2:$H$62,3,TRUE),IF(J840=2,VLOOKUP(B840,RPM!$I$2:$K$62,3,TRUE),IF(J840=3,VLOOKUP(B840,RPM!$L$2:$N$62,3,TRUE))))</f>
        <v>4300</v>
      </c>
      <c r="L840" s="17">
        <f t="shared" si="152"/>
        <v>66.834992012934748</v>
      </c>
      <c r="M840" s="16">
        <f t="shared" si="155"/>
        <v>0</v>
      </c>
      <c r="N840" s="17">
        <f>VLOOKUP(K840,RPM!$A$2:$D$62,3,FALSE)</f>
        <v>11.4</v>
      </c>
      <c r="O840" s="16">
        <f>VLOOKUP(K840,RPM!$A$2:$D$62,4,FALSE)</f>
        <v>18.894837209302327</v>
      </c>
      <c r="P840" s="17">
        <f t="shared" si="156"/>
        <v>14.089880106976747</v>
      </c>
      <c r="Q840" s="16" cm="1">
        <f t="array" ref="Q840">_xlfn.XLOOKUP(O840,BSFC!$A$2:$A$24,_xlfn.XLOOKUP(K840,BSFC!$B$1:$O$1,BSFC!$B$2:$O$24,,-1),,-1)</f>
        <v>480</v>
      </c>
      <c r="R840" s="17">
        <f t="shared" si="157"/>
        <v>1.8786506809302328</v>
      </c>
      <c r="S840" s="16">
        <f t="shared" si="158"/>
        <v>2.9183485335175871E-4</v>
      </c>
      <c r="T840" s="17">
        <f t="shared" si="161"/>
        <v>0.14008072960884418</v>
      </c>
      <c r="U840" s="16">
        <f t="shared" si="162"/>
        <v>110.24691734788097</v>
      </c>
      <c r="V840" s="17">
        <f t="shared" si="163"/>
        <v>0.22900630704981809</v>
      </c>
      <c r="W840" s="16">
        <f t="shared" si="159"/>
        <v>824422.70537934511</v>
      </c>
      <c r="X840">
        <f>('Hybrid Info'!$A$2-Track!P840)*(L840-L839)*1000+X839</f>
        <v>-19419.603836316648</v>
      </c>
    </row>
    <row r="841" spans="1:24">
      <c r="A841" s="16">
        <f t="shared" si="160"/>
        <v>840</v>
      </c>
      <c r="B841" s="17">
        <f t="shared" si="154"/>
        <v>13.411199999999999</v>
      </c>
      <c r="C841" s="16">
        <f>Specification!$G$29</f>
        <v>164.943378</v>
      </c>
      <c r="D841" s="17">
        <f>0.5*Specification!$K$4*Track!B841^2*Specification!$K$3*Specification!$K$2</f>
        <v>93.159842569492653</v>
      </c>
      <c r="E841" s="16">
        <v>0</v>
      </c>
      <c r="F841" s="17">
        <f>Specification!$C$23*9.81*SIN((E841*PI()/180))</f>
        <v>0</v>
      </c>
      <c r="G841" s="18">
        <f>IF(J841=1,VLOOKUP(K841,RPM!$E$2:$H$62,3,FALSE)-F841-E841-D841,IF(J841=2,VLOOKUP(K841,RPM!$H$2:$K$62,3,FALSE)-F841-E841-D841,IF(J841=3,VLOOKUP(K841,RPM!$K$2:$N$62,3,FALSE)-F841-E841-D841)))</f>
        <v>549.56217903827155</v>
      </c>
      <c r="H841" s="19">
        <f>IF(J841=1,Specification!$I$14,IF(J841=2,Specification!$I$15,IF(J841=3,Specification!$I$16)))</f>
        <v>578.93404261974786</v>
      </c>
      <c r="I841" s="16">
        <f t="shared" si="153"/>
        <v>0</v>
      </c>
      <c r="J841" s="17">
        <v>3</v>
      </c>
      <c r="K841" s="16">
        <f>IF(J841=1,VLOOKUP(B841,RPM!$F$2:$H$62,3,TRUE),IF(J841=2,VLOOKUP(B841,RPM!$I$2:$K$62,3,TRUE),IF(J841=3,VLOOKUP(B841,RPM!$L$2:$N$62,3,TRUE))))</f>
        <v>4300</v>
      </c>
      <c r="L841" s="17">
        <f t="shared" si="152"/>
        <v>66.909556556003224</v>
      </c>
      <c r="M841" s="16">
        <f t="shared" si="155"/>
        <v>0</v>
      </c>
      <c r="N841" s="17">
        <f>VLOOKUP(K841,RPM!$A$2:$D$62,3,FALSE)</f>
        <v>11.4</v>
      </c>
      <c r="O841" s="16">
        <f>VLOOKUP(K841,RPM!$A$2:$D$62,4,FALSE)</f>
        <v>18.894837209302327</v>
      </c>
      <c r="P841" s="17">
        <f t="shared" si="156"/>
        <v>14.089880106976747</v>
      </c>
      <c r="Q841" s="16" cm="1">
        <f t="array" ref="Q841">_xlfn.XLOOKUP(O841,BSFC!$A$2:$A$24,_xlfn.XLOOKUP(K841,BSFC!$B$1:$O$1,BSFC!$B$2:$O$24,,-1),,-1)</f>
        <v>480</v>
      </c>
      <c r="R841" s="17">
        <f t="shared" si="157"/>
        <v>1.8786506809302328</v>
      </c>
      <c r="S841" s="16">
        <f t="shared" si="158"/>
        <v>2.9183485335175871E-4</v>
      </c>
      <c r="T841" s="17">
        <f t="shared" si="161"/>
        <v>0.14008072960884418</v>
      </c>
      <c r="U841" s="16">
        <f t="shared" si="162"/>
        <v>110.38699807748981</v>
      </c>
      <c r="V841" s="17">
        <f t="shared" si="163"/>
        <v>0.22929814190316986</v>
      </c>
      <c r="W841" s="16">
        <f t="shared" si="159"/>
        <v>825473.31085141154</v>
      </c>
      <c r="X841">
        <f>('Hybrid Info'!$A$2-Track!P841)*(L841-L840)*1000+X840</f>
        <v>-19566.453149666053</v>
      </c>
    </row>
    <row r="842" spans="1:24">
      <c r="A842" s="16">
        <f t="shared" si="160"/>
        <v>841</v>
      </c>
      <c r="B842" s="17">
        <f t="shared" si="154"/>
        <v>13.411199999999999</v>
      </c>
      <c r="C842" s="16">
        <f>Specification!$G$29</f>
        <v>164.943378</v>
      </c>
      <c r="D842" s="17">
        <f>0.5*Specification!$K$4*Track!B842^2*Specification!$K$3*Specification!$K$2</f>
        <v>93.159842569492653</v>
      </c>
      <c r="E842" s="16">
        <v>0</v>
      </c>
      <c r="F842" s="17">
        <f>Specification!$C$23*9.81*SIN((E842*PI()/180))</f>
        <v>0</v>
      </c>
      <c r="G842" s="18">
        <f>IF(J842=1,VLOOKUP(K842,RPM!$E$2:$H$62,3,FALSE)-F842-E842-D842,IF(J842=2,VLOOKUP(K842,RPM!$H$2:$K$62,3,FALSE)-F842-E842-D842,IF(J842=3,VLOOKUP(K842,RPM!$K$2:$N$62,3,FALSE)-F842-E842-D842)))</f>
        <v>549.56217903827155</v>
      </c>
      <c r="H842" s="19">
        <f>IF(J842=1,Specification!$I$14,IF(J842=2,Specification!$I$15,IF(J842=3,Specification!$I$16)))</f>
        <v>578.93404261974786</v>
      </c>
      <c r="I842" s="16">
        <f t="shared" si="153"/>
        <v>0</v>
      </c>
      <c r="J842" s="17">
        <v>3</v>
      </c>
      <c r="K842" s="16">
        <f>IF(J842=1,VLOOKUP(B842,RPM!$F$2:$H$62,3,TRUE),IF(J842=2,VLOOKUP(B842,RPM!$I$2:$K$62,3,TRUE),IF(J842=3,VLOOKUP(B842,RPM!$L$2:$N$62,3,TRUE))))</f>
        <v>4300</v>
      </c>
      <c r="L842" s="17">
        <f t="shared" si="152"/>
        <v>66.9841210990717</v>
      </c>
      <c r="M842" s="16">
        <f t="shared" si="155"/>
        <v>0</v>
      </c>
      <c r="N842" s="17">
        <f>VLOOKUP(K842,RPM!$A$2:$D$62,3,FALSE)</f>
        <v>11.4</v>
      </c>
      <c r="O842" s="16">
        <f>VLOOKUP(K842,RPM!$A$2:$D$62,4,FALSE)</f>
        <v>18.894837209302327</v>
      </c>
      <c r="P842" s="17">
        <f t="shared" si="156"/>
        <v>14.089880106976747</v>
      </c>
      <c r="Q842" s="16" cm="1">
        <f t="array" ref="Q842">_xlfn.XLOOKUP(O842,BSFC!$A$2:$A$24,_xlfn.XLOOKUP(K842,BSFC!$B$1:$O$1,BSFC!$B$2:$O$24,,-1),,-1)</f>
        <v>480</v>
      </c>
      <c r="R842" s="17">
        <f t="shared" si="157"/>
        <v>1.8786506809302328</v>
      </c>
      <c r="S842" s="16">
        <f t="shared" si="158"/>
        <v>2.9183485335175871E-4</v>
      </c>
      <c r="T842" s="17">
        <f t="shared" si="161"/>
        <v>0.14008072960884418</v>
      </c>
      <c r="U842" s="16">
        <f t="shared" si="162"/>
        <v>110.52707880709865</v>
      </c>
      <c r="V842" s="17">
        <f t="shared" si="163"/>
        <v>0.22958997675652162</v>
      </c>
      <c r="W842" s="16">
        <f t="shared" si="159"/>
        <v>826523.91632347787</v>
      </c>
      <c r="X842">
        <f>('Hybrid Info'!$A$2-Track!P842)*(L842-L841)*1000+X841</f>
        <v>-19713.302463015458</v>
      </c>
    </row>
    <row r="843" spans="1:24">
      <c r="A843" s="16">
        <f t="shared" si="160"/>
        <v>842</v>
      </c>
      <c r="B843" s="17">
        <f t="shared" si="154"/>
        <v>13.411199999999999</v>
      </c>
      <c r="C843" s="16">
        <f>Specification!$G$29</f>
        <v>164.943378</v>
      </c>
      <c r="D843" s="17">
        <f>0.5*Specification!$K$4*Track!B843^2*Specification!$K$3*Specification!$K$2</f>
        <v>93.159842569492653</v>
      </c>
      <c r="E843" s="16">
        <v>0</v>
      </c>
      <c r="F843" s="17">
        <f>Specification!$C$23*9.81*SIN((E843*PI()/180))</f>
        <v>0</v>
      </c>
      <c r="G843" s="18">
        <f>IF(J843=1,VLOOKUP(K843,RPM!$E$2:$H$62,3,FALSE)-F843-E843-D843,IF(J843=2,VLOOKUP(K843,RPM!$H$2:$K$62,3,FALSE)-F843-E843-D843,IF(J843=3,VLOOKUP(K843,RPM!$K$2:$N$62,3,FALSE)-F843-E843-D843)))</f>
        <v>549.56217903827155</v>
      </c>
      <c r="H843" s="19">
        <f>IF(J843=1,Specification!$I$14,IF(J843=2,Specification!$I$15,IF(J843=3,Specification!$I$16)))</f>
        <v>578.93404261974786</v>
      </c>
      <c r="I843" s="16">
        <f t="shared" si="153"/>
        <v>0</v>
      </c>
      <c r="J843" s="17">
        <v>3</v>
      </c>
      <c r="K843" s="16">
        <f>IF(J843=1,VLOOKUP(B843,RPM!$F$2:$H$62,3,TRUE),IF(J843=2,VLOOKUP(B843,RPM!$I$2:$K$62,3,TRUE),IF(J843=3,VLOOKUP(B843,RPM!$L$2:$N$62,3,TRUE))))</f>
        <v>4300</v>
      </c>
      <c r="L843" s="17">
        <f t="shared" si="152"/>
        <v>67.058685642140176</v>
      </c>
      <c r="M843" s="16">
        <f t="shared" si="155"/>
        <v>0</v>
      </c>
      <c r="N843" s="17">
        <f>VLOOKUP(K843,RPM!$A$2:$D$62,3,FALSE)</f>
        <v>11.4</v>
      </c>
      <c r="O843" s="16">
        <f>VLOOKUP(K843,RPM!$A$2:$D$62,4,FALSE)</f>
        <v>18.894837209302327</v>
      </c>
      <c r="P843" s="17">
        <f t="shared" si="156"/>
        <v>14.089880106976747</v>
      </c>
      <c r="Q843" s="16" cm="1">
        <f t="array" ref="Q843">_xlfn.XLOOKUP(O843,BSFC!$A$2:$A$24,_xlfn.XLOOKUP(K843,BSFC!$B$1:$O$1,BSFC!$B$2:$O$24,,-1),,-1)</f>
        <v>480</v>
      </c>
      <c r="R843" s="17">
        <f t="shared" si="157"/>
        <v>1.8786506809302328</v>
      </c>
      <c r="S843" s="16">
        <f t="shared" si="158"/>
        <v>2.9183485335175871E-4</v>
      </c>
      <c r="T843" s="17">
        <f t="shared" si="161"/>
        <v>0.14008072960884418</v>
      </c>
      <c r="U843" s="16">
        <f t="shared" si="162"/>
        <v>110.66715953670749</v>
      </c>
      <c r="V843" s="17">
        <f t="shared" si="163"/>
        <v>0.22988181160987339</v>
      </c>
      <c r="W843" s="16">
        <f t="shared" si="159"/>
        <v>827574.52179554419</v>
      </c>
      <c r="X843">
        <f>('Hybrid Info'!$A$2-Track!P843)*(L843-L842)*1000+X842</f>
        <v>-19860.151776364863</v>
      </c>
    </row>
    <row r="844" spans="1:24">
      <c r="A844" s="16">
        <f t="shared" si="160"/>
        <v>843</v>
      </c>
      <c r="B844" s="17">
        <f t="shared" si="154"/>
        <v>13.411199999999999</v>
      </c>
      <c r="C844" s="16">
        <f>Specification!$G$29</f>
        <v>164.943378</v>
      </c>
      <c r="D844" s="17">
        <f>0.5*Specification!$K$4*Track!B844^2*Specification!$K$3*Specification!$K$2</f>
        <v>93.159842569492653</v>
      </c>
      <c r="E844" s="16">
        <v>0</v>
      </c>
      <c r="F844" s="17">
        <f>Specification!$C$23*9.81*SIN((E844*PI()/180))</f>
        <v>0</v>
      </c>
      <c r="G844" s="18">
        <f>IF(J844=1,VLOOKUP(K844,RPM!$E$2:$H$62,3,FALSE)-F844-E844-D844,IF(J844=2,VLOOKUP(K844,RPM!$H$2:$K$62,3,FALSE)-F844-E844-D844,IF(J844=3,VLOOKUP(K844,RPM!$K$2:$N$62,3,FALSE)-F844-E844-D844)))</f>
        <v>549.56217903827155</v>
      </c>
      <c r="H844" s="19">
        <f>IF(J844=1,Specification!$I$14,IF(J844=2,Specification!$I$15,IF(J844=3,Specification!$I$16)))</f>
        <v>578.93404261974786</v>
      </c>
      <c r="I844" s="16">
        <f t="shared" si="153"/>
        <v>0</v>
      </c>
      <c r="J844" s="17">
        <v>3</v>
      </c>
      <c r="K844" s="16">
        <f>IF(J844=1,VLOOKUP(B844,RPM!$F$2:$H$62,3,TRUE),IF(J844=2,VLOOKUP(B844,RPM!$I$2:$K$62,3,TRUE),IF(J844=3,VLOOKUP(B844,RPM!$L$2:$N$62,3,TRUE))))</f>
        <v>4300</v>
      </c>
      <c r="L844" s="17">
        <f t="shared" si="152"/>
        <v>67.133250185208652</v>
      </c>
      <c r="M844" s="16">
        <f t="shared" si="155"/>
        <v>0</v>
      </c>
      <c r="N844" s="17">
        <f>VLOOKUP(K844,RPM!$A$2:$D$62,3,FALSE)</f>
        <v>11.4</v>
      </c>
      <c r="O844" s="16">
        <f>VLOOKUP(K844,RPM!$A$2:$D$62,4,FALSE)</f>
        <v>18.894837209302327</v>
      </c>
      <c r="P844" s="17">
        <f t="shared" si="156"/>
        <v>14.089880106976747</v>
      </c>
      <c r="Q844" s="16" cm="1">
        <f t="array" ref="Q844">_xlfn.XLOOKUP(O844,BSFC!$A$2:$A$24,_xlfn.XLOOKUP(K844,BSFC!$B$1:$O$1,BSFC!$B$2:$O$24,,-1),,-1)</f>
        <v>480</v>
      </c>
      <c r="R844" s="17">
        <f t="shared" si="157"/>
        <v>1.8786506809302328</v>
      </c>
      <c r="S844" s="16">
        <f t="shared" si="158"/>
        <v>2.9183485335175871E-4</v>
      </c>
      <c r="T844" s="17">
        <f t="shared" si="161"/>
        <v>0.14008072960884418</v>
      </c>
      <c r="U844" s="16">
        <f t="shared" si="162"/>
        <v>110.80724026631633</v>
      </c>
      <c r="V844" s="17">
        <f t="shared" si="163"/>
        <v>0.23017364646322516</v>
      </c>
      <c r="W844" s="16">
        <f t="shared" si="159"/>
        <v>828625.12726761063</v>
      </c>
      <c r="X844">
        <f>('Hybrid Info'!$A$2-Track!P844)*(L844-L843)*1000+X843</f>
        <v>-20007.001089714267</v>
      </c>
    </row>
    <row r="845" spans="1:24">
      <c r="A845" s="16">
        <f t="shared" si="160"/>
        <v>844</v>
      </c>
      <c r="B845" s="17">
        <f t="shared" si="154"/>
        <v>13.411199999999999</v>
      </c>
      <c r="C845" s="16">
        <f>Specification!$G$29</f>
        <v>164.943378</v>
      </c>
      <c r="D845" s="17">
        <f>0.5*Specification!$K$4*Track!B845^2*Specification!$K$3*Specification!$K$2</f>
        <v>93.159842569492653</v>
      </c>
      <c r="E845" s="16">
        <v>0</v>
      </c>
      <c r="F845" s="17">
        <f>Specification!$C$23*9.81*SIN((E845*PI()/180))</f>
        <v>0</v>
      </c>
      <c r="G845" s="18">
        <f>IF(J845=1,VLOOKUP(K845,RPM!$E$2:$H$62,3,FALSE)-F845-E845-D845,IF(J845=2,VLOOKUP(K845,RPM!$H$2:$K$62,3,FALSE)-F845-E845-D845,IF(J845=3,VLOOKUP(K845,RPM!$K$2:$N$62,3,FALSE)-F845-E845-D845)))</f>
        <v>549.56217903827155</v>
      </c>
      <c r="H845" s="19">
        <f>IF(J845=1,Specification!$I$14,IF(J845=2,Specification!$I$15,IF(J845=3,Specification!$I$16)))</f>
        <v>578.93404261974786</v>
      </c>
      <c r="I845" s="16">
        <f t="shared" si="153"/>
        <v>0</v>
      </c>
      <c r="J845" s="17">
        <v>3</v>
      </c>
      <c r="K845" s="16">
        <f>IF(J845=1,VLOOKUP(B845,RPM!$F$2:$H$62,3,TRUE),IF(J845=2,VLOOKUP(B845,RPM!$I$2:$K$62,3,TRUE),IF(J845=3,VLOOKUP(B845,RPM!$L$2:$N$62,3,TRUE))))</f>
        <v>4300</v>
      </c>
      <c r="L845" s="17">
        <f t="shared" ref="L845:L908" si="164">IF(I845=0,ABS(1/B845)+L844,IF(ABS(B846-B845)=0,1/B845+L844,ABS((B846-B845)/I845)+L844))</f>
        <v>67.207814728277128</v>
      </c>
      <c r="M845" s="16">
        <f t="shared" si="155"/>
        <v>0</v>
      </c>
      <c r="N845" s="17">
        <f>VLOOKUP(K845,RPM!$A$2:$D$62,3,FALSE)</f>
        <v>11.4</v>
      </c>
      <c r="O845" s="16">
        <f>VLOOKUP(K845,RPM!$A$2:$D$62,4,FALSE)</f>
        <v>18.894837209302327</v>
      </c>
      <c r="P845" s="17">
        <f t="shared" si="156"/>
        <v>14.089880106976747</v>
      </c>
      <c r="Q845" s="16" cm="1">
        <f t="array" ref="Q845">_xlfn.XLOOKUP(O845,BSFC!$A$2:$A$24,_xlfn.XLOOKUP(K845,BSFC!$B$1:$O$1,BSFC!$B$2:$O$24,,-1),,-1)</f>
        <v>480</v>
      </c>
      <c r="R845" s="17">
        <f t="shared" si="157"/>
        <v>1.8786506809302328</v>
      </c>
      <c r="S845" s="16">
        <f t="shared" si="158"/>
        <v>2.9183485335175871E-4</v>
      </c>
      <c r="T845" s="17">
        <f t="shared" si="161"/>
        <v>0.14008072960884418</v>
      </c>
      <c r="U845" s="16">
        <f t="shared" si="162"/>
        <v>110.94732099592517</v>
      </c>
      <c r="V845" s="17">
        <f t="shared" si="163"/>
        <v>0.23046548131657693</v>
      </c>
      <c r="W845" s="16">
        <f t="shared" si="159"/>
        <v>829675.73273967695</v>
      </c>
      <c r="X845">
        <f>('Hybrid Info'!$A$2-Track!P845)*(L845-L844)*1000+X844</f>
        <v>-20153.850403063672</v>
      </c>
    </row>
    <row r="846" spans="1:24">
      <c r="A846" s="16">
        <f t="shared" si="160"/>
        <v>845</v>
      </c>
      <c r="B846" s="17">
        <f t="shared" si="154"/>
        <v>13.411199999999999</v>
      </c>
      <c r="C846" s="16">
        <f>Specification!$G$29</f>
        <v>164.943378</v>
      </c>
      <c r="D846" s="17">
        <f>0.5*Specification!$K$4*Track!B846^2*Specification!$K$3*Specification!$K$2</f>
        <v>93.159842569492653</v>
      </c>
      <c r="E846" s="16">
        <v>0</v>
      </c>
      <c r="F846" s="17">
        <f>Specification!$C$23*9.81*SIN((E846*PI()/180))</f>
        <v>0</v>
      </c>
      <c r="G846" s="18">
        <f>IF(J846=1,VLOOKUP(K846,RPM!$E$2:$H$62,3,FALSE)-F846-E846-D846,IF(J846=2,VLOOKUP(K846,RPM!$H$2:$K$62,3,FALSE)-F846-E846-D846,IF(J846=3,VLOOKUP(K846,RPM!$K$2:$N$62,3,FALSE)-F846-E846-D846)))</f>
        <v>549.56217903827155</v>
      </c>
      <c r="H846" s="19">
        <f>IF(J846=1,Specification!$I$14,IF(J846=2,Specification!$I$15,IF(J846=3,Specification!$I$16)))</f>
        <v>578.93404261974786</v>
      </c>
      <c r="I846" s="16">
        <f t="shared" si="153"/>
        <v>0</v>
      </c>
      <c r="J846" s="17">
        <v>3</v>
      </c>
      <c r="K846" s="16">
        <f>IF(J846=1,VLOOKUP(B846,RPM!$F$2:$H$62,3,TRUE),IF(J846=2,VLOOKUP(B846,RPM!$I$2:$K$62,3,TRUE),IF(J846=3,VLOOKUP(B846,RPM!$L$2:$N$62,3,TRUE))))</f>
        <v>4300</v>
      </c>
      <c r="L846" s="17">
        <f t="shared" si="164"/>
        <v>67.282379271345604</v>
      </c>
      <c r="M846" s="16">
        <f t="shared" si="155"/>
        <v>0</v>
      </c>
      <c r="N846" s="17">
        <f>VLOOKUP(K846,RPM!$A$2:$D$62,3,FALSE)</f>
        <v>11.4</v>
      </c>
      <c r="O846" s="16">
        <f>VLOOKUP(K846,RPM!$A$2:$D$62,4,FALSE)</f>
        <v>18.894837209302327</v>
      </c>
      <c r="P846" s="17">
        <f t="shared" si="156"/>
        <v>14.089880106976747</v>
      </c>
      <c r="Q846" s="16" cm="1">
        <f t="array" ref="Q846">_xlfn.XLOOKUP(O846,BSFC!$A$2:$A$24,_xlfn.XLOOKUP(K846,BSFC!$B$1:$O$1,BSFC!$B$2:$O$24,,-1),,-1)</f>
        <v>480</v>
      </c>
      <c r="R846" s="17">
        <f t="shared" si="157"/>
        <v>1.8786506809302328</v>
      </c>
      <c r="S846" s="16">
        <f t="shared" si="158"/>
        <v>2.9183485335175871E-4</v>
      </c>
      <c r="T846" s="17">
        <f t="shared" si="161"/>
        <v>0.14008072960884418</v>
      </c>
      <c r="U846" s="16">
        <f t="shared" si="162"/>
        <v>111.08740172553401</v>
      </c>
      <c r="V846" s="17">
        <f t="shared" si="163"/>
        <v>0.2307573161699287</v>
      </c>
      <c r="W846" s="16">
        <f t="shared" si="159"/>
        <v>830726.33821174339</v>
      </c>
      <c r="X846">
        <f>('Hybrid Info'!$A$2-Track!P846)*(L846-L845)*1000+X845</f>
        <v>-20300.699716413077</v>
      </c>
    </row>
    <row r="847" spans="1:24">
      <c r="A847" s="16">
        <f t="shared" si="160"/>
        <v>846</v>
      </c>
      <c r="B847" s="17">
        <f t="shared" si="154"/>
        <v>13.411199999999999</v>
      </c>
      <c r="C847" s="16">
        <f>Specification!$G$29</f>
        <v>164.943378</v>
      </c>
      <c r="D847" s="17">
        <f>0.5*Specification!$K$4*Track!B847^2*Specification!$K$3*Specification!$K$2</f>
        <v>93.159842569492653</v>
      </c>
      <c r="E847" s="16">
        <v>0</v>
      </c>
      <c r="F847" s="17">
        <f>Specification!$C$23*9.81*SIN((E847*PI()/180))</f>
        <v>0</v>
      </c>
      <c r="G847" s="18">
        <f>IF(J847=1,VLOOKUP(K847,RPM!$E$2:$H$62,3,FALSE)-F847-E847-D847,IF(J847=2,VLOOKUP(K847,RPM!$H$2:$K$62,3,FALSE)-F847-E847-D847,IF(J847=3,VLOOKUP(K847,RPM!$K$2:$N$62,3,FALSE)-F847-E847-D847)))</f>
        <v>549.56217903827155</v>
      </c>
      <c r="H847" s="19">
        <f>IF(J847=1,Specification!$I$14,IF(J847=2,Specification!$I$15,IF(J847=3,Specification!$I$16)))</f>
        <v>578.93404261974786</v>
      </c>
      <c r="I847" s="16">
        <f t="shared" si="153"/>
        <v>0</v>
      </c>
      <c r="J847" s="17">
        <v>3</v>
      </c>
      <c r="K847" s="16">
        <f>IF(J847=1,VLOOKUP(B847,RPM!$F$2:$H$62,3,TRUE),IF(J847=2,VLOOKUP(B847,RPM!$I$2:$K$62,3,TRUE),IF(J847=3,VLOOKUP(B847,RPM!$L$2:$N$62,3,TRUE))))</f>
        <v>4300</v>
      </c>
      <c r="L847" s="17">
        <f t="shared" si="164"/>
        <v>67.35694381441408</v>
      </c>
      <c r="M847" s="16">
        <f t="shared" si="155"/>
        <v>0</v>
      </c>
      <c r="N847" s="17">
        <f>VLOOKUP(K847,RPM!$A$2:$D$62,3,FALSE)</f>
        <v>11.4</v>
      </c>
      <c r="O847" s="16">
        <f>VLOOKUP(K847,RPM!$A$2:$D$62,4,FALSE)</f>
        <v>18.894837209302327</v>
      </c>
      <c r="P847" s="17">
        <f t="shared" si="156"/>
        <v>14.089880106976747</v>
      </c>
      <c r="Q847" s="16" cm="1">
        <f t="array" ref="Q847">_xlfn.XLOOKUP(O847,BSFC!$A$2:$A$24,_xlfn.XLOOKUP(K847,BSFC!$B$1:$O$1,BSFC!$B$2:$O$24,,-1),,-1)</f>
        <v>480</v>
      </c>
      <c r="R847" s="17">
        <f t="shared" si="157"/>
        <v>1.8786506809302328</v>
      </c>
      <c r="S847" s="16">
        <f t="shared" si="158"/>
        <v>2.9183485335175871E-4</v>
      </c>
      <c r="T847" s="17">
        <f t="shared" si="161"/>
        <v>0.14008072960884418</v>
      </c>
      <c r="U847" s="16">
        <f t="shared" si="162"/>
        <v>111.22748245514285</v>
      </c>
      <c r="V847" s="17">
        <f t="shared" si="163"/>
        <v>0.23104915102328047</v>
      </c>
      <c r="W847" s="16">
        <f t="shared" si="159"/>
        <v>831776.94368380972</v>
      </c>
      <c r="X847">
        <f>('Hybrid Info'!$A$2-Track!P847)*(L847-L846)*1000+X846</f>
        <v>-20447.549029762482</v>
      </c>
    </row>
    <row r="848" spans="1:24">
      <c r="A848" s="16">
        <f t="shared" si="160"/>
        <v>847</v>
      </c>
      <c r="B848" s="17">
        <f t="shared" si="154"/>
        <v>13.411199999999999</v>
      </c>
      <c r="C848" s="16">
        <f>Specification!$G$29</f>
        <v>164.943378</v>
      </c>
      <c r="D848" s="17">
        <f>0.5*Specification!$K$4*Track!B848^2*Specification!$K$3*Specification!$K$2</f>
        <v>93.159842569492653</v>
      </c>
      <c r="E848" s="16">
        <v>0</v>
      </c>
      <c r="F848" s="17">
        <f>Specification!$C$23*9.81*SIN((E848*PI()/180))</f>
        <v>0</v>
      </c>
      <c r="G848" s="18">
        <f>IF(J848=1,VLOOKUP(K848,RPM!$E$2:$H$62,3,FALSE)-F848-E848-D848,IF(J848=2,VLOOKUP(K848,RPM!$H$2:$K$62,3,FALSE)-F848-E848-D848,IF(J848=3,VLOOKUP(K848,RPM!$K$2:$N$62,3,FALSE)-F848-E848-D848)))</f>
        <v>549.56217903827155</v>
      </c>
      <c r="H848" s="19">
        <f>IF(J848=1,Specification!$I$14,IF(J848=2,Specification!$I$15,IF(J848=3,Specification!$I$16)))</f>
        <v>578.93404261974786</v>
      </c>
      <c r="I848" s="16">
        <f t="shared" si="153"/>
        <v>0</v>
      </c>
      <c r="J848" s="17">
        <v>3</v>
      </c>
      <c r="K848" s="16">
        <f>IF(J848=1,VLOOKUP(B848,RPM!$F$2:$H$62,3,TRUE),IF(J848=2,VLOOKUP(B848,RPM!$I$2:$K$62,3,TRUE),IF(J848=3,VLOOKUP(B848,RPM!$L$2:$N$62,3,TRUE))))</f>
        <v>4300</v>
      </c>
      <c r="L848" s="17">
        <f t="shared" si="164"/>
        <v>67.431508357482556</v>
      </c>
      <c r="M848" s="16">
        <f t="shared" si="155"/>
        <v>0</v>
      </c>
      <c r="N848" s="17">
        <f>VLOOKUP(K848,RPM!$A$2:$D$62,3,FALSE)</f>
        <v>11.4</v>
      </c>
      <c r="O848" s="16">
        <f>VLOOKUP(K848,RPM!$A$2:$D$62,4,FALSE)</f>
        <v>18.894837209302327</v>
      </c>
      <c r="P848" s="17">
        <f t="shared" si="156"/>
        <v>14.089880106976747</v>
      </c>
      <c r="Q848" s="16" cm="1">
        <f t="array" ref="Q848">_xlfn.XLOOKUP(O848,BSFC!$A$2:$A$24,_xlfn.XLOOKUP(K848,BSFC!$B$1:$O$1,BSFC!$B$2:$O$24,,-1),,-1)</f>
        <v>480</v>
      </c>
      <c r="R848" s="17">
        <f t="shared" si="157"/>
        <v>1.8786506809302328</v>
      </c>
      <c r="S848" s="16">
        <f t="shared" si="158"/>
        <v>2.9183485335175871E-4</v>
      </c>
      <c r="T848" s="17">
        <f t="shared" si="161"/>
        <v>0.14008072960884418</v>
      </c>
      <c r="U848" s="16">
        <f t="shared" si="162"/>
        <v>111.36756318475169</v>
      </c>
      <c r="V848" s="17">
        <f t="shared" si="163"/>
        <v>0.23134098587663224</v>
      </c>
      <c r="W848" s="16">
        <f t="shared" si="159"/>
        <v>832827.54915587604</v>
      </c>
      <c r="X848">
        <f>('Hybrid Info'!$A$2-Track!P848)*(L848-L847)*1000+X847</f>
        <v>-20594.398343111887</v>
      </c>
    </row>
    <row r="849" spans="1:24">
      <c r="A849" s="16">
        <f t="shared" si="160"/>
        <v>848</v>
      </c>
      <c r="B849" s="17">
        <f t="shared" si="154"/>
        <v>13.411199999999999</v>
      </c>
      <c r="C849" s="16">
        <f>Specification!$G$29</f>
        <v>164.943378</v>
      </c>
      <c r="D849" s="17">
        <f>0.5*Specification!$K$4*Track!B849^2*Specification!$K$3*Specification!$K$2</f>
        <v>93.159842569492653</v>
      </c>
      <c r="E849" s="16">
        <v>0</v>
      </c>
      <c r="F849" s="17">
        <f>Specification!$C$23*9.81*SIN((E849*PI()/180))</f>
        <v>0</v>
      </c>
      <c r="G849" s="18">
        <f>IF(J849=1,VLOOKUP(K849,RPM!$E$2:$H$62,3,FALSE)-F849-E849-D849,IF(J849=2,VLOOKUP(K849,RPM!$H$2:$K$62,3,FALSE)-F849-E849-D849,IF(J849=3,VLOOKUP(K849,RPM!$K$2:$N$62,3,FALSE)-F849-E849-D849)))</f>
        <v>549.56217903827155</v>
      </c>
      <c r="H849" s="19">
        <f>IF(J849=1,Specification!$I$14,IF(J849=2,Specification!$I$15,IF(J849=3,Specification!$I$16)))</f>
        <v>578.93404261974786</v>
      </c>
      <c r="I849" s="16">
        <f t="shared" si="153"/>
        <v>0</v>
      </c>
      <c r="J849" s="17">
        <v>3</v>
      </c>
      <c r="K849" s="16">
        <f>IF(J849=1,VLOOKUP(B849,RPM!$F$2:$H$62,3,TRUE),IF(J849=2,VLOOKUP(B849,RPM!$I$2:$K$62,3,TRUE),IF(J849=3,VLOOKUP(B849,RPM!$L$2:$N$62,3,TRUE))))</f>
        <v>4300</v>
      </c>
      <c r="L849" s="17">
        <f t="shared" si="164"/>
        <v>67.506072900551032</v>
      </c>
      <c r="M849" s="16">
        <f t="shared" si="155"/>
        <v>0</v>
      </c>
      <c r="N849" s="17">
        <f>VLOOKUP(K849,RPM!$A$2:$D$62,3,FALSE)</f>
        <v>11.4</v>
      </c>
      <c r="O849" s="16">
        <f>VLOOKUP(K849,RPM!$A$2:$D$62,4,FALSE)</f>
        <v>18.894837209302327</v>
      </c>
      <c r="P849" s="17">
        <f t="shared" si="156"/>
        <v>14.089880106976747</v>
      </c>
      <c r="Q849" s="16" cm="1">
        <f t="array" ref="Q849">_xlfn.XLOOKUP(O849,BSFC!$A$2:$A$24,_xlfn.XLOOKUP(K849,BSFC!$B$1:$O$1,BSFC!$B$2:$O$24,,-1),,-1)</f>
        <v>480</v>
      </c>
      <c r="R849" s="17">
        <f t="shared" si="157"/>
        <v>1.8786506809302328</v>
      </c>
      <c r="S849" s="16">
        <f t="shared" si="158"/>
        <v>2.9183485335175871E-4</v>
      </c>
      <c r="T849" s="17">
        <f t="shared" si="161"/>
        <v>0.14008072960884418</v>
      </c>
      <c r="U849" s="16">
        <f t="shared" si="162"/>
        <v>111.50764391436053</v>
      </c>
      <c r="V849" s="17">
        <f t="shared" si="163"/>
        <v>0.23163282072998401</v>
      </c>
      <c r="W849" s="16">
        <f t="shared" si="159"/>
        <v>833878.15462794248</v>
      </c>
      <c r="X849">
        <f>('Hybrid Info'!$A$2-Track!P849)*(L849-L848)*1000+X848</f>
        <v>-20741.247656461292</v>
      </c>
    </row>
    <row r="850" spans="1:24">
      <c r="A850" s="16">
        <f t="shared" si="160"/>
        <v>849</v>
      </c>
      <c r="B850" s="17">
        <f t="shared" si="154"/>
        <v>13.411199999999999</v>
      </c>
      <c r="C850" s="16">
        <f>Specification!$G$29</f>
        <v>164.943378</v>
      </c>
      <c r="D850" s="17">
        <f>0.5*Specification!$K$4*Track!B850^2*Specification!$K$3*Specification!$K$2</f>
        <v>93.159842569492653</v>
      </c>
      <c r="E850" s="16">
        <v>1</v>
      </c>
      <c r="F850" s="17">
        <f>Specification!$C$23*9.81*SIN((E850*PI()/180))</f>
        <v>95.955295733149597</v>
      </c>
      <c r="G850" s="18">
        <f>IF(J850=1,VLOOKUP(K850,RPM!$E$2:$H$62,3,FALSE)-F850-E850-D850,IF(J850=2,VLOOKUP(K850,RPM!$H$2:$K$62,3,FALSE)-F850-E850-D850,IF(J850=3,VLOOKUP(K850,RPM!$K$2:$N$62,3,FALSE)-F850-E850-D850)))</f>
        <v>452.60688330512198</v>
      </c>
      <c r="H850" s="19">
        <f>IF(J850=1,Specification!$I$14,IF(J850=2,Specification!$I$15,IF(J850=3,Specification!$I$16)))</f>
        <v>578.93404261974786</v>
      </c>
      <c r="I850" s="16">
        <f t="shared" si="153"/>
        <v>0</v>
      </c>
      <c r="J850" s="17">
        <v>3</v>
      </c>
      <c r="K850" s="16">
        <f>IF(J850=1,VLOOKUP(B850,RPM!$F$2:$H$62,3,TRUE),IF(J850=2,VLOOKUP(B850,RPM!$I$2:$K$62,3,TRUE),IF(J850=3,VLOOKUP(B850,RPM!$L$2:$N$62,3,TRUE))))</f>
        <v>4300</v>
      </c>
      <c r="L850" s="17">
        <f t="shared" si="164"/>
        <v>67.580637443619509</v>
      </c>
      <c r="M850" s="16">
        <f t="shared" si="155"/>
        <v>1.7455064928217585E-2</v>
      </c>
      <c r="N850" s="17">
        <f>VLOOKUP(K850,RPM!$A$2:$D$62,3,FALSE)</f>
        <v>11.4</v>
      </c>
      <c r="O850" s="16">
        <f>VLOOKUP(K850,RPM!$A$2:$D$62,4,FALSE)</f>
        <v>18.894837209302327</v>
      </c>
      <c r="P850" s="17">
        <f t="shared" si="156"/>
        <v>14.089880106976747</v>
      </c>
      <c r="Q850" s="16" cm="1">
        <f t="array" ref="Q850">_xlfn.XLOOKUP(O850,BSFC!$A$2:$A$24,_xlfn.XLOOKUP(K850,BSFC!$B$1:$O$1,BSFC!$B$2:$O$24,,-1),,-1)</f>
        <v>480</v>
      </c>
      <c r="R850" s="17">
        <f t="shared" si="157"/>
        <v>1.8786506809302328</v>
      </c>
      <c r="S850" s="16">
        <f t="shared" si="158"/>
        <v>2.9183485335175871E-4</v>
      </c>
      <c r="T850" s="17">
        <f t="shared" si="161"/>
        <v>0.14008072960884418</v>
      </c>
      <c r="U850" s="16">
        <f t="shared" si="162"/>
        <v>111.64772464396937</v>
      </c>
      <c r="V850" s="17">
        <f t="shared" si="163"/>
        <v>0.23192465558333578</v>
      </c>
      <c r="W850" s="16">
        <f t="shared" si="159"/>
        <v>834928.7601000088</v>
      </c>
      <c r="X850">
        <f>('Hybrid Info'!$A$2-Track!P850)*(L850-L849)*1000+X849</f>
        <v>-20888.096969810696</v>
      </c>
    </row>
    <row r="851" spans="1:24">
      <c r="A851" s="16">
        <f t="shared" si="160"/>
        <v>850</v>
      </c>
      <c r="B851" s="17">
        <f t="shared" si="154"/>
        <v>13.411199999999999</v>
      </c>
      <c r="C851" s="16">
        <f>Specification!$G$29</f>
        <v>164.943378</v>
      </c>
      <c r="D851" s="17">
        <f>0.5*Specification!$K$4*Track!B851^2*Specification!$K$3*Specification!$K$2</f>
        <v>93.159842569492653</v>
      </c>
      <c r="E851" s="16">
        <v>2</v>
      </c>
      <c r="F851" s="17">
        <f>Specification!$C$23*9.81*SIN((E851*PI()/180))</f>
        <v>191.88136255367905</v>
      </c>
      <c r="G851" s="18">
        <f>IF(J851=1,VLOOKUP(K851,RPM!$E$2:$H$62,3,FALSE)-F851-E851-D851,IF(J851=2,VLOOKUP(K851,RPM!$H$2:$K$62,3,FALSE)-F851-E851-D851,IF(J851=3,VLOOKUP(K851,RPM!$K$2:$N$62,3,FALSE)-F851-E851-D851)))</f>
        <v>355.68081648459247</v>
      </c>
      <c r="H851" s="19">
        <f>IF(J851=1,Specification!$I$14,IF(J851=2,Specification!$I$15,IF(J851=3,Specification!$I$16)))</f>
        <v>578.93404261974786</v>
      </c>
      <c r="I851" s="16">
        <f t="shared" si="153"/>
        <v>0</v>
      </c>
      <c r="J851" s="17">
        <v>3</v>
      </c>
      <c r="K851" s="16">
        <f>IF(J851=1,VLOOKUP(B851,RPM!$F$2:$H$62,3,TRUE),IF(J851=2,VLOOKUP(B851,RPM!$I$2:$K$62,3,TRUE),IF(J851=3,VLOOKUP(B851,RPM!$L$2:$N$62,3,TRUE))))</f>
        <v>4300</v>
      </c>
      <c r="L851" s="17">
        <f t="shared" si="164"/>
        <v>67.655201986687985</v>
      </c>
      <c r="M851" s="16">
        <f t="shared" si="155"/>
        <v>5.2375834419965316E-2</v>
      </c>
      <c r="N851" s="17">
        <f>VLOOKUP(K851,RPM!$A$2:$D$62,3,FALSE)</f>
        <v>11.4</v>
      </c>
      <c r="O851" s="16">
        <f>VLOOKUP(K851,RPM!$A$2:$D$62,4,FALSE)</f>
        <v>18.894837209302327</v>
      </c>
      <c r="P851" s="17">
        <f t="shared" si="156"/>
        <v>14.089880106976747</v>
      </c>
      <c r="Q851" s="16" cm="1">
        <f t="array" ref="Q851">_xlfn.XLOOKUP(O851,BSFC!$A$2:$A$24,_xlfn.XLOOKUP(K851,BSFC!$B$1:$O$1,BSFC!$B$2:$O$24,,-1),,-1)</f>
        <v>480</v>
      </c>
      <c r="R851" s="17">
        <f t="shared" si="157"/>
        <v>1.8786506809302328</v>
      </c>
      <c r="S851" s="16">
        <f t="shared" si="158"/>
        <v>2.9183485335175871E-4</v>
      </c>
      <c r="T851" s="17">
        <f t="shared" si="161"/>
        <v>0.14008072960884418</v>
      </c>
      <c r="U851" s="16">
        <f t="shared" si="162"/>
        <v>111.78780537357821</v>
      </c>
      <c r="V851" s="17">
        <f t="shared" si="163"/>
        <v>0.23221649043668754</v>
      </c>
      <c r="W851" s="16">
        <f t="shared" si="159"/>
        <v>835979.36557207513</v>
      </c>
      <c r="X851">
        <f>('Hybrid Info'!$A$2-Track!P851)*(L851-L850)*1000+X850</f>
        <v>-21034.946283160101</v>
      </c>
    </row>
    <row r="852" spans="1:24">
      <c r="A852" s="16">
        <f t="shared" si="160"/>
        <v>851</v>
      </c>
      <c r="B852" s="17">
        <f t="shared" si="154"/>
        <v>13.411199999999999</v>
      </c>
      <c r="C852" s="16">
        <f>Specification!$G$29</f>
        <v>164.943378</v>
      </c>
      <c r="D852" s="17">
        <f>0.5*Specification!$K$4*Track!B852^2*Specification!$K$3*Specification!$K$2</f>
        <v>93.159842569492653</v>
      </c>
      <c r="E852" s="16">
        <v>3</v>
      </c>
      <c r="F852" s="17">
        <f>Specification!$C$23*9.81*SIN((E852*PI()/180))</f>
        <v>287.74898045237813</v>
      </c>
      <c r="G852" s="18">
        <f>IF(J852=1,VLOOKUP(K852,RPM!$E$2:$H$62,3,FALSE)-F852-E852-D852,IF(J852=2,VLOOKUP(K852,RPM!$H$2:$K$62,3,FALSE)-F852-E852-D852,IF(J852=3,VLOOKUP(K852,RPM!$K$2:$N$62,3,FALSE)-F852-E852-D852)))</f>
        <v>258.81319858589342</v>
      </c>
      <c r="H852" s="19">
        <f>IF(J852=1,Specification!$I$14,IF(J852=2,Specification!$I$15,IF(J852=3,Specification!$I$16)))</f>
        <v>578.93404261974786</v>
      </c>
      <c r="I852" s="16">
        <f t="shared" si="153"/>
        <v>0</v>
      </c>
      <c r="J852" s="17">
        <v>3</v>
      </c>
      <c r="K852" s="16">
        <f>IF(J852=1,VLOOKUP(B852,RPM!$F$2:$H$62,3,TRUE),IF(J852=2,VLOOKUP(B852,RPM!$I$2:$K$62,3,TRUE),IF(J852=3,VLOOKUP(B852,RPM!$L$2:$N$62,3,TRUE))))</f>
        <v>4300</v>
      </c>
      <c r="L852" s="17">
        <f t="shared" si="164"/>
        <v>67.729766529756461</v>
      </c>
      <c r="M852" s="16">
        <f t="shared" si="155"/>
        <v>0.10478361370300651</v>
      </c>
      <c r="N852" s="17">
        <f>VLOOKUP(K852,RPM!$A$2:$D$62,3,FALSE)</f>
        <v>11.4</v>
      </c>
      <c r="O852" s="16">
        <f>VLOOKUP(K852,RPM!$A$2:$D$62,4,FALSE)</f>
        <v>18.894837209302327</v>
      </c>
      <c r="P852" s="17">
        <f t="shared" si="156"/>
        <v>14.089880106976747</v>
      </c>
      <c r="Q852" s="16" cm="1">
        <f t="array" ref="Q852">_xlfn.XLOOKUP(O852,BSFC!$A$2:$A$24,_xlfn.XLOOKUP(K852,BSFC!$B$1:$O$1,BSFC!$B$2:$O$24,,-1),,-1)</f>
        <v>480</v>
      </c>
      <c r="R852" s="17">
        <f t="shared" si="157"/>
        <v>1.8786506809302328</v>
      </c>
      <c r="S852" s="16">
        <f t="shared" si="158"/>
        <v>2.9183485335175871E-4</v>
      </c>
      <c r="T852" s="17">
        <f t="shared" si="161"/>
        <v>0.14008072960884418</v>
      </c>
      <c r="U852" s="16">
        <f t="shared" si="162"/>
        <v>111.92788610318705</v>
      </c>
      <c r="V852" s="17">
        <f t="shared" si="163"/>
        <v>0.23250832529003931</v>
      </c>
      <c r="W852" s="16">
        <f t="shared" si="159"/>
        <v>837029.97104414157</v>
      </c>
      <c r="X852">
        <f>('Hybrid Info'!$A$2-Track!P852)*(L852-L851)*1000+X851</f>
        <v>-21181.795596509506</v>
      </c>
    </row>
    <row r="853" spans="1:24">
      <c r="A853" s="16">
        <f t="shared" si="160"/>
        <v>852</v>
      </c>
      <c r="B853" s="17">
        <f t="shared" si="154"/>
        <v>13.411199999999999</v>
      </c>
      <c r="C853" s="16">
        <f>Specification!$G$29</f>
        <v>164.943378</v>
      </c>
      <c r="D853" s="17">
        <f>0.5*Specification!$K$4*Track!B853^2*Specification!$K$3*Specification!$K$2</f>
        <v>93.159842569492653</v>
      </c>
      <c r="E853" s="16">
        <v>4</v>
      </c>
      <c r="F853" s="17">
        <f>Specification!$C$23*9.81*SIN((E853*PI()/180))</f>
        <v>383.52894722414453</v>
      </c>
      <c r="G853" s="18">
        <f>IF(J853=1,VLOOKUP(K853,RPM!$E$2:$H$62,3,FALSE)-F853-E853-D853,IF(J853=2,VLOOKUP(K853,RPM!$H$2:$K$62,3,FALSE)-F853-E853-D853,IF(J853=3,VLOOKUP(K853,RPM!$K$2:$N$62,3,FALSE)-F853-E853-D853)))</f>
        <v>162.03323181412702</v>
      </c>
      <c r="H853" s="19">
        <f>IF(J853=1,Specification!$I$14,IF(J853=2,Specification!$I$15,IF(J853=3,Specification!$I$16)))</f>
        <v>578.93404261974786</v>
      </c>
      <c r="I853" s="16">
        <f t="shared" si="153"/>
        <v>0</v>
      </c>
      <c r="J853" s="17">
        <v>3</v>
      </c>
      <c r="K853" s="16">
        <f>IF(J853=1,VLOOKUP(B853,RPM!$F$2:$H$62,3,TRUE),IF(J853=2,VLOOKUP(B853,RPM!$I$2:$K$62,3,TRUE),IF(J853=3,VLOOKUP(B853,RPM!$L$2:$N$62,3,TRUE))))</f>
        <v>4300</v>
      </c>
      <c r="L853" s="17">
        <f t="shared" si="164"/>
        <v>67.804331072824937</v>
      </c>
      <c r="M853" s="16">
        <f t="shared" si="155"/>
        <v>0.17471042564651693</v>
      </c>
      <c r="N853" s="17">
        <f>VLOOKUP(K853,RPM!$A$2:$D$62,3,FALSE)</f>
        <v>11.4</v>
      </c>
      <c r="O853" s="16">
        <f>VLOOKUP(K853,RPM!$A$2:$D$62,4,FALSE)</f>
        <v>18.894837209302327</v>
      </c>
      <c r="P853" s="17">
        <f t="shared" si="156"/>
        <v>14.089880106976747</v>
      </c>
      <c r="Q853" s="16" cm="1">
        <f t="array" ref="Q853">_xlfn.XLOOKUP(O853,BSFC!$A$2:$A$24,_xlfn.XLOOKUP(K853,BSFC!$B$1:$O$1,BSFC!$B$2:$O$24,,-1),,-1)</f>
        <v>480</v>
      </c>
      <c r="R853" s="17">
        <f t="shared" si="157"/>
        <v>1.8786506809302328</v>
      </c>
      <c r="S853" s="16">
        <f t="shared" si="158"/>
        <v>2.9183485335175871E-4</v>
      </c>
      <c r="T853" s="17">
        <f t="shared" si="161"/>
        <v>0.14008072960884418</v>
      </c>
      <c r="U853" s="16">
        <f t="shared" si="162"/>
        <v>112.06796683279589</v>
      </c>
      <c r="V853" s="17">
        <f t="shared" si="163"/>
        <v>0.23280016014339108</v>
      </c>
      <c r="W853" s="16">
        <f t="shared" si="159"/>
        <v>838080.57651620789</v>
      </c>
      <c r="X853">
        <f>('Hybrid Info'!$A$2-Track!P853)*(L853-L852)*1000+X852</f>
        <v>-21328.644909858911</v>
      </c>
    </row>
    <row r="854" spans="1:24">
      <c r="A854" s="16">
        <f t="shared" si="160"/>
        <v>853</v>
      </c>
      <c r="B854" s="17">
        <f t="shared" si="154"/>
        <v>13.411199999999999</v>
      </c>
      <c r="C854" s="16">
        <f>Specification!$G$29</f>
        <v>164.943378</v>
      </c>
      <c r="D854" s="17">
        <f>0.5*Specification!$K$4*Track!B854^2*Specification!$K$3*Specification!$K$2</f>
        <v>93.159842569492653</v>
      </c>
      <c r="E854" s="16">
        <v>5</v>
      </c>
      <c r="F854" s="17">
        <f>Specification!$C$23*9.81*SIN((E854*PI()/180))</f>
        <v>479.192087363258</v>
      </c>
      <c r="G854" s="18">
        <f>IF(J854=1,VLOOKUP(K854,RPM!$E$2:$H$62,3,FALSE)-F854-E854-D854,IF(J854=2,VLOOKUP(K854,RPM!$H$2:$K$62,3,FALSE)-F854-E854-D854,IF(J854=3,VLOOKUP(K854,RPM!$K$2:$N$62,3,FALSE)-F854-E854-D854)))</f>
        <v>65.370091675013541</v>
      </c>
      <c r="H854" s="19">
        <f>IF(J854=1,Specification!$I$14,IF(J854=2,Specification!$I$15,IF(J854=3,Specification!$I$16)))</f>
        <v>578.93404261974786</v>
      </c>
      <c r="I854" s="16">
        <f t="shared" si="153"/>
        <v>0</v>
      </c>
      <c r="J854" s="17">
        <v>3</v>
      </c>
      <c r="K854" s="16">
        <f>IF(J854=1,VLOOKUP(B854,RPM!$F$2:$H$62,3,TRUE),IF(J854=2,VLOOKUP(B854,RPM!$I$2:$K$62,3,TRUE),IF(J854=3,VLOOKUP(B854,RPM!$L$2:$N$62,3,TRUE))))</f>
        <v>4300</v>
      </c>
      <c r="L854" s="17">
        <f t="shared" si="164"/>
        <v>67.878895615893413</v>
      </c>
      <c r="M854" s="16">
        <f t="shared" si="155"/>
        <v>0.26219908917244095</v>
      </c>
      <c r="N854" s="17">
        <f>VLOOKUP(K854,RPM!$A$2:$D$62,3,FALSE)</f>
        <v>11.4</v>
      </c>
      <c r="O854" s="16">
        <f>VLOOKUP(K854,RPM!$A$2:$D$62,4,FALSE)</f>
        <v>18.894837209302327</v>
      </c>
      <c r="P854" s="17">
        <f t="shared" si="156"/>
        <v>14.089880106976747</v>
      </c>
      <c r="Q854" s="16" cm="1">
        <f t="array" ref="Q854">_xlfn.XLOOKUP(O854,BSFC!$A$2:$A$24,_xlfn.XLOOKUP(K854,BSFC!$B$1:$O$1,BSFC!$B$2:$O$24,,-1),,-1)</f>
        <v>480</v>
      </c>
      <c r="R854" s="17">
        <f t="shared" si="157"/>
        <v>1.8786506809302328</v>
      </c>
      <c r="S854" s="16">
        <f t="shared" si="158"/>
        <v>2.9183485335175871E-4</v>
      </c>
      <c r="T854" s="17">
        <f t="shared" si="161"/>
        <v>0.14008072960884418</v>
      </c>
      <c r="U854" s="16">
        <f t="shared" si="162"/>
        <v>112.20804756240473</v>
      </c>
      <c r="V854" s="17">
        <f t="shared" si="163"/>
        <v>0.23309199499674285</v>
      </c>
      <c r="W854" s="16">
        <f t="shared" si="159"/>
        <v>839131.18198827421</v>
      </c>
      <c r="X854">
        <f>('Hybrid Info'!$A$2-Track!P854)*(L854-L853)*1000+X853</f>
        <v>-21475.494223208316</v>
      </c>
    </row>
    <row r="855" spans="1:24">
      <c r="A855" s="16">
        <f t="shared" si="160"/>
        <v>854</v>
      </c>
      <c r="B855" s="17">
        <f t="shared" si="154"/>
        <v>13.411199999999999</v>
      </c>
      <c r="C855" s="16">
        <f>Specification!$G$29</f>
        <v>164.943378</v>
      </c>
      <c r="D855" s="17">
        <f>0.5*Specification!$K$4*Track!B855^2*Specification!$K$3*Specification!$K$2</f>
        <v>93.159842569492653</v>
      </c>
      <c r="E855" s="16">
        <v>6</v>
      </c>
      <c r="F855" s="17">
        <f>Specification!$C$23*9.81*SIN((E855*PI()/180))</f>
        <v>574.70926095052266</v>
      </c>
      <c r="G855" s="18">
        <f>IF(J855=1,VLOOKUP(K855,RPM!$E$2:$H$62,3,FALSE)-F855-E855-D855,IF(J855=2,VLOOKUP(K855,RPM!$H$2:$K$62,3,FALSE)-F855-E855-D855,IF(J855=3,VLOOKUP(K855,RPM!$K$2:$N$62,3,FALSE)-F855-E855-D855)))</f>
        <v>-31.147081912251124</v>
      </c>
      <c r="H855" s="19">
        <f>IF(J855=1,Specification!$I$14,IF(J855=2,Specification!$I$15,IF(J855=3,Specification!$I$16)))</f>
        <v>578.93404261974786</v>
      </c>
      <c r="I855" s="16">
        <f t="shared" si="153"/>
        <v>0</v>
      </c>
      <c r="J855" s="17">
        <v>3</v>
      </c>
      <c r="K855" s="16">
        <f>IF(J855=1,VLOOKUP(B855,RPM!$F$2:$H$62,3,TRUE),IF(J855=2,VLOOKUP(B855,RPM!$I$2:$K$62,3,TRUE),IF(J855=3,VLOOKUP(B855,RPM!$L$2:$N$62,3,TRUE))))</f>
        <v>4300</v>
      </c>
      <c r="L855" s="17">
        <f t="shared" si="164"/>
        <v>67.953460158961889</v>
      </c>
      <c r="M855" s="16">
        <f t="shared" si="155"/>
        <v>0.36730332443811742</v>
      </c>
      <c r="N855" s="17">
        <f>VLOOKUP(K855,RPM!$A$2:$D$62,3,FALSE)</f>
        <v>11.4</v>
      </c>
      <c r="O855" s="16">
        <f>VLOOKUP(K855,RPM!$A$2:$D$62,4,FALSE)</f>
        <v>18.894837209302327</v>
      </c>
      <c r="P855" s="17">
        <f t="shared" si="156"/>
        <v>14.089880106976747</v>
      </c>
      <c r="Q855" s="16" cm="1">
        <f t="array" ref="Q855">_xlfn.XLOOKUP(O855,BSFC!$A$2:$A$24,_xlfn.XLOOKUP(K855,BSFC!$B$1:$O$1,BSFC!$B$2:$O$24,,-1),,-1)</f>
        <v>480</v>
      </c>
      <c r="R855" s="17">
        <f t="shared" si="157"/>
        <v>1.8786506809302328</v>
      </c>
      <c r="S855" s="16">
        <f t="shared" si="158"/>
        <v>2.9183485335175871E-4</v>
      </c>
      <c r="T855" s="17">
        <f t="shared" si="161"/>
        <v>0.14008072960884418</v>
      </c>
      <c r="U855" s="16">
        <f t="shared" si="162"/>
        <v>112.34812829201357</v>
      </c>
      <c r="V855" s="17">
        <f t="shared" si="163"/>
        <v>0.23338382985009462</v>
      </c>
      <c r="W855" s="16">
        <f t="shared" si="159"/>
        <v>840181.78746034065</v>
      </c>
      <c r="X855">
        <f>('Hybrid Info'!$A$2-Track!P855)*(L855-L854)*1000+X854</f>
        <v>-21622.343536557721</v>
      </c>
    </row>
    <row r="856" spans="1:24">
      <c r="A856" s="16">
        <f t="shared" si="160"/>
        <v>855</v>
      </c>
      <c r="B856" s="17">
        <f t="shared" si="154"/>
        <v>13.411199999999999</v>
      </c>
      <c r="C856" s="16">
        <f>Specification!$G$29</f>
        <v>164.943378</v>
      </c>
      <c r="D856" s="17">
        <f>0.5*Specification!$K$4*Track!B856^2*Specification!$K$3*Specification!$K$2</f>
        <v>93.159842569492653</v>
      </c>
      <c r="E856" s="16">
        <v>7</v>
      </c>
      <c r="F856" s="17">
        <f>Specification!$C$23*9.81*SIN((E856*PI()/180))</f>
        <v>670.05137252956831</v>
      </c>
      <c r="G856" s="18">
        <f>IF(J856=1,VLOOKUP(K856,RPM!$E$2:$H$62,3,FALSE)-F856-E856-D856,IF(J856=2,VLOOKUP(K856,RPM!$H$2:$K$62,3,FALSE)-F856-E856-D856,IF(J856=3,VLOOKUP(K856,RPM!$K$2:$N$62,3,FALSE)-F856-E856-D856)))</f>
        <v>-127.48919349129677</v>
      </c>
      <c r="H856" s="19">
        <f>IF(J856=1,Specification!$I$14,IF(J856=2,Specification!$I$15,IF(J856=3,Specification!$I$16)))</f>
        <v>578.93404261974786</v>
      </c>
      <c r="I856" s="16">
        <f t="shared" si="153"/>
        <v>0</v>
      </c>
      <c r="J856" s="17">
        <v>3</v>
      </c>
      <c r="K856" s="16">
        <f>IF(J856=1,VLOOKUP(B856,RPM!$F$2:$H$62,3,TRUE),IF(J856=2,VLOOKUP(B856,RPM!$I$2:$K$62,3,TRUE),IF(J856=3,VLOOKUP(B856,RPM!$L$2:$N$62,3,TRUE))))</f>
        <v>4300</v>
      </c>
      <c r="L856" s="17">
        <f t="shared" si="164"/>
        <v>68.028024702030365</v>
      </c>
      <c r="M856" s="16">
        <f t="shared" si="155"/>
        <v>0.49008788534102199</v>
      </c>
      <c r="N856" s="17">
        <f>VLOOKUP(K856,RPM!$A$2:$D$62,3,FALSE)</f>
        <v>11.4</v>
      </c>
      <c r="O856" s="16">
        <f>VLOOKUP(K856,RPM!$A$2:$D$62,4,FALSE)</f>
        <v>18.894837209302327</v>
      </c>
      <c r="P856" s="17">
        <f t="shared" si="156"/>
        <v>14.089880106976747</v>
      </c>
      <c r="Q856" s="16" cm="1">
        <f t="array" ref="Q856">_xlfn.XLOOKUP(O856,BSFC!$A$2:$A$24,_xlfn.XLOOKUP(K856,BSFC!$B$1:$O$1,BSFC!$B$2:$O$24,,-1),,-1)</f>
        <v>480</v>
      </c>
      <c r="R856" s="17">
        <f t="shared" si="157"/>
        <v>1.8786506809302328</v>
      </c>
      <c r="S856" s="16">
        <f t="shared" si="158"/>
        <v>2.9183485335175871E-4</v>
      </c>
      <c r="T856" s="17">
        <f t="shared" si="161"/>
        <v>0.14008072960884418</v>
      </c>
      <c r="U856" s="16">
        <f t="shared" si="162"/>
        <v>112.48820902162241</v>
      </c>
      <c r="V856" s="17">
        <f t="shared" si="163"/>
        <v>0.23367566470344639</v>
      </c>
      <c r="W856" s="16">
        <f t="shared" si="159"/>
        <v>841232.39293240698</v>
      </c>
      <c r="X856">
        <f>('Hybrid Info'!$A$2-Track!P856)*(L856-L855)*1000+X855</f>
        <v>-21769.192849907125</v>
      </c>
    </row>
    <row r="857" spans="1:24">
      <c r="A857" s="16">
        <f t="shared" si="160"/>
        <v>856</v>
      </c>
      <c r="B857" s="17">
        <f t="shared" si="154"/>
        <v>13.411199999999999</v>
      </c>
      <c r="C857" s="16">
        <f>Specification!$G$29</f>
        <v>164.943378</v>
      </c>
      <c r="D857" s="17">
        <f>0.5*Specification!$K$4*Track!B857^2*Specification!$K$3*Specification!$K$2</f>
        <v>93.159842569492653</v>
      </c>
      <c r="E857" s="16">
        <v>8</v>
      </c>
      <c r="F857" s="17">
        <f>Specification!$C$23*9.81*SIN((E857*PI()/180))</f>
        <v>765.1893799696079</v>
      </c>
      <c r="G857" s="18">
        <f>IF(J857=1,VLOOKUP(K857,RPM!$E$2:$H$62,3,FALSE)-F857-E857-D857,IF(J857=2,VLOOKUP(K857,RPM!$H$2:$K$62,3,FALSE)-F857-E857-D857,IF(J857=3,VLOOKUP(K857,RPM!$K$2:$N$62,3,FALSE)-F857-E857-D857)))</f>
        <v>-223.62720093133635</v>
      </c>
      <c r="H857" s="19">
        <f>IF(J857=1,Specification!$I$14,IF(J857=2,Specification!$I$15,IF(J857=3,Specification!$I$16)))</f>
        <v>578.93404261974786</v>
      </c>
      <c r="I857" s="16">
        <f t="shared" si="153"/>
        <v>0</v>
      </c>
      <c r="J857" s="17">
        <v>3</v>
      </c>
      <c r="K857" s="16">
        <f>IF(J857=1,VLOOKUP(B857,RPM!$F$2:$H$62,3,TRUE),IF(J857=2,VLOOKUP(B857,RPM!$I$2:$K$62,3,TRUE),IF(J857=3,VLOOKUP(B857,RPM!$L$2:$N$62,3,TRUE))))</f>
        <v>4300</v>
      </c>
      <c r="L857" s="17">
        <f t="shared" si="164"/>
        <v>68.102589245098841</v>
      </c>
      <c r="M857" s="16">
        <f t="shared" si="155"/>
        <v>0.63062872004341342</v>
      </c>
      <c r="N857" s="17">
        <f>VLOOKUP(K857,RPM!$A$2:$D$62,3,FALSE)</f>
        <v>11.4</v>
      </c>
      <c r="O857" s="16">
        <f>VLOOKUP(K857,RPM!$A$2:$D$62,4,FALSE)</f>
        <v>18.894837209302327</v>
      </c>
      <c r="P857" s="17">
        <f t="shared" si="156"/>
        <v>14.089880106976747</v>
      </c>
      <c r="Q857" s="16" cm="1">
        <f t="array" ref="Q857">_xlfn.XLOOKUP(O857,BSFC!$A$2:$A$24,_xlfn.XLOOKUP(K857,BSFC!$B$1:$O$1,BSFC!$B$2:$O$24,,-1),,-1)</f>
        <v>480</v>
      </c>
      <c r="R857" s="17">
        <f t="shared" si="157"/>
        <v>1.8786506809302328</v>
      </c>
      <c r="S857" s="16">
        <f t="shared" si="158"/>
        <v>2.9183485335175871E-4</v>
      </c>
      <c r="T857" s="17">
        <f t="shared" si="161"/>
        <v>0.14008072960884418</v>
      </c>
      <c r="U857" s="16">
        <f t="shared" si="162"/>
        <v>112.62828975123125</v>
      </c>
      <c r="V857" s="17">
        <f t="shared" si="163"/>
        <v>0.23396749955679816</v>
      </c>
      <c r="W857" s="16">
        <f t="shared" si="159"/>
        <v>842282.9984044733</v>
      </c>
      <c r="X857">
        <f>('Hybrid Info'!$A$2-Track!P857)*(L857-L856)*1000+X856</f>
        <v>-21916.04216325653</v>
      </c>
    </row>
    <row r="858" spans="1:24">
      <c r="A858" s="16">
        <f t="shared" si="160"/>
        <v>857</v>
      </c>
      <c r="B858" s="17">
        <f t="shared" si="154"/>
        <v>13.411199999999999</v>
      </c>
      <c r="C858" s="16">
        <f>Specification!$G$29</f>
        <v>164.943378</v>
      </c>
      <c r="D858" s="17">
        <f>0.5*Specification!$K$4*Track!B858^2*Specification!$K$3*Specification!$K$2</f>
        <v>93.159842569492653</v>
      </c>
      <c r="E858" s="16">
        <v>8</v>
      </c>
      <c r="F858" s="17">
        <f>Specification!$C$23*9.81*SIN((E858*PI()/180))</f>
        <v>765.1893799696079</v>
      </c>
      <c r="G858" s="18">
        <f>IF(J858=1,VLOOKUP(K858,RPM!$E$2:$H$62,3,FALSE)-F858-E858-D858,IF(J858=2,VLOOKUP(K858,RPM!$H$2:$K$62,3,FALSE)-F858-E858-D858,IF(J858=3,VLOOKUP(K858,RPM!$K$2:$N$62,3,FALSE)-F858-E858-D858)))</f>
        <v>-223.62720093133635</v>
      </c>
      <c r="H858" s="19">
        <f>IF(J858=1,Specification!$I$14,IF(J858=2,Specification!$I$15,IF(J858=3,Specification!$I$16)))</f>
        <v>578.93404261974786</v>
      </c>
      <c r="I858" s="16">
        <f t="shared" si="153"/>
        <v>0</v>
      </c>
      <c r="J858" s="17">
        <v>3</v>
      </c>
      <c r="K858" s="16">
        <f>IF(J858=1,VLOOKUP(B858,RPM!$F$2:$H$62,3,TRUE),IF(J858=2,VLOOKUP(B858,RPM!$I$2:$K$62,3,TRUE),IF(J858=3,VLOOKUP(B858,RPM!$L$2:$N$62,3,TRUE))))</f>
        <v>4300</v>
      </c>
      <c r="L858" s="17">
        <f t="shared" si="164"/>
        <v>68.177153788167317</v>
      </c>
      <c r="M858" s="16">
        <f t="shared" si="155"/>
        <v>0.77116955474580484</v>
      </c>
      <c r="N858" s="17">
        <f>VLOOKUP(K858,RPM!$A$2:$D$62,3,FALSE)</f>
        <v>11.4</v>
      </c>
      <c r="O858" s="16">
        <f>VLOOKUP(K858,RPM!$A$2:$D$62,4,FALSE)</f>
        <v>18.894837209302327</v>
      </c>
      <c r="P858" s="17">
        <f t="shared" si="156"/>
        <v>14.089880106976747</v>
      </c>
      <c r="Q858" s="16" cm="1">
        <f t="array" ref="Q858">_xlfn.XLOOKUP(O858,BSFC!$A$2:$A$24,_xlfn.XLOOKUP(K858,BSFC!$B$1:$O$1,BSFC!$B$2:$O$24,,-1),,-1)</f>
        <v>480</v>
      </c>
      <c r="R858" s="17">
        <f t="shared" si="157"/>
        <v>1.8786506809302328</v>
      </c>
      <c r="S858" s="16">
        <f t="shared" si="158"/>
        <v>2.9183485335175871E-4</v>
      </c>
      <c r="T858" s="17">
        <f t="shared" si="161"/>
        <v>0.14008072960884418</v>
      </c>
      <c r="U858" s="16">
        <f t="shared" si="162"/>
        <v>112.76837048084009</v>
      </c>
      <c r="V858" s="17">
        <f t="shared" si="163"/>
        <v>0.23425933441014993</v>
      </c>
      <c r="W858" s="16">
        <f t="shared" si="159"/>
        <v>843333.60387653974</v>
      </c>
      <c r="X858">
        <f>('Hybrid Info'!$A$2-Track!P858)*(L858-L857)*1000+X857</f>
        <v>-22062.891476605935</v>
      </c>
    </row>
    <row r="859" spans="1:24">
      <c r="A859" s="16">
        <f t="shared" si="160"/>
        <v>858</v>
      </c>
      <c r="B859" s="17">
        <f t="shared" si="154"/>
        <v>13.411199999999999</v>
      </c>
      <c r="C859" s="16">
        <f>Specification!$G$29</f>
        <v>164.943378</v>
      </c>
      <c r="D859" s="17">
        <f>0.5*Specification!$K$4*Track!B859^2*Specification!$K$3*Specification!$K$2</f>
        <v>93.159842569492653</v>
      </c>
      <c r="E859" s="16">
        <v>8</v>
      </c>
      <c r="F859" s="17">
        <f>Specification!$C$23*9.81*SIN((E859*PI()/180))</f>
        <v>765.1893799696079</v>
      </c>
      <c r="G859" s="18">
        <f>IF(J859=1,VLOOKUP(K859,RPM!$E$2:$H$62,3,FALSE)-F859-E859-D859,IF(J859=2,VLOOKUP(K859,RPM!$H$2:$K$62,3,FALSE)-F859-E859-D859,IF(J859=3,VLOOKUP(K859,RPM!$K$2:$N$62,3,FALSE)-F859-E859-D859)))</f>
        <v>-223.62720093133635</v>
      </c>
      <c r="H859" s="19">
        <f>IF(J859=1,Specification!$I$14,IF(J859=2,Specification!$I$15,IF(J859=3,Specification!$I$16)))</f>
        <v>578.93404261974786</v>
      </c>
      <c r="I859" s="16">
        <f t="shared" si="153"/>
        <v>0</v>
      </c>
      <c r="J859" s="17">
        <v>3</v>
      </c>
      <c r="K859" s="16">
        <f>IF(J859=1,VLOOKUP(B859,RPM!$F$2:$H$62,3,TRUE),IF(J859=2,VLOOKUP(B859,RPM!$I$2:$K$62,3,TRUE),IF(J859=3,VLOOKUP(B859,RPM!$L$2:$N$62,3,TRUE))))</f>
        <v>4300</v>
      </c>
      <c r="L859" s="17">
        <f t="shared" si="164"/>
        <v>68.251718331235793</v>
      </c>
      <c r="M859" s="16">
        <f t="shared" si="155"/>
        <v>0.91171038944819627</v>
      </c>
      <c r="N859" s="17">
        <f>VLOOKUP(K859,RPM!$A$2:$D$62,3,FALSE)</f>
        <v>11.4</v>
      </c>
      <c r="O859" s="16">
        <f>VLOOKUP(K859,RPM!$A$2:$D$62,4,FALSE)</f>
        <v>18.894837209302327</v>
      </c>
      <c r="P859" s="17">
        <f t="shared" si="156"/>
        <v>14.089880106976747</v>
      </c>
      <c r="Q859" s="16" cm="1">
        <f t="array" ref="Q859">_xlfn.XLOOKUP(O859,BSFC!$A$2:$A$24,_xlfn.XLOOKUP(K859,BSFC!$B$1:$O$1,BSFC!$B$2:$O$24,,-1),,-1)</f>
        <v>480</v>
      </c>
      <c r="R859" s="17">
        <f t="shared" si="157"/>
        <v>1.8786506809302328</v>
      </c>
      <c r="S859" s="16">
        <f t="shared" si="158"/>
        <v>2.9183485335175871E-4</v>
      </c>
      <c r="T859" s="17">
        <f t="shared" si="161"/>
        <v>0.14008072960884418</v>
      </c>
      <c r="U859" s="16">
        <f t="shared" si="162"/>
        <v>112.90845121044893</v>
      </c>
      <c r="V859" s="17">
        <f t="shared" si="163"/>
        <v>0.2345511692635017</v>
      </c>
      <c r="W859" s="16">
        <f t="shared" si="159"/>
        <v>844384.20934860606</v>
      </c>
      <c r="X859">
        <f>('Hybrid Info'!$A$2-Track!P859)*(L859-L858)*1000+X858</f>
        <v>-22209.74078995534</v>
      </c>
    </row>
    <row r="860" spans="1:24">
      <c r="A860" s="16">
        <f t="shared" si="160"/>
        <v>859</v>
      </c>
      <c r="B860" s="17">
        <f t="shared" si="154"/>
        <v>13.411199999999999</v>
      </c>
      <c r="C860" s="16">
        <f>Specification!$G$29</f>
        <v>164.943378</v>
      </c>
      <c r="D860" s="17">
        <f>0.5*Specification!$K$4*Track!B860^2*Specification!$K$3*Specification!$K$2</f>
        <v>93.159842569492653</v>
      </c>
      <c r="E860" s="16">
        <v>8</v>
      </c>
      <c r="F860" s="17">
        <f>Specification!$C$23*9.81*SIN((E860*PI()/180))</f>
        <v>765.1893799696079</v>
      </c>
      <c r="G860" s="18">
        <f>IF(J860=1,VLOOKUP(K860,RPM!$E$2:$H$62,3,FALSE)-F860-E860-D860,IF(J860=2,VLOOKUP(K860,RPM!$H$2:$K$62,3,FALSE)-F860-E860-D860,IF(J860=3,VLOOKUP(K860,RPM!$K$2:$N$62,3,FALSE)-F860-E860-D860)))</f>
        <v>-223.62720093133635</v>
      </c>
      <c r="H860" s="19">
        <f>IF(J860=1,Specification!$I$14,IF(J860=2,Specification!$I$15,IF(J860=3,Specification!$I$16)))</f>
        <v>578.93404261974786</v>
      </c>
      <c r="I860" s="16">
        <f t="shared" si="153"/>
        <v>0</v>
      </c>
      <c r="J860" s="17">
        <v>3</v>
      </c>
      <c r="K860" s="16">
        <f>IF(J860=1,VLOOKUP(B860,RPM!$F$2:$H$62,3,TRUE),IF(J860=2,VLOOKUP(B860,RPM!$I$2:$K$62,3,TRUE),IF(J860=3,VLOOKUP(B860,RPM!$L$2:$N$62,3,TRUE))))</f>
        <v>4300</v>
      </c>
      <c r="L860" s="17">
        <f t="shared" si="164"/>
        <v>68.326282874304269</v>
      </c>
      <c r="M860" s="16">
        <f t="shared" si="155"/>
        <v>1.0522512241505877</v>
      </c>
      <c r="N860" s="17">
        <f>VLOOKUP(K860,RPM!$A$2:$D$62,3,FALSE)</f>
        <v>11.4</v>
      </c>
      <c r="O860" s="16">
        <f>VLOOKUP(K860,RPM!$A$2:$D$62,4,FALSE)</f>
        <v>18.894837209302327</v>
      </c>
      <c r="P860" s="17">
        <f t="shared" si="156"/>
        <v>14.089880106976747</v>
      </c>
      <c r="Q860" s="16" cm="1">
        <f t="array" ref="Q860">_xlfn.XLOOKUP(O860,BSFC!$A$2:$A$24,_xlfn.XLOOKUP(K860,BSFC!$B$1:$O$1,BSFC!$B$2:$O$24,,-1),,-1)</f>
        <v>480</v>
      </c>
      <c r="R860" s="17">
        <f t="shared" si="157"/>
        <v>1.8786506809302328</v>
      </c>
      <c r="S860" s="16">
        <f t="shared" si="158"/>
        <v>2.9183485335175871E-4</v>
      </c>
      <c r="T860" s="17">
        <f t="shared" si="161"/>
        <v>0.14008072960884418</v>
      </c>
      <c r="U860" s="16">
        <f t="shared" si="162"/>
        <v>113.04853194005777</v>
      </c>
      <c r="V860" s="17">
        <f t="shared" si="163"/>
        <v>0.23484300411685347</v>
      </c>
      <c r="W860" s="16">
        <f t="shared" si="159"/>
        <v>845434.8148206725</v>
      </c>
      <c r="X860">
        <f>('Hybrid Info'!$A$2-Track!P860)*(L860-L859)*1000+X859</f>
        <v>-22356.590103304745</v>
      </c>
    </row>
    <row r="861" spans="1:24">
      <c r="A861" s="16">
        <f t="shared" si="160"/>
        <v>860</v>
      </c>
      <c r="B861" s="17">
        <f t="shared" si="154"/>
        <v>13.411199999999999</v>
      </c>
      <c r="C861" s="16">
        <f>Specification!$G$29</f>
        <v>164.943378</v>
      </c>
      <c r="D861" s="17">
        <f>0.5*Specification!$K$4*Track!B861^2*Specification!$K$3*Specification!$K$2</f>
        <v>93.159842569492653</v>
      </c>
      <c r="E861" s="16">
        <v>8</v>
      </c>
      <c r="F861" s="17">
        <f>Specification!$C$23*9.81*SIN((E861*PI()/180))</f>
        <v>765.1893799696079</v>
      </c>
      <c r="G861" s="18">
        <f>IF(J861=1,VLOOKUP(K861,RPM!$E$2:$H$62,3,FALSE)-F861-E861-D861,IF(J861=2,VLOOKUP(K861,RPM!$H$2:$K$62,3,FALSE)-F861-E861-D861,IF(J861=3,VLOOKUP(K861,RPM!$K$2:$N$62,3,FALSE)-F861-E861-D861)))</f>
        <v>-223.62720093133635</v>
      </c>
      <c r="H861" s="19">
        <f>IF(J861=1,Specification!$I$14,IF(J861=2,Specification!$I$15,IF(J861=3,Specification!$I$16)))</f>
        <v>578.93404261974786</v>
      </c>
      <c r="I861" s="16">
        <f t="shared" si="153"/>
        <v>0</v>
      </c>
      <c r="J861" s="17">
        <v>3</v>
      </c>
      <c r="K861" s="16">
        <f>IF(J861=1,VLOOKUP(B861,RPM!$F$2:$H$62,3,TRUE),IF(J861=2,VLOOKUP(B861,RPM!$I$2:$K$62,3,TRUE),IF(J861=3,VLOOKUP(B861,RPM!$L$2:$N$62,3,TRUE))))</f>
        <v>4300</v>
      </c>
      <c r="L861" s="17">
        <f t="shared" si="164"/>
        <v>68.400847417372745</v>
      </c>
      <c r="M861" s="16">
        <f t="shared" si="155"/>
        <v>1.1927920588529792</v>
      </c>
      <c r="N861" s="17">
        <f>VLOOKUP(K861,RPM!$A$2:$D$62,3,FALSE)</f>
        <v>11.4</v>
      </c>
      <c r="O861" s="16">
        <f>VLOOKUP(K861,RPM!$A$2:$D$62,4,FALSE)</f>
        <v>18.894837209302327</v>
      </c>
      <c r="P861" s="17">
        <f t="shared" si="156"/>
        <v>14.089880106976747</v>
      </c>
      <c r="Q861" s="16" cm="1">
        <f t="array" ref="Q861">_xlfn.XLOOKUP(O861,BSFC!$A$2:$A$24,_xlfn.XLOOKUP(K861,BSFC!$B$1:$O$1,BSFC!$B$2:$O$24,,-1),,-1)</f>
        <v>480</v>
      </c>
      <c r="R861" s="17">
        <f t="shared" si="157"/>
        <v>1.8786506809302328</v>
      </c>
      <c r="S861" s="16">
        <f t="shared" si="158"/>
        <v>2.9183485335175871E-4</v>
      </c>
      <c r="T861" s="17">
        <f t="shared" si="161"/>
        <v>0.14008072960884418</v>
      </c>
      <c r="U861" s="16">
        <f t="shared" si="162"/>
        <v>113.18861266966661</v>
      </c>
      <c r="V861" s="17">
        <f t="shared" si="163"/>
        <v>0.23513483897020523</v>
      </c>
      <c r="W861" s="16">
        <f t="shared" si="159"/>
        <v>846485.42029273883</v>
      </c>
      <c r="X861">
        <f>('Hybrid Info'!$A$2-Track!P861)*(L861-L860)*1000+X860</f>
        <v>-22503.43941665415</v>
      </c>
    </row>
    <row r="862" spans="1:24">
      <c r="A862" s="16">
        <f t="shared" si="160"/>
        <v>861</v>
      </c>
      <c r="B862" s="17">
        <f t="shared" si="154"/>
        <v>13.411199999999999</v>
      </c>
      <c r="C862" s="16">
        <f>Specification!$G$29</f>
        <v>164.943378</v>
      </c>
      <c r="D862" s="17">
        <f>0.5*Specification!$K$4*Track!B862^2*Specification!$K$3*Specification!$K$2</f>
        <v>93.159842569492653</v>
      </c>
      <c r="E862" s="16">
        <v>8</v>
      </c>
      <c r="F862" s="17">
        <f>Specification!$C$23*9.81*SIN((E862*PI()/180))</f>
        <v>765.1893799696079</v>
      </c>
      <c r="G862" s="18">
        <f>IF(J862=1,VLOOKUP(K862,RPM!$E$2:$H$62,3,FALSE)-F862-E862-D862,IF(J862=2,VLOOKUP(K862,RPM!$H$2:$K$62,3,FALSE)-F862-E862-D862,IF(J862=3,VLOOKUP(K862,RPM!$K$2:$N$62,3,FALSE)-F862-E862-D862)))</f>
        <v>-223.62720093133635</v>
      </c>
      <c r="H862" s="19">
        <f>IF(J862=1,Specification!$I$14,IF(J862=2,Specification!$I$15,IF(J862=3,Specification!$I$16)))</f>
        <v>578.93404261974786</v>
      </c>
      <c r="I862" s="16">
        <f t="shared" si="153"/>
        <v>0</v>
      </c>
      <c r="J862" s="17">
        <v>3</v>
      </c>
      <c r="K862" s="16">
        <f>IF(J862=1,VLOOKUP(B862,RPM!$F$2:$H$62,3,TRUE),IF(J862=2,VLOOKUP(B862,RPM!$I$2:$K$62,3,TRUE),IF(J862=3,VLOOKUP(B862,RPM!$L$2:$N$62,3,TRUE))))</f>
        <v>4300</v>
      </c>
      <c r="L862" s="17">
        <f t="shared" si="164"/>
        <v>68.475411960441221</v>
      </c>
      <c r="M862" s="16">
        <f t="shared" si="155"/>
        <v>1.3333328935553708</v>
      </c>
      <c r="N862" s="17">
        <f>VLOOKUP(K862,RPM!$A$2:$D$62,3,FALSE)</f>
        <v>11.4</v>
      </c>
      <c r="O862" s="16">
        <f>VLOOKUP(K862,RPM!$A$2:$D$62,4,FALSE)</f>
        <v>18.894837209302327</v>
      </c>
      <c r="P862" s="17">
        <f t="shared" si="156"/>
        <v>14.089880106976747</v>
      </c>
      <c r="Q862" s="16" cm="1">
        <f t="array" ref="Q862">_xlfn.XLOOKUP(O862,BSFC!$A$2:$A$24,_xlfn.XLOOKUP(K862,BSFC!$B$1:$O$1,BSFC!$B$2:$O$24,,-1),,-1)</f>
        <v>480</v>
      </c>
      <c r="R862" s="17">
        <f t="shared" si="157"/>
        <v>1.8786506809302328</v>
      </c>
      <c r="S862" s="16">
        <f t="shared" si="158"/>
        <v>2.9183485335175871E-4</v>
      </c>
      <c r="T862" s="17">
        <f t="shared" si="161"/>
        <v>0.14008072960884418</v>
      </c>
      <c r="U862" s="16">
        <f t="shared" si="162"/>
        <v>113.32869339927545</v>
      </c>
      <c r="V862" s="17">
        <f t="shared" si="163"/>
        <v>0.235426673823557</v>
      </c>
      <c r="W862" s="16">
        <f t="shared" si="159"/>
        <v>847536.02576480515</v>
      </c>
      <c r="X862">
        <f>('Hybrid Info'!$A$2-Track!P862)*(L862-L861)*1000+X861</f>
        <v>-22650.288730003555</v>
      </c>
    </row>
    <row r="863" spans="1:24">
      <c r="A863" s="16">
        <f t="shared" si="160"/>
        <v>862</v>
      </c>
      <c r="B863" s="17">
        <f t="shared" si="154"/>
        <v>13.411199999999999</v>
      </c>
      <c r="C863" s="16">
        <f>Specification!$G$29</f>
        <v>164.943378</v>
      </c>
      <c r="D863" s="17">
        <f>0.5*Specification!$K$4*Track!B863^2*Specification!$K$3*Specification!$K$2</f>
        <v>93.159842569492653</v>
      </c>
      <c r="E863" s="16">
        <v>8</v>
      </c>
      <c r="F863" s="17">
        <f>Specification!$C$23*9.81*SIN((E863*PI()/180))</f>
        <v>765.1893799696079</v>
      </c>
      <c r="G863" s="18">
        <f>IF(J863=1,VLOOKUP(K863,RPM!$E$2:$H$62,3,FALSE)-F863-E863-D863,IF(J863=2,VLOOKUP(K863,RPM!$H$2:$K$62,3,FALSE)-F863-E863-D863,IF(J863=3,VLOOKUP(K863,RPM!$K$2:$N$62,3,FALSE)-F863-E863-D863)))</f>
        <v>-223.62720093133635</v>
      </c>
      <c r="H863" s="19">
        <f>IF(J863=1,Specification!$I$14,IF(J863=2,Specification!$I$15,IF(J863=3,Specification!$I$16)))</f>
        <v>578.93404261974786</v>
      </c>
      <c r="I863" s="16">
        <f t="shared" si="153"/>
        <v>0</v>
      </c>
      <c r="J863" s="17">
        <v>3</v>
      </c>
      <c r="K863" s="16">
        <f>IF(J863=1,VLOOKUP(B863,RPM!$F$2:$H$62,3,TRUE),IF(J863=2,VLOOKUP(B863,RPM!$I$2:$K$62,3,TRUE),IF(J863=3,VLOOKUP(B863,RPM!$L$2:$N$62,3,TRUE))))</f>
        <v>4300</v>
      </c>
      <c r="L863" s="17">
        <f t="shared" si="164"/>
        <v>68.549976503509697</v>
      </c>
      <c r="M863" s="16">
        <f t="shared" si="155"/>
        <v>1.4738737282577623</v>
      </c>
      <c r="N863" s="17">
        <f>VLOOKUP(K863,RPM!$A$2:$D$62,3,FALSE)</f>
        <v>11.4</v>
      </c>
      <c r="O863" s="16">
        <f>VLOOKUP(K863,RPM!$A$2:$D$62,4,FALSE)</f>
        <v>18.894837209302327</v>
      </c>
      <c r="P863" s="17">
        <f t="shared" si="156"/>
        <v>14.089880106976747</v>
      </c>
      <c r="Q863" s="16" cm="1">
        <f t="array" ref="Q863">_xlfn.XLOOKUP(O863,BSFC!$A$2:$A$24,_xlfn.XLOOKUP(K863,BSFC!$B$1:$O$1,BSFC!$B$2:$O$24,,-1),,-1)</f>
        <v>480</v>
      </c>
      <c r="R863" s="17">
        <f t="shared" si="157"/>
        <v>1.8786506809302328</v>
      </c>
      <c r="S863" s="16">
        <f t="shared" si="158"/>
        <v>2.9183485335175871E-4</v>
      </c>
      <c r="T863" s="17">
        <f t="shared" si="161"/>
        <v>0.14008072960884418</v>
      </c>
      <c r="U863" s="16">
        <f t="shared" si="162"/>
        <v>113.46877412888429</v>
      </c>
      <c r="V863" s="17">
        <f t="shared" si="163"/>
        <v>0.23571850867690877</v>
      </c>
      <c r="W863" s="16">
        <f t="shared" si="159"/>
        <v>848586.63123687159</v>
      </c>
      <c r="X863">
        <f>('Hybrid Info'!$A$2-Track!P863)*(L863-L862)*1000+X862</f>
        <v>-22797.138043352959</v>
      </c>
    </row>
    <row r="864" spans="1:24">
      <c r="A864" s="16">
        <f t="shared" si="160"/>
        <v>863</v>
      </c>
      <c r="B864" s="17">
        <f t="shared" si="154"/>
        <v>13.411199999999999</v>
      </c>
      <c r="C864" s="16">
        <f>Specification!$G$29</f>
        <v>164.943378</v>
      </c>
      <c r="D864" s="17">
        <f>0.5*Specification!$K$4*Track!B864^2*Specification!$K$3*Specification!$K$2</f>
        <v>93.159842569492653</v>
      </c>
      <c r="E864" s="16">
        <v>8</v>
      </c>
      <c r="F864" s="17">
        <f>Specification!$C$23*9.81*SIN((E864*PI()/180))</f>
        <v>765.1893799696079</v>
      </c>
      <c r="G864" s="18">
        <f>IF(J864=1,VLOOKUP(K864,RPM!$E$2:$H$62,3,FALSE)-F864-E864-D864,IF(J864=2,VLOOKUP(K864,RPM!$H$2:$K$62,3,FALSE)-F864-E864-D864,IF(J864=3,VLOOKUP(K864,RPM!$K$2:$N$62,3,FALSE)-F864-E864-D864)))</f>
        <v>-223.62720093133635</v>
      </c>
      <c r="H864" s="19">
        <f>IF(J864=1,Specification!$I$14,IF(J864=2,Specification!$I$15,IF(J864=3,Specification!$I$16)))</f>
        <v>578.93404261974786</v>
      </c>
      <c r="I864" s="16">
        <f t="shared" si="153"/>
        <v>0</v>
      </c>
      <c r="J864" s="17">
        <v>3</v>
      </c>
      <c r="K864" s="16">
        <f>IF(J864=1,VLOOKUP(B864,RPM!$F$2:$H$62,3,TRUE),IF(J864=2,VLOOKUP(B864,RPM!$I$2:$K$62,3,TRUE),IF(J864=3,VLOOKUP(B864,RPM!$L$2:$N$62,3,TRUE))))</f>
        <v>4300</v>
      </c>
      <c r="L864" s="17">
        <f t="shared" si="164"/>
        <v>68.624541046578173</v>
      </c>
      <c r="M864" s="16">
        <f t="shared" si="155"/>
        <v>1.6144145629601538</v>
      </c>
      <c r="N864" s="17">
        <f>VLOOKUP(K864,RPM!$A$2:$D$62,3,FALSE)</f>
        <v>11.4</v>
      </c>
      <c r="O864" s="16">
        <f>VLOOKUP(K864,RPM!$A$2:$D$62,4,FALSE)</f>
        <v>18.894837209302327</v>
      </c>
      <c r="P864" s="17">
        <f t="shared" si="156"/>
        <v>14.089880106976747</v>
      </c>
      <c r="Q864" s="16" cm="1">
        <f t="array" ref="Q864">_xlfn.XLOOKUP(O864,BSFC!$A$2:$A$24,_xlfn.XLOOKUP(K864,BSFC!$B$1:$O$1,BSFC!$B$2:$O$24,,-1),,-1)</f>
        <v>480</v>
      </c>
      <c r="R864" s="17">
        <f t="shared" si="157"/>
        <v>1.8786506809302328</v>
      </c>
      <c r="S864" s="16">
        <f t="shared" si="158"/>
        <v>2.9183485335175871E-4</v>
      </c>
      <c r="T864" s="17">
        <f t="shared" si="161"/>
        <v>0.14008072960884418</v>
      </c>
      <c r="U864" s="16">
        <f t="shared" si="162"/>
        <v>113.60885485849313</v>
      </c>
      <c r="V864" s="17">
        <f t="shared" si="163"/>
        <v>0.23601034353026054</v>
      </c>
      <c r="W864" s="16">
        <f t="shared" si="159"/>
        <v>849637.23670893791</v>
      </c>
      <c r="X864">
        <f>('Hybrid Info'!$A$2-Track!P864)*(L864-L863)*1000+X863</f>
        <v>-22943.987356702364</v>
      </c>
    </row>
    <row r="865" spans="1:24">
      <c r="A865" s="16">
        <f t="shared" si="160"/>
        <v>864</v>
      </c>
      <c r="B865" s="17">
        <f t="shared" si="154"/>
        <v>13.411199999999999</v>
      </c>
      <c r="C865" s="16">
        <f>Specification!$G$29</f>
        <v>164.943378</v>
      </c>
      <c r="D865" s="17">
        <f>0.5*Specification!$K$4*Track!B865^2*Specification!$K$3*Specification!$K$2</f>
        <v>93.159842569492653</v>
      </c>
      <c r="E865" s="16">
        <v>8</v>
      </c>
      <c r="F865" s="17">
        <f>Specification!$C$23*9.81*SIN((E865*PI()/180))</f>
        <v>765.1893799696079</v>
      </c>
      <c r="G865" s="18">
        <f>IF(J865=1,VLOOKUP(K865,RPM!$E$2:$H$62,3,FALSE)-F865-E865-D865,IF(J865=2,VLOOKUP(K865,RPM!$H$2:$K$62,3,FALSE)-F865-E865-D865,IF(J865=3,VLOOKUP(K865,RPM!$K$2:$N$62,3,FALSE)-F865-E865-D865)))</f>
        <v>-223.62720093133635</v>
      </c>
      <c r="H865" s="19">
        <f>IF(J865=1,Specification!$I$14,IF(J865=2,Specification!$I$15,IF(J865=3,Specification!$I$16)))</f>
        <v>578.93404261974786</v>
      </c>
      <c r="I865" s="16">
        <f t="shared" si="153"/>
        <v>0</v>
      </c>
      <c r="J865" s="17">
        <v>3</v>
      </c>
      <c r="K865" s="16">
        <f>IF(J865=1,VLOOKUP(B865,RPM!$F$2:$H$62,3,TRUE),IF(J865=2,VLOOKUP(B865,RPM!$I$2:$K$62,3,TRUE),IF(J865=3,VLOOKUP(B865,RPM!$L$2:$N$62,3,TRUE))))</f>
        <v>4300</v>
      </c>
      <c r="L865" s="17">
        <f t="shared" si="164"/>
        <v>68.699105589646649</v>
      </c>
      <c r="M865" s="16">
        <f t="shared" si="155"/>
        <v>1.7549553976625454</v>
      </c>
      <c r="N865" s="17">
        <f>VLOOKUP(K865,RPM!$A$2:$D$62,3,FALSE)</f>
        <v>11.4</v>
      </c>
      <c r="O865" s="16">
        <f>VLOOKUP(K865,RPM!$A$2:$D$62,4,FALSE)</f>
        <v>18.894837209302327</v>
      </c>
      <c r="P865" s="17">
        <f t="shared" si="156"/>
        <v>14.089880106976747</v>
      </c>
      <c r="Q865" s="16" cm="1">
        <f t="array" ref="Q865">_xlfn.XLOOKUP(O865,BSFC!$A$2:$A$24,_xlfn.XLOOKUP(K865,BSFC!$B$1:$O$1,BSFC!$B$2:$O$24,,-1),,-1)</f>
        <v>480</v>
      </c>
      <c r="R865" s="17">
        <f t="shared" si="157"/>
        <v>1.8786506809302328</v>
      </c>
      <c r="S865" s="16">
        <f t="shared" si="158"/>
        <v>2.9183485335175871E-4</v>
      </c>
      <c r="T865" s="17">
        <f t="shared" si="161"/>
        <v>0.14008072960884418</v>
      </c>
      <c r="U865" s="16">
        <f t="shared" si="162"/>
        <v>113.74893558810197</v>
      </c>
      <c r="V865" s="17">
        <f t="shared" si="163"/>
        <v>0.23630217838361231</v>
      </c>
      <c r="W865" s="16">
        <f t="shared" si="159"/>
        <v>850687.84218100423</v>
      </c>
      <c r="X865">
        <f>('Hybrid Info'!$A$2-Track!P865)*(L865-L864)*1000+X864</f>
        <v>-23090.836670051769</v>
      </c>
    </row>
    <row r="866" spans="1:24">
      <c r="A866" s="16">
        <f t="shared" si="160"/>
        <v>865</v>
      </c>
      <c r="B866" s="17">
        <f t="shared" si="154"/>
        <v>13.411199999999999</v>
      </c>
      <c r="C866" s="16">
        <f>Specification!$G$29</f>
        <v>164.943378</v>
      </c>
      <c r="D866" s="17">
        <f>0.5*Specification!$K$4*Track!B866^2*Specification!$K$3*Specification!$K$2</f>
        <v>93.159842569492653</v>
      </c>
      <c r="E866" s="16">
        <v>8</v>
      </c>
      <c r="F866" s="17">
        <f>Specification!$C$23*9.81*SIN((E866*PI()/180))</f>
        <v>765.1893799696079</v>
      </c>
      <c r="G866" s="18">
        <f>IF(J866=1,VLOOKUP(K866,RPM!$E$2:$H$62,3,FALSE)-F866-E866-D866,IF(J866=2,VLOOKUP(K866,RPM!$H$2:$K$62,3,FALSE)-F866-E866-D866,IF(J866=3,VLOOKUP(K866,RPM!$K$2:$N$62,3,FALSE)-F866-E866-D866)))</f>
        <v>-223.62720093133635</v>
      </c>
      <c r="H866" s="19">
        <f>IF(J866=1,Specification!$I$14,IF(J866=2,Specification!$I$15,IF(J866=3,Specification!$I$16)))</f>
        <v>578.93404261974786</v>
      </c>
      <c r="I866" s="16">
        <f t="shared" si="153"/>
        <v>0</v>
      </c>
      <c r="J866" s="17">
        <v>3</v>
      </c>
      <c r="K866" s="16">
        <f>IF(J866=1,VLOOKUP(B866,RPM!$F$2:$H$62,3,TRUE),IF(J866=2,VLOOKUP(B866,RPM!$I$2:$K$62,3,TRUE),IF(J866=3,VLOOKUP(B866,RPM!$L$2:$N$62,3,TRUE))))</f>
        <v>4300</v>
      </c>
      <c r="L866" s="17">
        <f t="shared" si="164"/>
        <v>68.773670132715125</v>
      </c>
      <c r="M866" s="16">
        <f t="shared" si="155"/>
        <v>1.8954962323649369</v>
      </c>
      <c r="N866" s="17">
        <f>VLOOKUP(K866,RPM!$A$2:$D$62,3,FALSE)</f>
        <v>11.4</v>
      </c>
      <c r="O866" s="16">
        <f>VLOOKUP(K866,RPM!$A$2:$D$62,4,FALSE)</f>
        <v>18.894837209302327</v>
      </c>
      <c r="P866" s="17">
        <f t="shared" si="156"/>
        <v>14.089880106976747</v>
      </c>
      <c r="Q866" s="16" cm="1">
        <f t="array" ref="Q866">_xlfn.XLOOKUP(O866,BSFC!$A$2:$A$24,_xlfn.XLOOKUP(K866,BSFC!$B$1:$O$1,BSFC!$B$2:$O$24,,-1),,-1)</f>
        <v>480</v>
      </c>
      <c r="R866" s="17">
        <f t="shared" si="157"/>
        <v>1.8786506809302328</v>
      </c>
      <c r="S866" s="16">
        <f t="shared" si="158"/>
        <v>2.9183485335175871E-4</v>
      </c>
      <c r="T866" s="17">
        <f t="shared" si="161"/>
        <v>0.14008072960884418</v>
      </c>
      <c r="U866" s="16">
        <f t="shared" si="162"/>
        <v>113.88901631771081</v>
      </c>
      <c r="V866" s="17">
        <f t="shared" si="163"/>
        <v>0.23659401323696408</v>
      </c>
      <c r="W866" s="16">
        <f t="shared" si="159"/>
        <v>851738.44765307067</v>
      </c>
      <c r="X866">
        <f>('Hybrid Info'!$A$2-Track!P866)*(L866-L865)*1000+X865</f>
        <v>-23237.685983401174</v>
      </c>
    </row>
    <row r="867" spans="1:24">
      <c r="A867" s="16">
        <f t="shared" si="160"/>
        <v>866</v>
      </c>
      <c r="B867" s="17">
        <f t="shared" si="154"/>
        <v>13.411199999999999</v>
      </c>
      <c r="C867" s="16">
        <f>Specification!$G$29</f>
        <v>164.943378</v>
      </c>
      <c r="D867" s="17">
        <f>0.5*Specification!$K$4*Track!B867^2*Specification!$K$3*Specification!$K$2</f>
        <v>93.159842569492653</v>
      </c>
      <c r="E867" s="16">
        <v>8</v>
      </c>
      <c r="F867" s="17">
        <f>Specification!$C$23*9.81*SIN((E867*PI()/180))</f>
        <v>765.1893799696079</v>
      </c>
      <c r="G867" s="18">
        <f>IF(J867=1,VLOOKUP(K867,RPM!$E$2:$H$62,3,FALSE)-F867-E867-D867,IF(J867=2,VLOOKUP(K867,RPM!$H$2:$K$62,3,FALSE)-F867-E867-D867,IF(J867=3,VLOOKUP(K867,RPM!$K$2:$N$62,3,FALSE)-F867-E867-D867)))</f>
        <v>-223.62720093133635</v>
      </c>
      <c r="H867" s="19">
        <f>IF(J867=1,Specification!$I$14,IF(J867=2,Specification!$I$15,IF(J867=3,Specification!$I$16)))</f>
        <v>578.93404261974786</v>
      </c>
      <c r="I867" s="16">
        <f t="shared" si="153"/>
        <v>0</v>
      </c>
      <c r="J867" s="17">
        <v>3</v>
      </c>
      <c r="K867" s="16">
        <f>IF(J867=1,VLOOKUP(B867,RPM!$F$2:$H$62,3,TRUE),IF(J867=2,VLOOKUP(B867,RPM!$I$2:$K$62,3,TRUE),IF(J867=3,VLOOKUP(B867,RPM!$L$2:$N$62,3,TRUE))))</f>
        <v>4300</v>
      </c>
      <c r="L867" s="17">
        <f t="shared" si="164"/>
        <v>68.848234675783601</v>
      </c>
      <c r="M867" s="16">
        <f t="shared" si="155"/>
        <v>2.0360370670673285</v>
      </c>
      <c r="N867" s="17">
        <f>VLOOKUP(K867,RPM!$A$2:$D$62,3,FALSE)</f>
        <v>11.4</v>
      </c>
      <c r="O867" s="16">
        <f>VLOOKUP(K867,RPM!$A$2:$D$62,4,FALSE)</f>
        <v>18.894837209302327</v>
      </c>
      <c r="P867" s="17">
        <f t="shared" si="156"/>
        <v>14.089880106976747</v>
      </c>
      <c r="Q867" s="16" cm="1">
        <f t="array" ref="Q867">_xlfn.XLOOKUP(O867,BSFC!$A$2:$A$24,_xlfn.XLOOKUP(K867,BSFC!$B$1:$O$1,BSFC!$B$2:$O$24,,-1),,-1)</f>
        <v>480</v>
      </c>
      <c r="R867" s="17">
        <f t="shared" si="157"/>
        <v>1.8786506809302328</v>
      </c>
      <c r="S867" s="16">
        <f t="shared" si="158"/>
        <v>2.9183485335175871E-4</v>
      </c>
      <c r="T867" s="17">
        <f t="shared" si="161"/>
        <v>0.14008072960884418</v>
      </c>
      <c r="U867" s="16">
        <f t="shared" si="162"/>
        <v>114.02909704731965</v>
      </c>
      <c r="V867" s="17">
        <f t="shared" si="163"/>
        <v>0.23688584809031585</v>
      </c>
      <c r="W867" s="16">
        <f t="shared" si="159"/>
        <v>852789.053125137</v>
      </c>
      <c r="X867">
        <f>('Hybrid Info'!$A$2-Track!P867)*(L867-L866)*1000+X866</f>
        <v>-23384.535296750579</v>
      </c>
    </row>
    <row r="868" spans="1:24">
      <c r="A868" s="16">
        <f t="shared" si="160"/>
        <v>867</v>
      </c>
      <c r="B868" s="17">
        <f t="shared" si="154"/>
        <v>13.411199999999999</v>
      </c>
      <c r="C868" s="16">
        <f>Specification!$G$29</f>
        <v>164.943378</v>
      </c>
      <c r="D868" s="17">
        <f>0.5*Specification!$K$4*Track!B868^2*Specification!$K$3*Specification!$K$2</f>
        <v>93.159842569492653</v>
      </c>
      <c r="E868" s="16">
        <v>7</v>
      </c>
      <c r="F868" s="17">
        <f>Specification!$C$23*9.81*SIN((E868*PI()/180))</f>
        <v>670.05137252956831</v>
      </c>
      <c r="G868" s="18">
        <f>IF(J868=1,VLOOKUP(K868,RPM!$E$2:$H$62,3,FALSE)-F868-E868-D868,IF(J868=2,VLOOKUP(K868,RPM!$H$2:$K$62,3,FALSE)-F868-E868-D868,IF(J868=3,VLOOKUP(K868,RPM!$K$2:$N$62,3,FALSE)-F868-E868-D868)))</f>
        <v>-127.48919349129677</v>
      </c>
      <c r="H868" s="19">
        <f>IF(J868=1,Specification!$I$14,IF(J868=2,Specification!$I$15,IF(J868=3,Specification!$I$16)))</f>
        <v>578.93404261974786</v>
      </c>
      <c r="I868" s="16">
        <f t="shared" ref="I868:I931" si="165">IF(B868=13.4112,0,G868/H868)</f>
        <v>0</v>
      </c>
      <c r="J868" s="17">
        <v>3</v>
      </c>
      <c r="K868" s="16">
        <f>IF(J868=1,VLOOKUP(B868,RPM!$F$2:$H$62,3,TRUE),IF(J868=2,VLOOKUP(B868,RPM!$I$2:$K$62,3,TRUE),IF(J868=3,VLOOKUP(B868,RPM!$L$2:$N$62,3,TRUE))))</f>
        <v>4300</v>
      </c>
      <c r="L868" s="17">
        <f t="shared" si="164"/>
        <v>68.922799218852077</v>
      </c>
      <c r="M868" s="16">
        <f t="shared" si="155"/>
        <v>2.1588216279702332</v>
      </c>
      <c r="N868" s="17">
        <f>VLOOKUP(K868,RPM!$A$2:$D$62,3,FALSE)</f>
        <v>11.4</v>
      </c>
      <c r="O868" s="16">
        <f>VLOOKUP(K868,RPM!$A$2:$D$62,4,FALSE)</f>
        <v>18.894837209302327</v>
      </c>
      <c r="P868" s="17">
        <f t="shared" si="156"/>
        <v>14.089880106976747</v>
      </c>
      <c r="Q868" s="16" cm="1">
        <f t="array" ref="Q868">_xlfn.XLOOKUP(O868,BSFC!$A$2:$A$24,_xlfn.XLOOKUP(K868,BSFC!$B$1:$O$1,BSFC!$B$2:$O$24,,-1),,-1)</f>
        <v>480</v>
      </c>
      <c r="R868" s="17">
        <f t="shared" si="157"/>
        <v>1.8786506809302328</v>
      </c>
      <c r="S868" s="16">
        <f t="shared" si="158"/>
        <v>2.9183485335175871E-4</v>
      </c>
      <c r="T868" s="17">
        <f t="shared" si="161"/>
        <v>0.14008072960884418</v>
      </c>
      <c r="U868" s="16">
        <f t="shared" si="162"/>
        <v>114.16917777692849</v>
      </c>
      <c r="V868" s="17">
        <f t="shared" si="163"/>
        <v>0.23717768294366762</v>
      </c>
      <c r="W868" s="16">
        <f t="shared" si="159"/>
        <v>853839.65859720344</v>
      </c>
      <c r="X868">
        <f>('Hybrid Info'!$A$2-Track!P868)*(L868-L867)*1000+X867</f>
        <v>-23531.384610099984</v>
      </c>
    </row>
    <row r="869" spans="1:24">
      <c r="A869" s="16">
        <f t="shared" si="160"/>
        <v>868</v>
      </c>
      <c r="B869" s="17">
        <f t="shared" si="154"/>
        <v>13.411199999999999</v>
      </c>
      <c r="C869" s="16">
        <f>Specification!$G$29</f>
        <v>164.943378</v>
      </c>
      <c r="D869" s="17">
        <f>0.5*Specification!$K$4*Track!B869^2*Specification!$K$3*Specification!$K$2</f>
        <v>93.159842569492653</v>
      </c>
      <c r="E869" s="16">
        <v>6</v>
      </c>
      <c r="F869" s="17">
        <f>Specification!$C$23*9.81*SIN((E869*PI()/180))</f>
        <v>574.70926095052266</v>
      </c>
      <c r="G869" s="18">
        <f>IF(J869=1,VLOOKUP(K869,RPM!$E$2:$H$62,3,FALSE)-F869-E869-D869,IF(J869=2,VLOOKUP(K869,RPM!$H$2:$K$62,3,FALSE)-F869-E869-D869,IF(J869=3,VLOOKUP(K869,RPM!$K$2:$N$62,3,FALSE)-F869-E869-D869)))</f>
        <v>-31.147081912251124</v>
      </c>
      <c r="H869" s="19">
        <f>IF(J869=1,Specification!$I$14,IF(J869=2,Specification!$I$15,IF(J869=3,Specification!$I$16)))</f>
        <v>578.93404261974786</v>
      </c>
      <c r="I869" s="16">
        <f t="shared" si="165"/>
        <v>0</v>
      </c>
      <c r="J869" s="17">
        <v>3</v>
      </c>
      <c r="K869" s="16">
        <f>IF(J869=1,VLOOKUP(B869,RPM!$F$2:$H$62,3,TRUE),IF(J869=2,VLOOKUP(B869,RPM!$I$2:$K$62,3,TRUE),IF(J869=3,VLOOKUP(B869,RPM!$L$2:$N$62,3,TRUE))))</f>
        <v>4300</v>
      </c>
      <c r="L869" s="17">
        <f t="shared" si="164"/>
        <v>68.997363761920553</v>
      </c>
      <c r="M869" s="16">
        <f t="shared" si="155"/>
        <v>2.2639258632359098</v>
      </c>
      <c r="N869" s="17">
        <f>VLOOKUP(K869,RPM!$A$2:$D$62,3,FALSE)</f>
        <v>11.4</v>
      </c>
      <c r="O869" s="16">
        <f>VLOOKUP(K869,RPM!$A$2:$D$62,4,FALSE)</f>
        <v>18.894837209302327</v>
      </c>
      <c r="P869" s="17">
        <f t="shared" si="156"/>
        <v>14.089880106976747</v>
      </c>
      <c r="Q869" s="16" cm="1">
        <f t="array" ref="Q869">_xlfn.XLOOKUP(O869,BSFC!$A$2:$A$24,_xlfn.XLOOKUP(K869,BSFC!$B$1:$O$1,BSFC!$B$2:$O$24,,-1),,-1)</f>
        <v>480</v>
      </c>
      <c r="R869" s="17">
        <f t="shared" si="157"/>
        <v>1.8786506809302328</v>
      </c>
      <c r="S869" s="16">
        <f t="shared" si="158"/>
        <v>2.9183485335175871E-4</v>
      </c>
      <c r="T869" s="17">
        <f t="shared" si="161"/>
        <v>0.14008072960884418</v>
      </c>
      <c r="U869" s="16">
        <f t="shared" si="162"/>
        <v>114.30925850653733</v>
      </c>
      <c r="V869" s="17">
        <f t="shared" si="163"/>
        <v>0.23746951779701939</v>
      </c>
      <c r="W869" s="16">
        <f t="shared" si="159"/>
        <v>854890.26406926976</v>
      </c>
      <c r="X869">
        <f>('Hybrid Info'!$A$2-Track!P869)*(L869-L868)*1000+X868</f>
        <v>-23678.233923449388</v>
      </c>
    </row>
    <row r="870" spans="1:24">
      <c r="A870" s="16">
        <f t="shared" si="160"/>
        <v>869</v>
      </c>
      <c r="B870" s="17">
        <f t="shared" si="154"/>
        <v>13.411199999999999</v>
      </c>
      <c r="C870" s="16">
        <f>Specification!$G$29</f>
        <v>164.943378</v>
      </c>
      <c r="D870" s="17">
        <f>0.5*Specification!$K$4*Track!B870^2*Specification!$K$3*Specification!$K$2</f>
        <v>93.159842569492653</v>
      </c>
      <c r="E870" s="16">
        <v>5</v>
      </c>
      <c r="F870" s="17">
        <f>Specification!$C$23*9.81*SIN((E870*PI()/180))</f>
        <v>479.192087363258</v>
      </c>
      <c r="G870" s="18">
        <f>IF(J870=1,VLOOKUP(K870,RPM!$E$2:$H$62,3,FALSE)-F870-E870-D870,IF(J870=2,VLOOKUP(K870,RPM!$H$2:$K$62,3,FALSE)-F870-E870-D870,IF(J870=3,VLOOKUP(K870,RPM!$K$2:$N$62,3,FALSE)-F870-E870-D870)))</f>
        <v>65.370091675013541</v>
      </c>
      <c r="H870" s="19">
        <f>IF(J870=1,Specification!$I$14,IF(J870=2,Specification!$I$15,IF(J870=3,Specification!$I$16)))</f>
        <v>578.93404261974786</v>
      </c>
      <c r="I870" s="16">
        <f t="shared" si="165"/>
        <v>0</v>
      </c>
      <c r="J870" s="17">
        <v>3</v>
      </c>
      <c r="K870" s="16">
        <f>IF(J870=1,VLOOKUP(B870,RPM!$F$2:$H$62,3,TRUE),IF(J870=2,VLOOKUP(B870,RPM!$I$2:$K$62,3,TRUE),IF(J870=3,VLOOKUP(B870,RPM!$L$2:$N$62,3,TRUE))))</f>
        <v>4300</v>
      </c>
      <c r="L870" s="17">
        <f t="shared" si="164"/>
        <v>69.071928304989029</v>
      </c>
      <c r="M870" s="16">
        <f t="shared" si="155"/>
        <v>2.3514145267618338</v>
      </c>
      <c r="N870" s="17">
        <f>VLOOKUP(K870,RPM!$A$2:$D$62,3,FALSE)</f>
        <v>11.4</v>
      </c>
      <c r="O870" s="16">
        <f>VLOOKUP(K870,RPM!$A$2:$D$62,4,FALSE)</f>
        <v>18.894837209302327</v>
      </c>
      <c r="P870" s="17">
        <f t="shared" si="156"/>
        <v>14.089880106976747</v>
      </c>
      <c r="Q870" s="16" cm="1">
        <f t="array" ref="Q870">_xlfn.XLOOKUP(O870,BSFC!$A$2:$A$24,_xlfn.XLOOKUP(K870,BSFC!$B$1:$O$1,BSFC!$B$2:$O$24,,-1),,-1)</f>
        <v>480</v>
      </c>
      <c r="R870" s="17">
        <f t="shared" si="157"/>
        <v>1.8786506809302328</v>
      </c>
      <c r="S870" s="16">
        <f t="shared" si="158"/>
        <v>2.9183485335175871E-4</v>
      </c>
      <c r="T870" s="17">
        <f t="shared" si="161"/>
        <v>0.14008072960884418</v>
      </c>
      <c r="U870" s="16">
        <f t="shared" si="162"/>
        <v>114.44933923614617</v>
      </c>
      <c r="V870" s="17">
        <f t="shared" si="163"/>
        <v>0.23776135265037115</v>
      </c>
      <c r="W870" s="16">
        <f t="shared" si="159"/>
        <v>855940.8695413362</v>
      </c>
      <c r="X870">
        <f>('Hybrid Info'!$A$2-Track!P870)*(L870-L869)*1000+X869</f>
        <v>-23825.083236798793</v>
      </c>
    </row>
    <row r="871" spans="1:24">
      <c r="A871" s="16">
        <f t="shared" si="160"/>
        <v>870</v>
      </c>
      <c r="B871" s="17">
        <f t="shared" si="154"/>
        <v>13.411199999999999</v>
      </c>
      <c r="C871" s="16">
        <f>Specification!$G$29</f>
        <v>164.943378</v>
      </c>
      <c r="D871" s="17">
        <f>0.5*Specification!$K$4*Track!B871^2*Specification!$K$3*Specification!$K$2</f>
        <v>93.159842569492653</v>
      </c>
      <c r="E871" s="16">
        <v>4</v>
      </c>
      <c r="F871" s="17">
        <f>Specification!$C$23*9.81*SIN((E871*PI()/180))</f>
        <v>383.52894722414453</v>
      </c>
      <c r="G871" s="18">
        <f>IF(J871=1,VLOOKUP(K871,RPM!$E$2:$H$62,3,FALSE)-F871-E871-D871,IF(J871=2,VLOOKUP(K871,RPM!$H$2:$K$62,3,FALSE)-F871-E871-D871,IF(J871=3,VLOOKUP(K871,RPM!$K$2:$N$62,3,FALSE)-F871-E871-D871)))</f>
        <v>162.03323181412702</v>
      </c>
      <c r="H871" s="19">
        <f>IF(J871=1,Specification!$I$14,IF(J871=2,Specification!$I$15,IF(J871=3,Specification!$I$16)))</f>
        <v>578.93404261974786</v>
      </c>
      <c r="I871" s="16">
        <f t="shared" si="165"/>
        <v>0</v>
      </c>
      <c r="J871" s="17">
        <v>3</v>
      </c>
      <c r="K871" s="16">
        <f>IF(J871=1,VLOOKUP(B871,RPM!$F$2:$H$62,3,TRUE),IF(J871=2,VLOOKUP(B871,RPM!$I$2:$K$62,3,TRUE),IF(J871=3,VLOOKUP(B871,RPM!$L$2:$N$62,3,TRUE))))</f>
        <v>4300</v>
      </c>
      <c r="L871" s="17">
        <f t="shared" si="164"/>
        <v>69.146492848057505</v>
      </c>
      <c r="M871" s="16">
        <f t="shared" si="155"/>
        <v>2.4213413387053442</v>
      </c>
      <c r="N871" s="17">
        <f>VLOOKUP(K871,RPM!$A$2:$D$62,3,FALSE)</f>
        <v>11.4</v>
      </c>
      <c r="O871" s="16">
        <f>VLOOKUP(K871,RPM!$A$2:$D$62,4,FALSE)</f>
        <v>18.894837209302327</v>
      </c>
      <c r="P871" s="17">
        <f t="shared" si="156"/>
        <v>14.089880106976747</v>
      </c>
      <c r="Q871" s="16" cm="1">
        <f t="array" ref="Q871">_xlfn.XLOOKUP(O871,BSFC!$A$2:$A$24,_xlfn.XLOOKUP(K871,BSFC!$B$1:$O$1,BSFC!$B$2:$O$24,,-1),,-1)</f>
        <v>480</v>
      </c>
      <c r="R871" s="17">
        <f t="shared" si="157"/>
        <v>1.8786506809302328</v>
      </c>
      <c r="S871" s="16">
        <f t="shared" si="158"/>
        <v>2.9183485335175871E-4</v>
      </c>
      <c r="T871" s="17">
        <f t="shared" si="161"/>
        <v>0.14008072960884418</v>
      </c>
      <c r="U871" s="16">
        <f t="shared" si="162"/>
        <v>114.58941996575501</v>
      </c>
      <c r="V871" s="17">
        <f t="shared" si="163"/>
        <v>0.23805318750372292</v>
      </c>
      <c r="W871" s="16">
        <f t="shared" si="159"/>
        <v>856991.47501340252</v>
      </c>
      <c r="X871">
        <f>('Hybrid Info'!$A$2-Track!P871)*(L871-L870)*1000+X870</f>
        <v>-23971.932550148198</v>
      </c>
    </row>
    <row r="872" spans="1:24">
      <c r="A872" s="16">
        <f t="shared" si="160"/>
        <v>871</v>
      </c>
      <c r="B872" s="17">
        <f t="shared" si="154"/>
        <v>13.411199999999999</v>
      </c>
      <c r="C872" s="16">
        <f>Specification!$G$29</f>
        <v>164.943378</v>
      </c>
      <c r="D872" s="17">
        <f>0.5*Specification!$K$4*Track!B872^2*Specification!$K$3*Specification!$K$2</f>
        <v>93.159842569492653</v>
      </c>
      <c r="E872" s="16">
        <v>3</v>
      </c>
      <c r="F872" s="17">
        <f>Specification!$C$23*9.81*SIN((E872*PI()/180))</f>
        <v>287.74898045237813</v>
      </c>
      <c r="G872" s="18">
        <f>IF(J872=1,VLOOKUP(K872,RPM!$E$2:$H$62,3,FALSE)-F872-E872-D872,IF(J872=2,VLOOKUP(K872,RPM!$H$2:$K$62,3,FALSE)-F872-E872-D872,IF(J872=3,VLOOKUP(K872,RPM!$K$2:$N$62,3,FALSE)-F872-E872-D872)))</f>
        <v>258.81319858589342</v>
      </c>
      <c r="H872" s="19">
        <f>IF(J872=1,Specification!$I$14,IF(J872=2,Specification!$I$15,IF(J872=3,Specification!$I$16)))</f>
        <v>578.93404261974786</v>
      </c>
      <c r="I872" s="16">
        <f t="shared" si="165"/>
        <v>0</v>
      </c>
      <c r="J872" s="17">
        <v>3</v>
      </c>
      <c r="K872" s="16">
        <f>IF(J872=1,VLOOKUP(B872,RPM!$F$2:$H$62,3,TRUE),IF(J872=2,VLOOKUP(B872,RPM!$I$2:$K$62,3,TRUE),IF(J872=3,VLOOKUP(B872,RPM!$L$2:$N$62,3,TRUE))))</f>
        <v>4300</v>
      </c>
      <c r="L872" s="17">
        <f t="shared" si="164"/>
        <v>69.221057391125981</v>
      </c>
      <c r="M872" s="16">
        <f t="shared" si="155"/>
        <v>2.4737491179883855</v>
      </c>
      <c r="N872" s="17">
        <f>VLOOKUP(K872,RPM!$A$2:$D$62,3,FALSE)</f>
        <v>11.4</v>
      </c>
      <c r="O872" s="16">
        <f>VLOOKUP(K872,RPM!$A$2:$D$62,4,FALSE)</f>
        <v>18.894837209302327</v>
      </c>
      <c r="P872" s="17">
        <f t="shared" si="156"/>
        <v>14.089880106976747</v>
      </c>
      <c r="Q872" s="16" cm="1">
        <f t="array" ref="Q872">_xlfn.XLOOKUP(O872,BSFC!$A$2:$A$24,_xlfn.XLOOKUP(K872,BSFC!$B$1:$O$1,BSFC!$B$2:$O$24,,-1),,-1)</f>
        <v>480</v>
      </c>
      <c r="R872" s="17">
        <f t="shared" si="157"/>
        <v>1.8786506809302328</v>
      </c>
      <c r="S872" s="16">
        <f t="shared" si="158"/>
        <v>2.9183485335175871E-4</v>
      </c>
      <c r="T872" s="17">
        <f t="shared" si="161"/>
        <v>0.14008072960884418</v>
      </c>
      <c r="U872" s="16">
        <f t="shared" si="162"/>
        <v>114.72950069536385</v>
      </c>
      <c r="V872" s="17">
        <f t="shared" si="163"/>
        <v>0.23834502235707469</v>
      </c>
      <c r="W872" s="16">
        <f t="shared" si="159"/>
        <v>858042.08048546896</v>
      </c>
      <c r="X872">
        <f>('Hybrid Info'!$A$2-Track!P872)*(L872-L871)*1000+X871</f>
        <v>-24118.781863497603</v>
      </c>
    </row>
    <row r="873" spans="1:24">
      <c r="A873" s="16">
        <f t="shared" si="160"/>
        <v>872</v>
      </c>
      <c r="B873" s="17">
        <f t="shared" si="154"/>
        <v>13.411199999999999</v>
      </c>
      <c r="C873" s="16">
        <f>Specification!$G$29</f>
        <v>164.943378</v>
      </c>
      <c r="D873" s="17">
        <f>0.5*Specification!$K$4*Track!B873^2*Specification!$K$3*Specification!$K$2</f>
        <v>93.159842569492653</v>
      </c>
      <c r="E873" s="16">
        <v>2</v>
      </c>
      <c r="F873" s="17">
        <f>Specification!$C$23*9.81*SIN((E873*PI()/180))</f>
        <v>191.88136255367905</v>
      </c>
      <c r="G873" s="18">
        <f>IF(J873=1,VLOOKUP(K873,RPM!$E$2:$H$62,3,FALSE)-F873-E873-D873,IF(J873=2,VLOOKUP(K873,RPM!$H$2:$K$62,3,FALSE)-F873-E873-D873,IF(J873=3,VLOOKUP(K873,RPM!$K$2:$N$62,3,FALSE)-F873-E873-D873)))</f>
        <v>355.68081648459247</v>
      </c>
      <c r="H873" s="19">
        <f>IF(J873=1,Specification!$I$14,IF(J873=2,Specification!$I$15,IF(J873=3,Specification!$I$16)))</f>
        <v>578.93404261974786</v>
      </c>
      <c r="I873" s="16">
        <f t="shared" si="165"/>
        <v>0</v>
      </c>
      <c r="J873" s="17">
        <v>3</v>
      </c>
      <c r="K873" s="16">
        <f>IF(J873=1,VLOOKUP(B873,RPM!$F$2:$H$62,3,TRUE),IF(J873=2,VLOOKUP(B873,RPM!$I$2:$K$62,3,TRUE),IF(J873=3,VLOOKUP(B873,RPM!$L$2:$N$62,3,TRUE))))</f>
        <v>4300</v>
      </c>
      <c r="L873" s="17">
        <f t="shared" si="164"/>
        <v>69.295621934194457</v>
      </c>
      <c r="M873" s="16">
        <f t="shared" si="155"/>
        <v>2.5086698874801332</v>
      </c>
      <c r="N873" s="17">
        <f>VLOOKUP(K873,RPM!$A$2:$D$62,3,FALSE)</f>
        <v>11.4</v>
      </c>
      <c r="O873" s="16">
        <f>VLOOKUP(K873,RPM!$A$2:$D$62,4,FALSE)</f>
        <v>18.894837209302327</v>
      </c>
      <c r="P873" s="17">
        <f t="shared" si="156"/>
        <v>14.089880106976747</v>
      </c>
      <c r="Q873" s="16" cm="1">
        <f t="array" ref="Q873">_xlfn.XLOOKUP(O873,BSFC!$A$2:$A$24,_xlfn.XLOOKUP(K873,BSFC!$B$1:$O$1,BSFC!$B$2:$O$24,,-1),,-1)</f>
        <v>480</v>
      </c>
      <c r="R873" s="17">
        <f t="shared" si="157"/>
        <v>1.8786506809302328</v>
      </c>
      <c r="S873" s="16">
        <f t="shared" si="158"/>
        <v>2.9183485335175871E-4</v>
      </c>
      <c r="T873" s="17">
        <f t="shared" si="161"/>
        <v>0.14008072960884418</v>
      </c>
      <c r="U873" s="16">
        <f t="shared" si="162"/>
        <v>114.86958142497269</v>
      </c>
      <c r="V873" s="17">
        <f t="shared" si="163"/>
        <v>0.23863685721042646</v>
      </c>
      <c r="W873" s="16">
        <f t="shared" si="159"/>
        <v>859092.68595753529</v>
      </c>
      <c r="X873">
        <f>('Hybrid Info'!$A$2-Track!P873)*(L873-L872)*1000+X872</f>
        <v>-24265.631176847008</v>
      </c>
    </row>
    <row r="874" spans="1:24">
      <c r="A874" s="16">
        <f t="shared" si="160"/>
        <v>873</v>
      </c>
      <c r="B874" s="17">
        <f t="shared" si="154"/>
        <v>13.411199999999999</v>
      </c>
      <c r="C874" s="16">
        <f>Specification!$G$29</f>
        <v>164.943378</v>
      </c>
      <c r="D874" s="17">
        <f>0.5*Specification!$K$4*Track!B874^2*Specification!$K$3*Specification!$K$2</f>
        <v>93.159842569492653</v>
      </c>
      <c r="E874" s="16">
        <v>1</v>
      </c>
      <c r="F874" s="17">
        <f>Specification!$C$23*9.81*SIN((E874*PI()/180))</f>
        <v>95.955295733149597</v>
      </c>
      <c r="G874" s="18">
        <f>IF(J874=1,VLOOKUP(K874,RPM!$E$2:$H$62,3,FALSE)-F874-E874-D874,IF(J874=2,VLOOKUP(K874,RPM!$H$2:$K$62,3,FALSE)-F874-E874-D874,IF(J874=3,VLOOKUP(K874,RPM!$K$2:$N$62,3,FALSE)-F874-E874-D874)))</f>
        <v>452.60688330512198</v>
      </c>
      <c r="H874" s="19">
        <f>IF(J874=1,Specification!$I$14,IF(J874=2,Specification!$I$15,IF(J874=3,Specification!$I$16)))</f>
        <v>578.93404261974786</v>
      </c>
      <c r="I874" s="16">
        <f t="shared" si="165"/>
        <v>0</v>
      </c>
      <c r="J874" s="17">
        <v>3</v>
      </c>
      <c r="K874" s="16">
        <f>IF(J874=1,VLOOKUP(B874,RPM!$F$2:$H$62,3,TRUE),IF(J874=2,VLOOKUP(B874,RPM!$I$2:$K$62,3,TRUE),IF(J874=3,VLOOKUP(B874,RPM!$L$2:$N$62,3,TRUE))))</f>
        <v>4300</v>
      </c>
      <c r="L874" s="17">
        <f t="shared" si="164"/>
        <v>69.370186477262934</v>
      </c>
      <c r="M874" s="16">
        <f t="shared" si="155"/>
        <v>2.5261249524083507</v>
      </c>
      <c r="N874" s="17">
        <f>VLOOKUP(K874,RPM!$A$2:$D$62,3,FALSE)</f>
        <v>11.4</v>
      </c>
      <c r="O874" s="16">
        <f>VLOOKUP(K874,RPM!$A$2:$D$62,4,FALSE)</f>
        <v>18.894837209302327</v>
      </c>
      <c r="P874" s="17">
        <f t="shared" si="156"/>
        <v>14.089880106976747</v>
      </c>
      <c r="Q874" s="16" cm="1">
        <f t="array" ref="Q874">_xlfn.XLOOKUP(O874,BSFC!$A$2:$A$24,_xlfn.XLOOKUP(K874,BSFC!$B$1:$O$1,BSFC!$B$2:$O$24,,-1),,-1)</f>
        <v>480</v>
      </c>
      <c r="R874" s="17">
        <f t="shared" si="157"/>
        <v>1.8786506809302328</v>
      </c>
      <c r="S874" s="16">
        <f t="shared" si="158"/>
        <v>2.9183485335175871E-4</v>
      </c>
      <c r="T874" s="17">
        <f t="shared" si="161"/>
        <v>0.14008072960884418</v>
      </c>
      <c r="U874" s="16">
        <f t="shared" si="162"/>
        <v>115.00966215458153</v>
      </c>
      <c r="V874" s="17">
        <f t="shared" si="163"/>
        <v>0.23892869206377823</v>
      </c>
      <c r="W874" s="16">
        <f t="shared" si="159"/>
        <v>860143.29142960173</v>
      </c>
      <c r="X874">
        <f>('Hybrid Info'!$A$2-Track!P874)*(L874-L873)*1000+X873</f>
        <v>-24412.480490196413</v>
      </c>
    </row>
    <row r="875" spans="1:24">
      <c r="A875" s="16">
        <f t="shared" si="160"/>
        <v>874</v>
      </c>
      <c r="B875" s="17">
        <f t="shared" si="154"/>
        <v>13.411199999999999</v>
      </c>
      <c r="C875" s="16">
        <f>Specification!$G$29</f>
        <v>164.943378</v>
      </c>
      <c r="D875" s="17">
        <f>0.5*Specification!$K$4*Track!B875^2*Specification!$K$3*Specification!$K$2</f>
        <v>93.159842569492653</v>
      </c>
      <c r="E875" s="16">
        <v>0</v>
      </c>
      <c r="F875" s="17">
        <f>Specification!$C$23*9.81*SIN((E875*PI()/180))</f>
        <v>0</v>
      </c>
      <c r="G875" s="18">
        <f>IF(J875=1,VLOOKUP(K875,RPM!$E$2:$H$62,3,FALSE)-F875-E875-D875,IF(J875=2,VLOOKUP(K875,RPM!$H$2:$K$62,3,FALSE)-F875-E875-D875,IF(J875=3,VLOOKUP(K875,RPM!$K$2:$N$62,3,FALSE)-F875-E875-D875)))</f>
        <v>549.56217903827155</v>
      </c>
      <c r="H875" s="19">
        <f>IF(J875=1,Specification!$I$14,IF(J875=2,Specification!$I$15,IF(J875=3,Specification!$I$16)))</f>
        <v>578.93404261974786</v>
      </c>
      <c r="I875" s="16">
        <f t="shared" si="165"/>
        <v>0</v>
      </c>
      <c r="J875" s="17">
        <v>3</v>
      </c>
      <c r="K875" s="16">
        <f>IF(J875=1,VLOOKUP(B875,RPM!$F$2:$H$62,3,TRUE),IF(J875=2,VLOOKUP(B875,RPM!$I$2:$K$62,3,TRUE),IF(J875=3,VLOOKUP(B875,RPM!$L$2:$N$62,3,TRUE))))</f>
        <v>4300</v>
      </c>
      <c r="L875" s="17">
        <f t="shared" si="164"/>
        <v>69.44475102033141</v>
      </c>
      <c r="M875" s="16">
        <f t="shared" si="155"/>
        <v>2.5261249524083507</v>
      </c>
      <c r="N875" s="17">
        <f>VLOOKUP(K875,RPM!$A$2:$D$62,3,FALSE)</f>
        <v>11.4</v>
      </c>
      <c r="O875" s="16">
        <f>VLOOKUP(K875,RPM!$A$2:$D$62,4,FALSE)</f>
        <v>18.894837209302327</v>
      </c>
      <c r="P875" s="17">
        <f t="shared" si="156"/>
        <v>14.089880106976747</v>
      </c>
      <c r="Q875" s="16" cm="1">
        <f t="array" ref="Q875">_xlfn.XLOOKUP(O875,BSFC!$A$2:$A$24,_xlfn.XLOOKUP(K875,BSFC!$B$1:$O$1,BSFC!$B$2:$O$24,,-1),,-1)</f>
        <v>480</v>
      </c>
      <c r="R875" s="17">
        <f t="shared" si="157"/>
        <v>1.8786506809302328</v>
      </c>
      <c r="S875" s="16">
        <f t="shared" si="158"/>
        <v>2.9183485335175871E-4</v>
      </c>
      <c r="T875" s="17">
        <f t="shared" si="161"/>
        <v>0.14008072960884418</v>
      </c>
      <c r="U875" s="16">
        <f t="shared" si="162"/>
        <v>115.14974288419037</v>
      </c>
      <c r="V875" s="17">
        <f t="shared" si="163"/>
        <v>0.23922052691713</v>
      </c>
      <c r="W875" s="16">
        <f t="shared" si="159"/>
        <v>861193.89690166805</v>
      </c>
      <c r="X875">
        <f>('Hybrid Info'!$A$2-Track!P875)*(L875-L874)*1000+X874</f>
        <v>-24559.329803545817</v>
      </c>
    </row>
    <row r="876" spans="1:24">
      <c r="A876" s="16">
        <f t="shared" si="160"/>
        <v>875</v>
      </c>
      <c r="B876" s="17">
        <f t="shared" si="154"/>
        <v>13.411199999999999</v>
      </c>
      <c r="C876" s="16">
        <f>Specification!$G$29</f>
        <v>164.943378</v>
      </c>
      <c r="D876" s="17">
        <f>0.5*Specification!$K$4*Track!B876^2*Specification!$K$3*Specification!$K$2</f>
        <v>93.159842569492653</v>
      </c>
      <c r="E876" s="16">
        <v>0</v>
      </c>
      <c r="F876" s="17">
        <f>Specification!$C$23*9.81*SIN((E876*PI()/180))</f>
        <v>0</v>
      </c>
      <c r="G876" s="18">
        <f>IF(J876=1,VLOOKUP(K876,RPM!$E$2:$H$62,3,FALSE)-F876-E876-D876,IF(J876=2,VLOOKUP(K876,RPM!$H$2:$K$62,3,FALSE)-F876-E876-D876,IF(J876=3,VLOOKUP(K876,RPM!$K$2:$N$62,3,FALSE)-F876-E876-D876)))</f>
        <v>549.56217903827155</v>
      </c>
      <c r="H876" s="19">
        <f>IF(J876=1,Specification!$I$14,IF(J876=2,Specification!$I$15,IF(J876=3,Specification!$I$16)))</f>
        <v>578.93404261974786</v>
      </c>
      <c r="I876" s="16">
        <f t="shared" si="165"/>
        <v>0</v>
      </c>
      <c r="J876" s="17">
        <v>3</v>
      </c>
      <c r="K876" s="16">
        <f>IF(J876=1,VLOOKUP(B876,RPM!$F$2:$H$62,3,TRUE),IF(J876=2,VLOOKUP(B876,RPM!$I$2:$K$62,3,TRUE),IF(J876=3,VLOOKUP(B876,RPM!$L$2:$N$62,3,TRUE))))</f>
        <v>4300</v>
      </c>
      <c r="L876" s="17">
        <f t="shared" si="164"/>
        <v>69.519315563399886</v>
      </c>
      <c r="M876" s="16">
        <f t="shared" si="155"/>
        <v>2.5261249524083507</v>
      </c>
      <c r="N876" s="17">
        <f>VLOOKUP(K876,RPM!$A$2:$D$62,3,FALSE)</f>
        <v>11.4</v>
      </c>
      <c r="O876" s="16">
        <f>VLOOKUP(K876,RPM!$A$2:$D$62,4,FALSE)</f>
        <v>18.894837209302327</v>
      </c>
      <c r="P876" s="17">
        <f t="shared" si="156"/>
        <v>14.089880106976747</v>
      </c>
      <c r="Q876" s="16" cm="1">
        <f t="array" ref="Q876">_xlfn.XLOOKUP(O876,BSFC!$A$2:$A$24,_xlfn.XLOOKUP(K876,BSFC!$B$1:$O$1,BSFC!$B$2:$O$24,,-1),,-1)</f>
        <v>480</v>
      </c>
      <c r="R876" s="17">
        <f t="shared" si="157"/>
        <v>1.8786506809302328</v>
      </c>
      <c r="S876" s="16">
        <f t="shared" si="158"/>
        <v>2.9183485335175871E-4</v>
      </c>
      <c r="T876" s="17">
        <f t="shared" si="161"/>
        <v>0.14008072960884418</v>
      </c>
      <c r="U876" s="16">
        <f t="shared" si="162"/>
        <v>115.28982361379921</v>
      </c>
      <c r="V876" s="17">
        <f t="shared" si="163"/>
        <v>0.23951236177048177</v>
      </c>
      <c r="W876" s="16">
        <f t="shared" si="159"/>
        <v>862244.50237373437</v>
      </c>
      <c r="X876">
        <f>('Hybrid Info'!$A$2-Track!P876)*(L876-L875)*1000+X875</f>
        <v>-24706.179116895222</v>
      </c>
    </row>
    <row r="877" spans="1:24">
      <c r="A877" s="16">
        <f t="shared" si="160"/>
        <v>876</v>
      </c>
      <c r="B877" s="17">
        <f t="shared" si="154"/>
        <v>13.411199999999999</v>
      </c>
      <c r="C877" s="16">
        <f>Specification!$G$29</f>
        <v>164.943378</v>
      </c>
      <c r="D877" s="17">
        <f>0.5*Specification!$K$4*Track!B877^2*Specification!$K$3*Specification!$K$2</f>
        <v>93.159842569492653</v>
      </c>
      <c r="E877" s="16">
        <v>0</v>
      </c>
      <c r="F877" s="17">
        <f>Specification!$C$23*9.81*SIN((E877*PI()/180))</f>
        <v>0</v>
      </c>
      <c r="G877" s="18">
        <f>IF(J877=1,VLOOKUP(K877,RPM!$E$2:$H$62,3,FALSE)-F877-E877-D877,IF(J877=2,VLOOKUP(K877,RPM!$H$2:$K$62,3,FALSE)-F877-E877-D877,IF(J877=3,VLOOKUP(K877,RPM!$K$2:$N$62,3,FALSE)-F877-E877-D877)))</f>
        <v>549.56217903827155</v>
      </c>
      <c r="H877" s="19">
        <f>IF(J877=1,Specification!$I$14,IF(J877=2,Specification!$I$15,IF(J877=3,Specification!$I$16)))</f>
        <v>578.93404261974786</v>
      </c>
      <c r="I877" s="16">
        <f t="shared" si="165"/>
        <v>0</v>
      </c>
      <c r="J877" s="17">
        <v>3</v>
      </c>
      <c r="K877" s="16">
        <f>IF(J877=1,VLOOKUP(B877,RPM!$F$2:$H$62,3,TRUE),IF(J877=2,VLOOKUP(B877,RPM!$I$2:$K$62,3,TRUE),IF(J877=3,VLOOKUP(B877,RPM!$L$2:$N$62,3,TRUE))))</f>
        <v>4300</v>
      </c>
      <c r="L877" s="17">
        <f t="shared" si="164"/>
        <v>69.593880106468362</v>
      </c>
      <c r="M877" s="16">
        <f t="shared" si="155"/>
        <v>2.5261249524083507</v>
      </c>
      <c r="N877" s="17">
        <f>VLOOKUP(K877,RPM!$A$2:$D$62,3,FALSE)</f>
        <v>11.4</v>
      </c>
      <c r="O877" s="16">
        <f>VLOOKUP(K877,RPM!$A$2:$D$62,4,FALSE)</f>
        <v>18.894837209302327</v>
      </c>
      <c r="P877" s="17">
        <f t="shared" si="156"/>
        <v>14.089880106976747</v>
      </c>
      <c r="Q877" s="16" cm="1">
        <f t="array" ref="Q877">_xlfn.XLOOKUP(O877,BSFC!$A$2:$A$24,_xlfn.XLOOKUP(K877,BSFC!$B$1:$O$1,BSFC!$B$2:$O$24,,-1),,-1)</f>
        <v>480</v>
      </c>
      <c r="R877" s="17">
        <f t="shared" si="157"/>
        <v>1.8786506809302328</v>
      </c>
      <c r="S877" s="16">
        <f t="shared" si="158"/>
        <v>2.9183485335175871E-4</v>
      </c>
      <c r="T877" s="17">
        <f t="shared" si="161"/>
        <v>0.14008072960884418</v>
      </c>
      <c r="U877" s="16">
        <f t="shared" si="162"/>
        <v>115.42990434340805</v>
      </c>
      <c r="V877" s="17">
        <f t="shared" si="163"/>
        <v>0.23980419662383354</v>
      </c>
      <c r="W877" s="16">
        <f t="shared" si="159"/>
        <v>863295.10784580081</v>
      </c>
      <c r="X877">
        <f>('Hybrid Info'!$A$2-Track!P877)*(L877-L876)*1000+X876</f>
        <v>-24853.028430244627</v>
      </c>
    </row>
    <row r="878" spans="1:24">
      <c r="A878" s="16">
        <f t="shared" si="160"/>
        <v>877</v>
      </c>
      <c r="B878" s="17">
        <f t="shared" si="154"/>
        <v>13.411199999999999</v>
      </c>
      <c r="C878" s="16">
        <f>Specification!$G$29</f>
        <v>164.943378</v>
      </c>
      <c r="D878" s="17">
        <f>0.5*Specification!$K$4*Track!B878^2*Specification!$K$3*Specification!$K$2</f>
        <v>93.159842569492653</v>
      </c>
      <c r="E878" s="16">
        <v>0</v>
      </c>
      <c r="F878" s="17">
        <f>Specification!$C$23*9.81*SIN((E878*PI()/180))</f>
        <v>0</v>
      </c>
      <c r="G878" s="18">
        <f>IF(J878=1,VLOOKUP(K878,RPM!$E$2:$H$62,3,FALSE)-F878-E878-D878,IF(J878=2,VLOOKUP(K878,RPM!$H$2:$K$62,3,FALSE)-F878-E878-D878,IF(J878=3,VLOOKUP(K878,RPM!$K$2:$N$62,3,FALSE)-F878-E878-D878)))</f>
        <v>549.56217903827155</v>
      </c>
      <c r="H878" s="19">
        <f>IF(J878=1,Specification!$I$14,IF(J878=2,Specification!$I$15,IF(J878=3,Specification!$I$16)))</f>
        <v>578.93404261974786</v>
      </c>
      <c r="I878" s="16">
        <f t="shared" si="165"/>
        <v>0</v>
      </c>
      <c r="J878" s="17">
        <v>3</v>
      </c>
      <c r="K878" s="16">
        <f>IF(J878=1,VLOOKUP(B878,RPM!$F$2:$H$62,3,TRUE),IF(J878=2,VLOOKUP(B878,RPM!$I$2:$K$62,3,TRUE),IF(J878=3,VLOOKUP(B878,RPM!$L$2:$N$62,3,TRUE))))</f>
        <v>4300</v>
      </c>
      <c r="L878" s="17">
        <f t="shared" si="164"/>
        <v>69.668444649536838</v>
      </c>
      <c r="M878" s="16">
        <f t="shared" si="155"/>
        <v>2.5261249524083507</v>
      </c>
      <c r="N878" s="17">
        <f>VLOOKUP(K878,RPM!$A$2:$D$62,3,FALSE)</f>
        <v>11.4</v>
      </c>
      <c r="O878" s="16">
        <f>VLOOKUP(K878,RPM!$A$2:$D$62,4,FALSE)</f>
        <v>18.894837209302327</v>
      </c>
      <c r="P878" s="17">
        <f t="shared" si="156"/>
        <v>14.089880106976747</v>
      </c>
      <c r="Q878" s="16" cm="1">
        <f t="array" ref="Q878">_xlfn.XLOOKUP(O878,BSFC!$A$2:$A$24,_xlfn.XLOOKUP(K878,BSFC!$B$1:$O$1,BSFC!$B$2:$O$24,,-1),,-1)</f>
        <v>480</v>
      </c>
      <c r="R878" s="17">
        <f t="shared" si="157"/>
        <v>1.8786506809302328</v>
      </c>
      <c r="S878" s="16">
        <f t="shared" si="158"/>
        <v>2.9183485335175871E-4</v>
      </c>
      <c r="T878" s="17">
        <f t="shared" si="161"/>
        <v>0.14008072960884418</v>
      </c>
      <c r="U878" s="16">
        <f t="shared" si="162"/>
        <v>115.56998507301689</v>
      </c>
      <c r="V878" s="17">
        <f t="shared" si="163"/>
        <v>0.24009603147718531</v>
      </c>
      <c r="W878" s="16">
        <f t="shared" si="159"/>
        <v>864345.71331786714</v>
      </c>
      <c r="X878">
        <f>('Hybrid Info'!$A$2-Track!P878)*(L878-L877)*1000+X877</f>
        <v>-24999.877743594032</v>
      </c>
    </row>
    <row r="879" spans="1:24">
      <c r="A879" s="16">
        <f t="shared" si="160"/>
        <v>878</v>
      </c>
      <c r="B879" s="17">
        <f t="shared" si="154"/>
        <v>13.411199999999999</v>
      </c>
      <c r="C879" s="16">
        <f>Specification!$G$29</f>
        <v>164.943378</v>
      </c>
      <c r="D879" s="17">
        <f>0.5*Specification!$K$4*Track!B879^2*Specification!$K$3*Specification!$K$2</f>
        <v>93.159842569492653</v>
      </c>
      <c r="E879" s="16">
        <v>-1</v>
      </c>
      <c r="F879" s="17">
        <f>Specification!$C$23*9.81*SIN((E879*PI()/180))</f>
        <v>-95.955295733149597</v>
      </c>
      <c r="G879" s="18">
        <f>IF(J879=1,VLOOKUP(K879,RPM!$E$2:$H$62,3,FALSE)-F879-E879-D879,IF(J879=2,VLOOKUP(K879,RPM!$H$2:$K$62,3,FALSE)-F879-E879-D879,IF(J879=3,VLOOKUP(K879,RPM!$K$2:$N$62,3,FALSE)-F879-E879-D879)))</f>
        <v>646.51747477142112</v>
      </c>
      <c r="H879" s="19">
        <f>IF(J879=1,Specification!$I$14,IF(J879=2,Specification!$I$15,IF(J879=3,Specification!$I$16)))</f>
        <v>578.93404261974786</v>
      </c>
      <c r="I879" s="16">
        <f t="shared" si="165"/>
        <v>0</v>
      </c>
      <c r="J879" s="17">
        <v>3</v>
      </c>
      <c r="K879" s="16">
        <f>IF(J879=1,VLOOKUP(B879,RPM!$F$2:$H$62,3,TRUE),IF(J879=2,VLOOKUP(B879,RPM!$I$2:$K$62,3,TRUE),IF(J879=3,VLOOKUP(B879,RPM!$L$2:$N$62,3,TRUE))))</f>
        <v>4300</v>
      </c>
      <c r="L879" s="17">
        <f t="shared" si="164"/>
        <v>69.743009192605314</v>
      </c>
      <c r="M879" s="16">
        <f t="shared" si="155"/>
        <v>2.5086698874801332</v>
      </c>
      <c r="N879" s="17">
        <f>VLOOKUP(K879,RPM!$A$2:$D$62,3,FALSE)</f>
        <v>11.4</v>
      </c>
      <c r="O879" s="16">
        <f>VLOOKUP(K879,RPM!$A$2:$D$62,4,FALSE)</f>
        <v>18.894837209302327</v>
      </c>
      <c r="P879" s="17">
        <f t="shared" si="156"/>
        <v>14.089880106976747</v>
      </c>
      <c r="Q879" s="16" cm="1">
        <f t="array" ref="Q879">_xlfn.XLOOKUP(O879,BSFC!$A$2:$A$24,_xlfn.XLOOKUP(K879,BSFC!$B$1:$O$1,BSFC!$B$2:$O$24,,-1),,-1)</f>
        <v>480</v>
      </c>
      <c r="R879" s="17">
        <f t="shared" si="157"/>
        <v>1.8786506809302328</v>
      </c>
      <c r="S879" s="16">
        <f t="shared" si="158"/>
        <v>2.9183485335175871E-4</v>
      </c>
      <c r="T879" s="17">
        <f t="shared" si="161"/>
        <v>0.14008072960884418</v>
      </c>
      <c r="U879" s="16">
        <f t="shared" si="162"/>
        <v>115.71006580262573</v>
      </c>
      <c r="V879" s="17">
        <f t="shared" si="163"/>
        <v>0.24038786633053708</v>
      </c>
      <c r="W879" s="16">
        <f t="shared" si="159"/>
        <v>865396.31878993346</v>
      </c>
      <c r="X879">
        <f>('Hybrid Info'!$A$2-Track!P879)*(L879-L878)*1000+X878</f>
        <v>-25146.727056943437</v>
      </c>
    </row>
    <row r="880" spans="1:24">
      <c r="A880" s="16">
        <f t="shared" si="160"/>
        <v>879</v>
      </c>
      <c r="B880" s="17">
        <f t="shared" si="154"/>
        <v>13.411199999999999</v>
      </c>
      <c r="C880" s="16">
        <f>Specification!$G$29</f>
        <v>164.943378</v>
      </c>
      <c r="D880" s="17">
        <f>0.5*Specification!$K$4*Track!B880^2*Specification!$K$3*Specification!$K$2</f>
        <v>93.159842569492653</v>
      </c>
      <c r="E880" s="16">
        <v>-2</v>
      </c>
      <c r="F880" s="17">
        <f>Specification!$C$23*9.81*SIN((E880*PI()/180))</f>
        <v>-191.88136255367905</v>
      </c>
      <c r="G880" s="18">
        <f>IF(J880=1,VLOOKUP(K880,RPM!$E$2:$H$62,3,FALSE)-F880-E880-D880,IF(J880=2,VLOOKUP(K880,RPM!$H$2:$K$62,3,FALSE)-F880-E880-D880,IF(J880=3,VLOOKUP(K880,RPM!$K$2:$N$62,3,FALSE)-F880-E880-D880)))</f>
        <v>743.44354159195063</v>
      </c>
      <c r="H880" s="19">
        <f>IF(J880=1,Specification!$I$14,IF(J880=2,Specification!$I$15,IF(J880=3,Specification!$I$16)))</f>
        <v>578.93404261974786</v>
      </c>
      <c r="I880" s="16">
        <f t="shared" si="165"/>
        <v>0</v>
      </c>
      <c r="J880" s="17">
        <v>3</v>
      </c>
      <c r="K880" s="16">
        <f>IF(J880=1,VLOOKUP(B880,RPM!$F$2:$H$62,3,TRUE),IF(J880=2,VLOOKUP(B880,RPM!$I$2:$K$62,3,TRUE),IF(J880=3,VLOOKUP(B880,RPM!$L$2:$N$62,3,TRUE))))</f>
        <v>4300</v>
      </c>
      <c r="L880" s="17">
        <f t="shared" si="164"/>
        <v>69.81757373567379</v>
      </c>
      <c r="M880" s="16">
        <f t="shared" si="155"/>
        <v>2.4737491179883855</v>
      </c>
      <c r="N880" s="17">
        <f>VLOOKUP(K880,RPM!$A$2:$D$62,3,FALSE)</f>
        <v>11.4</v>
      </c>
      <c r="O880" s="16">
        <f>VLOOKUP(K880,RPM!$A$2:$D$62,4,FALSE)</f>
        <v>18.894837209302327</v>
      </c>
      <c r="P880" s="17">
        <f t="shared" si="156"/>
        <v>14.089880106976747</v>
      </c>
      <c r="Q880" s="16" cm="1">
        <f t="array" ref="Q880">_xlfn.XLOOKUP(O880,BSFC!$A$2:$A$24,_xlfn.XLOOKUP(K880,BSFC!$B$1:$O$1,BSFC!$B$2:$O$24,,-1),,-1)</f>
        <v>480</v>
      </c>
      <c r="R880" s="17">
        <f t="shared" si="157"/>
        <v>1.8786506809302328</v>
      </c>
      <c r="S880" s="16">
        <f t="shared" si="158"/>
        <v>2.9183485335175871E-4</v>
      </c>
      <c r="T880" s="17">
        <f t="shared" si="161"/>
        <v>0.14008072960884418</v>
      </c>
      <c r="U880" s="16">
        <f t="shared" si="162"/>
        <v>115.85014653223458</v>
      </c>
      <c r="V880" s="17">
        <f t="shared" si="163"/>
        <v>0.24067970118388884</v>
      </c>
      <c r="W880" s="16">
        <f t="shared" si="159"/>
        <v>866446.9242619999</v>
      </c>
      <c r="X880">
        <f>('Hybrid Info'!$A$2-Track!P880)*(L880-L879)*1000+X879</f>
        <v>-25293.576370292842</v>
      </c>
    </row>
    <row r="881" spans="1:24">
      <c r="A881" s="16">
        <f t="shared" si="160"/>
        <v>880</v>
      </c>
      <c r="B881" s="17">
        <f t="shared" ref="B881:B944" si="166">IF(SQRT(B880^2+2*I880)&gt;13.4112,13.4112,SQRT(B880^2+2*I880))</f>
        <v>13.411199999999999</v>
      </c>
      <c r="C881" s="16">
        <f>Specification!$G$29</f>
        <v>164.943378</v>
      </c>
      <c r="D881" s="17">
        <f>0.5*Specification!$K$4*Track!B881^2*Specification!$K$3*Specification!$K$2</f>
        <v>93.159842569492653</v>
      </c>
      <c r="E881" s="16">
        <v>-3</v>
      </c>
      <c r="F881" s="17">
        <f>Specification!$C$23*9.81*SIN((E881*PI()/180))</f>
        <v>-287.74898045237813</v>
      </c>
      <c r="G881" s="18">
        <f>IF(J881=1,VLOOKUP(K881,RPM!$E$2:$H$62,3,FALSE)-F881-E881-D881,IF(J881=2,VLOOKUP(K881,RPM!$H$2:$K$62,3,FALSE)-F881-E881-D881,IF(J881=3,VLOOKUP(K881,RPM!$K$2:$N$62,3,FALSE)-F881-E881-D881)))</f>
        <v>840.31115949064974</v>
      </c>
      <c r="H881" s="19">
        <f>IF(J881=1,Specification!$I$14,IF(J881=2,Specification!$I$15,IF(J881=3,Specification!$I$16)))</f>
        <v>578.93404261974786</v>
      </c>
      <c r="I881" s="16">
        <f t="shared" si="165"/>
        <v>0</v>
      </c>
      <c r="J881" s="17">
        <v>3</v>
      </c>
      <c r="K881" s="16">
        <f>IF(J881=1,VLOOKUP(B881,RPM!$F$2:$H$62,3,TRUE),IF(J881=2,VLOOKUP(B881,RPM!$I$2:$K$62,3,TRUE),IF(J881=3,VLOOKUP(B881,RPM!$L$2:$N$62,3,TRUE))))</f>
        <v>4300</v>
      </c>
      <c r="L881" s="17">
        <f t="shared" si="164"/>
        <v>69.892138278742266</v>
      </c>
      <c r="M881" s="16">
        <f t="shared" si="155"/>
        <v>2.4213413387053442</v>
      </c>
      <c r="N881" s="17">
        <f>VLOOKUP(K881,RPM!$A$2:$D$62,3,FALSE)</f>
        <v>11.4</v>
      </c>
      <c r="O881" s="16">
        <f>VLOOKUP(K881,RPM!$A$2:$D$62,4,FALSE)</f>
        <v>18.894837209302327</v>
      </c>
      <c r="P881" s="17">
        <f t="shared" si="156"/>
        <v>14.089880106976747</v>
      </c>
      <c r="Q881" s="16" cm="1">
        <f t="array" ref="Q881">_xlfn.XLOOKUP(O881,BSFC!$A$2:$A$24,_xlfn.XLOOKUP(K881,BSFC!$B$1:$O$1,BSFC!$B$2:$O$24,,-1),,-1)</f>
        <v>480</v>
      </c>
      <c r="R881" s="17">
        <f t="shared" si="157"/>
        <v>1.8786506809302328</v>
      </c>
      <c r="S881" s="16">
        <f t="shared" si="158"/>
        <v>2.9183485335175871E-4</v>
      </c>
      <c r="T881" s="17">
        <f t="shared" si="161"/>
        <v>0.14008072960884418</v>
      </c>
      <c r="U881" s="16">
        <f t="shared" si="162"/>
        <v>115.99022726184342</v>
      </c>
      <c r="V881" s="17">
        <f t="shared" si="163"/>
        <v>0.24097153603724061</v>
      </c>
      <c r="W881" s="16">
        <f t="shared" si="159"/>
        <v>867497.52973406622</v>
      </c>
      <c r="X881">
        <f>('Hybrid Info'!$A$2-Track!P881)*(L881-L880)*1000+X880</f>
        <v>-25440.425683642246</v>
      </c>
    </row>
    <row r="882" spans="1:24">
      <c r="A882" s="16">
        <f t="shared" si="160"/>
        <v>881</v>
      </c>
      <c r="B882" s="17">
        <f t="shared" si="166"/>
        <v>13.411199999999999</v>
      </c>
      <c r="C882" s="16">
        <f>Specification!$G$29</f>
        <v>164.943378</v>
      </c>
      <c r="D882" s="17">
        <f>0.5*Specification!$K$4*Track!B882^2*Specification!$K$3*Specification!$K$2</f>
        <v>93.159842569492653</v>
      </c>
      <c r="E882" s="16">
        <v>-4</v>
      </c>
      <c r="F882" s="17">
        <f>Specification!$C$23*9.81*SIN((E882*PI()/180))</f>
        <v>-383.52894722414453</v>
      </c>
      <c r="G882" s="18">
        <f>IF(J882=1,VLOOKUP(K882,RPM!$E$2:$H$62,3,FALSE)-F882-E882-D882,IF(J882=2,VLOOKUP(K882,RPM!$H$2:$K$62,3,FALSE)-F882-E882-D882,IF(J882=3,VLOOKUP(K882,RPM!$K$2:$N$62,3,FALSE)-F882-E882-D882)))</f>
        <v>937.09112626241608</v>
      </c>
      <c r="H882" s="19">
        <f>IF(J882=1,Specification!$I$14,IF(J882=2,Specification!$I$15,IF(J882=3,Specification!$I$16)))</f>
        <v>578.93404261974786</v>
      </c>
      <c r="I882" s="16">
        <f t="shared" si="165"/>
        <v>0</v>
      </c>
      <c r="J882" s="17">
        <v>3</v>
      </c>
      <c r="K882" s="16">
        <f>IF(J882=1,VLOOKUP(B882,RPM!$F$2:$H$62,3,TRUE),IF(J882=2,VLOOKUP(B882,RPM!$I$2:$K$62,3,TRUE),IF(J882=3,VLOOKUP(B882,RPM!$L$2:$N$62,3,TRUE))))</f>
        <v>4300</v>
      </c>
      <c r="L882" s="17">
        <f t="shared" si="164"/>
        <v>69.966702821810742</v>
      </c>
      <c r="M882" s="16">
        <f t="shared" si="155"/>
        <v>2.3514145267618338</v>
      </c>
      <c r="N882" s="17">
        <f>VLOOKUP(K882,RPM!$A$2:$D$62,3,FALSE)</f>
        <v>11.4</v>
      </c>
      <c r="O882" s="16">
        <f>VLOOKUP(K882,RPM!$A$2:$D$62,4,FALSE)</f>
        <v>18.894837209302327</v>
      </c>
      <c r="P882" s="17">
        <f t="shared" si="156"/>
        <v>14.089880106976747</v>
      </c>
      <c r="Q882" s="16" cm="1">
        <f t="array" ref="Q882">_xlfn.XLOOKUP(O882,BSFC!$A$2:$A$24,_xlfn.XLOOKUP(K882,BSFC!$B$1:$O$1,BSFC!$B$2:$O$24,,-1),,-1)</f>
        <v>480</v>
      </c>
      <c r="R882" s="17">
        <f t="shared" si="157"/>
        <v>1.8786506809302328</v>
      </c>
      <c r="S882" s="16">
        <f t="shared" si="158"/>
        <v>2.9183485335175871E-4</v>
      </c>
      <c r="T882" s="17">
        <f t="shared" si="161"/>
        <v>0.14008072960884418</v>
      </c>
      <c r="U882" s="16">
        <f t="shared" si="162"/>
        <v>116.13030799145226</v>
      </c>
      <c r="V882" s="17">
        <f t="shared" si="163"/>
        <v>0.24126337089059238</v>
      </c>
      <c r="W882" s="16">
        <f t="shared" si="159"/>
        <v>868548.13520613255</v>
      </c>
      <c r="X882">
        <f>('Hybrid Info'!$A$2-Track!P882)*(L882-L881)*1000+X881</f>
        <v>-25587.274996991651</v>
      </c>
    </row>
    <row r="883" spans="1:24">
      <c r="A883" s="16">
        <f t="shared" si="160"/>
        <v>882</v>
      </c>
      <c r="B883" s="17">
        <f t="shared" si="166"/>
        <v>13.411199999999999</v>
      </c>
      <c r="C883" s="16">
        <f>Specification!$G$29</f>
        <v>164.943378</v>
      </c>
      <c r="D883" s="17">
        <f>0.5*Specification!$K$4*Track!B883^2*Specification!$K$3*Specification!$K$2</f>
        <v>93.159842569492653</v>
      </c>
      <c r="E883" s="16">
        <v>-5</v>
      </c>
      <c r="F883" s="17">
        <f>Specification!$C$23*9.81*SIN((E883*PI()/180))</f>
        <v>-479.192087363258</v>
      </c>
      <c r="G883" s="18">
        <f>IF(J883=1,VLOOKUP(K883,RPM!$E$2:$H$62,3,FALSE)-F883-E883-D883,IF(J883=2,VLOOKUP(K883,RPM!$H$2:$K$62,3,FALSE)-F883-E883-D883,IF(J883=3,VLOOKUP(K883,RPM!$K$2:$N$62,3,FALSE)-F883-E883-D883)))</f>
        <v>1033.7542664015295</v>
      </c>
      <c r="H883" s="19">
        <f>IF(J883=1,Specification!$I$14,IF(J883=2,Specification!$I$15,IF(J883=3,Specification!$I$16)))</f>
        <v>578.93404261974786</v>
      </c>
      <c r="I883" s="16">
        <f t="shared" si="165"/>
        <v>0</v>
      </c>
      <c r="J883" s="17">
        <v>3</v>
      </c>
      <c r="K883" s="16">
        <f>IF(J883=1,VLOOKUP(B883,RPM!$F$2:$H$62,3,TRUE),IF(J883=2,VLOOKUP(B883,RPM!$I$2:$K$62,3,TRUE),IF(J883=3,VLOOKUP(B883,RPM!$L$2:$N$62,3,TRUE))))</f>
        <v>4300</v>
      </c>
      <c r="L883" s="17">
        <f t="shared" si="164"/>
        <v>70.041267364879218</v>
      </c>
      <c r="M883" s="16">
        <f t="shared" ref="M883:M946" si="167">TAN(E883*PI()/180)+M882</f>
        <v>2.2639258632359098</v>
      </c>
      <c r="N883" s="17">
        <f>VLOOKUP(K883,RPM!$A$2:$D$62,3,FALSE)</f>
        <v>11.4</v>
      </c>
      <c r="O883" s="16">
        <f>VLOOKUP(K883,RPM!$A$2:$D$62,4,FALSE)</f>
        <v>18.894837209302327</v>
      </c>
      <c r="P883" s="17">
        <f t="shared" si="156"/>
        <v>14.089880106976747</v>
      </c>
      <c r="Q883" s="16" cm="1">
        <f t="array" ref="Q883">_xlfn.XLOOKUP(O883,BSFC!$A$2:$A$24,_xlfn.XLOOKUP(K883,BSFC!$B$1:$O$1,BSFC!$B$2:$O$24,,-1),,-1)</f>
        <v>480</v>
      </c>
      <c r="R883" s="17">
        <f t="shared" si="157"/>
        <v>1.8786506809302328</v>
      </c>
      <c r="S883" s="16">
        <f t="shared" si="158"/>
        <v>2.9183485335175871E-4</v>
      </c>
      <c r="T883" s="17">
        <f t="shared" si="161"/>
        <v>0.14008072960884418</v>
      </c>
      <c r="U883" s="16">
        <f t="shared" si="162"/>
        <v>116.2703887210611</v>
      </c>
      <c r="V883" s="17">
        <f t="shared" si="163"/>
        <v>0.24155520574394415</v>
      </c>
      <c r="W883" s="16">
        <f t="shared" si="159"/>
        <v>869598.74067819898</v>
      </c>
      <c r="X883">
        <f>('Hybrid Info'!$A$2-Track!P883)*(L883-L882)*1000+X882</f>
        <v>-25734.124310341056</v>
      </c>
    </row>
    <row r="884" spans="1:24">
      <c r="A884" s="16">
        <f t="shared" si="160"/>
        <v>883</v>
      </c>
      <c r="B884" s="17">
        <f t="shared" si="166"/>
        <v>13.411199999999999</v>
      </c>
      <c r="C884" s="16">
        <f>Specification!$G$29</f>
        <v>164.943378</v>
      </c>
      <c r="D884" s="17">
        <f>0.5*Specification!$K$4*Track!B884^2*Specification!$K$3*Specification!$K$2</f>
        <v>93.159842569492653</v>
      </c>
      <c r="E884" s="16">
        <v>-6</v>
      </c>
      <c r="F884" s="17">
        <f>Specification!$C$23*9.81*SIN((E884*PI()/180))</f>
        <v>-574.70926095052266</v>
      </c>
      <c r="G884" s="18">
        <f>IF(J884=1,VLOOKUP(K884,RPM!$E$2:$H$62,3,FALSE)-F884-E884-D884,IF(J884=2,VLOOKUP(K884,RPM!$H$2:$K$62,3,FALSE)-F884-E884-D884,IF(J884=3,VLOOKUP(K884,RPM!$K$2:$N$62,3,FALSE)-F884-E884-D884)))</f>
        <v>1130.2714399887943</v>
      </c>
      <c r="H884" s="19">
        <f>IF(J884=1,Specification!$I$14,IF(J884=2,Specification!$I$15,IF(J884=3,Specification!$I$16)))</f>
        <v>578.93404261974786</v>
      </c>
      <c r="I884" s="16">
        <f t="shared" si="165"/>
        <v>0</v>
      </c>
      <c r="J884" s="17">
        <v>3</v>
      </c>
      <c r="K884" s="16">
        <f>IF(J884=1,VLOOKUP(B884,RPM!$F$2:$H$62,3,TRUE),IF(J884=2,VLOOKUP(B884,RPM!$I$2:$K$62,3,TRUE),IF(J884=3,VLOOKUP(B884,RPM!$L$2:$N$62,3,TRUE))))</f>
        <v>4300</v>
      </c>
      <c r="L884" s="17">
        <f t="shared" si="164"/>
        <v>70.115831907947694</v>
      </c>
      <c r="M884" s="16">
        <f t="shared" si="167"/>
        <v>2.1588216279702332</v>
      </c>
      <c r="N884" s="17">
        <f>VLOOKUP(K884,RPM!$A$2:$D$62,3,FALSE)</f>
        <v>11.4</v>
      </c>
      <c r="O884" s="16">
        <f>VLOOKUP(K884,RPM!$A$2:$D$62,4,FALSE)</f>
        <v>18.894837209302327</v>
      </c>
      <c r="P884" s="17">
        <f t="shared" si="156"/>
        <v>14.089880106976747</v>
      </c>
      <c r="Q884" s="16" cm="1">
        <f t="array" ref="Q884">_xlfn.XLOOKUP(O884,BSFC!$A$2:$A$24,_xlfn.XLOOKUP(K884,BSFC!$B$1:$O$1,BSFC!$B$2:$O$24,,-1),,-1)</f>
        <v>480</v>
      </c>
      <c r="R884" s="17">
        <f t="shared" si="157"/>
        <v>1.8786506809302328</v>
      </c>
      <c r="S884" s="16">
        <f t="shared" si="158"/>
        <v>2.9183485335175871E-4</v>
      </c>
      <c r="T884" s="17">
        <f t="shared" si="161"/>
        <v>0.14008072960884418</v>
      </c>
      <c r="U884" s="16">
        <f t="shared" si="162"/>
        <v>116.41046945066994</v>
      </c>
      <c r="V884" s="17">
        <f t="shared" si="163"/>
        <v>0.24184704059729592</v>
      </c>
      <c r="W884" s="16">
        <f t="shared" si="159"/>
        <v>870649.34615026531</v>
      </c>
      <c r="X884">
        <f>('Hybrid Info'!$A$2-Track!P884)*(L884-L883)*1000+X883</f>
        <v>-25880.973623690461</v>
      </c>
    </row>
    <row r="885" spans="1:24">
      <c r="A885" s="16">
        <f t="shared" si="160"/>
        <v>884</v>
      </c>
      <c r="B885" s="17">
        <f t="shared" si="166"/>
        <v>13.411199999999999</v>
      </c>
      <c r="C885" s="16">
        <f>Specification!$G$29</f>
        <v>164.943378</v>
      </c>
      <c r="D885" s="17">
        <f>0.5*Specification!$K$4*Track!B885^2*Specification!$K$3*Specification!$K$2</f>
        <v>93.159842569492653</v>
      </c>
      <c r="E885" s="16">
        <v>-7</v>
      </c>
      <c r="F885" s="17">
        <f>Specification!$C$23*9.81*SIN((E885*PI()/180))</f>
        <v>-670.05137252956831</v>
      </c>
      <c r="G885" s="18">
        <f>IF(J885=1,VLOOKUP(K885,RPM!$E$2:$H$62,3,FALSE)-F885-E885-D885,IF(J885=2,VLOOKUP(K885,RPM!$H$2:$K$62,3,FALSE)-F885-E885-D885,IF(J885=3,VLOOKUP(K885,RPM!$K$2:$N$62,3,FALSE)-F885-E885-D885)))</f>
        <v>1226.61355156784</v>
      </c>
      <c r="H885" s="19">
        <f>IF(J885=1,Specification!$I$14,IF(J885=2,Specification!$I$15,IF(J885=3,Specification!$I$16)))</f>
        <v>578.93404261974786</v>
      </c>
      <c r="I885" s="16">
        <f t="shared" si="165"/>
        <v>0</v>
      </c>
      <c r="J885" s="17">
        <v>3</v>
      </c>
      <c r="K885" s="16">
        <f>IF(J885=1,VLOOKUP(B885,RPM!$F$2:$H$62,3,TRUE),IF(J885=2,VLOOKUP(B885,RPM!$I$2:$K$62,3,TRUE),IF(J885=3,VLOOKUP(B885,RPM!$L$2:$N$62,3,TRUE))))</f>
        <v>4300</v>
      </c>
      <c r="L885" s="17">
        <f t="shared" si="164"/>
        <v>70.19039645101617</v>
      </c>
      <c r="M885" s="16">
        <f t="shared" si="167"/>
        <v>2.0360370670673285</v>
      </c>
      <c r="N885" s="17">
        <f>VLOOKUP(K885,RPM!$A$2:$D$62,3,FALSE)</f>
        <v>11.4</v>
      </c>
      <c r="O885" s="16">
        <f>VLOOKUP(K885,RPM!$A$2:$D$62,4,FALSE)</f>
        <v>18.894837209302327</v>
      </c>
      <c r="P885" s="17">
        <f t="shared" si="156"/>
        <v>14.089880106976747</v>
      </c>
      <c r="Q885" s="16" cm="1">
        <f t="array" ref="Q885">_xlfn.XLOOKUP(O885,BSFC!$A$2:$A$24,_xlfn.XLOOKUP(K885,BSFC!$B$1:$O$1,BSFC!$B$2:$O$24,,-1),,-1)</f>
        <v>480</v>
      </c>
      <c r="R885" s="17">
        <f t="shared" si="157"/>
        <v>1.8786506809302328</v>
      </c>
      <c r="S885" s="16">
        <f t="shared" si="158"/>
        <v>2.9183485335175871E-4</v>
      </c>
      <c r="T885" s="17">
        <f t="shared" si="161"/>
        <v>0.14008072960884418</v>
      </c>
      <c r="U885" s="16">
        <f t="shared" si="162"/>
        <v>116.55055018027878</v>
      </c>
      <c r="V885" s="17">
        <f t="shared" si="163"/>
        <v>0.24213887545064769</v>
      </c>
      <c r="W885" s="16">
        <f t="shared" si="159"/>
        <v>871699.95162233175</v>
      </c>
      <c r="X885">
        <f>('Hybrid Info'!$A$2-Track!P885)*(L885-L884)*1000+X884</f>
        <v>-26027.822937039866</v>
      </c>
    </row>
    <row r="886" spans="1:24">
      <c r="A886" s="16">
        <f t="shared" si="160"/>
        <v>885</v>
      </c>
      <c r="B886" s="17">
        <f t="shared" si="166"/>
        <v>13.411199999999999</v>
      </c>
      <c r="C886" s="16">
        <f>Specification!$G$29</f>
        <v>164.943378</v>
      </c>
      <c r="D886" s="17">
        <f>0.5*Specification!$K$4*Track!B886^2*Specification!$K$3*Specification!$K$2</f>
        <v>93.159842569492653</v>
      </c>
      <c r="E886" s="16">
        <v>-8</v>
      </c>
      <c r="F886" s="17">
        <f>Specification!$C$23*9.81*SIN((E886*PI()/180))</f>
        <v>-765.1893799696079</v>
      </c>
      <c r="G886" s="18">
        <f>IF(J886=1,VLOOKUP(K886,RPM!$E$2:$H$62,3,FALSE)-F886-E886-D886,IF(J886=2,VLOOKUP(K886,RPM!$H$2:$K$62,3,FALSE)-F886-E886-D886,IF(J886=3,VLOOKUP(K886,RPM!$K$2:$N$62,3,FALSE)-F886-E886-D886)))</f>
        <v>1322.7515590078795</v>
      </c>
      <c r="H886" s="19">
        <f>IF(J886=1,Specification!$I$14,IF(J886=2,Specification!$I$15,IF(J886=3,Specification!$I$16)))</f>
        <v>578.93404261974786</v>
      </c>
      <c r="I886" s="16">
        <f t="shared" si="165"/>
        <v>0</v>
      </c>
      <c r="J886" s="17">
        <v>3</v>
      </c>
      <c r="K886" s="16">
        <f>IF(J886=1,VLOOKUP(B886,RPM!$F$2:$H$62,3,TRUE),IF(J886=2,VLOOKUP(B886,RPM!$I$2:$K$62,3,TRUE),IF(J886=3,VLOOKUP(B886,RPM!$L$2:$N$62,3,TRUE))))</f>
        <v>4300</v>
      </c>
      <c r="L886" s="17">
        <f t="shared" si="164"/>
        <v>70.264960994084646</v>
      </c>
      <c r="M886" s="16">
        <f t="shared" si="167"/>
        <v>1.8954962323649369</v>
      </c>
      <c r="N886" s="17">
        <f>VLOOKUP(K886,RPM!$A$2:$D$62,3,FALSE)</f>
        <v>11.4</v>
      </c>
      <c r="O886" s="16">
        <f>VLOOKUP(K886,RPM!$A$2:$D$62,4,FALSE)</f>
        <v>18.894837209302327</v>
      </c>
      <c r="P886" s="17">
        <f t="shared" si="156"/>
        <v>14.089880106976747</v>
      </c>
      <c r="Q886" s="16" cm="1">
        <f t="array" ref="Q886">_xlfn.XLOOKUP(O886,BSFC!$A$2:$A$24,_xlfn.XLOOKUP(K886,BSFC!$B$1:$O$1,BSFC!$B$2:$O$24,,-1),,-1)</f>
        <v>480</v>
      </c>
      <c r="R886" s="17">
        <f t="shared" si="157"/>
        <v>1.8786506809302328</v>
      </c>
      <c r="S886" s="16">
        <f t="shared" si="158"/>
        <v>2.9183485335175871E-4</v>
      </c>
      <c r="T886" s="17">
        <f t="shared" si="161"/>
        <v>0.14008072960884418</v>
      </c>
      <c r="U886" s="16">
        <f t="shared" si="162"/>
        <v>116.69063090988762</v>
      </c>
      <c r="V886" s="17">
        <f t="shared" si="163"/>
        <v>0.24243071030399946</v>
      </c>
      <c r="W886" s="16">
        <f t="shared" si="159"/>
        <v>872750.55709439807</v>
      </c>
      <c r="X886">
        <f>('Hybrid Info'!$A$2-Track!P886)*(L886-L885)*1000+X885</f>
        <v>-26174.672250389271</v>
      </c>
    </row>
    <row r="887" spans="1:24">
      <c r="A887" s="16">
        <f t="shared" si="160"/>
        <v>886</v>
      </c>
      <c r="B887" s="17">
        <f t="shared" si="166"/>
        <v>13.411199999999999</v>
      </c>
      <c r="C887" s="16">
        <f>Specification!$G$29</f>
        <v>164.943378</v>
      </c>
      <c r="D887" s="17">
        <f>0.5*Specification!$K$4*Track!B887^2*Specification!$K$3*Specification!$K$2</f>
        <v>93.159842569492653</v>
      </c>
      <c r="E887" s="16">
        <v>-8</v>
      </c>
      <c r="F887" s="17">
        <f>Specification!$C$23*9.81*SIN((E887*PI()/180))</f>
        <v>-765.1893799696079</v>
      </c>
      <c r="G887" s="18">
        <f>IF(J887=1,VLOOKUP(K887,RPM!$E$2:$H$62,3,FALSE)-F887-E887-D887,IF(J887=2,VLOOKUP(K887,RPM!$H$2:$K$62,3,FALSE)-F887-E887-D887,IF(J887=3,VLOOKUP(K887,RPM!$K$2:$N$62,3,FALSE)-F887-E887-D887)))</f>
        <v>1322.7515590078795</v>
      </c>
      <c r="H887" s="19">
        <f>IF(J887=1,Specification!$I$14,IF(J887=2,Specification!$I$15,IF(J887=3,Specification!$I$16)))</f>
        <v>578.93404261974786</v>
      </c>
      <c r="I887" s="16">
        <f t="shared" si="165"/>
        <v>0</v>
      </c>
      <c r="J887" s="17">
        <v>3</v>
      </c>
      <c r="K887" s="16">
        <f>IF(J887=1,VLOOKUP(B887,RPM!$F$2:$H$62,3,TRUE),IF(J887=2,VLOOKUP(B887,RPM!$I$2:$K$62,3,TRUE),IF(J887=3,VLOOKUP(B887,RPM!$L$2:$N$62,3,TRUE))))</f>
        <v>4300</v>
      </c>
      <c r="L887" s="17">
        <f t="shared" si="164"/>
        <v>70.339525537153122</v>
      </c>
      <c r="M887" s="16">
        <f t="shared" si="167"/>
        <v>1.7549553976625454</v>
      </c>
      <c r="N887" s="17">
        <f>VLOOKUP(K887,RPM!$A$2:$D$62,3,FALSE)</f>
        <v>11.4</v>
      </c>
      <c r="O887" s="16">
        <f>VLOOKUP(K887,RPM!$A$2:$D$62,4,FALSE)</f>
        <v>18.894837209302327</v>
      </c>
      <c r="P887" s="17">
        <f t="shared" si="156"/>
        <v>14.089880106976747</v>
      </c>
      <c r="Q887" s="16" cm="1">
        <f t="array" ref="Q887">_xlfn.XLOOKUP(O887,BSFC!$A$2:$A$24,_xlfn.XLOOKUP(K887,BSFC!$B$1:$O$1,BSFC!$B$2:$O$24,,-1),,-1)</f>
        <v>480</v>
      </c>
      <c r="R887" s="17">
        <f t="shared" si="157"/>
        <v>1.8786506809302328</v>
      </c>
      <c r="S887" s="16">
        <f t="shared" si="158"/>
        <v>2.9183485335175871E-4</v>
      </c>
      <c r="T887" s="17">
        <f t="shared" si="161"/>
        <v>0.14008072960884418</v>
      </c>
      <c r="U887" s="16">
        <f t="shared" si="162"/>
        <v>116.83071163949646</v>
      </c>
      <c r="V887" s="17">
        <f t="shared" si="163"/>
        <v>0.24272254515735123</v>
      </c>
      <c r="W887" s="16">
        <f t="shared" si="159"/>
        <v>873801.16256646439</v>
      </c>
      <c r="X887">
        <f>('Hybrid Info'!$A$2-Track!P887)*(L887-L886)*1000+X886</f>
        <v>-26321.521563738675</v>
      </c>
    </row>
    <row r="888" spans="1:24">
      <c r="A888" s="16">
        <f t="shared" si="160"/>
        <v>887</v>
      </c>
      <c r="B888" s="17">
        <f t="shared" si="166"/>
        <v>13.411199999999999</v>
      </c>
      <c r="C888" s="16">
        <f>Specification!$G$29</f>
        <v>164.943378</v>
      </c>
      <c r="D888" s="17">
        <f>0.5*Specification!$K$4*Track!B888^2*Specification!$K$3*Specification!$K$2</f>
        <v>93.159842569492653</v>
      </c>
      <c r="E888" s="16">
        <v>-8</v>
      </c>
      <c r="F888" s="17">
        <f>Specification!$C$23*9.81*SIN((E888*PI()/180))</f>
        <v>-765.1893799696079</v>
      </c>
      <c r="G888" s="18">
        <f>IF(J888=1,VLOOKUP(K888,RPM!$E$2:$H$62,3,FALSE)-F888-E888-D888,IF(J888=2,VLOOKUP(K888,RPM!$H$2:$K$62,3,FALSE)-F888-E888-D888,IF(J888=3,VLOOKUP(K888,RPM!$K$2:$N$62,3,FALSE)-F888-E888-D888)))</f>
        <v>1322.7515590078795</v>
      </c>
      <c r="H888" s="19">
        <f>IF(J888=1,Specification!$I$14,IF(J888=2,Specification!$I$15,IF(J888=3,Specification!$I$16)))</f>
        <v>578.93404261974786</v>
      </c>
      <c r="I888" s="16">
        <f t="shared" si="165"/>
        <v>0</v>
      </c>
      <c r="J888" s="17">
        <v>3</v>
      </c>
      <c r="K888" s="16">
        <f>IF(J888=1,VLOOKUP(B888,RPM!$F$2:$H$62,3,TRUE),IF(J888=2,VLOOKUP(B888,RPM!$I$2:$K$62,3,TRUE),IF(J888=3,VLOOKUP(B888,RPM!$L$2:$N$62,3,TRUE))))</f>
        <v>4300</v>
      </c>
      <c r="L888" s="17">
        <f t="shared" si="164"/>
        <v>70.414090080221598</v>
      </c>
      <c r="M888" s="16">
        <f t="shared" si="167"/>
        <v>1.6144145629601538</v>
      </c>
      <c r="N888" s="17">
        <f>VLOOKUP(K888,RPM!$A$2:$D$62,3,FALSE)</f>
        <v>11.4</v>
      </c>
      <c r="O888" s="16">
        <f>VLOOKUP(K888,RPM!$A$2:$D$62,4,FALSE)</f>
        <v>18.894837209302327</v>
      </c>
      <c r="P888" s="17">
        <f t="shared" si="156"/>
        <v>14.089880106976747</v>
      </c>
      <c r="Q888" s="16" cm="1">
        <f t="array" ref="Q888">_xlfn.XLOOKUP(O888,BSFC!$A$2:$A$24,_xlfn.XLOOKUP(K888,BSFC!$B$1:$O$1,BSFC!$B$2:$O$24,,-1),,-1)</f>
        <v>480</v>
      </c>
      <c r="R888" s="17">
        <f t="shared" si="157"/>
        <v>1.8786506809302328</v>
      </c>
      <c r="S888" s="16">
        <f t="shared" si="158"/>
        <v>2.9183485335175871E-4</v>
      </c>
      <c r="T888" s="17">
        <f t="shared" si="161"/>
        <v>0.14008072960884418</v>
      </c>
      <c r="U888" s="16">
        <f t="shared" si="162"/>
        <v>116.9707923691053</v>
      </c>
      <c r="V888" s="17">
        <f t="shared" si="163"/>
        <v>0.243014380010703</v>
      </c>
      <c r="W888" s="16">
        <f t="shared" si="159"/>
        <v>874851.76803853083</v>
      </c>
      <c r="X888">
        <f>('Hybrid Info'!$A$2-Track!P888)*(L888-L887)*1000+X887</f>
        <v>-26468.37087708808</v>
      </c>
    </row>
    <row r="889" spans="1:24">
      <c r="A889" s="16">
        <f t="shared" si="160"/>
        <v>888</v>
      </c>
      <c r="B889" s="17">
        <f t="shared" si="166"/>
        <v>13.411199999999999</v>
      </c>
      <c r="C889" s="16">
        <f>Specification!$G$29</f>
        <v>164.943378</v>
      </c>
      <c r="D889" s="17">
        <f>0.5*Specification!$K$4*Track!B889^2*Specification!$K$3*Specification!$K$2</f>
        <v>93.159842569492653</v>
      </c>
      <c r="E889" s="16">
        <v>-8</v>
      </c>
      <c r="F889" s="17">
        <f>Specification!$C$23*9.81*SIN((E889*PI()/180))</f>
        <v>-765.1893799696079</v>
      </c>
      <c r="G889" s="18">
        <f>IF(J889=1,VLOOKUP(K889,RPM!$E$2:$H$62,3,FALSE)-F889-E889-D889,IF(J889=2,VLOOKUP(K889,RPM!$H$2:$K$62,3,FALSE)-F889-E889-D889,IF(J889=3,VLOOKUP(K889,RPM!$K$2:$N$62,3,FALSE)-F889-E889-D889)))</f>
        <v>1322.7515590078795</v>
      </c>
      <c r="H889" s="19">
        <f>IF(J889=1,Specification!$I$14,IF(J889=2,Specification!$I$15,IF(J889=3,Specification!$I$16)))</f>
        <v>578.93404261974786</v>
      </c>
      <c r="I889" s="16">
        <f t="shared" si="165"/>
        <v>0</v>
      </c>
      <c r="J889" s="17">
        <v>3</v>
      </c>
      <c r="K889" s="16">
        <f>IF(J889=1,VLOOKUP(B889,RPM!$F$2:$H$62,3,TRUE),IF(J889=2,VLOOKUP(B889,RPM!$I$2:$K$62,3,TRUE),IF(J889=3,VLOOKUP(B889,RPM!$L$2:$N$62,3,TRUE))))</f>
        <v>4300</v>
      </c>
      <c r="L889" s="17">
        <f t="shared" si="164"/>
        <v>70.488654623290074</v>
      </c>
      <c r="M889" s="16">
        <f t="shared" si="167"/>
        <v>1.4738737282577623</v>
      </c>
      <c r="N889" s="17">
        <f>VLOOKUP(K889,RPM!$A$2:$D$62,3,FALSE)</f>
        <v>11.4</v>
      </c>
      <c r="O889" s="16">
        <f>VLOOKUP(K889,RPM!$A$2:$D$62,4,FALSE)</f>
        <v>18.894837209302327</v>
      </c>
      <c r="P889" s="17">
        <f t="shared" si="156"/>
        <v>14.089880106976747</v>
      </c>
      <c r="Q889" s="16" cm="1">
        <f t="array" ref="Q889">_xlfn.XLOOKUP(O889,BSFC!$A$2:$A$24,_xlfn.XLOOKUP(K889,BSFC!$B$1:$O$1,BSFC!$B$2:$O$24,,-1),,-1)</f>
        <v>480</v>
      </c>
      <c r="R889" s="17">
        <f t="shared" si="157"/>
        <v>1.8786506809302328</v>
      </c>
      <c r="S889" s="16">
        <f t="shared" si="158"/>
        <v>2.9183485335175871E-4</v>
      </c>
      <c r="T889" s="17">
        <f t="shared" si="161"/>
        <v>0.14008072960884418</v>
      </c>
      <c r="U889" s="16">
        <f t="shared" si="162"/>
        <v>117.11087309871414</v>
      </c>
      <c r="V889" s="17">
        <f t="shared" si="163"/>
        <v>0.24330621486405477</v>
      </c>
      <c r="W889" s="16">
        <f t="shared" si="159"/>
        <v>875902.37351059716</v>
      </c>
      <c r="X889">
        <f>('Hybrid Info'!$A$2-Track!P889)*(L889-L888)*1000+X888</f>
        <v>-26615.220190437485</v>
      </c>
    </row>
    <row r="890" spans="1:24">
      <c r="A890" s="16">
        <f t="shared" si="160"/>
        <v>889</v>
      </c>
      <c r="B890" s="17">
        <f t="shared" si="166"/>
        <v>13.411199999999999</v>
      </c>
      <c r="C890" s="16">
        <f>Specification!$G$29</f>
        <v>164.943378</v>
      </c>
      <c r="D890" s="17">
        <f>0.5*Specification!$K$4*Track!B890^2*Specification!$K$3*Specification!$K$2</f>
        <v>93.159842569492653</v>
      </c>
      <c r="E890" s="16">
        <v>-8</v>
      </c>
      <c r="F890" s="17">
        <f>Specification!$C$23*9.81*SIN((E890*PI()/180))</f>
        <v>-765.1893799696079</v>
      </c>
      <c r="G890" s="18">
        <f>IF(J890=1,VLOOKUP(K890,RPM!$E$2:$H$62,3,FALSE)-F890-E890-D890,IF(J890=2,VLOOKUP(K890,RPM!$H$2:$K$62,3,FALSE)-F890-E890-D890,IF(J890=3,VLOOKUP(K890,RPM!$K$2:$N$62,3,FALSE)-F890-E890-D890)))</f>
        <v>1322.7515590078795</v>
      </c>
      <c r="H890" s="19">
        <f>IF(J890=1,Specification!$I$14,IF(J890=2,Specification!$I$15,IF(J890=3,Specification!$I$16)))</f>
        <v>578.93404261974786</v>
      </c>
      <c r="I890" s="16">
        <f t="shared" si="165"/>
        <v>0</v>
      </c>
      <c r="J890" s="17">
        <v>3</v>
      </c>
      <c r="K890" s="16">
        <f>IF(J890=1,VLOOKUP(B890,RPM!$F$2:$H$62,3,TRUE),IF(J890=2,VLOOKUP(B890,RPM!$I$2:$K$62,3,TRUE),IF(J890=3,VLOOKUP(B890,RPM!$L$2:$N$62,3,TRUE))))</f>
        <v>4300</v>
      </c>
      <c r="L890" s="17">
        <f t="shared" si="164"/>
        <v>70.56321916635855</v>
      </c>
      <c r="M890" s="16">
        <f t="shared" si="167"/>
        <v>1.3333328935553708</v>
      </c>
      <c r="N890" s="17">
        <f>VLOOKUP(K890,RPM!$A$2:$D$62,3,FALSE)</f>
        <v>11.4</v>
      </c>
      <c r="O890" s="16">
        <f>VLOOKUP(K890,RPM!$A$2:$D$62,4,FALSE)</f>
        <v>18.894837209302327</v>
      </c>
      <c r="P890" s="17">
        <f t="shared" si="156"/>
        <v>14.089880106976747</v>
      </c>
      <c r="Q890" s="16" cm="1">
        <f t="array" ref="Q890">_xlfn.XLOOKUP(O890,BSFC!$A$2:$A$24,_xlfn.XLOOKUP(K890,BSFC!$B$1:$O$1,BSFC!$B$2:$O$24,,-1),,-1)</f>
        <v>480</v>
      </c>
      <c r="R890" s="17">
        <f t="shared" si="157"/>
        <v>1.8786506809302328</v>
      </c>
      <c r="S890" s="16">
        <f t="shared" si="158"/>
        <v>2.9183485335175871E-4</v>
      </c>
      <c r="T890" s="17">
        <f t="shared" si="161"/>
        <v>0.14008072960884418</v>
      </c>
      <c r="U890" s="16">
        <f t="shared" si="162"/>
        <v>117.25095382832298</v>
      </c>
      <c r="V890" s="17">
        <f t="shared" si="163"/>
        <v>0.24359804971740653</v>
      </c>
      <c r="W890" s="16">
        <f t="shared" si="159"/>
        <v>876952.97898266348</v>
      </c>
      <c r="X890">
        <f>('Hybrid Info'!$A$2-Track!P890)*(L890-L889)*1000+X889</f>
        <v>-26762.06950378689</v>
      </c>
    </row>
    <row r="891" spans="1:24">
      <c r="A891" s="16">
        <f t="shared" si="160"/>
        <v>890</v>
      </c>
      <c r="B891" s="17">
        <f t="shared" si="166"/>
        <v>13.411199999999999</v>
      </c>
      <c r="C891" s="16">
        <f>Specification!$G$29</f>
        <v>164.943378</v>
      </c>
      <c r="D891" s="17">
        <f>0.5*Specification!$K$4*Track!B891^2*Specification!$K$3*Specification!$K$2</f>
        <v>93.159842569492653</v>
      </c>
      <c r="E891" s="16">
        <v>-8</v>
      </c>
      <c r="F891" s="17">
        <f>Specification!$C$23*9.81*SIN((E891*PI()/180))</f>
        <v>-765.1893799696079</v>
      </c>
      <c r="G891" s="18">
        <f>IF(J891=1,VLOOKUP(K891,RPM!$E$2:$H$62,3,FALSE)-F891-E891-D891,IF(J891=2,VLOOKUP(K891,RPM!$H$2:$K$62,3,FALSE)-F891-E891-D891,IF(J891=3,VLOOKUP(K891,RPM!$K$2:$N$62,3,FALSE)-F891-E891-D891)))</f>
        <v>1322.7515590078795</v>
      </c>
      <c r="H891" s="19">
        <f>IF(J891=1,Specification!$I$14,IF(J891=2,Specification!$I$15,IF(J891=3,Specification!$I$16)))</f>
        <v>578.93404261974786</v>
      </c>
      <c r="I891" s="16">
        <f t="shared" si="165"/>
        <v>0</v>
      </c>
      <c r="J891" s="17">
        <v>3</v>
      </c>
      <c r="K891" s="16">
        <f>IF(J891=1,VLOOKUP(B891,RPM!$F$2:$H$62,3,TRUE),IF(J891=2,VLOOKUP(B891,RPM!$I$2:$K$62,3,TRUE),IF(J891=3,VLOOKUP(B891,RPM!$L$2:$N$62,3,TRUE))))</f>
        <v>4300</v>
      </c>
      <c r="L891" s="17">
        <f t="shared" si="164"/>
        <v>70.637783709427026</v>
      </c>
      <c r="M891" s="16">
        <f t="shared" si="167"/>
        <v>1.1927920588529792</v>
      </c>
      <c r="N891" s="17">
        <f>VLOOKUP(K891,RPM!$A$2:$D$62,3,FALSE)</f>
        <v>11.4</v>
      </c>
      <c r="O891" s="16">
        <f>VLOOKUP(K891,RPM!$A$2:$D$62,4,FALSE)</f>
        <v>18.894837209302327</v>
      </c>
      <c r="P891" s="17">
        <f t="shared" si="156"/>
        <v>14.089880106976747</v>
      </c>
      <c r="Q891" s="16" cm="1">
        <f t="array" ref="Q891">_xlfn.XLOOKUP(O891,BSFC!$A$2:$A$24,_xlfn.XLOOKUP(K891,BSFC!$B$1:$O$1,BSFC!$B$2:$O$24,,-1),,-1)</f>
        <v>480</v>
      </c>
      <c r="R891" s="17">
        <f t="shared" si="157"/>
        <v>1.8786506809302328</v>
      </c>
      <c r="S891" s="16">
        <f t="shared" si="158"/>
        <v>2.9183485335175871E-4</v>
      </c>
      <c r="T891" s="17">
        <f t="shared" si="161"/>
        <v>0.14008072960884418</v>
      </c>
      <c r="U891" s="16">
        <f t="shared" si="162"/>
        <v>117.39103455793182</v>
      </c>
      <c r="V891" s="17">
        <f t="shared" si="163"/>
        <v>0.2438898845707583</v>
      </c>
      <c r="W891" s="16">
        <f t="shared" si="159"/>
        <v>878003.58445472992</v>
      </c>
      <c r="X891">
        <f>('Hybrid Info'!$A$2-Track!P891)*(L891-L890)*1000+X890</f>
        <v>-26908.918817136295</v>
      </c>
    </row>
    <row r="892" spans="1:24">
      <c r="A892" s="16">
        <f t="shared" si="160"/>
        <v>891</v>
      </c>
      <c r="B892" s="17">
        <f t="shared" si="166"/>
        <v>13.411199999999999</v>
      </c>
      <c r="C892" s="16">
        <f>Specification!$G$29</f>
        <v>164.943378</v>
      </c>
      <c r="D892" s="17">
        <f>0.5*Specification!$K$4*Track!B892^2*Specification!$K$3*Specification!$K$2</f>
        <v>93.159842569492653</v>
      </c>
      <c r="E892" s="16">
        <v>-8</v>
      </c>
      <c r="F892" s="17">
        <f>Specification!$C$23*9.81*SIN((E892*PI()/180))</f>
        <v>-765.1893799696079</v>
      </c>
      <c r="G892" s="18">
        <f>IF(J892=1,VLOOKUP(K892,RPM!$E$2:$H$62,3,FALSE)-F892-E892-D892,IF(J892=2,VLOOKUP(K892,RPM!$H$2:$K$62,3,FALSE)-F892-E892-D892,IF(J892=3,VLOOKUP(K892,RPM!$K$2:$N$62,3,FALSE)-F892-E892-D892)))</f>
        <v>1322.7515590078795</v>
      </c>
      <c r="H892" s="19">
        <f>IF(J892=1,Specification!$I$14,IF(J892=2,Specification!$I$15,IF(J892=3,Specification!$I$16)))</f>
        <v>578.93404261974786</v>
      </c>
      <c r="I892" s="16">
        <f t="shared" si="165"/>
        <v>0</v>
      </c>
      <c r="J892" s="17">
        <v>3</v>
      </c>
      <c r="K892" s="16">
        <f>IF(J892=1,VLOOKUP(B892,RPM!$F$2:$H$62,3,TRUE),IF(J892=2,VLOOKUP(B892,RPM!$I$2:$K$62,3,TRUE),IF(J892=3,VLOOKUP(B892,RPM!$L$2:$N$62,3,TRUE))))</f>
        <v>4300</v>
      </c>
      <c r="L892" s="17">
        <f t="shared" si="164"/>
        <v>70.712348252495502</v>
      </c>
      <c r="M892" s="16">
        <f t="shared" si="167"/>
        <v>1.0522512241505877</v>
      </c>
      <c r="N892" s="17">
        <f>VLOOKUP(K892,RPM!$A$2:$D$62,3,FALSE)</f>
        <v>11.4</v>
      </c>
      <c r="O892" s="16">
        <f>VLOOKUP(K892,RPM!$A$2:$D$62,4,FALSE)</f>
        <v>18.894837209302327</v>
      </c>
      <c r="P892" s="17">
        <f t="shared" si="156"/>
        <v>14.089880106976747</v>
      </c>
      <c r="Q892" s="16" cm="1">
        <f t="array" ref="Q892">_xlfn.XLOOKUP(O892,BSFC!$A$2:$A$24,_xlfn.XLOOKUP(K892,BSFC!$B$1:$O$1,BSFC!$B$2:$O$24,,-1),,-1)</f>
        <v>480</v>
      </c>
      <c r="R892" s="17">
        <f t="shared" si="157"/>
        <v>1.8786506809302328</v>
      </c>
      <c r="S892" s="16">
        <f t="shared" si="158"/>
        <v>2.9183485335175871E-4</v>
      </c>
      <c r="T892" s="17">
        <f t="shared" si="161"/>
        <v>0.14008072960884418</v>
      </c>
      <c r="U892" s="16">
        <f t="shared" si="162"/>
        <v>117.53111528754066</v>
      </c>
      <c r="V892" s="17">
        <f t="shared" si="163"/>
        <v>0.24418171942411007</v>
      </c>
      <c r="W892" s="16">
        <f t="shared" si="159"/>
        <v>879054.18992679624</v>
      </c>
      <c r="X892">
        <f>('Hybrid Info'!$A$2-Track!P892)*(L892-L891)*1000+X891</f>
        <v>-27055.7681304857</v>
      </c>
    </row>
    <row r="893" spans="1:24">
      <c r="A893" s="16">
        <f t="shared" si="160"/>
        <v>892</v>
      </c>
      <c r="B893" s="17">
        <f t="shared" si="166"/>
        <v>13.411199999999999</v>
      </c>
      <c r="C893" s="16">
        <f>Specification!$G$29</f>
        <v>164.943378</v>
      </c>
      <c r="D893" s="17">
        <f>0.5*Specification!$K$4*Track!B893^2*Specification!$K$3*Specification!$K$2</f>
        <v>93.159842569492653</v>
      </c>
      <c r="E893" s="16">
        <v>-8</v>
      </c>
      <c r="F893" s="17">
        <f>Specification!$C$23*9.81*SIN((E893*PI()/180))</f>
        <v>-765.1893799696079</v>
      </c>
      <c r="G893" s="18">
        <f>IF(J893=1,VLOOKUP(K893,RPM!$E$2:$H$62,3,FALSE)-F893-E893-D893,IF(J893=2,VLOOKUP(K893,RPM!$H$2:$K$62,3,FALSE)-F893-E893-D893,IF(J893=3,VLOOKUP(K893,RPM!$K$2:$N$62,3,FALSE)-F893-E893-D893)))</f>
        <v>1322.7515590078795</v>
      </c>
      <c r="H893" s="19">
        <f>IF(J893=1,Specification!$I$14,IF(J893=2,Specification!$I$15,IF(J893=3,Specification!$I$16)))</f>
        <v>578.93404261974786</v>
      </c>
      <c r="I893" s="16">
        <f t="shared" si="165"/>
        <v>0</v>
      </c>
      <c r="J893" s="17">
        <v>3</v>
      </c>
      <c r="K893" s="16">
        <f>IF(J893=1,VLOOKUP(B893,RPM!$F$2:$H$62,3,TRUE),IF(J893=2,VLOOKUP(B893,RPM!$I$2:$K$62,3,TRUE),IF(J893=3,VLOOKUP(B893,RPM!$L$2:$N$62,3,TRUE))))</f>
        <v>4300</v>
      </c>
      <c r="L893" s="17">
        <f t="shared" si="164"/>
        <v>70.786912795563978</v>
      </c>
      <c r="M893" s="16">
        <f t="shared" si="167"/>
        <v>0.91171038944819627</v>
      </c>
      <c r="N893" s="17">
        <f>VLOOKUP(K893,RPM!$A$2:$D$62,3,FALSE)</f>
        <v>11.4</v>
      </c>
      <c r="O893" s="16">
        <f>VLOOKUP(K893,RPM!$A$2:$D$62,4,FALSE)</f>
        <v>18.894837209302327</v>
      </c>
      <c r="P893" s="17">
        <f t="shared" si="156"/>
        <v>14.089880106976747</v>
      </c>
      <c r="Q893" s="16" cm="1">
        <f t="array" ref="Q893">_xlfn.XLOOKUP(O893,BSFC!$A$2:$A$24,_xlfn.XLOOKUP(K893,BSFC!$B$1:$O$1,BSFC!$B$2:$O$24,,-1),,-1)</f>
        <v>480</v>
      </c>
      <c r="R893" s="17">
        <f t="shared" si="157"/>
        <v>1.8786506809302328</v>
      </c>
      <c r="S893" s="16">
        <f t="shared" si="158"/>
        <v>2.9183485335175871E-4</v>
      </c>
      <c r="T893" s="17">
        <f t="shared" si="161"/>
        <v>0.14008072960884418</v>
      </c>
      <c r="U893" s="16">
        <f t="shared" si="162"/>
        <v>117.6711960171495</v>
      </c>
      <c r="V893" s="17">
        <f t="shared" si="163"/>
        <v>0.24447355427746184</v>
      </c>
      <c r="W893" s="16">
        <f t="shared" si="159"/>
        <v>880104.79539886257</v>
      </c>
      <c r="X893">
        <f>('Hybrid Info'!$A$2-Track!P893)*(L893-L892)*1000+X892</f>
        <v>-27202.617443835104</v>
      </c>
    </row>
    <row r="894" spans="1:24">
      <c r="A894" s="16">
        <f t="shared" si="160"/>
        <v>893</v>
      </c>
      <c r="B894" s="17">
        <f t="shared" si="166"/>
        <v>13.411199999999999</v>
      </c>
      <c r="C894" s="16">
        <f>Specification!$G$29</f>
        <v>164.943378</v>
      </c>
      <c r="D894" s="17">
        <f>0.5*Specification!$K$4*Track!B894^2*Specification!$K$3*Specification!$K$2</f>
        <v>93.159842569492653</v>
      </c>
      <c r="E894" s="16">
        <v>-8</v>
      </c>
      <c r="F894" s="17">
        <f>Specification!$C$23*9.81*SIN((E894*PI()/180))</f>
        <v>-765.1893799696079</v>
      </c>
      <c r="G894" s="18">
        <f>IF(J894=1,VLOOKUP(K894,RPM!$E$2:$H$62,3,FALSE)-F894-E894-D894,IF(J894=2,VLOOKUP(K894,RPM!$H$2:$K$62,3,FALSE)-F894-E894-D894,IF(J894=3,VLOOKUP(K894,RPM!$K$2:$N$62,3,FALSE)-F894-E894-D894)))</f>
        <v>1322.7515590078795</v>
      </c>
      <c r="H894" s="19">
        <f>IF(J894=1,Specification!$I$14,IF(J894=2,Specification!$I$15,IF(J894=3,Specification!$I$16)))</f>
        <v>578.93404261974786</v>
      </c>
      <c r="I894" s="16">
        <f t="shared" si="165"/>
        <v>0</v>
      </c>
      <c r="J894" s="17">
        <v>3</v>
      </c>
      <c r="K894" s="16">
        <f>IF(J894=1,VLOOKUP(B894,RPM!$F$2:$H$62,3,TRUE),IF(J894=2,VLOOKUP(B894,RPM!$I$2:$K$62,3,TRUE),IF(J894=3,VLOOKUP(B894,RPM!$L$2:$N$62,3,TRUE))))</f>
        <v>4300</v>
      </c>
      <c r="L894" s="17">
        <f t="shared" si="164"/>
        <v>70.861477338632454</v>
      </c>
      <c r="M894" s="16">
        <f t="shared" si="167"/>
        <v>0.77116955474580484</v>
      </c>
      <c r="N894" s="17">
        <f>VLOOKUP(K894,RPM!$A$2:$D$62,3,FALSE)</f>
        <v>11.4</v>
      </c>
      <c r="O894" s="16">
        <f>VLOOKUP(K894,RPM!$A$2:$D$62,4,FALSE)</f>
        <v>18.894837209302327</v>
      </c>
      <c r="P894" s="17">
        <f t="shared" si="156"/>
        <v>14.089880106976747</v>
      </c>
      <c r="Q894" s="16" cm="1">
        <f t="array" ref="Q894">_xlfn.XLOOKUP(O894,BSFC!$A$2:$A$24,_xlfn.XLOOKUP(K894,BSFC!$B$1:$O$1,BSFC!$B$2:$O$24,,-1),,-1)</f>
        <v>480</v>
      </c>
      <c r="R894" s="17">
        <f t="shared" si="157"/>
        <v>1.8786506809302328</v>
      </c>
      <c r="S894" s="16">
        <f t="shared" si="158"/>
        <v>2.9183485335175871E-4</v>
      </c>
      <c r="T894" s="17">
        <f t="shared" si="161"/>
        <v>0.14008072960884418</v>
      </c>
      <c r="U894" s="16">
        <f t="shared" si="162"/>
        <v>117.81127674675834</v>
      </c>
      <c r="V894" s="17">
        <f t="shared" si="163"/>
        <v>0.24476538913081361</v>
      </c>
      <c r="W894" s="16">
        <f t="shared" si="159"/>
        <v>881155.40087092901</v>
      </c>
      <c r="X894">
        <f>('Hybrid Info'!$A$2-Track!P894)*(L894-L893)*1000+X893</f>
        <v>-27349.466757184509</v>
      </c>
    </row>
    <row r="895" spans="1:24">
      <c r="A895" s="16">
        <f t="shared" si="160"/>
        <v>894</v>
      </c>
      <c r="B895" s="17">
        <f t="shared" si="166"/>
        <v>13.411199999999999</v>
      </c>
      <c r="C895" s="16">
        <f>Specification!$G$29</f>
        <v>164.943378</v>
      </c>
      <c r="D895" s="17">
        <f>0.5*Specification!$K$4*Track!B895^2*Specification!$K$3*Specification!$K$2</f>
        <v>93.159842569492653</v>
      </c>
      <c r="E895" s="16">
        <v>-8</v>
      </c>
      <c r="F895" s="17">
        <f>Specification!$C$23*9.81*SIN((E895*PI()/180))</f>
        <v>-765.1893799696079</v>
      </c>
      <c r="G895" s="18">
        <f>IF(J895=1,VLOOKUP(K895,RPM!$E$2:$H$62,3,FALSE)-F895-E895-D895,IF(J895=2,VLOOKUP(K895,RPM!$H$2:$K$62,3,FALSE)-F895-E895-D895,IF(J895=3,VLOOKUP(K895,RPM!$K$2:$N$62,3,FALSE)-F895-E895-D895)))</f>
        <v>1322.7515590078795</v>
      </c>
      <c r="H895" s="19">
        <f>IF(J895=1,Specification!$I$14,IF(J895=2,Specification!$I$15,IF(J895=3,Specification!$I$16)))</f>
        <v>578.93404261974786</v>
      </c>
      <c r="I895" s="16">
        <f t="shared" si="165"/>
        <v>0</v>
      </c>
      <c r="J895" s="17">
        <v>3</v>
      </c>
      <c r="K895" s="16">
        <f>IF(J895=1,VLOOKUP(B895,RPM!$F$2:$H$62,3,TRUE),IF(J895=2,VLOOKUP(B895,RPM!$I$2:$K$62,3,TRUE),IF(J895=3,VLOOKUP(B895,RPM!$L$2:$N$62,3,TRUE))))</f>
        <v>4300</v>
      </c>
      <c r="L895" s="17">
        <f t="shared" si="164"/>
        <v>70.93604188170093</v>
      </c>
      <c r="M895" s="16">
        <f t="shared" si="167"/>
        <v>0.63062872004341342</v>
      </c>
      <c r="N895" s="17">
        <f>VLOOKUP(K895,RPM!$A$2:$D$62,3,FALSE)</f>
        <v>11.4</v>
      </c>
      <c r="O895" s="16">
        <f>VLOOKUP(K895,RPM!$A$2:$D$62,4,FALSE)</f>
        <v>18.894837209302327</v>
      </c>
      <c r="P895" s="17">
        <f t="shared" si="156"/>
        <v>14.089880106976747</v>
      </c>
      <c r="Q895" s="16" cm="1">
        <f t="array" ref="Q895">_xlfn.XLOOKUP(O895,BSFC!$A$2:$A$24,_xlfn.XLOOKUP(K895,BSFC!$B$1:$O$1,BSFC!$B$2:$O$24,,-1),,-1)</f>
        <v>480</v>
      </c>
      <c r="R895" s="17">
        <f t="shared" si="157"/>
        <v>1.8786506809302328</v>
      </c>
      <c r="S895" s="16">
        <f t="shared" si="158"/>
        <v>2.9183485335175871E-4</v>
      </c>
      <c r="T895" s="17">
        <f t="shared" si="161"/>
        <v>0.14008072960884418</v>
      </c>
      <c r="U895" s="16">
        <f t="shared" si="162"/>
        <v>117.95135747636718</v>
      </c>
      <c r="V895" s="17">
        <f t="shared" si="163"/>
        <v>0.24505722398416538</v>
      </c>
      <c r="W895" s="16">
        <f t="shared" si="159"/>
        <v>882206.00634299533</v>
      </c>
      <c r="X895">
        <f>('Hybrid Info'!$A$2-Track!P895)*(L895-L894)*1000+X894</f>
        <v>-27496.316070533914</v>
      </c>
    </row>
    <row r="896" spans="1:24">
      <c r="A896" s="16">
        <f t="shared" si="160"/>
        <v>895</v>
      </c>
      <c r="B896" s="17">
        <f t="shared" si="166"/>
        <v>13.411199999999999</v>
      </c>
      <c r="C896" s="16">
        <f>Specification!$G$29</f>
        <v>164.943378</v>
      </c>
      <c r="D896" s="17">
        <f>0.5*Specification!$K$4*Track!B896^2*Specification!$K$3*Specification!$K$2</f>
        <v>93.159842569492653</v>
      </c>
      <c r="E896" s="16">
        <v>-8</v>
      </c>
      <c r="F896" s="17">
        <f>Specification!$C$23*9.81*SIN((E896*PI()/180))</f>
        <v>-765.1893799696079</v>
      </c>
      <c r="G896" s="18">
        <f>IF(J896=1,VLOOKUP(K896,RPM!$E$2:$H$62,3,FALSE)-F896-E896-D896,IF(J896=2,VLOOKUP(K896,RPM!$H$2:$K$62,3,FALSE)-F896-E896-D896,IF(J896=3,VLOOKUP(K896,RPM!$K$2:$N$62,3,FALSE)-F896-E896-D896)))</f>
        <v>1322.7515590078795</v>
      </c>
      <c r="H896" s="19">
        <f>IF(J896=1,Specification!$I$14,IF(J896=2,Specification!$I$15,IF(J896=3,Specification!$I$16)))</f>
        <v>578.93404261974786</v>
      </c>
      <c r="I896" s="16">
        <f t="shared" si="165"/>
        <v>0</v>
      </c>
      <c r="J896" s="17">
        <v>3</v>
      </c>
      <c r="K896" s="16">
        <f>IF(J896=1,VLOOKUP(B896,RPM!$F$2:$H$62,3,TRUE),IF(J896=2,VLOOKUP(B896,RPM!$I$2:$K$62,3,TRUE),IF(J896=3,VLOOKUP(B896,RPM!$L$2:$N$62,3,TRUE))))</f>
        <v>4300</v>
      </c>
      <c r="L896" s="17">
        <f t="shared" si="164"/>
        <v>71.010606424769406</v>
      </c>
      <c r="M896" s="16">
        <f t="shared" si="167"/>
        <v>0.49008788534102199</v>
      </c>
      <c r="N896" s="17">
        <f>VLOOKUP(K896,RPM!$A$2:$D$62,3,FALSE)</f>
        <v>11.4</v>
      </c>
      <c r="O896" s="16">
        <f>VLOOKUP(K896,RPM!$A$2:$D$62,4,FALSE)</f>
        <v>18.894837209302327</v>
      </c>
      <c r="P896" s="17">
        <f t="shared" si="156"/>
        <v>14.089880106976747</v>
      </c>
      <c r="Q896" s="16" cm="1">
        <f t="array" ref="Q896">_xlfn.XLOOKUP(O896,BSFC!$A$2:$A$24,_xlfn.XLOOKUP(K896,BSFC!$B$1:$O$1,BSFC!$B$2:$O$24,,-1),,-1)</f>
        <v>480</v>
      </c>
      <c r="R896" s="17">
        <f t="shared" si="157"/>
        <v>1.8786506809302328</v>
      </c>
      <c r="S896" s="16">
        <f t="shared" si="158"/>
        <v>2.9183485335175871E-4</v>
      </c>
      <c r="T896" s="17">
        <f t="shared" si="161"/>
        <v>0.14008072960884418</v>
      </c>
      <c r="U896" s="16">
        <f t="shared" si="162"/>
        <v>118.09143820597602</v>
      </c>
      <c r="V896" s="17">
        <f t="shared" si="163"/>
        <v>0.24534905883751715</v>
      </c>
      <c r="W896" s="16">
        <f t="shared" si="159"/>
        <v>883256.61181506165</v>
      </c>
      <c r="X896">
        <f>('Hybrid Info'!$A$2-Track!P896)*(L896-L895)*1000+X895</f>
        <v>-27643.165383883319</v>
      </c>
    </row>
    <row r="897" spans="1:24">
      <c r="A897" s="16">
        <f t="shared" si="160"/>
        <v>896</v>
      </c>
      <c r="B897" s="17">
        <f t="shared" si="166"/>
        <v>13.411199999999999</v>
      </c>
      <c r="C897" s="16">
        <f>Specification!$G$29</f>
        <v>164.943378</v>
      </c>
      <c r="D897" s="17">
        <f>0.5*Specification!$K$4*Track!B897^2*Specification!$K$3*Specification!$K$2</f>
        <v>93.159842569492653</v>
      </c>
      <c r="E897" s="16">
        <v>-7</v>
      </c>
      <c r="F897" s="17">
        <f>Specification!$C$23*9.81*SIN((E897*PI()/180))</f>
        <v>-670.05137252956831</v>
      </c>
      <c r="G897" s="18">
        <f>IF(J897=1,VLOOKUP(K897,RPM!$E$2:$H$62,3,FALSE)-F897-E897-D897,IF(J897=2,VLOOKUP(K897,RPM!$H$2:$K$62,3,FALSE)-F897-E897-D897,IF(J897=3,VLOOKUP(K897,RPM!$K$2:$N$62,3,FALSE)-F897-E897-D897)))</f>
        <v>1226.61355156784</v>
      </c>
      <c r="H897" s="19">
        <f>IF(J897=1,Specification!$I$14,IF(J897=2,Specification!$I$15,IF(J897=3,Specification!$I$16)))</f>
        <v>578.93404261974786</v>
      </c>
      <c r="I897" s="16">
        <f t="shared" si="165"/>
        <v>0</v>
      </c>
      <c r="J897" s="17">
        <v>3</v>
      </c>
      <c r="K897" s="16">
        <f>IF(J897=1,VLOOKUP(B897,RPM!$F$2:$H$62,3,TRUE),IF(J897=2,VLOOKUP(B897,RPM!$I$2:$K$62,3,TRUE),IF(J897=3,VLOOKUP(B897,RPM!$L$2:$N$62,3,TRUE))))</f>
        <v>4300</v>
      </c>
      <c r="L897" s="17">
        <f t="shared" si="164"/>
        <v>71.085170967837882</v>
      </c>
      <c r="M897" s="16">
        <f t="shared" si="167"/>
        <v>0.36730332443811742</v>
      </c>
      <c r="N897" s="17">
        <f>VLOOKUP(K897,RPM!$A$2:$D$62,3,FALSE)</f>
        <v>11.4</v>
      </c>
      <c r="O897" s="16">
        <f>VLOOKUP(K897,RPM!$A$2:$D$62,4,FALSE)</f>
        <v>18.894837209302327</v>
      </c>
      <c r="P897" s="17">
        <f t="shared" si="156"/>
        <v>14.089880106976747</v>
      </c>
      <c r="Q897" s="16" cm="1">
        <f t="array" ref="Q897">_xlfn.XLOOKUP(O897,BSFC!$A$2:$A$24,_xlfn.XLOOKUP(K897,BSFC!$B$1:$O$1,BSFC!$B$2:$O$24,,-1),,-1)</f>
        <v>480</v>
      </c>
      <c r="R897" s="17">
        <f t="shared" si="157"/>
        <v>1.8786506809302328</v>
      </c>
      <c r="S897" s="16">
        <f t="shared" si="158"/>
        <v>2.9183485335175871E-4</v>
      </c>
      <c r="T897" s="17">
        <f t="shared" si="161"/>
        <v>0.14008072960884418</v>
      </c>
      <c r="U897" s="16">
        <f t="shared" si="162"/>
        <v>118.23151893558486</v>
      </c>
      <c r="V897" s="17">
        <f t="shared" si="163"/>
        <v>0.24564089369086892</v>
      </c>
      <c r="W897" s="16">
        <f t="shared" si="159"/>
        <v>884307.21728712809</v>
      </c>
      <c r="X897">
        <f>('Hybrid Info'!$A$2-Track!P897)*(L897-L896)*1000+X896</f>
        <v>-27790.014697232724</v>
      </c>
    </row>
    <row r="898" spans="1:24">
      <c r="A898" s="16">
        <f t="shared" si="160"/>
        <v>897</v>
      </c>
      <c r="B898" s="17">
        <f t="shared" si="166"/>
        <v>13.411199999999999</v>
      </c>
      <c r="C898" s="16">
        <f>Specification!$G$29</f>
        <v>164.943378</v>
      </c>
      <c r="D898" s="17">
        <f>0.5*Specification!$K$4*Track!B898^2*Specification!$K$3*Specification!$K$2</f>
        <v>93.159842569492653</v>
      </c>
      <c r="E898" s="16">
        <v>-6</v>
      </c>
      <c r="F898" s="17">
        <f>Specification!$C$23*9.81*SIN((E898*PI()/180))</f>
        <v>-574.70926095052266</v>
      </c>
      <c r="G898" s="18">
        <f>IF(J898=1,VLOOKUP(K898,RPM!$E$2:$H$62,3,FALSE)-F898-E898-D898,IF(J898=2,VLOOKUP(K898,RPM!$H$2:$K$62,3,FALSE)-F898-E898-D898,IF(J898=3,VLOOKUP(K898,RPM!$K$2:$N$62,3,FALSE)-F898-E898-D898)))</f>
        <v>1130.2714399887943</v>
      </c>
      <c r="H898" s="19">
        <f>IF(J898=1,Specification!$I$14,IF(J898=2,Specification!$I$15,IF(J898=3,Specification!$I$16)))</f>
        <v>578.93404261974786</v>
      </c>
      <c r="I898" s="16">
        <f t="shared" si="165"/>
        <v>0</v>
      </c>
      <c r="J898" s="17">
        <v>3</v>
      </c>
      <c r="K898" s="16">
        <f>IF(J898=1,VLOOKUP(B898,RPM!$F$2:$H$62,3,TRUE),IF(J898=2,VLOOKUP(B898,RPM!$I$2:$K$62,3,TRUE),IF(J898=3,VLOOKUP(B898,RPM!$L$2:$N$62,3,TRUE))))</f>
        <v>4300</v>
      </c>
      <c r="L898" s="17">
        <f t="shared" si="164"/>
        <v>71.159735510906359</v>
      </c>
      <c r="M898" s="16">
        <f t="shared" si="167"/>
        <v>0.26219908917244095</v>
      </c>
      <c r="N898" s="17">
        <f>VLOOKUP(K898,RPM!$A$2:$D$62,3,FALSE)</f>
        <v>11.4</v>
      </c>
      <c r="O898" s="16">
        <f>VLOOKUP(K898,RPM!$A$2:$D$62,4,FALSE)</f>
        <v>18.894837209302327</v>
      </c>
      <c r="P898" s="17">
        <f t="shared" ref="P898:P961" si="168">O898*0.7457</f>
        <v>14.089880106976747</v>
      </c>
      <c r="Q898" s="16" cm="1">
        <f t="array" ref="Q898">_xlfn.XLOOKUP(O898,BSFC!$A$2:$A$24,_xlfn.XLOOKUP(K898,BSFC!$B$1:$O$1,BSFC!$B$2:$O$24,,-1),,-1)</f>
        <v>480</v>
      </c>
      <c r="R898" s="17">
        <f t="shared" ref="R898:R961" si="169">Q898*P898/3600</f>
        <v>1.8786506809302328</v>
      </c>
      <c r="S898" s="16">
        <f t="shared" si="158"/>
        <v>2.9183485335175871E-4</v>
      </c>
      <c r="T898" s="17">
        <f t="shared" si="161"/>
        <v>0.14008072960884418</v>
      </c>
      <c r="U898" s="16">
        <f t="shared" si="162"/>
        <v>118.3715996651937</v>
      </c>
      <c r="V898" s="17">
        <f t="shared" si="163"/>
        <v>0.24593272854422069</v>
      </c>
      <c r="W898" s="16">
        <f t="shared" si="159"/>
        <v>885357.82275919442</v>
      </c>
      <c r="X898">
        <f>('Hybrid Info'!$A$2-Track!P898)*(L898-L897)*1000+X897</f>
        <v>-27936.864010582129</v>
      </c>
    </row>
    <row r="899" spans="1:24">
      <c r="A899" s="16">
        <f t="shared" si="160"/>
        <v>898</v>
      </c>
      <c r="B899" s="17">
        <f t="shared" si="166"/>
        <v>13.411199999999999</v>
      </c>
      <c r="C899" s="16">
        <f>Specification!$G$29</f>
        <v>164.943378</v>
      </c>
      <c r="D899" s="17">
        <f>0.5*Specification!$K$4*Track!B899^2*Specification!$K$3*Specification!$K$2</f>
        <v>93.159842569492653</v>
      </c>
      <c r="E899" s="16">
        <v>-5</v>
      </c>
      <c r="F899" s="17">
        <f>Specification!$C$23*9.81*SIN((E899*PI()/180))</f>
        <v>-479.192087363258</v>
      </c>
      <c r="G899" s="18">
        <f>IF(J899=1,VLOOKUP(K899,RPM!$E$2:$H$62,3,FALSE)-F899-E899-D899,IF(J899=2,VLOOKUP(K899,RPM!$H$2:$K$62,3,FALSE)-F899-E899-D899,IF(J899=3,VLOOKUP(K899,RPM!$K$2:$N$62,3,FALSE)-F899-E899-D899)))</f>
        <v>1033.7542664015295</v>
      </c>
      <c r="H899" s="19">
        <f>IF(J899=1,Specification!$I$14,IF(J899=2,Specification!$I$15,IF(J899=3,Specification!$I$16)))</f>
        <v>578.93404261974786</v>
      </c>
      <c r="I899" s="16">
        <f t="shared" si="165"/>
        <v>0</v>
      </c>
      <c r="J899" s="17">
        <v>3</v>
      </c>
      <c r="K899" s="16">
        <f>IF(J899=1,VLOOKUP(B899,RPM!$F$2:$H$62,3,TRUE),IF(J899=2,VLOOKUP(B899,RPM!$I$2:$K$62,3,TRUE),IF(J899=3,VLOOKUP(B899,RPM!$L$2:$N$62,3,TRUE))))</f>
        <v>4300</v>
      </c>
      <c r="L899" s="17">
        <f t="shared" si="164"/>
        <v>71.234300053974835</v>
      </c>
      <c r="M899" s="16">
        <f t="shared" si="167"/>
        <v>0.17471042564651695</v>
      </c>
      <c r="N899" s="17">
        <f>VLOOKUP(K899,RPM!$A$2:$D$62,3,FALSE)</f>
        <v>11.4</v>
      </c>
      <c r="O899" s="16">
        <f>VLOOKUP(K899,RPM!$A$2:$D$62,4,FALSE)</f>
        <v>18.894837209302327</v>
      </c>
      <c r="P899" s="17">
        <f t="shared" si="168"/>
        <v>14.089880106976747</v>
      </c>
      <c r="Q899" s="16" cm="1">
        <f t="array" ref="Q899">_xlfn.XLOOKUP(O899,BSFC!$A$2:$A$24,_xlfn.XLOOKUP(K899,BSFC!$B$1:$O$1,BSFC!$B$2:$O$24,,-1),,-1)</f>
        <v>480</v>
      </c>
      <c r="R899" s="17">
        <f t="shared" si="169"/>
        <v>1.8786506809302328</v>
      </c>
      <c r="S899" s="16">
        <f t="shared" ref="S899:S962" si="170">(L899-L898)/3600*P899</f>
        <v>2.9183485335175871E-4</v>
      </c>
      <c r="T899" s="17">
        <f t="shared" si="161"/>
        <v>0.14008072960884418</v>
      </c>
      <c r="U899" s="16">
        <f t="shared" si="162"/>
        <v>118.51168039480254</v>
      </c>
      <c r="V899" s="17">
        <f t="shared" si="163"/>
        <v>0.24622456339757245</v>
      </c>
      <c r="W899" s="16">
        <f t="shared" ref="W899:W962" si="171">V899*1000*3600</f>
        <v>886408.42823126086</v>
      </c>
      <c r="X899">
        <f>('Hybrid Info'!$A$2-Track!P899)*(L899-L898)*1000+X898</f>
        <v>-28083.713323931534</v>
      </c>
    </row>
    <row r="900" spans="1:24">
      <c r="A900" s="16">
        <f t="shared" ref="A900:A963" si="172">A899+1</f>
        <v>899</v>
      </c>
      <c r="B900" s="17">
        <f t="shared" si="166"/>
        <v>13.411199999999999</v>
      </c>
      <c r="C900" s="16">
        <f>Specification!$G$29</f>
        <v>164.943378</v>
      </c>
      <c r="D900" s="17">
        <f>0.5*Specification!$K$4*Track!B900^2*Specification!$K$3*Specification!$K$2</f>
        <v>93.159842569492653</v>
      </c>
      <c r="E900" s="16">
        <v>-4</v>
      </c>
      <c r="F900" s="17">
        <f>Specification!$C$23*9.81*SIN((E900*PI()/180))</f>
        <v>-383.52894722414453</v>
      </c>
      <c r="G900" s="18">
        <f>IF(J900=1,VLOOKUP(K900,RPM!$E$2:$H$62,3,FALSE)-F900-E900-D900,IF(J900=2,VLOOKUP(K900,RPM!$H$2:$K$62,3,FALSE)-F900-E900-D900,IF(J900=3,VLOOKUP(K900,RPM!$K$2:$N$62,3,FALSE)-F900-E900-D900)))</f>
        <v>937.09112626241608</v>
      </c>
      <c r="H900" s="19">
        <f>IF(J900=1,Specification!$I$14,IF(J900=2,Specification!$I$15,IF(J900=3,Specification!$I$16)))</f>
        <v>578.93404261974786</v>
      </c>
      <c r="I900" s="16">
        <f t="shared" si="165"/>
        <v>0</v>
      </c>
      <c r="J900" s="17">
        <v>3</v>
      </c>
      <c r="K900" s="16">
        <f>IF(J900=1,VLOOKUP(B900,RPM!$F$2:$H$62,3,TRUE),IF(J900=2,VLOOKUP(B900,RPM!$I$2:$K$62,3,TRUE),IF(J900=3,VLOOKUP(B900,RPM!$L$2:$N$62,3,TRUE))))</f>
        <v>4300</v>
      </c>
      <c r="L900" s="17">
        <f t="shared" si="164"/>
        <v>71.308864597043311</v>
      </c>
      <c r="M900" s="16">
        <f t="shared" si="167"/>
        <v>0.10478361370300654</v>
      </c>
      <c r="N900" s="17">
        <f>VLOOKUP(K900,RPM!$A$2:$D$62,3,FALSE)</f>
        <v>11.4</v>
      </c>
      <c r="O900" s="16">
        <f>VLOOKUP(K900,RPM!$A$2:$D$62,4,FALSE)</f>
        <v>18.894837209302327</v>
      </c>
      <c r="P900" s="17">
        <f t="shared" si="168"/>
        <v>14.089880106976747</v>
      </c>
      <c r="Q900" s="16" cm="1">
        <f t="array" ref="Q900">_xlfn.XLOOKUP(O900,BSFC!$A$2:$A$24,_xlfn.XLOOKUP(K900,BSFC!$B$1:$O$1,BSFC!$B$2:$O$24,,-1),,-1)</f>
        <v>480</v>
      </c>
      <c r="R900" s="17">
        <f t="shared" si="169"/>
        <v>1.8786506809302328</v>
      </c>
      <c r="S900" s="16">
        <f t="shared" si="170"/>
        <v>2.9183485335175871E-4</v>
      </c>
      <c r="T900" s="17">
        <f t="shared" ref="T900:T963" si="173">S900*Q900</f>
        <v>0.14008072960884418</v>
      </c>
      <c r="U900" s="16">
        <f t="shared" ref="U900:U963" si="174">U899+T900</f>
        <v>118.65176112441138</v>
      </c>
      <c r="V900" s="17">
        <f t="shared" si="163"/>
        <v>0.24651639825092422</v>
      </c>
      <c r="W900" s="16">
        <f t="shared" si="171"/>
        <v>887459.03370332718</v>
      </c>
      <c r="X900">
        <f>('Hybrid Info'!$A$2-Track!P900)*(L900-L899)*1000+X899</f>
        <v>-28230.562637280938</v>
      </c>
    </row>
    <row r="901" spans="1:24">
      <c r="A901" s="16">
        <f t="shared" si="172"/>
        <v>900</v>
      </c>
      <c r="B901" s="17">
        <f t="shared" si="166"/>
        <v>13.411199999999999</v>
      </c>
      <c r="C901" s="16">
        <f>Specification!$G$29</f>
        <v>164.943378</v>
      </c>
      <c r="D901" s="17">
        <f>0.5*Specification!$K$4*Track!B901^2*Specification!$K$3*Specification!$K$2</f>
        <v>93.159842569492653</v>
      </c>
      <c r="E901" s="16">
        <v>-3</v>
      </c>
      <c r="F901" s="17">
        <f>Specification!$C$23*9.81*SIN((E901*PI()/180))</f>
        <v>-287.74898045237813</v>
      </c>
      <c r="G901" s="18">
        <f>IF(J901=1,VLOOKUP(K901,RPM!$E$2:$H$62,3,FALSE)-F901-E901-D901,IF(J901=2,VLOOKUP(K901,RPM!$H$2:$K$62,3,FALSE)-F901-E901-D901,IF(J901=3,VLOOKUP(K901,RPM!$K$2:$N$62,3,FALSE)-F901-E901-D901)))</f>
        <v>840.31115949064974</v>
      </c>
      <c r="H901" s="19">
        <f>IF(J901=1,Specification!$I$14,IF(J901=2,Specification!$I$15,IF(J901=3,Specification!$I$16)))</f>
        <v>578.93404261974786</v>
      </c>
      <c r="I901" s="16">
        <f t="shared" si="165"/>
        <v>0</v>
      </c>
      <c r="J901" s="17">
        <v>3</v>
      </c>
      <c r="K901" s="16">
        <f>IF(J901=1,VLOOKUP(B901,RPM!$F$2:$H$62,3,TRUE),IF(J901=2,VLOOKUP(B901,RPM!$I$2:$K$62,3,TRUE),IF(J901=3,VLOOKUP(B901,RPM!$L$2:$N$62,3,TRUE))))</f>
        <v>4300</v>
      </c>
      <c r="L901" s="17">
        <f t="shared" si="164"/>
        <v>71.383429140111787</v>
      </c>
      <c r="M901" s="16">
        <f t="shared" si="167"/>
        <v>5.2375834419965343E-2</v>
      </c>
      <c r="N901" s="17">
        <f>VLOOKUP(K901,RPM!$A$2:$D$62,3,FALSE)</f>
        <v>11.4</v>
      </c>
      <c r="O901" s="16">
        <f>VLOOKUP(K901,RPM!$A$2:$D$62,4,FALSE)</f>
        <v>18.894837209302327</v>
      </c>
      <c r="P901" s="17">
        <f t="shared" si="168"/>
        <v>14.089880106976747</v>
      </c>
      <c r="Q901" s="16" cm="1">
        <f t="array" ref="Q901">_xlfn.XLOOKUP(O901,BSFC!$A$2:$A$24,_xlfn.XLOOKUP(K901,BSFC!$B$1:$O$1,BSFC!$B$2:$O$24,,-1),,-1)</f>
        <v>480</v>
      </c>
      <c r="R901" s="17">
        <f t="shared" si="169"/>
        <v>1.8786506809302328</v>
      </c>
      <c r="S901" s="16">
        <f t="shared" si="170"/>
        <v>2.9183485335175871E-4</v>
      </c>
      <c r="T901" s="17">
        <f t="shared" si="173"/>
        <v>0.14008072960884418</v>
      </c>
      <c r="U901" s="16">
        <f t="shared" si="174"/>
        <v>118.79184185402022</v>
      </c>
      <c r="V901" s="17">
        <f t="shared" ref="V901:V964" si="175">V900+S901</f>
        <v>0.24680823310427599</v>
      </c>
      <c r="W901" s="16">
        <f t="shared" si="171"/>
        <v>888509.6391753935</v>
      </c>
      <c r="X901">
        <f>('Hybrid Info'!$A$2-Track!P901)*(L901-L900)*1000+X900</f>
        <v>-28377.411950630343</v>
      </c>
    </row>
    <row r="902" spans="1:24">
      <c r="A902" s="16">
        <f t="shared" si="172"/>
        <v>901</v>
      </c>
      <c r="B902" s="17">
        <f t="shared" si="166"/>
        <v>13.411199999999999</v>
      </c>
      <c r="C902" s="16">
        <f>Specification!$G$29</f>
        <v>164.943378</v>
      </c>
      <c r="D902" s="17">
        <f>0.5*Specification!$K$4*Track!B902^2*Specification!$K$3*Specification!$K$2</f>
        <v>93.159842569492653</v>
      </c>
      <c r="E902" s="16">
        <v>-2</v>
      </c>
      <c r="F902" s="17">
        <f>Specification!$C$23*9.81*SIN((E902*PI()/180))</f>
        <v>-191.88136255367905</v>
      </c>
      <c r="G902" s="18">
        <f>IF(J902=1,VLOOKUP(K902,RPM!$E$2:$H$62,3,FALSE)-F902-E902-D902,IF(J902=2,VLOOKUP(K902,RPM!$H$2:$K$62,3,FALSE)-F902-E902-D902,IF(J902=3,VLOOKUP(K902,RPM!$K$2:$N$62,3,FALSE)-F902-E902-D902)))</f>
        <v>743.44354159195063</v>
      </c>
      <c r="H902" s="19">
        <f>IF(J902=1,Specification!$I$14,IF(J902=2,Specification!$I$15,IF(J902=3,Specification!$I$16)))</f>
        <v>578.93404261974786</v>
      </c>
      <c r="I902" s="16">
        <f t="shared" si="165"/>
        <v>0</v>
      </c>
      <c r="J902" s="17">
        <v>3</v>
      </c>
      <c r="K902" s="16">
        <f>IF(J902=1,VLOOKUP(B902,RPM!$F$2:$H$62,3,TRUE),IF(J902=2,VLOOKUP(B902,RPM!$I$2:$K$62,3,TRUE),IF(J902=3,VLOOKUP(B902,RPM!$L$2:$N$62,3,TRUE))))</f>
        <v>4300</v>
      </c>
      <c r="L902" s="17">
        <f t="shared" si="164"/>
        <v>71.457993683180263</v>
      </c>
      <c r="M902" s="16">
        <f t="shared" si="167"/>
        <v>1.7455064928217613E-2</v>
      </c>
      <c r="N902" s="17">
        <f>VLOOKUP(K902,RPM!$A$2:$D$62,3,FALSE)</f>
        <v>11.4</v>
      </c>
      <c r="O902" s="16">
        <f>VLOOKUP(K902,RPM!$A$2:$D$62,4,FALSE)</f>
        <v>18.894837209302327</v>
      </c>
      <c r="P902" s="17">
        <f t="shared" si="168"/>
        <v>14.089880106976747</v>
      </c>
      <c r="Q902" s="16" cm="1">
        <f t="array" ref="Q902">_xlfn.XLOOKUP(O902,BSFC!$A$2:$A$24,_xlfn.XLOOKUP(K902,BSFC!$B$1:$O$1,BSFC!$B$2:$O$24,,-1),,-1)</f>
        <v>480</v>
      </c>
      <c r="R902" s="17">
        <f t="shared" si="169"/>
        <v>1.8786506809302328</v>
      </c>
      <c r="S902" s="16">
        <f t="shared" si="170"/>
        <v>2.9183485335175871E-4</v>
      </c>
      <c r="T902" s="17">
        <f t="shared" si="173"/>
        <v>0.14008072960884418</v>
      </c>
      <c r="U902" s="16">
        <f t="shared" si="174"/>
        <v>118.93192258362906</v>
      </c>
      <c r="V902" s="17">
        <f t="shared" si="175"/>
        <v>0.24710006795762776</v>
      </c>
      <c r="W902" s="16">
        <f t="shared" si="171"/>
        <v>889560.24464745994</v>
      </c>
      <c r="X902">
        <f>('Hybrid Info'!$A$2-Track!P902)*(L902-L901)*1000+X901</f>
        <v>-28524.261263979748</v>
      </c>
    </row>
    <row r="903" spans="1:24">
      <c r="A903" s="16">
        <f t="shared" si="172"/>
        <v>902</v>
      </c>
      <c r="B903" s="17">
        <f t="shared" si="166"/>
        <v>13.411199999999999</v>
      </c>
      <c r="C903" s="16">
        <f>Specification!$G$29</f>
        <v>164.943378</v>
      </c>
      <c r="D903" s="17">
        <f>0.5*Specification!$K$4*Track!B903^2*Specification!$K$3*Specification!$K$2</f>
        <v>93.159842569492653</v>
      </c>
      <c r="E903" s="16">
        <v>-1</v>
      </c>
      <c r="F903" s="17">
        <f>Specification!$C$23*9.81*SIN((E903*PI()/180))</f>
        <v>-95.955295733149597</v>
      </c>
      <c r="G903" s="18">
        <f>IF(J903=1,VLOOKUP(K903,RPM!$E$2:$H$62,3,FALSE)-F903-E903-D903,IF(J903=2,VLOOKUP(K903,RPM!$H$2:$K$62,3,FALSE)-F903-E903-D903,IF(J903=3,VLOOKUP(K903,RPM!$K$2:$N$62,3,FALSE)-F903-E903-D903)))</f>
        <v>646.51747477142112</v>
      </c>
      <c r="H903" s="19">
        <f>IF(J903=1,Specification!$I$14,IF(J903=2,Specification!$I$15,IF(J903=3,Specification!$I$16)))</f>
        <v>578.93404261974786</v>
      </c>
      <c r="I903" s="16">
        <f t="shared" si="165"/>
        <v>0</v>
      </c>
      <c r="J903" s="17">
        <v>3</v>
      </c>
      <c r="K903" s="16">
        <f>IF(J903=1,VLOOKUP(B903,RPM!$F$2:$H$62,3,TRUE),IF(J903=2,VLOOKUP(B903,RPM!$I$2:$K$62,3,TRUE),IF(J903=3,VLOOKUP(B903,RPM!$L$2:$N$62,3,TRUE))))</f>
        <v>4300</v>
      </c>
      <c r="L903" s="17">
        <f t="shared" si="164"/>
        <v>71.532558226248739</v>
      </c>
      <c r="M903" s="16">
        <v>0</v>
      </c>
      <c r="N903" s="17">
        <f>VLOOKUP(K903,RPM!$A$2:$D$62,3,FALSE)</f>
        <v>11.4</v>
      </c>
      <c r="O903" s="16">
        <f>VLOOKUP(K903,RPM!$A$2:$D$62,4,FALSE)</f>
        <v>18.894837209302327</v>
      </c>
      <c r="P903" s="17">
        <f t="shared" si="168"/>
        <v>14.089880106976747</v>
      </c>
      <c r="Q903" s="16" cm="1">
        <f t="array" ref="Q903">_xlfn.XLOOKUP(O903,BSFC!$A$2:$A$24,_xlfn.XLOOKUP(K903,BSFC!$B$1:$O$1,BSFC!$B$2:$O$24,,-1),,-1)</f>
        <v>480</v>
      </c>
      <c r="R903" s="17">
        <f t="shared" si="169"/>
        <v>1.8786506809302328</v>
      </c>
      <c r="S903" s="16">
        <f t="shared" si="170"/>
        <v>2.9183485335175871E-4</v>
      </c>
      <c r="T903" s="17">
        <f t="shared" si="173"/>
        <v>0.14008072960884418</v>
      </c>
      <c r="U903" s="16">
        <f t="shared" si="174"/>
        <v>119.0720033132379</v>
      </c>
      <c r="V903" s="17">
        <f t="shared" si="175"/>
        <v>0.24739190281097953</v>
      </c>
      <c r="W903" s="16">
        <f t="shared" si="171"/>
        <v>890610.85011952627</v>
      </c>
      <c r="X903">
        <f>('Hybrid Info'!$A$2-Track!P903)*(L903-L902)*1000+X902</f>
        <v>-28671.110577329153</v>
      </c>
    </row>
    <row r="904" spans="1:24">
      <c r="A904" s="16">
        <f t="shared" si="172"/>
        <v>903</v>
      </c>
      <c r="B904" s="17">
        <f t="shared" si="166"/>
        <v>13.411199999999999</v>
      </c>
      <c r="C904" s="16">
        <f>Specification!$G$29</f>
        <v>164.943378</v>
      </c>
      <c r="D904" s="17">
        <f>0.5*Specification!$K$4*Track!B904^2*Specification!$K$3*Specification!$K$2</f>
        <v>93.159842569492653</v>
      </c>
      <c r="E904" s="16">
        <v>0</v>
      </c>
      <c r="F904" s="17">
        <f>Specification!$C$23*9.81*SIN((E904*PI()/180))</f>
        <v>0</v>
      </c>
      <c r="G904" s="18">
        <f>IF(J904=1,VLOOKUP(K904,RPM!$E$2:$H$62,3,FALSE)-F904-E904-D904,IF(J904=2,VLOOKUP(K904,RPM!$H$2:$K$62,3,FALSE)-F904-E904-D904,IF(J904=3,VLOOKUP(K904,RPM!$K$2:$N$62,3,FALSE)-F904-E904-D904)))</f>
        <v>549.56217903827155</v>
      </c>
      <c r="H904" s="19">
        <f>IF(J904=1,Specification!$I$14,IF(J904=2,Specification!$I$15,IF(J904=3,Specification!$I$16)))</f>
        <v>578.93404261974786</v>
      </c>
      <c r="I904" s="16">
        <f t="shared" si="165"/>
        <v>0</v>
      </c>
      <c r="J904" s="17">
        <v>3</v>
      </c>
      <c r="K904" s="16">
        <f>IF(J904=1,VLOOKUP(B904,RPM!$F$2:$H$62,3,TRUE),IF(J904=2,VLOOKUP(B904,RPM!$I$2:$K$62,3,TRUE),IF(J904=3,VLOOKUP(B904,RPM!$L$2:$N$62,3,TRUE))))</f>
        <v>4300</v>
      </c>
      <c r="L904" s="17">
        <f t="shared" si="164"/>
        <v>71.607122769317215</v>
      </c>
      <c r="M904" s="16">
        <f t="shared" si="167"/>
        <v>0</v>
      </c>
      <c r="N904" s="17">
        <f>VLOOKUP(K904,RPM!$A$2:$D$62,3,FALSE)</f>
        <v>11.4</v>
      </c>
      <c r="O904" s="16">
        <f>VLOOKUP(K904,RPM!$A$2:$D$62,4,FALSE)</f>
        <v>18.894837209302327</v>
      </c>
      <c r="P904" s="17">
        <f t="shared" si="168"/>
        <v>14.089880106976747</v>
      </c>
      <c r="Q904" s="16" cm="1">
        <f t="array" ref="Q904">_xlfn.XLOOKUP(O904,BSFC!$A$2:$A$24,_xlfn.XLOOKUP(K904,BSFC!$B$1:$O$1,BSFC!$B$2:$O$24,,-1),,-1)</f>
        <v>480</v>
      </c>
      <c r="R904" s="17">
        <f t="shared" si="169"/>
        <v>1.8786506809302328</v>
      </c>
      <c r="S904" s="16">
        <f t="shared" si="170"/>
        <v>2.9183485335175871E-4</v>
      </c>
      <c r="T904" s="17">
        <f t="shared" si="173"/>
        <v>0.14008072960884418</v>
      </c>
      <c r="U904" s="16">
        <f t="shared" si="174"/>
        <v>119.21208404284674</v>
      </c>
      <c r="V904" s="17">
        <f t="shared" si="175"/>
        <v>0.2476837376643313</v>
      </c>
      <c r="W904" s="16">
        <f t="shared" si="171"/>
        <v>891661.45559159259</v>
      </c>
      <c r="X904">
        <f>('Hybrid Info'!$A$2-Track!P904)*(L904-L903)*1000+X903</f>
        <v>-28817.959890678558</v>
      </c>
    </row>
    <row r="905" spans="1:24">
      <c r="A905" s="16">
        <f t="shared" si="172"/>
        <v>904</v>
      </c>
      <c r="B905" s="17">
        <f t="shared" si="166"/>
        <v>13.411199999999999</v>
      </c>
      <c r="C905" s="16">
        <f>Specification!$G$29</f>
        <v>164.943378</v>
      </c>
      <c r="D905" s="17">
        <f>0.5*Specification!$K$4*Track!B905^2*Specification!$K$3*Specification!$K$2</f>
        <v>93.159842569492653</v>
      </c>
      <c r="E905" s="16">
        <v>0</v>
      </c>
      <c r="F905" s="17">
        <f>Specification!$C$23*9.81*SIN((E905*PI()/180))</f>
        <v>0</v>
      </c>
      <c r="G905" s="18">
        <f>IF(J905=1,VLOOKUP(K905,RPM!$E$2:$H$62,3,FALSE)-F905-E905-D905,IF(J905=2,VLOOKUP(K905,RPM!$H$2:$K$62,3,FALSE)-F905-E905-D905,IF(J905=3,VLOOKUP(K905,RPM!$K$2:$N$62,3,FALSE)-F905-E905-D905)))</f>
        <v>549.56217903827155</v>
      </c>
      <c r="H905" s="19">
        <f>IF(J905=1,Specification!$I$14,IF(J905=2,Specification!$I$15,IF(J905=3,Specification!$I$16)))</f>
        <v>578.93404261974786</v>
      </c>
      <c r="I905" s="16">
        <f t="shared" si="165"/>
        <v>0</v>
      </c>
      <c r="J905" s="17">
        <v>3</v>
      </c>
      <c r="K905" s="16">
        <f>IF(J905=1,VLOOKUP(B905,RPM!$F$2:$H$62,3,TRUE),IF(J905=2,VLOOKUP(B905,RPM!$I$2:$K$62,3,TRUE),IF(J905=3,VLOOKUP(B905,RPM!$L$2:$N$62,3,TRUE))))</f>
        <v>4300</v>
      </c>
      <c r="L905" s="17">
        <f t="shared" si="164"/>
        <v>71.681687312385691</v>
      </c>
      <c r="M905" s="16">
        <f t="shared" si="167"/>
        <v>0</v>
      </c>
      <c r="N905" s="17">
        <f>VLOOKUP(K905,RPM!$A$2:$D$62,3,FALSE)</f>
        <v>11.4</v>
      </c>
      <c r="O905" s="16">
        <f>VLOOKUP(K905,RPM!$A$2:$D$62,4,FALSE)</f>
        <v>18.894837209302327</v>
      </c>
      <c r="P905" s="17">
        <f t="shared" si="168"/>
        <v>14.089880106976747</v>
      </c>
      <c r="Q905" s="16" cm="1">
        <f t="array" ref="Q905">_xlfn.XLOOKUP(O905,BSFC!$A$2:$A$24,_xlfn.XLOOKUP(K905,BSFC!$B$1:$O$1,BSFC!$B$2:$O$24,,-1),,-1)</f>
        <v>480</v>
      </c>
      <c r="R905" s="17">
        <f t="shared" si="169"/>
        <v>1.8786506809302328</v>
      </c>
      <c r="S905" s="16">
        <f t="shared" si="170"/>
        <v>2.9183485335175871E-4</v>
      </c>
      <c r="T905" s="17">
        <f t="shared" si="173"/>
        <v>0.14008072960884418</v>
      </c>
      <c r="U905" s="16">
        <f t="shared" si="174"/>
        <v>119.35216477245558</v>
      </c>
      <c r="V905" s="17">
        <f t="shared" si="175"/>
        <v>0.24797557251768307</v>
      </c>
      <c r="W905" s="16">
        <f t="shared" si="171"/>
        <v>892712.06106365903</v>
      </c>
      <c r="X905">
        <f>('Hybrid Info'!$A$2-Track!P905)*(L905-L904)*1000+X904</f>
        <v>-28964.809204027963</v>
      </c>
    </row>
    <row r="906" spans="1:24">
      <c r="A906" s="16">
        <f t="shared" si="172"/>
        <v>905</v>
      </c>
      <c r="B906" s="17">
        <f t="shared" si="166"/>
        <v>13.411199999999999</v>
      </c>
      <c r="C906" s="16">
        <f>Specification!$G$29</f>
        <v>164.943378</v>
      </c>
      <c r="D906" s="17">
        <f>0.5*Specification!$K$4*Track!B906^2*Specification!$K$3*Specification!$K$2</f>
        <v>93.159842569492653</v>
      </c>
      <c r="E906" s="16">
        <v>0</v>
      </c>
      <c r="F906" s="17">
        <f>Specification!$C$23*9.81*SIN((E906*PI()/180))</f>
        <v>0</v>
      </c>
      <c r="G906" s="18">
        <f>IF(J906=1,VLOOKUP(K906,RPM!$E$2:$H$62,3,FALSE)-F906-E906-D906,IF(J906=2,VLOOKUP(K906,RPM!$H$2:$K$62,3,FALSE)-F906-E906-D906,IF(J906=3,VLOOKUP(K906,RPM!$K$2:$N$62,3,FALSE)-F906-E906-D906)))</f>
        <v>549.56217903827155</v>
      </c>
      <c r="H906" s="19">
        <f>IF(J906=1,Specification!$I$14,IF(J906=2,Specification!$I$15,IF(J906=3,Specification!$I$16)))</f>
        <v>578.93404261974786</v>
      </c>
      <c r="I906" s="16">
        <f t="shared" si="165"/>
        <v>0</v>
      </c>
      <c r="J906" s="17">
        <v>3</v>
      </c>
      <c r="K906" s="16">
        <f>IF(J906=1,VLOOKUP(B906,RPM!$F$2:$H$62,3,TRUE),IF(J906=2,VLOOKUP(B906,RPM!$I$2:$K$62,3,TRUE),IF(J906=3,VLOOKUP(B906,RPM!$L$2:$N$62,3,TRUE))))</f>
        <v>4300</v>
      </c>
      <c r="L906" s="17">
        <f t="shared" si="164"/>
        <v>71.756251855454167</v>
      </c>
      <c r="M906" s="16">
        <f t="shared" si="167"/>
        <v>0</v>
      </c>
      <c r="N906" s="17">
        <f>VLOOKUP(K906,RPM!$A$2:$D$62,3,FALSE)</f>
        <v>11.4</v>
      </c>
      <c r="O906" s="16">
        <f>VLOOKUP(K906,RPM!$A$2:$D$62,4,FALSE)</f>
        <v>18.894837209302327</v>
      </c>
      <c r="P906" s="17">
        <f t="shared" si="168"/>
        <v>14.089880106976747</v>
      </c>
      <c r="Q906" s="16" cm="1">
        <f t="array" ref="Q906">_xlfn.XLOOKUP(O906,BSFC!$A$2:$A$24,_xlfn.XLOOKUP(K906,BSFC!$B$1:$O$1,BSFC!$B$2:$O$24,,-1),,-1)</f>
        <v>480</v>
      </c>
      <c r="R906" s="17">
        <f t="shared" si="169"/>
        <v>1.8786506809302328</v>
      </c>
      <c r="S906" s="16">
        <f t="shared" si="170"/>
        <v>2.9183485335175871E-4</v>
      </c>
      <c r="T906" s="17">
        <f t="shared" si="173"/>
        <v>0.14008072960884418</v>
      </c>
      <c r="U906" s="16">
        <f t="shared" si="174"/>
        <v>119.49224550206442</v>
      </c>
      <c r="V906" s="17">
        <f t="shared" si="175"/>
        <v>0.24826740737103484</v>
      </c>
      <c r="W906" s="16">
        <f t="shared" si="171"/>
        <v>893762.66653572535</v>
      </c>
      <c r="X906">
        <f>('Hybrid Info'!$A$2-Track!P906)*(L906-L905)*1000+X905</f>
        <v>-29111.658517377367</v>
      </c>
    </row>
    <row r="907" spans="1:24">
      <c r="A907" s="16">
        <f t="shared" si="172"/>
        <v>906</v>
      </c>
      <c r="B907" s="17">
        <f t="shared" si="166"/>
        <v>13.411199999999999</v>
      </c>
      <c r="C907" s="16">
        <f>Specification!$G$29</f>
        <v>164.943378</v>
      </c>
      <c r="D907" s="17">
        <f>0.5*Specification!$K$4*Track!B907^2*Specification!$K$3*Specification!$K$2</f>
        <v>93.159842569492653</v>
      </c>
      <c r="E907" s="16">
        <v>0</v>
      </c>
      <c r="F907" s="17">
        <f>Specification!$C$23*9.81*SIN((E907*PI()/180))</f>
        <v>0</v>
      </c>
      <c r="G907" s="18">
        <f>IF(J907=1,VLOOKUP(K907,RPM!$E$2:$H$62,3,FALSE)-F907-E907-D907,IF(J907=2,VLOOKUP(K907,RPM!$H$2:$K$62,3,FALSE)-F907-E907-D907,IF(J907=3,VLOOKUP(K907,RPM!$K$2:$N$62,3,FALSE)-F907-E907-D907)))</f>
        <v>549.56217903827155</v>
      </c>
      <c r="H907" s="19">
        <f>IF(J907=1,Specification!$I$14,IF(J907=2,Specification!$I$15,IF(J907=3,Specification!$I$16)))</f>
        <v>578.93404261974786</v>
      </c>
      <c r="I907" s="16">
        <f t="shared" si="165"/>
        <v>0</v>
      </c>
      <c r="J907" s="17">
        <v>3</v>
      </c>
      <c r="K907" s="16">
        <f>IF(J907=1,VLOOKUP(B907,RPM!$F$2:$H$62,3,TRUE),IF(J907=2,VLOOKUP(B907,RPM!$I$2:$K$62,3,TRUE),IF(J907=3,VLOOKUP(B907,RPM!$L$2:$N$62,3,TRUE))))</f>
        <v>4300</v>
      </c>
      <c r="L907" s="17">
        <f t="shared" si="164"/>
        <v>71.830816398522643</v>
      </c>
      <c r="M907" s="16">
        <f t="shared" si="167"/>
        <v>0</v>
      </c>
      <c r="N907" s="17">
        <f>VLOOKUP(K907,RPM!$A$2:$D$62,3,FALSE)</f>
        <v>11.4</v>
      </c>
      <c r="O907" s="16">
        <f>VLOOKUP(K907,RPM!$A$2:$D$62,4,FALSE)</f>
        <v>18.894837209302327</v>
      </c>
      <c r="P907" s="17">
        <f t="shared" si="168"/>
        <v>14.089880106976747</v>
      </c>
      <c r="Q907" s="16" cm="1">
        <f t="array" ref="Q907">_xlfn.XLOOKUP(O907,BSFC!$A$2:$A$24,_xlfn.XLOOKUP(K907,BSFC!$B$1:$O$1,BSFC!$B$2:$O$24,,-1),,-1)</f>
        <v>480</v>
      </c>
      <c r="R907" s="17">
        <f t="shared" si="169"/>
        <v>1.8786506809302328</v>
      </c>
      <c r="S907" s="16">
        <f t="shared" si="170"/>
        <v>2.9183485335175871E-4</v>
      </c>
      <c r="T907" s="17">
        <f t="shared" si="173"/>
        <v>0.14008072960884418</v>
      </c>
      <c r="U907" s="16">
        <f t="shared" si="174"/>
        <v>119.63232623167326</v>
      </c>
      <c r="V907" s="17">
        <f t="shared" si="175"/>
        <v>0.24855924222438661</v>
      </c>
      <c r="W907" s="16">
        <f t="shared" si="171"/>
        <v>894813.27200779179</v>
      </c>
      <c r="X907">
        <f>('Hybrid Info'!$A$2-Track!P907)*(L907-L906)*1000+X906</f>
        <v>-29258.507830726772</v>
      </c>
    </row>
    <row r="908" spans="1:24">
      <c r="A908" s="16">
        <f t="shared" si="172"/>
        <v>907</v>
      </c>
      <c r="B908" s="17">
        <f t="shared" si="166"/>
        <v>13.411199999999999</v>
      </c>
      <c r="C908" s="16">
        <f>Specification!$G$29</f>
        <v>164.943378</v>
      </c>
      <c r="D908" s="17">
        <f>0.5*Specification!$K$4*Track!B908^2*Specification!$K$3*Specification!$K$2</f>
        <v>93.159842569492653</v>
      </c>
      <c r="E908" s="16">
        <v>0</v>
      </c>
      <c r="F908" s="17">
        <f>Specification!$C$23*9.81*SIN((E908*PI()/180))</f>
        <v>0</v>
      </c>
      <c r="G908" s="18">
        <f>IF(J908=1,VLOOKUP(K908,RPM!$E$2:$H$62,3,FALSE)-F908-E908-D908,IF(J908=2,VLOOKUP(K908,RPM!$H$2:$K$62,3,FALSE)-F908-E908-D908,IF(J908=3,VLOOKUP(K908,RPM!$K$2:$N$62,3,FALSE)-F908-E908-D908)))</f>
        <v>549.56217903827155</v>
      </c>
      <c r="H908" s="19">
        <f>IF(J908=1,Specification!$I$14,IF(J908=2,Specification!$I$15,IF(J908=3,Specification!$I$16)))</f>
        <v>578.93404261974786</v>
      </c>
      <c r="I908" s="16">
        <f t="shared" si="165"/>
        <v>0</v>
      </c>
      <c r="J908" s="17">
        <v>3</v>
      </c>
      <c r="K908" s="16">
        <f>IF(J908=1,VLOOKUP(B908,RPM!$F$2:$H$62,3,TRUE),IF(J908=2,VLOOKUP(B908,RPM!$I$2:$K$62,3,TRUE),IF(J908=3,VLOOKUP(B908,RPM!$L$2:$N$62,3,TRUE))))</f>
        <v>4300</v>
      </c>
      <c r="L908" s="17">
        <f t="shared" si="164"/>
        <v>71.905380941591119</v>
      </c>
      <c r="M908" s="16">
        <f t="shared" si="167"/>
        <v>0</v>
      </c>
      <c r="N908" s="17">
        <f>VLOOKUP(K908,RPM!$A$2:$D$62,3,FALSE)</f>
        <v>11.4</v>
      </c>
      <c r="O908" s="16">
        <f>VLOOKUP(K908,RPM!$A$2:$D$62,4,FALSE)</f>
        <v>18.894837209302327</v>
      </c>
      <c r="P908" s="17">
        <f t="shared" si="168"/>
        <v>14.089880106976747</v>
      </c>
      <c r="Q908" s="16" cm="1">
        <f t="array" ref="Q908">_xlfn.XLOOKUP(O908,BSFC!$A$2:$A$24,_xlfn.XLOOKUP(K908,BSFC!$B$1:$O$1,BSFC!$B$2:$O$24,,-1),,-1)</f>
        <v>480</v>
      </c>
      <c r="R908" s="17">
        <f t="shared" si="169"/>
        <v>1.8786506809302328</v>
      </c>
      <c r="S908" s="16">
        <f t="shared" si="170"/>
        <v>2.9183485335175871E-4</v>
      </c>
      <c r="T908" s="17">
        <f t="shared" si="173"/>
        <v>0.14008072960884418</v>
      </c>
      <c r="U908" s="16">
        <f t="shared" si="174"/>
        <v>119.7724069612821</v>
      </c>
      <c r="V908" s="17">
        <f t="shared" si="175"/>
        <v>0.24885107707773838</v>
      </c>
      <c r="W908" s="16">
        <f t="shared" si="171"/>
        <v>895863.87747985811</v>
      </c>
      <c r="X908">
        <f>('Hybrid Info'!$A$2-Track!P908)*(L908-L907)*1000+X907</f>
        <v>-29405.357144076177</v>
      </c>
    </row>
    <row r="909" spans="1:24">
      <c r="A909" s="16">
        <f t="shared" si="172"/>
        <v>908</v>
      </c>
      <c r="B909" s="17">
        <f t="shared" si="166"/>
        <v>13.411199999999999</v>
      </c>
      <c r="C909" s="16">
        <f>Specification!$G$29</f>
        <v>164.943378</v>
      </c>
      <c r="D909" s="17">
        <f>0.5*Specification!$K$4*Track!B909^2*Specification!$K$3*Specification!$K$2</f>
        <v>93.159842569492653</v>
      </c>
      <c r="E909" s="16">
        <v>0</v>
      </c>
      <c r="F909" s="17">
        <f>Specification!$C$23*9.81*SIN((E909*PI()/180))</f>
        <v>0</v>
      </c>
      <c r="G909" s="18">
        <f>IF(J909=1,VLOOKUP(K909,RPM!$E$2:$H$62,3,FALSE)-F909-E909-D909,IF(J909=2,VLOOKUP(K909,RPM!$H$2:$K$62,3,FALSE)-F909-E909-D909,IF(J909=3,VLOOKUP(K909,RPM!$K$2:$N$62,3,FALSE)-F909-E909-D909)))</f>
        <v>549.56217903827155</v>
      </c>
      <c r="H909" s="19">
        <f>IF(J909=1,Specification!$I$14,IF(J909=2,Specification!$I$15,IF(J909=3,Specification!$I$16)))</f>
        <v>578.93404261974786</v>
      </c>
      <c r="I909" s="16">
        <f t="shared" si="165"/>
        <v>0</v>
      </c>
      <c r="J909" s="17">
        <v>3</v>
      </c>
      <c r="K909" s="16">
        <f>IF(J909=1,VLOOKUP(B909,RPM!$F$2:$H$62,3,TRUE),IF(J909=2,VLOOKUP(B909,RPM!$I$2:$K$62,3,TRUE),IF(J909=3,VLOOKUP(B909,RPM!$L$2:$N$62,3,TRUE))))</f>
        <v>4300</v>
      </c>
      <c r="L909" s="17">
        <f t="shared" ref="L909:L972" si="176">IF(I909=0,ABS(1/B909)+L908,IF(ABS(B910-B909)=0,1/B909+L908,ABS((B910-B909)/I909)+L908))</f>
        <v>71.979945484659595</v>
      </c>
      <c r="M909" s="16">
        <f t="shared" si="167"/>
        <v>0</v>
      </c>
      <c r="N909" s="17">
        <f>VLOOKUP(K909,RPM!$A$2:$D$62,3,FALSE)</f>
        <v>11.4</v>
      </c>
      <c r="O909" s="16">
        <f>VLOOKUP(K909,RPM!$A$2:$D$62,4,FALSE)</f>
        <v>18.894837209302327</v>
      </c>
      <c r="P909" s="17">
        <f t="shared" si="168"/>
        <v>14.089880106976747</v>
      </c>
      <c r="Q909" s="16" cm="1">
        <f t="array" ref="Q909">_xlfn.XLOOKUP(O909,BSFC!$A$2:$A$24,_xlfn.XLOOKUP(K909,BSFC!$B$1:$O$1,BSFC!$B$2:$O$24,,-1),,-1)</f>
        <v>480</v>
      </c>
      <c r="R909" s="17">
        <f t="shared" si="169"/>
        <v>1.8786506809302328</v>
      </c>
      <c r="S909" s="16">
        <f t="shared" si="170"/>
        <v>2.9183485335175871E-4</v>
      </c>
      <c r="T909" s="17">
        <f t="shared" si="173"/>
        <v>0.14008072960884418</v>
      </c>
      <c r="U909" s="16">
        <f t="shared" si="174"/>
        <v>119.91248769089094</v>
      </c>
      <c r="V909" s="17">
        <f t="shared" si="175"/>
        <v>0.24914291193109014</v>
      </c>
      <c r="W909" s="16">
        <f t="shared" si="171"/>
        <v>896914.48295192455</v>
      </c>
      <c r="X909">
        <f>('Hybrid Info'!$A$2-Track!P909)*(L909-L908)*1000+X908</f>
        <v>-29552.206457425582</v>
      </c>
    </row>
    <row r="910" spans="1:24">
      <c r="A910" s="16">
        <f t="shared" si="172"/>
        <v>909</v>
      </c>
      <c r="B910" s="17">
        <f t="shared" si="166"/>
        <v>13.411199999999999</v>
      </c>
      <c r="C910" s="16">
        <f>Specification!$G$29</f>
        <v>164.943378</v>
      </c>
      <c r="D910" s="17">
        <f>0.5*Specification!$K$4*Track!B910^2*Specification!$K$3*Specification!$K$2</f>
        <v>93.159842569492653</v>
      </c>
      <c r="E910" s="16">
        <v>0</v>
      </c>
      <c r="F910" s="17">
        <f>Specification!$C$23*9.81*SIN((E910*PI()/180))</f>
        <v>0</v>
      </c>
      <c r="G910" s="18">
        <f>IF(J910=1,VLOOKUP(K910,RPM!$E$2:$H$62,3,FALSE)-F910-E910-D910,IF(J910=2,VLOOKUP(K910,RPM!$H$2:$K$62,3,FALSE)-F910-E910-D910,IF(J910=3,VLOOKUP(K910,RPM!$K$2:$N$62,3,FALSE)-F910-E910-D910)))</f>
        <v>549.56217903827155</v>
      </c>
      <c r="H910" s="19">
        <f>IF(J910=1,Specification!$I$14,IF(J910=2,Specification!$I$15,IF(J910=3,Specification!$I$16)))</f>
        <v>578.93404261974786</v>
      </c>
      <c r="I910" s="16">
        <f t="shared" si="165"/>
        <v>0</v>
      </c>
      <c r="J910" s="17">
        <v>3</v>
      </c>
      <c r="K910" s="16">
        <f>IF(J910=1,VLOOKUP(B910,RPM!$F$2:$H$62,3,TRUE),IF(J910=2,VLOOKUP(B910,RPM!$I$2:$K$62,3,TRUE),IF(J910=3,VLOOKUP(B910,RPM!$L$2:$N$62,3,TRUE))))</f>
        <v>4300</v>
      </c>
      <c r="L910" s="17">
        <f t="shared" si="176"/>
        <v>72.054510027728071</v>
      </c>
      <c r="M910" s="16">
        <f t="shared" si="167"/>
        <v>0</v>
      </c>
      <c r="N910" s="17">
        <f>VLOOKUP(K910,RPM!$A$2:$D$62,3,FALSE)</f>
        <v>11.4</v>
      </c>
      <c r="O910" s="16">
        <f>VLOOKUP(K910,RPM!$A$2:$D$62,4,FALSE)</f>
        <v>18.894837209302327</v>
      </c>
      <c r="P910" s="17">
        <f t="shared" si="168"/>
        <v>14.089880106976747</v>
      </c>
      <c r="Q910" s="16" cm="1">
        <f t="array" ref="Q910">_xlfn.XLOOKUP(O910,BSFC!$A$2:$A$24,_xlfn.XLOOKUP(K910,BSFC!$B$1:$O$1,BSFC!$B$2:$O$24,,-1),,-1)</f>
        <v>480</v>
      </c>
      <c r="R910" s="17">
        <f t="shared" si="169"/>
        <v>1.8786506809302328</v>
      </c>
      <c r="S910" s="16">
        <f t="shared" si="170"/>
        <v>2.9183485335175871E-4</v>
      </c>
      <c r="T910" s="17">
        <f t="shared" si="173"/>
        <v>0.14008072960884418</v>
      </c>
      <c r="U910" s="16">
        <f t="shared" si="174"/>
        <v>120.05256842049978</v>
      </c>
      <c r="V910" s="17">
        <f t="shared" si="175"/>
        <v>0.24943474678444191</v>
      </c>
      <c r="W910" s="16">
        <f t="shared" si="171"/>
        <v>897965.08842399099</v>
      </c>
      <c r="X910">
        <f>('Hybrid Info'!$A$2-Track!P910)*(L910-L909)*1000+X909</f>
        <v>-29699.055770774987</v>
      </c>
    </row>
    <row r="911" spans="1:24">
      <c r="A911" s="16">
        <f t="shared" si="172"/>
        <v>910</v>
      </c>
      <c r="B911" s="17">
        <f t="shared" si="166"/>
        <v>13.411199999999999</v>
      </c>
      <c r="C911" s="16">
        <f>Specification!$G$29</f>
        <v>164.943378</v>
      </c>
      <c r="D911" s="17">
        <f>0.5*Specification!$K$4*Track!B911^2*Specification!$K$3*Specification!$K$2</f>
        <v>93.159842569492653</v>
      </c>
      <c r="E911" s="16">
        <v>0</v>
      </c>
      <c r="F911" s="17">
        <f>Specification!$C$23*9.81*SIN((E911*PI()/180))</f>
        <v>0</v>
      </c>
      <c r="G911" s="18">
        <f>IF(J911=1,VLOOKUP(K911,RPM!$E$2:$H$62,3,FALSE)-F911-E911-D911,IF(J911=2,VLOOKUP(K911,RPM!$H$2:$K$62,3,FALSE)-F911-E911-D911,IF(J911=3,VLOOKUP(K911,RPM!$K$2:$N$62,3,FALSE)-F911-E911-D911)))</f>
        <v>549.56217903827155</v>
      </c>
      <c r="H911" s="19">
        <f>IF(J911=1,Specification!$I$14,IF(J911=2,Specification!$I$15,IF(J911=3,Specification!$I$16)))</f>
        <v>578.93404261974786</v>
      </c>
      <c r="I911" s="16">
        <f t="shared" si="165"/>
        <v>0</v>
      </c>
      <c r="J911" s="17">
        <v>3</v>
      </c>
      <c r="K911" s="16">
        <f>IF(J911=1,VLOOKUP(B911,RPM!$F$2:$H$62,3,TRUE),IF(J911=2,VLOOKUP(B911,RPM!$I$2:$K$62,3,TRUE),IF(J911=3,VLOOKUP(B911,RPM!$L$2:$N$62,3,TRUE))))</f>
        <v>4300</v>
      </c>
      <c r="L911" s="17">
        <f t="shared" si="176"/>
        <v>72.129074570796547</v>
      </c>
      <c r="M911" s="16">
        <f t="shared" si="167"/>
        <v>0</v>
      </c>
      <c r="N911" s="17">
        <f>VLOOKUP(K911,RPM!$A$2:$D$62,3,FALSE)</f>
        <v>11.4</v>
      </c>
      <c r="O911" s="16">
        <f>VLOOKUP(K911,RPM!$A$2:$D$62,4,FALSE)</f>
        <v>18.894837209302327</v>
      </c>
      <c r="P911" s="17">
        <f t="shared" si="168"/>
        <v>14.089880106976747</v>
      </c>
      <c r="Q911" s="16" cm="1">
        <f t="array" ref="Q911">_xlfn.XLOOKUP(O911,BSFC!$A$2:$A$24,_xlfn.XLOOKUP(K911,BSFC!$B$1:$O$1,BSFC!$B$2:$O$24,,-1),,-1)</f>
        <v>480</v>
      </c>
      <c r="R911" s="17">
        <f t="shared" si="169"/>
        <v>1.8786506809302328</v>
      </c>
      <c r="S911" s="16">
        <f t="shared" si="170"/>
        <v>2.9183485335175871E-4</v>
      </c>
      <c r="T911" s="17">
        <f t="shared" si="173"/>
        <v>0.14008072960884418</v>
      </c>
      <c r="U911" s="16">
        <f t="shared" si="174"/>
        <v>120.19264915010862</v>
      </c>
      <c r="V911" s="17">
        <f t="shared" si="175"/>
        <v>0.24972658163779368</v>
      </c>
      <c r="W911" s="16">
        <f t="shared" si="171"/>
        <v>899015.69389605732</v>
      </c>
      <c r="X911">
        <f>('Hybrid Info'!$A$2-Track!P911)*(L911-L910)*1000+X910</f>
        <v>-29845.905084124392</v>
      </c>
    </row>
    <row r="912" spans="1:24">
      <c r="A912" s="16">
        <f t="shared" si="172"/>
        <v>911</v>
      </c>
      <c r="B912" s="17">
        <f t="shared" si="166"/>
        <v>13.411199999999999</v>
      </c>
      <c r="C912" s="16">
        <f>Specification!$G$29</f>
        <v>164.943378</v>
      </c>
      <c r="D912" s="17">
        <f>0.5*Specification!$K$4*Track!B912^2*Specification!$K$3*Specification!$K$2</f>
        <v>93.159842569492653</v>
      </c>
      <c r="E912" s="16">
        <v>0</v>
      </c>
      <c r="F912" s="17">
        <f>Specification!$C$23*9.81*SIN((E912*PI()/180))</f>
        <v>0</v>
      </c>
      <c r="G912" s="18">
        <f>IF(J912=1,VLOOKUP(K912,RPM!$E$2:$H$62,3,FALSE)-F912-E912-D912,IF(J912=2,VLOOKUP(K912,RPM!$H$2:$K$62,3,FALSE)-F912-E912-D912,IF(J912=3,VLOOKUP(K912,RPM!$K$2:$N$62,3,FALSE)-F912-E912-D912)))</f>
        <v>549.56217903827155</v>
      </c>
      <c r="H912" s="19">
        <f>IF(J912=1,Specification!$I$14,IF(J912=2,Specification!$I$15,IF(J912=3,Specification!$I$16)))</f>
        <v>578.93404261974786</v>
      </c>
      <c r="I912" s="16">
        <f t="shared" si="165"/>
        <v>0</v>
      </c>
      <c r="J912" s="17">
        <v>3</v>
      </c>
      <c r="K912" s="16">
        <f>IF(J912=1,VLOOKUP(B912,RPM!$F$2:$H$62,3,TRUE),IF(J912=2,VLOOKUP(B912,RPM!$I$2:$K$62,3,TRUE),IF(J912=3,VLOOKUP(B912,RPM!$L$2:$N$62,3,TRUE))))</f>
        <v>4300</v>
      </c>
      <c r="L912" s="17">
        <f t="shared" si="176"/>
        <v>72.203639113865023</v>
      </c>
      <c r="M912" s="16">
        <f t="shared" si="167"/>
        <v>0</v>
      </c>
      <c r="N912" s="17">
        <f>VLOOKUP(K912,RPM!$A$2:$D$62,3,FALSE)</f>
        <v>11.4</v>
      </c>
      <c r="O912" s="16">
        <f>VLOOKUP(K912,RPM!$A$2:$D$62,4,FALSE)</f>
        <v>18.894837209302327</v>
      </c>
      <c r="P912" s="17">
        <f t="shared" si="168"/>
        <v>14.089880106976747</v>
      </c>
      <c r="Q912" s="16" cm="1">
        <f t="array" ref="Q912">_xlfn.XLOOKUP(O912,BSFC!$A$2:$A$24,_xlfn.XLOOKUP(K912,BSFC!$B$1:$O$1,BSFC!$B$2:$O$24,,-1),,-1)</f>
        <v>480</v>
      </c>
      <c r="R912" s="17">
        <f t="shared" si="169"/>
        <v>1.8786506809302328</v>
      </c>
      <c r="S912" s="16">
        <f t="shared" si="170"/>
        <v>2.9183485335175871E-4</v>
      </c>
      <c r="T912" s="17">
        <f t="shared" si="173"/>
        <v>0.14008072960884418</v>
      </c>
      <c r="U912" s="16">
        <f t="shared" si="174"/>
        <v>120.33272987971746</v>
      </c>
      <c r="V912" s="17">
        <f t="shared" si="175"/>
        <v>0.25001841649114542</v>
      </c>
      <c r="W912" s="16">
        <f t="shared" si="171"/>
        <v>900066.29936812352</v>
      </c>
      <c r="X912">
        <f>('Hybrid Info'!$A$2-Track!P912)*(L912-L911)*1000+X911</f>
        <v>-29992.754397473796</v>
      </c>
    </row>
    <row r="913" spans="1:24">
      <c r="A913" s="16">
        <f t="shared" si="172"/>
        <v>912</v>
      </c>
      <c r="B913" s="17">
        <f t="shared" si="166"/>
        <v>13.411199999999999</v>
      </c>
      <c r="C913" s="16">
        <f>Specification!$G$29</f>
        <v>164.943378</v>
      </c>
      <c r="D913" s="17">
        <f>0.5*Specification!$K$4*Track!B913^2*Specification!$K$3*Specification!$K$2</f>
        <v>93.159842569492653</v>
      </c>
      <c r="E913" s="16">
        <v>0</v>
      </c>
      <c r="F913" s="17">
        <f>Specification!$C$23*9.81*SIN((E913*PI()/180))</f>
        <v>0</v>
      </c>
      <c r="G913" s="18">
        <f>IF(J913=1,VLOOKUP(K913,RPM!$E$2:$H$62,3,FALSE)-F913-E913-D913,IF(J913=2,VLOOKUP(K913,RPM!$H$2:$K$62,3,FALSE)-F913-E913-D913,IF(J913=3,VLOOKUP(K913,RPM!$K$2:$N$62,3,FALSE)-F913-E913-D913)))</f>
        <v>549.56217903827155</v>
      </c>
      <c r="H913" s="19">
        <f>IF(J913=1,Specification!$I$14,IF(J913=2,Specification!$I$15,IF(J913=3,Specification!$I$16)))</f>
        <v>578.93404261974786</v>
      </c>
      <c r="I913" s="16">
        <f t="shared" si="165"/>
        <v>0</v>
      </c>
      <c r="J913" s="17">
        <v>3</v>
      </c>
      <c r="K913" s="16">
        <f>IF(J913=1,VLOOKUP(B913,RPM!$F$2:$H$62,3,TRUE),IF(J913=2,VLOOKUP(B913,RPM!$I$2:$K$62,3,TRUE),IF(J913=3,VLOOKUP(B913,RPM!$L$2:$N$62,3,TRUE))))</f>
        <v>4300</v>
      </c>
      <c r="L913" s="17">
        <f t="shared" si="176"/>
        <v>72.278203656933499</v>
      </c>
      <c r="M913" s="16">
        <f t="shared" si="167"/>
        <v>0</v>
      </c>
      <c r="N913" s="17">
        <f>VLOOKUP(K913,RPM!$A$2:$D$62,3,FALSE)</f>
        <v>11.4</v>
      </c>
      <c r="O913" s="16">
        <f>VLOOKUP(K913,RPM!$A$2:$D$62,4,FALSE)</f>
        <v>18.894837209302327</v>
      </c>
      <c r="P913" s="17">
        <f t="shared" si="168"/>
        <v>14.089880106976747</v>
      </c>
      <c r="Q913" s="16" cm="1">
        <f t="array" ref="Q913">_xlfn.XLOOKUP(O913,BSFC!$A$2:$A$24,_xlfn.XLOOKUP(K913,BSFC!$B$1:$O$1,BSFC!$B$2:$O$24,,-1),,-1)</f>
        <v>480</v>
      </c>
      <c r="R913" s="17">
        <f t="shared" si="169"/>
        <v>1.8786506809302328</v>
      </c>
      <c r="S913" s="16">
        <f t="shared" si="170"/>
        <v>2.9183485335175871E-4</v>
      </c>
      <c r="T913" s="17">
        <f t="shared" si="173"/>
        <v>0.14008072960884418</v>
      </c>
      <c r="U913" s="16">
        <f t="shared" si="174"/>
        <v>120.4728106093263</v>
      </c>
      <c r="V913" s="17">
        <f t="shared" si="175"/>
        <v>0.25031025134449719</v>
      </c>
      <c r="W913" s="16">
        <f t="shared" si="171"/>
        <v>901116.90484018996</v>
      </c>
      <c r="X913">
        <f>('Hybrid Info'!$A$2-Track!P913)*(L913-L912)*1000+X912</f>
        <v>-30139.603710823201</v>
      </c>
    </row>
    <row r="914" spans="1:24">
      <c r="A914" s="16">
        <f t="shared" si="172"/>
        <v>913</v>
      </c>
      <c r="B914" s="17">
        <f t="shared" si="166"/>
        <v>13.411199999999999</v>
      </c>
      <c r="C914" s="16">
        <f>Specification!$G$29</f>
        <v>164.943378</v>
      </c>
      <c r="D914" s="17">
        <f>0.5*Specification!$K$4*Track!B914^2*Specification!$K$3*Specification!$K$2</f>
        <v>93.159842569492653</v>
      </c>
      <c r="E914" s="16">
        <v>0</v>
      </c>
      <c r="F914" s="17">
        <f>Specification!$C$23*9.81*SIN((E914*PI()/180))</f>
        <v>0</v>
      </c>
      <c r="G914" s="18">
        <f>IF(J914=1,VLOOKUP(K914,RPM!$E$2:$H$62,3,FALSE)-F914-E914-D914,IF(J914=2,VLOOKUP(K914,RPM!$H$2:$K$62,3,FALSE)-F914-E914-D914,IF(J914=3,VLOOKUP(K914,RPM!$K$2:$N$62,3,FALSE)-F914-E914-D914)))</f>
        <v>549.56217903827155</v>
      </c>
      <c r="H914" s="19">
        <f>IF(J914=1,Specification!$I$14,IF(J914=2,Specification!$I$15,IF(J914=3,Specification!$I$16)))</f>
        <v>578.93404261974786</v>
      </c>
      <c r="I914" s="16">
        <f t="shared" si="165"/>
        <v>0</v>
      </c>
      <c r="J914" s="17">
        <v>3</v>
      </c>
      <c r="K914" s="16">
        <f>IF(J914=1,VLOOKUP(B914,RPM!$F$2:$H$62,3,TRUE),IF(J914=2,VLOOKUP(B914,RPM!$I$2:$K$62,3,TRUE),IF(J914=3,VLOOKUP(B914,RPM!$L$2:$N$62,3,TRUE))))</f>
        <v>4300</v>
      </c>
      <c r="L914" s="17">
        <f t="shared" si="176"/>
        <v>72.352768200001975</v>
      </c>
      <c r="M914" s="16">
        <f t="shared" si="167"/>
        <v>0</v>
      </c>
      <c r="N914" s="17">
        <f>VLOOKUP(K914,RPM!$A$2:$D$62,3,FALSE)</f>
        <v>11.4</v>
      </c>
      <c r="O914" s="16">
        <f>VLOOKUP(K914,RPM!$A$2:$D$62,4,FALSE)</f>
        <v>18.894837209302327</v>
      </c>
      <c r="P914" s="17">
        <f t="shared" si="168"/>
        <v>14.089880106976747</v>
      </c>
      <c r="Q914" s="16" cm="1">
        <f t="array" ref="Q914">_xlfn.XLOOKUP(O914,BSFC!$A$2:$A$24,_xlfn.XLOOKUP(K914,BSFC!$B$1:$O$1,BSFC!$B$2:$O$24,,-1),,-1)</f>
        <v>480</v>
      </c>
      <c r="R914" s="17">
        <f t="shared" si="169"/>
        <v>1.8786506809302328</v>
      </c>
      <c r="S914" s="16">
        <f t="shared" si="170"/>
        <v>2.9183485335175871E-4</v>
      </c>
      <c r="T914" s="17">
        <f t="shared" si="173"/>
        <v>0.14008072960884418</v>
      </c>
      <c r="U914" s="16">
        <f t="shared" si="174"/>
        <v>120.61289133893514</v>
      </c>
      <c r="V914" s="17">
        <f t="shared" si="175"/>
        <v>0.25060208619784896</v>
      </c>
      <c r="W914" s="16">
        <f t="shared" si="171"/>
        <v>902167.51031225629</v>
      </c>
      <c r="X914">
        <f>('Hybrid Info'!$A$2-Track!P914)*(L914-L913)*1000+X913</f>
        <v>-30286.453024172606</v>
      </c>
    </row>
    <row r="915" spans="1:24">
      <c r="A915" s="16">
        <f t="shared" si="172"/>
        <v>914</v>
      </c>
      <c r="B915" s="17">
        <f t="shared" si="166"/>
        <v>13.411199999999999</v>
      </c>
      <c r="C915" s="16">
        <f>Specification!$G$29</f>
        <v>164.943378</v>
      </c>
      <c r="D915" s="17">
        <f>0.5*Specification!$K$4*Track!B915^2*Specification!$K$3*Specification!$K$2</f>
        <v>93.159842569492653</v>
      </c>
      <c r="E915" s="16">
        <v>0</v>
      </c>
      <c r="F915" s="17">
        <f>Specification!$C$23*9.81*SIN((E915*PI()/180))</f>
        <v>0</v>
      </c>
      <c r="G915" s="18">
        <f>IF(J915=1,VLOOKUP(K915,RPM!$E$2:$H$62,3,FALSE)-F915-E915-D915,IF(J915=2,VLOOKUP(K915,RPM!$H$2:$K$62,3,FALSE)-F915-E915-D915,IF(J915=3,VLOOKUP(K915,RPM!$K$2:$N$62,3,FALSE)-F915-E915-D915)))</f>
        <v>549.56217903827155</v>
      </c>
      <c r="H915" s="19">
        <f>IF(J915=1,Specification!$I$14,IF(J915=2,Specification!$I$15,IF(J915=3,Specification!$I$16)))</f>
        <v>578.93404261974786</v>
      </c>
      <c r="I915" s="16">
        <f t="shared" si="165"/>
        <v>0</v>
      </c>
      <c r="J915" s="17">
        <v>3</v>
      </c>
      <c r="K915" s="16">
        <f>IF(J915=1,VLOOKUP(B915,RPM!$F$2:$H$62,3,TRUE),IF(J915=2,VLOOKUP(B915,RPM!$I$2:$K$62,3,TRUE),IF(J915=3,VLOOKUP(B915,RPM!$L$2:$N$62,3,TRUE))))</f>
        <v>4300</v>
      </c>
      <c r="L915" s="17">
        <f t="shared" si="176"/>
        <v>72.427332743070451</v>
      </c>
      <c r="M915" s="16">
        <f t="shared" si="167"/>
        <v>0</v>
      </c>
      <c r="N915" s="17">
        <f>VLOOKUP(K915,RPM!$A$2:$D$62,3,FALSE)</f>
        <v>11.4</v>
      </c>
      <c r="O915" s="16">
        <f>VLOOKUP(K915,RPM!$A$2:$D$62,4,FALSE)</f>
        <v>18.894837209302327</v>
      </c>
      <c r="P915" s="17">
        <f t="shared" si="168"/>
        <v>14.089880106976747</v>
      </c>
      <c r="Q915" s="16" cm="1">
        <f t="array" ref="Q915">_xlfn.XLOOKUP(O915,BSFC!$A$2:$A$24,_xlfn.XLOOKUP(K915,BSFC!$B$1:$O$1,BSFC!$B$2:$O$24,,-1),,-1)</f>
        <v>480</v>
      </c>
      <c r="R915" s="17">
        <f t="shared" si="169"/>
        <v>1.8786506809302328</v>
      </c>
      <c r="S915" s="16">
        <f t="shared" si="170"/>
        <v>2.9183485335175871E-4</v>
      </c>
      <c r="T915" s="17">
        <f t="shared" si="173"/>
        <v>0.14008072960884418</v>
      </c>
      <c r="U915" s="16">
        <f t="shared" si="174"/>
        <v>120.75297206854398</v>
      </c>
      <c r="V915" s="17">
        <f t="shared" si="175"/>
        <v>0.25089392105120073</v>
      </c>
      <c r="W915" s="16">
        <f t="shared" si="171"/>
        <v>903218.11578432261</v>
      </c>
      <c r="X915">
        <f>('Hybrid Info'!$A$2-Track!P915)*(L915-L914)*1000+X914</f>
        <v>-30433.302337522011</v>
      </c>
    </row>
    <row r="916" spans="1:24">
      <c r="A916" s="16">
        <f t="shared" si="172"/>
        <v>915</v>
      </c>
      <c r="B916" s="17">
        <f t="shared" si="166"/>
        <v>13.411199999999999</v>
      </c>
      <c r="C916" s="16">
        <f>Specification!$G$29</f>
        <v>164.943378</v>
      </c>
      <c r="D916" s="17">
        <f>0.5*Specification!$K$4*Track!B916^2*Specification!$K$3*Specification!$K$2</f>
        <v>93.159842569492653</v>
      </c>
      <c r="E916" s="16">
        <v>0</v>
      </c>
      <c r="F916" s="17">
        <f>Specification!$C$23*9.81*SIN((E916*PI()/180))</f>
        <v>0</v>
      </c>
      <c r="G916" s="18">
        <f>IF(J916=1,VLOOKUP(K916,RPM!$E$2:$H$62,3,FALSE)-F916-E916-D916,IF(J916=2,VLOOKUP(K916,RPM!$H$2:$K$62,3,FALSE)-F916-E916-D916,IF(J916=3,VLOOKUP(K916,RPM!$K$2:$N$62,3,FALSE)-F916-E916-D916)))</f>
        <v>549.56217903827155</v>
      </c>
      <c r="H916" s="19">
        <f>IF(J916=1,Specification!$I$14,IF(J916=2,Specification!$I$15,IF(J916=3,Specification!$I$16)))</f>
        <v>578.93404261974786</v>
      </c>
      <c r="I916" s="16">
        <f t="shared" si="165"/>
        <v>0</v>
      </c>
      <c r="J916" s="17">
        <v>3</v>
      </c>
      <c r="K916" s="16">
        <f>IF(J916=1,VLOOKUP(B916,RPM!$F$2:$H$62,3,TRUE),IF(J916=2,VLOOKUP(B916,RPM!$I$2:$K$62,3,TRUE),IF(J916=3,VLOOKUP(B916,RPM!$L$2:$N$62,3,TRUE))))</f>
        <v>4300</v>
      </c>
      <c r="L916" s="17">
        <f t="shared" si="176"/>
        <v>72.501897286138927</v>
      </c>
      <c r="M916" s="16">
        <f t="shared" si="167"/>
        <v>0</v>
      </c>
      <c r="N916" s="17">
        <f>VLOOKUP(K916,RPM!$A$2:$D$62,3,FALSE)</f>
        <v>11.4</v>
      </c>
      <c r="O916" s="16">
        <f>VLOOKUP(K916,RPM!$A$2:$D$62,4,FALSE)</f>
        <v>18.894837209302327</v>
      </c>
      <c r="P916" s="17">
        <f t="shared" si="168"/>
        <v>14.089880106976747</v>
      </c>
      <c r="Q916" s="16" cm="1">
        <f t="array" ref="Q916">_xlfn.XLOOKUP(O916,BSFC!$A$2:$A$24,_xlfn.XLOOKUP(K916,BSFC!$B$1:$O$1,BSFC!$B$2:$O$24,,-1),,-1)</f>
        <v>480</v>
      </c>
      <c r="R916" s="17">
        <f t="shared" si="169"/>
        <v>1.8786506809302328</v>
      </c>
      <c r="S916" s="16">
        <f t="shared" si="170"/>
        <v>2.9183485335175871E-4</v>
      </c>
      <c r="T916" s="17">
        <f t="shared" si="173"/>
        <v>0.14008072960884418</v>
      </c>
      <c r="U916" s="16">
        <f t="shared" si="174"/>
        <v>120.89305279815282</v>
      </c>
      <c r="V916" s="17">
        <f t="shared" si="175"/>
        <v>0.2511857559045525</v>
      </c>
      <c r="W916" s="16">
        <f t="shared" si="171"/>
        <v>904268.72125638905</v>
      </c>
      <c r="X916">
        <f>('Hybrid Info'!$A$2-Track!P916)*(L916-L915)*1000+X915</f>
        <v>-30580.151650871416</v>
      </c>
    </row>
    <row r="917" spans="1:24">
      <c r="A917" s="16">
        <f t="shared" si="172"/>
        <v>916</v>
      </c>
      <c r="B917" s="17">
        <f t="shared" si="166"/>
        <v>13.411199999999999</v>
      </c>
      <c r="C917" s="16">
        <f>Specification!$G$29</f>
        <v>164.943378</v>
      </c>
      <c r="D917" s="17">
        <f>0.5*Specification!$K$4*Track!B917^2*Specification!$K$3*Specification!$K$2</f>
        <v>93.159842569492653</v>
      </c>
      <c r="E917" s="16">
        <v>0</v>
      </c>
      <c r="F917" s="17">
        <f>Specification!$C$23*9.81*SIN((E917*PI()/180))</f>
        <v>0</v>
      </c>
      <c r="G917" s="18">
        <f>IF(J917=1,VLOOKUP(K917,RPM!$E$2:$H$62,3,FALSE)-F917-E917-D917,IF(J917=2,VLOOKUP(K917,RPM!$H$2:$K$62,3,FALSE)-F917-E917-D917,IF(J917=3,VLOOKUP(K917,RPM!$K$2:$N$62,3,FALSE)-F917-E917-D917)))</f>
        <v>549.56217903827155</v>
      </c>
      <c r="H917" s="19">
        <f>IF(J917=1,Specification!$I$14,IF(J917=2,Specification!$I$15,IF(J917=3,Specification!$I$16)))</f>
        <v>578.93404261974786</v>
      </c>
      <c r="I917" s="16">
        <f t="shared" si="165"/>
        <v>0</v>
      </c>
      <c r="J917" s="17">
        <v>3</v>
      </c>
      <c r="K917" s="16">
        <f>IF(J917=1,VLOOKUP(B917,RPM!$F$2:$H$62,3,TRUE),IF(J917=2,VLOOKUP(B917,RPM!$I$2:$K$62,3,TRUE),IF(J917=3,VLOOKUP(B917,RPM!$L$2:$N$62,3,TRUE))))</f>
        <v>4300</v>
      </c>
      <c r="L917" s="17">
        <f t="shared" si="176"/>
        <v>72.576461829207403</v>
      </c>
      <c r="M917" s="16">
        <f t="shared" si="167"/>
        <v>0</v>
      </c>
      <c r="N917" s="17">
        <f>VLOOKUP(K917,RPM!$A$2:$D$62,3,FALSE)</f>
        <v>11.4</v>
      </c>
      <c r="O917" s="16">
        <f>VLOOKUP(K917,RPM!$A$2:$D$62,4,FALSE)</f>
        <v>18.894837209302327</v>
      </c>
      <c r="P917" s="17">
        <f t="shared" si="168"/>
        <v>14.089880106976747</v>
      </c>
      <c r="Q917" s="16" cm="1">
        <f t="array" ref="Q917">_xlfn.XLOOKUP(O917,BSFC!$A$2:$A$24,_xlfn.XLOOKUP(K917,BSFC!$B$1:$O$1,BSFC!$B$2:$O$24,,-1),,-1)</f>
        <v>480</v>
      </c>
      <c r="R917" s="17">
        <f t="shared" si="169"/>
        <v>1.8786506809302328</v>
      </c>
      <c r="S917" s="16">
        <f t="shared" si="170"/>
        <v>2.9183485335175871E-4</v>
      </c>
      <c r="T917" s="17">
        <f t="shared" si="173"/>
        <v>0.14008072960884418</v>
      </c>
      <c r="U917" s="16">
        <f t="shared" si="174"/>
        <v>121.03313352776166</v>
      </c>
      <c r="V917" s="17">
        <f t="shared" si="175"/>
        <v>0.25147759075790427</v>
      </c>
      <c r="W917" s="16">
        <f t="shared" si="171"/>
        <v>905319.32672845537</v>
      </c>
      <c r="X917">
        <f>('Hybrid Info'!$A$2-Track!P917)*(L917-L916)*1000+X916</f>
        <v>-30727.000964220821</v>
      </c>
    </row>
    <row r="918" spans="1:24">
      <c r="A918" s="16">
        <f t="shared" si="172"/>
        <v>917</v>
      </c>
      <c r="B918" s="17">
        <f t="shared" si="166"/>
        <v>13.411199999999999</v>
      </c>
      <c r="C918" s="16">
        <f>Specification!$G$29</f>
        <v>164.943378</v>
      </c>
      <c r="D918" s="17">
        <f>0.5*Specification!$K$4*Track!B918^2*Specification!$K$3*Specification!$K$2</f>
        <v>93.159842569492653</v>
      </c>
      <c r="E918" s="16">
        <v>0</v>
      </c>
      <c r="F918" s="17">
        <f>Specification!$C$23*9.81*SIN((E918*PI()/180))</f>
        <v>0</v>
      </c>
      <c r="G918" s="18">
        <f>IF(J918=1,VLOOKUP(K918,RPM!$E$2:$H$62,3,FALSE)-F918-E918-D918,IF(J918=2,VLOOKUP(K918,RPM!$H$2:$K$62,3,FALSE)-F918-E918-D918,IF(J918=3,VLOOKUP(K918,RPM!$K$2:$N$62,3,FALSE)-F918-E918-D918)))</f>
        <v>549.56217903827155</v>
      </c>
      <c r="H918" s="19">
        <f>IF(J918=1,Specification!$I$14,IF(J918=2,Specification!$I$15,IF(J918=3,Specification!$I$16)))</f>
        <v>578.93404261974786</v>
      </c>
      <c r="I918" s="16">
        <f t="shared" si="165"/>
        <v>0</v>
      </c>
      <c r="J918" s="17">
        <v>3</v>
      </c>
      <c r="K918" s="16">
        <f>IF(J918=1,VLOOKUP(B918,RPM!$F$2:$H$62,3,TRUE),IF(J918=2,VLOOKUP(B918,RPM!$I$2:$K$62,3,TRUE),IF(J918=3,VLOOKUP(B918,RPM!$L$2:$N$62,3,TRUE))))</f>
        <v>4300</v>
      </c>
      <c r="L918" s="17">
        <f t="shared" si="176"/>
        <v>72.651026372275879</v>
      </c>
      <c r="M918" s="16">
        <f t="shared" si="167"/>
        <v>0</v>
      </c>
      <c r="N918" s="17">
        <f>VLOOKUP(K918,RPM!$A$2:$D$62,3,FALSE)</f>
        <v>11.4</v>
      </c>
      <c r="O918" s="16">
        <f>VLOOKUP(K918,RPM!$A$2:$D$62,4,FALSE)</f>
        <v>18.894837209302327</v>
      </c>
      <c r="P918" s="17">
        <f t="shared" si="168"/>
        <v>14.089880106976747</v>
      </c>
      <c r="Q918" s="16" cm="1">
        <f t="array" ref="Q918">_xlfn.XLOOKUP(O918,BSFC!$A$2:$A$24,_xlfn.XLOOKUP(K918,BSFC!$B$1:$O$1,BSFC!$B$2:$O$24,,-1),,-1)</f>
        <v>480</v>
      </c>
      <c r="R918" s="17">
        <f t="shared" si="169"/>
        <v>1.8786506809302328</v>
      </c>
      <c r="S918" s="16">
        <f t="shared" si="170"/>
        <v>2.9183485335175871E-4</v>
      </c>
      <c r="T918" s="17">
        <f t="shared" si="173"/>
        <v>0.14008072960884418</v>
      </c>
      <c r="U918" s="16">
        <f t="shared" si="174"/>
        <v>121.1732142573705</v>
      </c>
      <c r="V918" s="17">
        <f t="shared" si="175"/>
        <v>0.25176942561125604</v>
      </c>
      <c r="W918" s="16">
        <f t="shared" si="171"/>
        <v>906369.9322005217</v>
      </c>
      <c r="X918">
        <f>('Hybrid Info'!$A$2-Track!P918)*(L918-L917)*1000+X917</f>
        <v>-30873.850277570225</v>
      </c>
    </row>
    <row r="919" spans="1:24">
      <c r="A919" s="16">
        <f t="shared" si="172"/>
        <v>918</v>
      </c>
      <c r="B919" s="17">
        <f t="shared" si="166"/>
        <v>13.411199999999999</v>
      </c>
      <c r="C919" s="16">
        <f>Specification!$G$29</f>
        <v>164.943378</v>
      </c>
      <c r="D919" s="17">
        <f>0.5*Specification!$K$4*Track!B919^2*Specification!$K$3*Specification!$K$2</f>
        <v>93.159842569492653</v>
      </c>
      <c r="E919" s="16">
        <v>0</v>
      </c>
      <c r="F919" s="17">
        <f>Specification!$C$23*9.81*SIN((E919*PI()/180))</f>
        <v>0</v>
      </c>
      <c r="G919" s="18">
        <f>IF(J919=1,VLOOKUP(K919,RPM!$E$2:$H$62,3,FALSE)-F919-E919-D919,IF(J919=2,VLOOKUP(K919,RPM!$H$2:$K$62,3,FALSE)-F919-E919-D919,IF(J919=3,VLOOKUP(K919,RPM!$K$2:$N$62,3,FALSE)-F919-E919-D919)))</f>
        <v>549.56217903827155</v>
      </c>
      <c r="H919" s="19">
        <f>IF(J919=1,Specification!$I$14,IF(J919=2,Specification!$I$15,IF(J919=3,Specification!$I$16)))</f>
        <v>578.93404261974786</v>
      </c>
      <c r="I919" s="16">
        <f t="shared" si="165"/>
        <v>0</v>
      </c>
      <c r="J919" s="17">
        <v>3</v>
      </c>
      <c r="K919" s="16">
        <f>IF(J919=1,VLOOKUP(B919,RPM!$F$2:$H$62,3,TRUE),IF(J919=2,VLOOKUP(B919,RPM!$I$2:$K$62,3,TRUE),IF(J919=3,VLOOKUP(B919,RPM!$L$2:$N$62,3,TRUE))))</f>
        <v>4300</v>
      </c>
      <c r="L919" s="17">
        <f t="shared" si="176"/>
        <v>72.725590915344355</v>
      </c>
      <c r="M919" s="16">
        <f t="shared" si="167"/>
        <v>0</v>
      </c>
      <c r="N919" s="17">
        <f>VLOOKUP(K919,RPM!$A$2:$D$62,3,FALSE)</f>
        <v>11.4</v>
      </c>
      <c r="O919" s="16">
        <f>VLOOKUP(K919,RPM!$A$2:$D$62,4,FALSE)</f>
        <v>18.894837209302327</v>
      </c>
      <c r="P919" s="17">
        <f t="shared" si="168"/>
        <v>14.089880106976747</v>
      </c>
      <c r="Q919" s="16" cm="1">
        <f t="array" ref="Q919">_xlfn.XLOOKUP(O919,BSFC!$A$2:$A$24,_xlfn.XLOOKUP(K919,BSFC!$B$1:$O$1,BSFC!$B$2:$O$24,,-1),,-1)</f>
        <v>480</v>
      </c>
      <c r="R919" s="17">
        <f t="shared" si="169"/>
        <v>1.8786506809302328</v>
      </c>
      <c r="S919" s="16">
        <f t="shared" si="170"/>
        <v>2.9183485335175871E-4</v>
      </c>
      <c r="T919" s="17">
        <f t="shared" si="173"/>
        <v>0.14008072960884418</v>
      </c>
      <c r="U919" s="16">
        <f t="shared" si="174"/>
        <v>121.31329498697934</v>
      </c>
      <c r="V919" s="17">
        <f t="shared" si="175"/>
        <v>0.25206126046460781</v>
      </c>
      <c r="W919" s="16">
        <f t="shared" si="171"/>
        <v>907420.53767258814</v>
      </c>
      <c r="X919">
        <f>('Hybrid Info'!$A$2-Track!P919)*(L919-L918)*1000+X918</f>
        <v>-31020.69959091963</v>
      </c>
    </row>
    <row r="920" spans="1:24">
      <c r="A920" s="16">
        <f t="shared" si="172"/>
        <v>919</v>
      </c>
      <c r="B920" s="17">
        <f t="shared" si="166"/>
        <v>13.411199999999999</v>
      </c>
      <c r="C920" s="16">
        <f>Specification!$G$29</f>
        <v>164.943378</v>
      </c>
      <c r="D920" s="17">
        <f>0.5*Specification!$K$4*Track!B920^2*Specification!$K$3*Specification!$K$2</f>
        <v>93.159842569492653</v>
      </c>
      <c r="E920" s="16">
        <v>0</v>
      </c>
      <c r="F920" s="17">
        <f>Specification!$C$23*9.81*SIN((E920*PI()/180))</f>
        <v>0</v>
      </c>
      <c r="G920" s="18">
        <f>IF(J920=1,VLOOKUP(K920,RPM!$E$2:$H$62,3,FALSE)-F920-E920-D920,IF(J920=2,VLOOKUP(K920,RPM!$H$2:$K$62,3,FALSE)-F920-E920-D920,IF(J920=3,VLOOKUP(K920,RPM!$K$2:$N$62,3,FALSE)-F920-E920-D920)))</f>
        <v>549.56217903827155</v>
      </c>
      <c r="H920" s="19">
        <f>IF(J920=1,Specification!$I$14,IF(J920=2,Specification!$I$15,IF(J920=3,Specification!$I$16)))</f>
        <v>578.93404261974786</v>
      </c>
      <c r="I920" s="16">
        <f t="shared" si="165"/>
        <v>0</v>
      </c>
      <c r="J920" s="17">
        <v>3</v>
      </c>
      <c r="K920" s="16">
        <f>IF(J920=1,VLOOKUP(B920,RPM!$F$2:$H$62,3,TRUE),IF(J920=2,VLOOKUP(B920,RPM!$I$2:$K$62,3,TRUE),IF(J920=3,VLOOKUP(B920,RPM!$L$2:$N$62,3,TRUE))))</f>
        <v>4300</v>
      </c>
      <c r="L920" s="17">
        <f t="shared" si="176"/>
        <v>72.800155458412831</v>
      </c>
      <c r="M920" s="16">
        <f t="shared" si="167"/>
        <v>0</v>
      </c>
      <c r="N920" s="17">
        <f>VLOOKUP(K920,RPM!$A$2:$D$62,3,FALSE)</f>
        <v>11.4</v>
      </c>
      <c r="O920" s="16">
        <f>VLOOKUP(K920,RPM!$A$2:$D$62,4,FALSE)</f>
        <v>18.894837209302327</v>
      </c>
      <c r="P920" s="17">
        <f t="shared" si="168"/>
        <v>14.089880106976747</v>
      </c>
      <c r="Q920" s="16" cm="1">
        <f t="array" ref="Q920">_xlfn.XLOOKUP(O920,BSFC!$A$2:$A$24,_xlfn.XLOOKUP(K920,BSFC!$B$1:$O$1,BSFC!$B$2:$O$24,,-1),,-1)</f>
        <v>480</v>
      </c>
      <c r="R920" s="17">
        <f t="shared" si="169"/>
        <v>1.8786506809302328</v>
      </c>
      <c r="S920" s="16">
        <f t="shared" si="170"/>
        <v>2.9183485335175871E-4</v>
      </c>
      <c r="T920" s="17">
        <f t="shared" si="173"/>
        <v>0.14008072960884418</v>
      </c>
      <c r="U920" s="16">
        <f t="shared" si="174"/>
        <v>121.45337571658818</v>
      </c>
      <c r="V920" s="17">
        <f t="shared" si="175"/>
        <v>0.25235309531795957</v>
      </c>
      <c r="W920" s="16">
        <f t="shared" si="171"/>
        <v>908471.14314465446</v>
      </c>
      <c r="X920">
        <f>('Hybrid Info'!$A$2-Track!P920)*(L920-L919)*1000+X919</f>
        <v>-31167.548904269035</v>
      </c>
    </row>
    <row r="921" spans="1:24">
      <c r="A921" s="16">
        <f t="shared" si="172"/>
        <v>920</v>
      </c>
      <c r="B921" s="17">
        <f t="shared" si="166"/>
        <v>13.411199999999999</v>
      </c>
      <c r="C921" s="16">
        <f>Specification!$G$29</f>
        <v>164.943378</v>
      </c>
      <c r="D921" s="17">
        <f>0.5*Specification!$K$4*Track!B921^2*Specification!$K$3*Specification!$K$2</f>
        <v>93.159842569492653</v>
      </c>
      <c r="E921" s="16">
        <v>0</v>
      </c>
      <c r="F921" s="17">
        <f>Specification!$C$23*9.81*SIN((E921*PI()/180))</f>
        <v>0</v>
      </c>
      <c r="G921" s="18">
        <f>IF(J921=1,VLOOKUP(K921,RPM!$E$2:$H$62,3,FALSE)-F921-E921-D921,IF(J921=2,VLOOKUP(K921,RPM!$H$2:$K$62,3,FALSE)-F921-E921-D921,IF(J921=3,VLOOKUP(K921,RPM!$K$2:$N$62,3,FALSE)-F921-E921-D921)))</f>
        <v>549.56217903827155</v>
      </c>
      <c r="H921" s="19">
        <f>IF(J921=1,Specification!$I$14,IF(J921=2,Specification!$I$15,IF(J921=3,Specification!$I$16)))</f>
        <v>578.93404261974786</v>
      </c>
      <c r="I921" s="16">
        <f t="shared" si="165"/>
        <v>0</v>
      </c>
      <c r="J921" s="17">
        <v>3</v>
      </c>
      <c r="K921" s="16">
        <f>IF(J921=1,VLOOKUP(B921,RPM!$F$2:$H$62,3,TRUE),IF(J921=2,VLOOKUP(B921,RPM!$I$2:$K$62,3,TRUE),IF(J921=3,VLOOKUP(B921,RPM!$L$2:$N$62,3,TRUE))))</f>
        <v>4300</v>
      </c>
      <c r="L921" s="17">
        <f t="shared" si="176"/>
        <v>72.874720001481307</v>
      </c>
      <c r="M921" s="16">
        <f t="shared" si="167"/>
        <v>0</v>
      </c>
      <c r="N921" s="17">
        <f>VLOOKUP(K921,RPM!$A$2:$D$62,3,FALSE)</f>
        <v>11.4</v>
      </c>
      <c r="O921" s="16">
        <f>VLOOKUP(K921,RPM!$A$2:$D$62,4,FALSE)</f>
        <v>18.894837209302327</v>
      </c>
      <c r="P921" s="17">
        <f t="shared" si="168"/>
        <v>14.089880106976747</v>
      </c>
      <c r="Q921" s="16" cm="1">
        <f t="array" ref="Q921">_xlfn.XLOOKUP(O921,BSFC!$A$2:$A$24,_xlfn.XLOOKUP(K921,BSFC!$B$1:$O$1,BSFC!$B$2:$O$24,,-1),,-1)</f>
        <v>480</v>
      </c>
      <c r="R921" s="17">
        <f t="shared" si="169"/>
        <v>1.8786506809302328</v>
      </c>
      <c r="S921" s="16">
        <f t="shared" si="170"/>
        <v>2.9183485335175871E-4</v>
      </c>
      <c r="T921" s="17">
        <f t="shared" si="173"/>
        <v>0.14008072960884418</v>
      </c>
      <c r="U921" s="16">
        <f t="shared" si="174"/>
        <v>121.59345644619702</v>
      </c>
      <c r="V921" s="17">
        <f t="shared" si="175"/>
        <v>0.25264493017131134</v>
      </c>
      <c r="W921" s="16">
        <f t="shared" si="171"/>
        <v>909521.74861672078</v>
      </c>
      <c r="X921">
        <f>('Hybrid Info'!$A$2-Track!P921)*(L921-L920)*1000+X920</f>
        <v>-31314.39821761844</v>
      </c>
    </row>
    <row r="922" spans="1:24">
      <c r="A922" s="16">
        <f t="shared" si="172"/>
        <v>921</v>
      </c>
      <c r="B922" s="17">
        <f t="shared" si="166"/>
        <v>13.411199999999999</v>
      </c>
      <c r="C922" s="16">
        <f>Specification!$G$29</f>
        <v>164.943378</v>
      </c>
      <c r="D922" s="17">
        <f>0.5*Specification!$K$4*Track!B922^2*Specification!$K$3*Specification!$K$2</f>
        <v>93.159842569492653</v>
      </c>
      <c r="E922" s="16">
        <v>0</v>
      </c>
      <c r="F922" s="17">
        <f>Specification!$C$23*9.81*SIN((E922*PI()/180))</f>
        <v>0</v>
      </c>
      <c r="G922" s="18">
        <f>IF(J922=1,VLOOKUP(K922,RPM!$E$2:$H$62,3,FALSE)-F922-E922-D922,IF(J922=2,VLOOKUP(K922,RPM!$H$2:$K$62,3,FALSE)-F922-E922-D922,IF(J922=3,VLOOKUP(K922,RPM!$K$2:$N$62,3,FALSE)-F922-E922-D922)))</f>
        <v>549.56217903827155</v>
      </c>
      <c r="H922" s="19">
        <f>IF(J922=1,Specification!$I$14,IF(J922=2,Specification!$I$15,IF(J922=3,Specification!$I$16)))</f>
        <v>578.93404261974786</v>
      </c>
      <c r="I922" s="16">
        <f t="shared" si="165"/>
        <v>0</v>
      </c>
      <c r="J922" s="17">
        <v>3</v>
      </c>
      <c r="K922" s="16">
        <f>IF(J922=1,VLOOKUP(B922,RPM!$F$2:$H$62,3,TRUE),IF(J922=2,VLOOKUP(B922,RPM!$I$2:$K$62,3,TRUE),IF(J922=3,VLOOKUP(B922,RPM!$L$2:$N$62,3,TRUE))))</f>
        <v>4300</v>
      </c>
      <c r="L922" s="17">
        <f t="shared" si="176"/>
        <v>72.949284544549784</v>
      </c>
      <c r="M922" s="16">
        <f t="shared" si="167"/>
        <v>0</v>
      </c>
      <c r="N922" s="17">
        <f>VLOOKUP(K922,RPM!$A$2:$D$62,3,FALSE)</f>
        <v>11.4</v>
      </c>
      <c r="O922" s="16">
        <f>VLOOKUP(K922,RPM!$A$2:$D$62,4,FALSE)</f>
        <v>18.894837209302327</v>
      </c>
      <c r="P922" s="17">
        <f t="shared" si="168"/>
        <v>14.089880106976747</v>
      </c>
      <c r="Q922" s="16" cm="1">
        <f t="array" ref="Q922">_xlfn.XLOOKUP(O922,BSFC!$A$2:$A$24,_xlfn.XLOOKUP(K922,BSFC!$B$1:$O$1,BSFC!$B$2:$O$24,,-1),,-1)</f>
        <v>480</v>
      </c>
      <c r="R922" s="17">
        <f t="shared" si="169"/>
        <v>1.8786506809302328</v>
      </c>
      <c r="S922" s="16">
        <f t="shared" si="170"/>
        <v>2.9183485335175871E-4</v>
      </c>
      <c r="T922" s="17">
        <f t="shared" si="173"/>
        <v>0.14008072960884418</v>
      </c>
      <c r="U922" s="16">
        <f t="shared" si="174"/>
        <v>121.73353717580586</v>
      </c>
      <c r="V922" s="17">
        <f t="shared" si="175"/>
        <v>0.25293676502466311</v>
      </c>
      <c r="W922" s="16">
        <f t="shared" si="171"/>
        <v>910572.35408878722</v>
      </c>
      <c r="X922">
        <f>('Hybrid Info'!$A$2-Track!P922)*(L922-L921)*1000+X921</f>
        <v>-31461.247530967845</v>
      </c>
    </row>
    <row r="923" spans="1:24">
      <c r="A923" s="16">
        <f t="shared" si="172"/>
        <v>922</v>
      </c>
      <c r="B923" s="17">
        <f t="shared" si="166"/>
        <v>13.411199999999999</v>
      </c>
      <c r="C923" s="16">
        <f>Specification!$G$29</f>
        <v>164.943378</v>
      </c>
      <c r="D923" s="17">
        <f>0.5*Specification!$K$4*Track!B923^2*Specification!$K$3*Specification!$K$2</f>
        <v>93.159842569492653</v>
      </c>
      <c r="E923" s="16">
        <v>0</v>
      </c>
      <c r="F923" s="17">
        <f>Specification!$C$23*9.81*SIN((E923*PI()/180))</f>
        <v>0</v>
      </c>
      <c r="G923" s="18">
        <f>IF(J923=1,VLOOKUP(K923,RPM!$E$2:$H$62,3,FALSE)-F923-E923-D923,IF(J923=2,VLOOKUP(K923,RPM!$H$2:$K$62,3,FALSE)-F923-E923-D923,IF(J923=3,VLOOKUP(K923,RPM!$K$2:$N$62,3,FALSE)-F923-E923-D923)))</f>
        <v>549.56217903827155</v>
      </c>
      <c r="H923" s="19">
        <f>IF(J923=1,Specification!$I$14,IF(J923=2,Specification!$I$15,IF(J923=3,Specification!$I$16)))</f>
        <v>578.93404261974786</v>
      </c>
      <c r="I923" s="16">
        <f t="shared" si="165"/>
        <v>0</v>
      </c>
      <c r="J923" s="17">
        <v>3</v>
      </c>
      <c r="K923" s="16">
        <f>IF(J923=1,VLOOKUP(B923,RPM!$F$2:$H$62,3,TRUE),IF(J923=2,VLOOKUP(B923,RPM!$I$2:$K$62,3,TRUE),IF(J923=3,VLOOKUP(B923,RPM!$L$2:$N$62,3,TRUE))))</f>
        <v>4300</v>
      </c>
      <c r="L923" s="17">
        <f t="shared" si="176"/>
        <v>73.02384908761826</v>
      </c>
      <c r="M923" s="16">
        <f t="shared" si="167"/>
        <v>0</v>
      </c>
      <c r="N923" s="17">
        <f>VLOOKUP(K923,RPM!$A$2:$D$62,3,FALSE)</f>
        <v>11.4</v>
      </c>
      <c r="O923" s="16">
        <f>VLOOKUP(K923,RPM!$A$2:$D$62,4,FALSE)</f>
        <v>18.894837209302327</v>
      </c>
      <c r="P923" s="17">
        <f t="shared" si="168"/>
        <v>14.089880106976747</v>
      </c>
      <c r="Q923" s="16" cm="1">
        <f t="array" ref="Q923">_xlfn.XLOOKUP(O923,BSFC!$A$2:$A$24,_xlfn.XLOOKUP(K923,BSFC!$B$1:$O$1,BSFC!$B$2:$O$24,,-1),,-1)</f>
        <v>480</v>
      </c>
      <c r="R923" s="17">
        <f t="shared" si="169"/>
        <v>1.8786506809302328</v>
      </c>
      <c r="S923" s="16">
        <f t="shared" si="170"/>
        <v>2.9183485335175871E-4</v>
      </c>
      <c r="T923" s="17">
        <f t="shared" si="173"/>
        <v>0.14008072960884418</v>
      </c>
      <c r="U923" s="16">
        <f t="shared" si="174"/>
        <v>121.8736179054147</v>
      </c>
      <c r="V923" s="17">
        <f t="shared" si="175"/>
        <v>0.25322859987801488</v>
      </c>
      <c r="W923" s="16">
        <f t="shared" si="171"/>
        <v>911622.95956085355</v>
      </c>
      <c r="X923">
        <f>('Hybrid Info'!$A$2-Track!P923)*(L923-L922)*1000+X922</f>
        <v>-31608.09684431725</v>
      </c>
    </row>
    <row r="924" spans="1:24">
      <c r="A924" s="16">
        <f t="shared" si="172"/>
        <v>923</v>
      </c>
      <c r="B924" s="17">
        <f t="shared" si="166"/>
        <v>13.411199999999999</v>
      </c>
      <c r="C924" s="16">
        <f>Specification!$G$29</f>
        <v>164.943378</v>
      </c>
      <c r="D924" s="17">
        <f>0.5*Specification!$K$4*Track!B924^2*Specification!$K$3*Specification!$K$2</f>
        <v>93.159842569492653</v>
      </c>
      <c r="E924" s="16">
        <v>1</v>
      </c>
      <c r="F924" s="17">
        <f>Specification!$C$23*9.81*SIN((E924*PI()/180))</f>
        <v>95.955295733149597</v>
      </c>
      <c r="G924" s="18">
        <f>IF(J924=1,VLOOKUP(K924,RPM!$E$2:$H$62,3,FALSE)-F924-E924-D924,IF(J924=2,VLOOKUP(K924,RPM!$H$2:$K$62,3,FALSE)-F924-E924-D924,IF(J924=3,VLOOKUP(K924,RPM!$K$2:$N$62,3,FALSE)-F924-E924-D924)))</f>
        <v>452.60688330512198</v>
      </c>
      <c r="H924" s="19">
        <f>IF(J924=1,Specification!$I$14,IF(J924=2,Specification!$I$15,IF(J924=3,Specification!$I$16)))</f>
        <v>578.93404261974786</v>
      </c>
      <c r="I924" s="16">
        <f t="shared" si="165"/>
        <v>0</v>
      </c>
      <c r="J924" s="17">
        <v>3</v>
      </c>
      <c r="K924" s="16">
        <f>IF(J924=1,VLOOKUP(B924,RPM!$F$2:$H$62,3,TRUE),IF(J924=2,VLOOKUP(B924,RPM!$I$2:$K$62,3,TRUE),IF(J924=3,VLOOKUP(B924,RPM!$L$2:$N$62,3,TRUE))))</f>
        <v>4300</v>
      </c>
      <c r="L924" s="17">
        <f t="shared" si="176"/>
        <v>73.098413630686736</v>
      </c>
      <c r="M924" s="16">
        <f t="shared" si="167"/>
        <v>1.7455064928217585E-2</v>
      </c>
      <c r="N924" s="17">
        <f>VLOOKUP(K924,RPM!$A$2:$D$62,3,FALSE)</f>
        <v>11.4</v>
      </c>
      <c r="O924" s="16">
        <f>VLOOKUP(K924,RPM!$A$2:$D$62,4,FALSE)</f>
        <v>18.894837209302327</v>
      </c>
      <c r="P924" s="17">
        <f t="shared" si="168"/>
        <v>14.089880106976747</v>
      </c>
      <c r="Q924" s="16" cm="1">
        <f t="array" ref="Q924">_xlfn.XLOOKUP(O924,BSFC!$A$2:$A$24,_xlfn.XLOOKUP(K924,BSFC!$B$1:$O$1,BSFC!$B$2:$O$24,,-1),,-1)</f>
        <v>480</v>
      </c>
      <c r="R924" s="17">
        <f t="shared" si="169"/>
        <v>1.8786506809302328</v>
      </c>
      <c r="S924" s="16">
        <f t="shared" si="170"/>
        <v>2.9183485335175871E-4</v>
      </c>
      <c r="T924" s="17">
        <f t="shared" si="173"/>
        <v>0.14008072960884418</v>
      </c>
      <c r="U924" s="16">
        <f t="shared" si="174"/>
        <v>122.01369863502354</v>
      </c>
      <c r="V924" s="17">
        <f t="shared" si="175"/>
        <v>0.25352043473136665</v>
      </c>
      <c r="W924" s="16">
        <f t="shared" si="171"/>
        <v>912673.56503291999</v>
      </c>
      <c r="X924">
        <f>('Hybrid Info'!$A$2-Track!P924)*(L924-L923)*1000+X923</f>
        <v>-31754.946157666654</v>
      </c>
    </row>
    <row r="925" spans="1:24">
      <c r="A925" s="16">
        <f t="shared" si="172"/>
        <v>924</v>
      </c>
      <c r="B925" s="17">
        <f t="shared" si="166"/>
        <v>13.411199999999999</v>
      </c>
      <c r="C925" s="16">
        <f>Specification!$G$29</f>
        <v>164.943378</v>
      </c>
      <c r="D925" s="17">
        <f>0.5*Specification!$K$4*Track!B925^2*Specification!$K$3*Specification!$K$2</f>
        <v>93.159842569492653</v>
      </c>
      <c r="E925" s="16">
        <v>2</v>
      </c>
      <c r="F925" s="17">
        <f>Specification!$C$23*9.81*SIN((E925*PI()/180))</f>
        <v>191.88136255367905</v>
      </c>
      <c r="G925" s="18">
        <f>IF(J925=1,VLOOKUP(K925,RPM!$E$2:$H$62,3,FALSE)-F925-E925-D925,IF(J925=2,VLOOKUP(K925,RPM!$H$2:$K$62,3,FALSE)-F925-E925-D925,IF(J925=3,VLOOKUP(K925,RPM!$K$2:$N$62,3,FALSE)-F925-E925-D925)))</f>
        <v>355.68081648459247</v>
      </c>
      <c r="H925" s="19">
        <f>IF(J925=1,Specification!$I$14,IF(J925=2,Specification!$I$15,IF(J925=3,Specification!$I$16)))</f>
        <v>578.93404261974786</v>
      </c>
      <c r="I925" s="16">
        <f t="shared" si="165"/>
        <v>0</v>
      </c>
      <c r="J925" s="17">
        <v>3</v>
      </c>
      <c r="K925" s="16">
        <f>IF(J925=1,VLOOKUP(B925,RPM!$F$2:$H$62,3,TRUE),IF(J925=2,VLOOKUP(B925,RPM!$I$2:$K$62,3,TRUE),IF(J925=3,VLOOKUP(B925,RPM!$L$2:$N$62,3,TRUE))))</f>
        <v>4300</v>
      </c>
      <c r="L925" s="17">
        <f t="shared" si="176"/>
        <v>73.172978173755212</v>
      </c>
      <c r="M925" s="16">
        <f t="shared" si="167"/>
        <v>5.2375834419965316E-2</v>
      </c>
      <c r="N925" s="17">
        <f>VLOOKUP(K925,RPM!$A$2:$D$62,3,FALSE)</f>
        <v>11.4</v>
      </c>
      <c r="O925" s="16">
        <f>VLOOKUP(K925,RPM!$A$2:$D$62,4,FALSE)</f>
        <v>18.894837209302327</v>
      </c>
      <c r="P925" s="17">
        <f t="shared" si="168"/>
        <v>14.089880106976747</v>
      </c>
      <c r="Q925" s="16" cm="1">
        <f t="array" ref="Q925">_xlfn.XLOOKUP(O925,BSFC!$A$2:$A$24,_xlfn.XLOOKUP(K925,BSFC!$B$1:$O$1,BSFC!$B$2:$O$24,,-1),,-1)</f>
        <v>480</v>
      </c>
      <c r="R925" s="17">
        <f t="shared" si="169"/>
        <v>1.8786506809302328</v>
      </c>
      <c r="S925" s="16">
        <f t="shared" si="170"/>
        <v>2.9183485335175871E-4</v>
      </c>
      <c r="T925" s="17">
        <f t="shared" si="173"/>
        <v>0.14008072960884418</v>
      </c>
      <c r="U925" s="16">
        <f t="shared" si="174"/>
        <v>122.15377936463238</v>
      </c>
      <c r="V925" s="17">
        <f t="shared" si="175"/>
        <v>0.25381226958471842</v>
      </c>
      <c r="W925" s="16">
        <f t="shared" si="171"/>
        <v>913724.17050498631</v>
      </c>
      <c r="X925">
        <f>('Hybrid Info'!$A$2-Track!P925)*(L925-L924)*1000+X924</f>
        <v>-31901.795471016059</v>
      </c>
    </row>
    <row r="926" spans="1:24">
      <c r="A926" s="16">
        <f t="shared" si="172"/>
        <v>925</v>
      </c>
      <c r="B926" s="17">
        <f t="shared" si="166"/>
        <v>13.411199999999999</v>
      </c>
      <c r="C926" s="16">
        <f>Specification!$G$29</f>
        <v>164.943378</v>
      </c>
      <c r="D926" s="17">
        <f>0.5*Specification!$K$4*Track!B926^2*Specification!$K$3*Specification!$K$2</f>
        <v>93.159842569492653</v>
      </c>
      <c r="E926" s="16">
        <v>3</v>
      </c>
      <c r="F926" s="17">
        <f>Specification!$C$23*9.81*SIN((E926*PI()/180))</f>
        <v>287.74898045237813</v>
      </c>
      <c r="G926" s="18">
        <f>IF(J926=1,VLOOKUP(K926,RPM!$E$2:$H$62,3,FALSE)-F926-E926-D926,IF(J926=2,VLOOKUP(K926,RPM!$H$2:$K$62,3,FALSE)-F926-E926-D926,IF(J926=3,VLOOKUP(K926,RPM!$K$2:$N$62,3,FALSE)-F926-E926-D926)))</f>
        <v>258.81319858589342</v>
      </c>
      <c r="H926" s="19">
        <f>IF(J926=1,Specification!$I$14,IF(J926=2,Specification!$I$15,IF(J926=3,Specification!$I$16)))</f>
        <v>578.93404261974786</v>
      </c>
      <c r="I926" s="16">
        <f t="shared" si="165"/>
        <v>0</v>
      </c>
      <c r="J926" s="17">
        <v>3</v>
      </c>
      <c r="K926" s="16">
        <f>IF(J926=1,VLOOKUP(B926,RPM!$F$2:$H$62,3,TRUE),IF(J926=2,VLOOKUP(B926,RPM!$I$2:$K$62,3,TRUE),IF(J926=3,VLOOKUP(B926,RPM!$L$2:$N$62,3,TRUE))))</f>
        <v>4300</v>
      </c>
      <c r="L926" s="17">
        <f t="shared" si="176"/>
        <v>73.247542716823688</v>
      </c>
      <c r="M926" s="16">
        <f t="shared" si="167"/>
        <v>0.10478361370300651</v>
      </c>
      <c r="N926" s="17">
        <f>VLOOKUP(K926,RPM!$A$2:$D$62,3,FALSE)</f>
        <v>11.4</v>
      </c>
      <c r="O926" s="16">
        <f>VLOOKUP(K926,RPM!$A$2:$D$62,4,FALSE)</f>
        <v>18.894837209302327</v>
      </c>
      <c r="P926" s="17">
        <f t="shared" si="168"/>
        <v>14.089880106976747</v>
      </c>
      <c r="Q926" s="16" cm="1">
        <f t="array" ref="Q926">_xlfn.XLOOKUP(O926,BSFC!$A$2:$A$24,_xlfn.XLOOKUP(K926,BSFC!$B$1:$O$1,BSFC!$B$2:$O$24,,-1),,-1)</f>
        <v>480</v>
      </c>
      <c r="R926" s="17">
        <f t="shared" si="169"/>
        <v>1.8786506809302328</v>
      </c>
      <c r="S926" s="16">
        <f t="shared" si="170"/>
        <v>2.9183485335175871E-4</v>
      </c>
      <c r="T926" s="17">
        <f t="shared" si="173"/>
        <v>0.14008072960884418</v>
      </c>
      <c r="U926" s="16">
        <f t="shared" si="174"/>
        <v>122.29386009424123</v>
      </c>
      <c r="V926" s="17">
        <f t="shared" si="175"/>
        <v>0.25410410443807019</v>
      </c>
      <c r="W926" s="16">
        <f t="shared" si="171"/>
        <v>914774.77597705263</v>
      </c>
      <c r="X926">
        <f>('Hybrid Info'!$A$2-Track!P926)*(L926-L925)*1000+X925</f>
        <v>-32048.644784365464</v>
      </c>
    </row>
    <row r="927" spans="1:24">
      <c r="A927" s="16">
        <f t="shared" si="172"/>
        <v>926</v>
      </c>
      <c r="B927" s="17">
        <f t="shared" si="166"/>
        <v>13.411199999999999</v>
      </c>
      <c r="C927" s="16">
        <f>Specification!$G$29</f>
        <v>164.943378</v>
      </c>
      <c r="D927" s="17">
        <f>0.5*Specification!$K$4*Track!B927^2*Specification!$K$3*Specification!$K$2</f>
        <v>93.159842569492653</v>
      </c>
      <c r="E927" s="16">
        <v>4</v>
      </c>
      <c r="F927" s="17">
        <f>Specification!$C$23*9.81*SIN((E927*PI()/180))</f>
        <v>383.52894722414453</v>
      </c>
      <c r="G927" s="18">
        <f>IF(J927=1,VLOOKUP(K927,RPM!$E$2:$H$62,3,FALSE)-F927-E927-D927,IF(J927=2,VLOOKUP(K927,RPM!$H$2:$K$62,3,FALSE)-F927-E927-D927,IF(J927=3,VLOOKUP(K927,RPM!$K$2:$N$62,3,FALSE)-F927-E927-D927)))</f>
        <v>162.03323181412702</v>
      </c>
      <c r="H927" s="19">
        <f>IF(J927=1,Specification!$I$14,IF(J927=2,Specification!$I$15,IF(J927=3,Specification!$I$16)))</f>
        <v>578.93404261974786</v>
      </c>
      <c r="I927" s="16">
        <f t="shared" si="165"/>
        <v>0</v>
      </c>
      <c r="J927" s="17">
        <v>3</v>
      </c>
      <c r="K927" s="16">
        <f>IF(J927=1,VLOOKUP(B927,RPM!$F$2:$H$62,3,TRUE),IF(J927=2,VLOOKUP(B927,RPM!$I$2:$K$62,3,TRUE),IF(J927=3,VLOOKUP(B927,RPM!$L$2:$N$62,3,TRUE))))</f>
        <v>4300</v>
      </c>
      <c r="L927" s="17">
        <f t="shared" si="176"/>
        <v>73.322107259892164</v>
      </c>
      <c r="M927" s="16">
        <f t="shared" si="167"/>
        <v>0.17471042564651693</v>
      </c>
      <c r="N927" s="17">
        <f>VLOOKUP(K927,RPM!$A$2:$D$62,3,FALSE)</f>
        <v>11.4</v>
      </c>
      <c r="O927" s="16">
        <f>VLOOKUP(K927,RPM!$A$2:$D$62,4,FALSE)</f>
        <v>18.894837209302327</v>
      </c>
      <c r="P927" s="17">
        <f t="shared" si="168"/>
        <v>14.089880106976747</v>
      </c>
      <c r="Q927" s="16" cm="1">
        <f t="array" ref="Q927">_xlfn.XLOOKUP(O927,BSFC!$A$2:$A$24,_xlfn.XLOOKUP(K927,BSFC!$B$1:$O$1,BSFC!$B$2:$O$24,,-1),,-1)</f>
        <v>480</v>
      </c>
      <c r="R927" s="17">
        <f t="shared" si="169"/>
        <v>1.8786506809302328</v>
      </c>
      <c r="S927" s="16">
        <f t="shared" si="170"/>
        <v>2.9183485335175871E-4</v>
      </c>
      <c r="T927" s="17">
        <f t="shared" si="173"/>
        <v>0.14008072960884418</v>
      </c>
      <c r="U927" s="16">
        <f t="shared" si="174"/>
        <v>122.43394082385007</v>
      </c>
      <c r="V927" s="17">
        <f t="shared" si="175"/>
        <v>0.25439593929142196</v>
      </c>
      <c r="W927" s="16">
        <f t="shared" si="171"/>
        <v>915825.38144911907</v>
      </c>
      <c r="X927">
        <f>('Hybrid Info'!$A$2-Track!P927)*(L927-L926)*1000+X926</f>
        <v>-32195.494097714869</v>
      </c>
    </row>
    <row r="928" spans="1:24">
      <c r="A928" s="16">
        <f t="shared" si="172"/>
        <v>927</v>
      </c>
      <c r="B928" s="17">
        <f t="shared" si="166"/>
        <v>13.411199999999999</v>
      </c>
      <c r="C928" s="16">
        <f>Specification!$G$29</f>
        <v>164.943378</v>
      </c>
      <c r="D928" s="17">
        <f>0.5*Specification!$K$4*Track!B928^2*Specification!$K$3*Specification!$K$2</f>
        <v>93.159842569492653</v>
      </c>
      <c r="E928" s="16">
        <v>5</v>
      </c>
      <c r="F928" s="17">
        <f>Specification!$C$23*9.81*SIN((E928*PI()/180))</f>
        <v>479.192087363258</v>
      </c>
      <c r="G928" s="18">
        <f>IF(J928=1,VLOOKUP(K928,RPM!$E$2:$H$62,3,FALSE)-F928-E928-D928,IF(J928=2,VLOOKUP(K928,RPM!$H$2:$K$62,3,FALSE)-F928-E928-D928,IF(J928=3,VLOOKUP(K928,RPM!$K$2:$N$62,3,FALSE)-F928-E928-D928)))</f>
        <v>65.370091675013541</v>
      </c>
      <c r="H928" s="19">
        <f>IF(J928=1,Specification!$I$14,IF(J928=2,Specification!$I$15,IF(J928=3,Specification!$I$16)))</f>
        <v>578.93404261974786</v>
      </c>
      <c r="I928" s="16">
        <f t="shared" si="165"/>
        <v>0</v>
      </c>
      <c r="J928" s="17">
        <v>3</v>
      </c>
      <c r="K928" s="16">
        <f>IF(J928=1,VLOOKUP(B928,RPM!$F$2:$H$62,3,TRUE),IF(J928=2,VLOOKUP(B928,RPM!$I$2:$K$62,3,TRUE),IF(J928=3,VLOOKUP(B928,RPM!$L$2:$N$62,3,TRUE))))</f>
        <v>4300</v>
      </c>
      <c r="L928" s="17">
        <f t="shared" si="176"/>
        <v>73.39667180296064</v>
      </c>
      <c r="M928" s="16">
        <f t="shared" si="167"/>
        <v>0.26219908917244095</v>
      </c>
      <c r="N928" s="17">
        <f>VLOOKUP(K928,RPM!$A$2:$D$62,3,FALSE)</f>
        <v>11.4</v>
      </c>
      <c r="O928" s="16">
        <f>VLOOKUP(K928,RPM!$A$2:$D$62,4,FALSE)</f>
        <v>18.894837209302327</v>
      </c>
      <c r="P928" s="17">
        <f t="shared" si="168"/>
        <v>14.089880106976747</v>
      </c>
      <c r="Q928" s="16" cm="1">
        <f t="array" ref="Q928">_xlfn.XLOOKUP(O928,BSFC!$A$2:$A$24,_xlfn.XLOOKUP(K928,BSFC!$B$1:$O$1,BSFC!$B$2:$O$24,,-1),,-1)</f>
        <v>480</v>
      </c>
      <c r="R928" s="17">
        <f t="shared" si="169"/>
        <v>1.8786506809302328</v>
      </c>
      <c r="S928" s="16">
        <f t="shared" si="170"/>
        <v>2.9183485335175871E-4</v>
      </c>
      <c r="T928" s="17">
        <f t="shared" si="173"/>
        <v>0.14008072960884418</v>
      </c>
      <c r="U928" s="16">
        <f t="shared" si="174"/>
        <v>122.57402155345891</v>
      </c>
      <c r="V928" s="17">
        <f t="shared" si="175"/>
        <v>0.25468777414477373</v>
      </c>
      <c r="W928" s="16">
        <f t="shared" si="171"/>
        <v>916875.98692118539</v>
      </c>
      <c r="X928">
        <f>('Hybrid Info'!$A$2-Track!P928)*(L928-L927)*1000+X927</f>
        <v>-32342.343411064274</v>
      </c>
    </row>
    <row r="929" spans="1:24">
      <c r="A929" s="16">
        <f t="shared" si="172"/>
        <v>928</v>
      </c>
      <c r="B929" s="17">
        <f t="shared" si="166"/>
        <v>13.411199999999999</v>
      </c>
      <c r="C929" s="16">
        <f>Specification!$G$29</f>
        <v>164.943378</v>
      </c>
      <c r="D929" s="17">
        <f>0.5*Specification!$K$4*Track!B929^2*Specification!$K$3*Specification!$K$2</f>
        <v>93.159842569492653</v>
      </c>
      <c r="E929" s="16">
        <v>6</v>
      </c>
      <c r="F929" s="17">
        <f>Specification!$C$23*9.81*SIN((E929*PI()/180))</f>
        <v>574.70926095052266</v>
      </c>
      <c r="G929" s="18">
        <f>IF(J929=1,VLOOKUP(K929,RPM!$E$2:$H$62,3,FALSE)-F929-E929-D929,IF(J929=2,VLOOKUP(K929,RPM!$H$2:$K$62,3,FALSE)-F929-E929-D929,IF(J929=3,VLOOKUP(K929,RPM!$K$2:$N$62,3,FALSE)-F929-E929-D929)))</f>
        <v>-31.147081912251124</v>
      </c>
      <c r="H929" s="19">
        <f>IF(J929=1,Specification!$I$14,IF(J929=2,Specification!$I$15,IF(J929=3,Specification!$I$16)))</f>
        <v>578.93404261974786</v>
      </c>
      <c r="I929" s="16">
        <f t="shared" si="165"/>
        <v>0</v>
      </c>
      <c r="J929" s="17">
        <v>3</v>
      </c>
      <c r="K929" s="16">
        <f>IF(J929=1,VLOOKUP(B929,RPM!$F$2:$H$62,3,TRUE),IF(J929=2,VLOOKUP(B929,RPM!$I$2:$K$62,3,TRUE),IF(J929=3,VLOOKUP(B929,RPM!$L$2:$N$62,3,TRUE))))</f>
        <v>4300</v>
      </c>
      <c r="L929" s="17">
        <f t="shared" si="176"/>
        <v>73.471236346029116</v>
      </c>
      <c r="M929" s="16">
        <f t="shared" si="167"/>
        <v>0.36730332443811742</v>
      </c>
      <c r="N929" s="17">
        <f>VLOOKUP(K929,RPM!$A$2:$D$62,3,FALSE)</f>
        <v>11.4</v>
      </c>
      <c r="O929" s="16">
        <f>VLOOKUP(K929,RPM!$A$2:$D$62,4,FALSE)</f>
        <v>18.894837209302327</v>
      </c>
      <c r="P929" s="17">
        <f t="shared" si="168"/>
        <v>14.089880106976747</v>
      </c>
      <c r="Q929" s="16" cm="1">
        <f t="array" ref="Q929">_xlfn.XLOOKUP(O929,BSFC!$A$2:$A$24,_xlfn.XLOOKUP(K929,BSFC!$B$1:$O$1,BSFC!$B$2:$O$24,,-1),,-1)</f>
        <v>480</v>
      </c>
      <c r="R929" s="17">
        <f t="shared" si="169"/>
        <v>1.8786506809302328</v>
      </c>
      <c r="S929" s="16">
        <f t="shared" si="170"/>
        <v>2.9183485335175871E-4</v>
      </c>
      <c r="T929" s="17">
        <f t="shared" si="173"/>
        <v>0.14008072960884418</v>
      </c>
      <c r="U929" s="16">
        <f t="shared" si="174"/>
        <v>122.71410228306775</v>
      </c>
      <c r="V929" s="17">
        <f t="shared" si="175"/>
        <v>0.2549796089981255</v>
      </c>
      <c r="W929" s="16">
        <f t="shared" si="171"/>
        <v>917926.59239325172</v>
      </c>
      <c r="X929">
        <f>('Hybrid Info'!$A$2-Track!P929)*(L929-L928)*1000+X928</f>
        <v>-32489.192724413679</v>
      </c>
    </row>
    <row r="930" spans="1:24">
      <c r="A930" s="16">
        <f t="shared" si="172"/>
        <v>929</v>
      </c>
      <c r="B930" s="17">
        <f t="shared" si="166"/>
        <v>13.411199999999999</v>
      </c>
      <c r="C930" s="16">
        <f>Specification!$G$29</f>
        <v>164.943378</v>
      </c>
      <c r="D930" s="17">
        <f>0.5*Specification!$K$4*Track!B930^2*Specification!$K$3*Specification!$K$2</f>
        <v>93.159842569492653</v>
      </c>
      <c r="E930" s="16">
        <v>7</v>
      </c>
      <c r="F930" s="17">
        <f>Specification!$C$23*9.81*SIN((E930*PI()/180))</f>
        <v>670.05137252956831</v>
      </c>
      <c r="G930" s="18">
        <f>IF(J930=1,VLOOKUP(K930,RPM!$E$2:$H$62,3,FALSE)-F930-E930-D930,IF(J930=2,VLOOKUP(K930,RPM!$H$2:$K$62,3,FALSE)-F930-E930-D930,IF(J930=3,VLOOKUP(K930,RPM!$K$2:$N$62,3,FALSE)-F930-E930-D930)))</f>
        <v>-127.48919349129677</v>
      </c>
      <c r="H930" s="19">
        <f>IF(J930=1,Specification!$I$14,IF(J930=2,Specification!$I$15,IF(J930=3,Specification!$I$16)))</f>
        <v>578.93404261974786</v>
      </c>
      <c r="I930" s="16">
        <f t="shared" si="165"/>
        <v>0</v>
      </c>
      <c r="J930" s="17">
        <v>3</v>
      </c>
      <c r="K930" s="16">
        <f>IF(J930=1,VLOOKUP(B930,RPM!$F$2:$H$62,3,TRUE),IF(J930=2,VLOOKUP(B930,RPM!$I$2:$K$62,3,TRUE),IF(J930=3,VLOOKUP(B930,RPM!$L$2:$N$62,3,TRUE))))</f>
        <v>4300</v>
      </c>
      <c r="L930" s="17">
        <f t="shared" si="176"/>
        <v>73.545800889097592</v>
      </c>
      <c r="M930" s="16">
        <f t="shared" si="167"/>
        <v>0.49008788534102199</v>
      </c>
      <c r="N930" s="17">
        <f>VLOOKUP(K930,RPM!$A$2:$D$62,3,FALSE)</f>
        <v>11.4</v>
      </c>
      <c r="O930" s="16">
        <f>VLOOKUP(K930,RPM!$A$2:$D$62,4,FALSE)</f>
        <v>18.894837209302327</v>
      </c>
      <c r="P930" s="17">
        <f t="shared" si="168"/>
        <v>14.089880106976747</v>
      </c>
      <c r="Q930" s="16" cm="1">
        <f t="array" ref="Q930">_xlfn.XLOOKUP(O930,BSFC!$A$2:$A$24,_xlfn.XLOOKUP(K930,BSFC!$B$1:$O$1,BSFC!$B$2:$O$24,,-1),,-1)</f>
        <v>480</v>
      </c>
      <c r="R930" s="17">
        <f t="shared" si="169"/>
        <v>1.8786506809302328</v>
      </c>
      <c r="S930" s="16">
        <f t="shared" si="170"/>
        <v>2.9183485335175871E-4</v>
      </c>
      <c r="T930" s="17">
        <f t="shared" si="173"/>
        <v>0.14008072960884418</v>
      </c>
      <c r="U930" s="16">
        <f t="shared" si="174"/>
        <v>122.85418301267659</v>
      </c>
      <c r="V930" s="17">
        <f t="shared" si="175"/>
        <v>0.25527144385147726</v>
      </c>
      <c r="W930" s="16">
        <f t="shared" si="171"/>
        <v>918977.19786531816</v>
      </c>
      <c r="X930">
        <f>('Hybrid Info'!$A$2-Track!P930)*(L930-L929)*1000+X929</f>
        <v>-32636.042037763083</v>
      </c>
    </row>
    <row r="931" spans="1:24">
      <c r="A931" s="16">
        <f t="shared" si="172"/>
        <v>930</v>
      </c>
      <c r="B931" s="17">
        <f t="shared" si="166"/>
        <v>13.411199999999999</v>
      </c>
      <c r="C931" s="16">
        <f>Specification!$G$29</f>
        <v>164.943378</v>
      </c>
      <c r="D931" s="17">
        <f>0.5*Specification!$K$4*Track!B931^2*Specification!$K$3*Specification!$K$2</f>
        <v>93.159842569492653</v>
      </c>
      <c r="E931" s="16">
        <v>8</v>
      </c>
      <c r="F931" s="17">
        <f>Specification!$C$23*9.81*SIN((E931*PI()/180))</f>
        <v>765.1893799696079</v>
      </c>
      <c r="G931" s="18">
        <f>IF(J931=1,VLOOKUP(K931,RPM!$E$2:$H$62,3,FALSE)-F931-E931-D931,IF(J931=2,VLOOKUP(K931,RPM!$H$2:$K$62,3,FALSE)-F931-E931-D931,IF(J931=3,VLOOKUP(K931,RPM!$K$2:$N$62,3,FALSE)-F931-E931-D931)))</f>
        <v>-223.62720093133635</v>
      </c>
      <c r="H931" s="19">
        <f>IF(J931=1,Specification!$I$14,IF(J931=2,Specification!$I$15,IF(J931=3,Specification!$I$16)))</f>
        <v>578.93404261974786</v>
      </c>
      <c r="I931" s="16">
        <f t="shared" si="165"/>
        <v>0</v>
      </c>
      <c r="J931" s="17">
        <v>3</v>
      </c>
      <c r="K931" s="16">
        <f>IF(J931=1,VLOOKUP(B931,RPM!$F$2:$H$62,3,TRUE),IF(J931=2,VLOOKUP(B931,RPM!$I$2:$K$62,3,TRUE),IF(J931=3,VLOOKUP(B931,RPM!$L$2:$N$62,3,TRUE))))</f>
        <v>4300</v>
      </c>
      <c r="L931" s="17">
        <f t="shared" si="176"/>
        <v>73.620365432166068</v>
      </c>
      <c r="M931" s="16">
        <f t="shared" si="167"/>
        <v>0.63062872004341342</v>
      </c>
      <c r="N931" s="17">
        <f>VLOOKUP(K931,RPM!$A$2:$D$62,3,FALSE)</f>
        <v>11.4</v>
      </c>
      <c r="O931" s="16">
        <f>VLOOKUP(K931,RPM!$A$2:$D$62,4,FALSE)</f>
        <v>18.894837209302327</v>
      </c>
      <c r="P931" s="17">
        <f t="shared" si="168"/>
        <v>14.089880106976747</v>
      </c>
      <c r="Q931" s="16" cm="1">
        <f t="array" ref="Q931">_xlfn.XLOOKUP(O931,BSFC!$A$2:$A$24,_xlfn.XLOOKUP(K931,BSFC!$B$1:$O$1,BSFC!$B$2:$O$24,,-1),,-1)</f>
        <v>480</v>
      </c>
      <c r="R931" s="17">
        <f t="shared" si="169"/>
        <v>1.8786506809302328</v>
      </c>
      <c r="S931" s="16">
        <f t="shared" si="170"/>
        <v>2.9183485335175871E-4</v>
      </c>
      <c r="T931" s="17">
        <f t="shared" si="173"/>
        <v>0.14008072960884418</v>
      </c>
      <c r="U931" s="16">
        <f t="shared" si="174"/>
        <v>122.99426374228543</v>
      </c>
      <c r="V931" s="17">
        <f t="shared" si="175"/>
        <v>0.25556327870482903</v>
      </c>
      <c r="W931" s="16">
        <f t="shared" si="171"/>
        <v>920027.80333738448</v>
      </c>
      <c r="X931">
        <f>('Hybrid Info'!$A$2-Track!P931)*(L931-L930)*1000+X930</f>
        <v>-32782.891351112485</v>
      </c>
    </row>
    <row r="932" spans="1:24">
      <c r="A932" s="16">
        <f t="shared" si="172"/>
        <v>931</v>
      </c>
      <c r="B932" s="17">
        <f t="shared" si="166"/>
        <v>13.411199999999999</v>
      </c>
      <c r="C932" s="16">
        <f>Specification!$G$29</f>
        <v>164.943378</v>
      </c>
      <c r="D932" s="17">
        <f>0.5*Specification!$K$4*Track!B932^2*Specification!$K$3*Specification!$K$2</f>
        <v>93.159842569492653</v>
      </c>
      <c r="E932" s="16">
        <v>8</v>
      </c>
      <c r="F932" s="17">
        <f>Specification!$C$23*9.81*SIN((E932*PI()/180))</f>
        <v>765.1893799696079</v>
      </c>
      <c r="G932" s="18">
        <f>IF(J932=1,VLOOKUP(K932,RPM!$E$2:$H$62,3,FALSE)-F932-E932-D932,IF(J932=2,VLOOKUP(K932,RPM!$H$2:$K$62,3,FALSE)-F932-E932-D932,IF(J932=3,VLOOKUP(K932,RPM!$K$2:$N$62,3,FALSE)-F932-E932-D932)))</f>
        <v>-223.62720093133635</v>
      </c>
      <c r="H932" s="19">
        <f>IF(J932=1,Specification!$I$14,IF(J932=2,Specification!$I$15,IF(J932=3,Specification!$I$16)))</f>
        <v>578.93404261974786</v>
      </c>
      <c r="I932" s="16">
        <f t="shared" ref="I932:I995" si="177">IF(B932=13.4112,0,G932/H932)</f>
        <v>0</v>
      </c>
      <c r="J932" s="17">
        <v>3</v>
      </c>
      <c r="K932" s="16">
        <f>IF(J932=1,VLOOKUP(B932,RPM!$F$2:$H$62,3,TRUE),IF(J932=2,VLOOKUP(B932,RPM!$I$2:$K$62,3,TRUE),IF(J932=3,VLOOKUP(B932,RPM!$L$2:$N$62,3,TRUE))))</f>
        <v>4300</v>
      </c>
      <c r="L932" s="17">
        <f t="shared" si="176"/>
        <v>73.694929975234544</v>
      </c>
      <c r="M932" s="16">
        <f t="shared" si="167"/>
        <v>0.77116955474580484</v>
      </c>
      <c r="N932" s="17">
        <f>VLOOKUP(K932,RPM!$A$2:$D$62,3,FALSE)</f>
        <v>11.4</v>
      </c>
      <c r="O932" s="16">
        <f>VLOOKUP(K932,RPM!$A$2:$D$62,4,FALSE)</f>
        <v>18.894837209302327</v>
      </c>
      <c r="P932" s="17">
        <f t="shared" si="168"/>
        <v>14.089880106976747</v>
      </c>
      <c r="Q932" s="16" cm="1">
        <f t="array" ref="Q932">_xlfn.XLOOKUP(O932,BSFC!$A$2:$A$24,_xlfn.XLOOKUP(K932,BSFC!$B$1:$O$1,BSFC!$B$2:$O$24,,-1),,-1)</f>
        <v>480</v>
      </c>
      <c r="R932" s="17">
        <f t="shared" si="169"/>
        <v>1.8786506809302328</v>
      </c>
      <c r="S932" s="16">
        <f t="shared" si="170"/>
        <v>2.9183485335175871E-4</v>
      </c>
      <c r="T932" s="17">
        <f t="shared" si="173"/>
        <v>0.14008072960884418</v>
      </c>
      <c r="U932" s="16">
        <f t="shared" si="174"/>
        <v>123.13434447189427</v>
      </c>
      <c r="V932" s="17">
        <f t="shared" si="175"/>
        <v>0.2558551135581808</v>
      </c>
      <c r="W932" s="16">
        <f t="shared" si="171"/>
        <v>921078.4088094508</v>
      </c>
      <c r="X932">
        <f>('Hybrid Info'!$A$2-Track!P932)*(L932-L931)*1000+X931</f>
        <v>-32929.74066446189</v>
      </c>
    </row>
    <row r="933" spans="1:24">
      <c r="A933" s="16">
        <f t="shared" si="172"/>
        <v>932</v>
      </c>
      <c r="B933" s="17">
        <f t="shared" si="166"/>
        <v>13.411199999999999</v>
      </c>
      <c r="C933" s="16">
        <f>Specification!$G$29</f>
        <v>164.943378</v>
      </c>
      <c r="D933" s="17">
        <f>0.5*Specification!$K$4*Track!B933^2*Specification!$K$3*Specification!$K$2</f>
        <v>93.159842569492653</v>
      </c>
      <c r="E933" s="16">
        <v>8</v>
      </c>
      <c r="F933" s="17">
        <f>Specification!$C$23*9.81*SIN((E933*PI()/180))</f>
        <v>765.1893799696079</v>
      </c>
      <c r="G933" s="18">
        <f>IF(J933=1,VLOOKUP(K933,RPM!$E$2:$H$62,3,FALSE)-F933-E933-D933,IF(J933=2,VLOOKUP(K933,RPM!$H$2:$K$62,3,FALSE)-F933-E933-D933,IF(J933=3,VLOOKUP(K933,RPM!$K$2:$N$62,3,FALSE)-F933-E933-D933)))</f>
        <v>-223.62720093133635</v>
      </c>
      <c r="H933" s="19">
        <f>IF(J933=1,Specification!$I$14,IF(J933=2,Specification!$I$15,IF(J933=3,Specification!$I$16)))</f>
        <v>578.93404261974786</v>
      </c>
      <c r="I933" s="16">
        <f t="shared" si="177"/>
        <v>0</v>
      </c>
      <c r="J933" s="17">
        <v>3</v>
      </c>
      <c r="K933" s="16">
        <f>IF(J933=1,VLOOKUP(B933,RPM!$F$2:$H$62,3,TRUE),IF(J933=2,VLOOKUP(B933,RPM!$I$2:$K$62,3,TRUE),IF(J933=3,VLOOKUP(B933,RPM!$L$2:$N$62,3,TRUE))))</f>
        <v>4300</v>
      </c>
      <c r="L933" s="17">
        <f t="shared" si="176"/>
        <v>73.76949451830302</v>
      </c>
      <c r="M933" s="16">
        <f t="shared" si="167"/>
        <v>0.91171038944819627</v>
      </c>
      <c r="N933" s="17">
        <f>VLOOKUP(K933,RPM!$A$2:$D$62,3,FALSE)</f>
        <v>11.4</v>
      </c>
      <c r="O933" s="16">
        <f>VLOOKUP(K933,RPM!$A$2:$D$62,4,FALSE)</f>
        <v>18.894837209302327</v>
      </c>
      <c r="P933" s="17">
        <f t="shared" si="168"/>
        <v>14.089880106976747</v>
      </c>
      <c r="Q933" s="16" cm="1">
        <f t="array" ref="Q933">_xlfn.XLOOKUP(O933,BSFC!$A$2:$A$24,_xlfn.XLOOKUP(K933,BSFC!$B$1:$O$1,BSFC!$B$2:$O$24,,-1),,-1)</f>
        <v>480</v>
      </c>
      <c r="R933" s="17">
        <f t="shared" si="169"/>
        <v>1.8786506809302328</v>
      </c>
      <c r="S933" s="16">
        <f t="shared" si="170"/>
        <v>2.9183485335175871E-4</v>
      </c>
      <c r="T933" s="17">
        <f t="shared" si="173"/>
        <v>0.14008072960884418</v>
      </c>
      <c r="U933" s="16">
        <f t="shared" si="174"/>
        <v>123.27442520150311</v>
      </c>
      <c r="V933" s="17">
        <f t="shared" si="175"/>
        <v>0.25614694841153257</v>
      </c>
      <c r="W933" s="16">
        <f t="shared" si="171"/>
        <v>922129.01428151713</v>
      </c>
      <c r="X933">
        <f>('Hybrid Info'!$A$2-Track!P933)*(L933-L932)*1000+X932</f>
        <v>-33076.589977811294</v>
      </c>
    </row>
    <row r="934" spans="1:24">
      <c r="A934" s="16">
        <f t="shared" si="172"/>
        <v>933</v>
      </c>
      <c r="B934" s="17">
        <f t="shared" si="166"/>
        <v>13.411199999999999</v>
      </c>
      <c r="C934" s="16">
        <f>Specification!$G$29</f>
        <v>164.943378</v>
      </c>
      <c r="D934" s="17">
        <f>0.5*Specification!$K$4*Track!B934^2*Specification!$K$3*Specification!$K$2</f>
        <v>93.159842569492653</v>
      </c>
      <c r="E934" s="16">
        <v>8</v>
      </c>
      <c r="F934" s="17">
        <f>Specification!$C$23*9.81*SIN((E934*PI()/180))</f>
        <v>765.1893799696079</v>
      </c>
      <c r="G934" s="18">
        <f>IF(J934=1,VLOOKUP(K934,RPM!$E$2:$H$62,3,FALSE)-F934-E934-D934,IF(J934=2,VLOOKUP(K934,RPM!$H$2:$K$62,3,FALSE)-F934-E934-D934,IF(J934=3,VLOOKUP(K934,RPM!$K$2:$N$62,3,FALSE)-F934-E934-D934)))</f>
        <v>-223.62720093133635</v>
      </c>
      <c r="H934" s="19">
        <f>IF(J934=1,Specification!$I$14,IF(J934=2,Specification!$I$15,IF(J934=3,Specification!$I$16)))</f>
        <v>578.93404261974786</v>
      </c>
      <c r="I934" s="16">
        <f t="shared" si="177"/>
        <v>0</v>
      </c>
      <c r="J934" s="17">
        <v>3</v>
      </c>
      <c r="K934" s="16">
        <f>IF(J934=1,VLOOKUP(B934,RPM!$F$2:$H$62,3,TRUE),IF(J934=2,VLOOKUP(B934,RPM!$I$2:$K$62,3,TRUE),IF(J934=3,VLOOKUP(B934,RPM!$L$2:$N$62,3,TRUE))))</f>
        <v>4300</v>
      </c>
      <c r="L934" s="17">
        <f t="shared" si="176"/>
        <v>73.844059061371496</v>
      </c>
      <c r="M934" s="16">
        <f t="shared" si="167"/>
        <v>1.0522512241505877</v>
      </c>
      <c r="N934" s="17">
        <f>VLOOKUP(K934,RPM!$A$2:$D$62,3,FALSE)</f>
        <v>11.4</v>
      </c>
      <c r="O934" s="16">
        <f>VLOOKUP(K934,RPM!$A$2:$D$62,4,FALSE)</f>
        <v>18.894837209302327</v>
      </c>
      <c r="P934" s="17">
        <f t="shared" si="168"/>
        <v>14.089880106976747</v>
      </c>
      <c r="Q934" s="16" cm="1">
        <f t="array" ref="Q934">_xlfn.XLOOKUP(O934,BSFC!$A$2:$A$24,_xlfn.XLOOKUP(K934,BSFC!$B$1:$O$1,BSFC!$B$2:$O$24,,-1),,-1)</f>
        <v>480</v>
      </c>
      <c r="R934" s="17">
        <f t="shared" si="169"/>
        <v>1.8786506809302328</v>
      </c>
      <c r="S934" s="16">
        <f t="shared" si="170"/>
        <v>2.9183485335175871E-4</v>
      </c>
      <c r="T934" s="17">
        <f t="shared" si="173"/>
        <v>0.14008072960884418</v>
      </c>
      <c r="U934" s="16">
        <f t="shared" si="174"/>
        <v>123.41450593111195</v>
      </c>
      <c r="V934" s="17">
        <f t="shared" si="175"/>
        <v>0.25643878326488434</v>
      </c>
      <c r="W934" s="16">
        <f t="shared" si="171"/>
        <v>923179.61975358368</v>
      </c>
      <c r="X934">
        <f>('Hybrid Info'!$A$2-Track!P934)*(L934-L933)*1000+X933</f>
        <v>-33223.439291160699</v>
      </c>
    </row>
    <row r="935" spans="1:24">
      <c r="A935" s="16">
        <f t="shared" si="172"/>
        <v>934</v>
      </c>
      <c r="B935" s="17">
        <f t="shared" si="166"/>
        <v>13.411199999999999</v>
      </c>
      <c r="C935" s="16">
        <f>Specification!$G$29</f>
        <v>164.943378</v>
      </c>
      <c r="D935" s="17">
        <f>0.5*Specification!$K$4*Track!B935^2*Specification!$K$3*Specification!$K$2</f>
        <v>93.159842569492653</v>
      </c>
      <c r="E935" s="16">
        <v>8</v>
      </c>
      <c r="F935" s="17">
        <f>Specification!$C$23*9.81*SIN((E935*PI()/180))</f>
        <v>765.1893799696079</v>
      </c>
      <c r="G935" s="18">
        <f>IF(J935=1,VLOOKUP(K935,RPM!$E$2:$H$62,3,FALSE)-F935-E935-D935,IF(J935=2,VLOOKUP(K935,RPM!$H$2:$K$62,3,FALSE)-F935-E935-D935,IF(J935=3,VLOOKUP(K935,RPM!$K$2:$N$62,3,FALSE)-F935-E935-D935)))</f>
        <v>-223.62720093133635</v>
      </c>
      <c r="H935" s="19">
        <f>IF(J935=1,Specification!$I$14,IF(J935=2,Specification!$I$15,IF(J935=3,Specification!$I$16)))</f>
        <v>578.93404261974786</v>
      </c>
      <c r="I935" s="16">
        <f t="shared" si="177"/>
        <v>0</v>
      </c>
      <c r="J935" s="17">
        <v>3</v>
      </c>
      <c r="K935" s="16">
        <f>IF(J935=1,VLOOKUP(B935,RPM!$F$2:$H$62,3,TRUE),IF(J935=2,VLOOKUP(B935,RPM!$I$2:$K$62,3,TRUE),IF(J935=3,VLOOKUP(B935,RPM!$L$2:$N$62,3,TRUE))))</f>
        <v>4300</v>
      </c>
      <c r="L935" s="17">
        <f t="shared" si="176"/>
        <v>73.918623604439972</v>
      </c>
      <c r="M935" s="16">
        <f t="shared" si="167"/>
        <v>1.1927920588529792</v>
      </c>
      <c r="N935" s="17">
        <f>VLOOKUP(K935,RPM!$A$2:$D$62,3,FALSE)</f>
        <v>11.4</v>
      </c>
      <c r="O935" s="16">
        <f>VLOOKUP(K935,RPM!$A$2:$D$62,4,FALSE)</f>
        <v>18.894837209302327</v>
      </c>
      <c r="P935" s="17">
        <f t="shared" si="168"/>
        <v>14.089880106976747</v>
      </c>
      <c r="Q935" s="16" cm="1">
        <f t="array" ref="Q935">_xlfn.XLOOKUP(O935,BSFC!$A$2:$A$24,_xlfn.XLOOKUP(K935,BSFC!$B$1:$O$1,BSFC!$B$2:$O$24,,-1),,-1)</f>
        <v>480</v>
      </c>
      <c r="R935" s="17">
        <f t="shared" si="169"/>
        <v>1.8786506809302328</v>
      </c>
      <c r="S935" s="16">
        <f t="shared" si="170"/>
        <v>2.9183485335175871E-4</v>
      </c>
      <c r="T935" s="17">
        <f t="shared" si="173"/>
        <v>0.14008072960884418</v>
      </c>
      <c r="U935" s="16">
        <f t="shared" si="174"/>
        <v>123.55458666072079</v>
      </c>
      <c r="V935" s="17">
        <f t="shared" si="175"/>
        <v>0.25673061811823611</v>
      </c>
      <c r="W935" s="16">
        <f t="shared" si="171"/>
        <v>924230.22522565001</v>
      </c>
      <c r="X935">
        <f>('Hybrid Info'!$A$2-Track!P935)*(L935-L934)*1000+X934</f>
        <v>-33370.288604510104</v>
      </c>
    </row>
    <row r="936" spans="1:24">
      <c r="A936" s="16">
        <f t="shared" si="172"/>
        <v>935</v>
      </c>
      <c r="B936" s="17">
        <f t="shared" si="166"/>
        <v>13.411199999999999</v>
      </c>
      <c r="C936" s="16">
        <f>Specification!$G$29</f>
        <v>164.943378</v>
      </c>
      <c r="D936" s="17">
        <f>0.5*Specification!$K$4*Track!B936^2*Specification!$K$3*Specification!$K$2</f>
        <v>93.159842569492653</v>
      </c>
      <c r="E936" s="16">
        <v>8</v>
      </c>
      <c r="F936" s="17">
        <f>Specification!$C$23*9.81*SIN((E936*PI()/180))</f>
        <v>765.1893799696079</v>
      </c>
      <c r="G936" s="18">
        <f>IF(J936=1,VLOOKUP(K936,RPM!$E$2:$H$62,3,FALSE)-F936-E936-D936,IF(J936=2,VLOOKUP(K936,RPM!$H$2:$K$62,3,FALSE)-F936-E936-D936,IF(J936=3,VLOOKUP(K936,RPM!$K$2:$N$62,3,FALSE)-F936-E936-D936)))</f>
        <v>-223.62720093133635</v>
      </c>
      <c r="H936" s="19">
        <f>IF(J936=1,Specification!$I$14,IF(J936=2,Specification!$I$15,IF(J936=3,Specification!$I$16)))</f>
        <v>578.93404261974786</v>
      </c>
      <c r="I936" s="16">
        <f t="shared" si="177"/>
        <v>0</v>
      </c>
      <c r="J936" s="17">
        <v>3</v>
      </c>
      <c r="K936" s="16">
        <f>IF(J936=1,VLOOKUP(B936,RPM!$F$2:$H$62,3,TRUE),IF(J936=2,VLOOKUP(B936,RPM!$I$2:$K$62,3,TRUE),IF(J936=3,VLOOKUP(B936,RPM!$L$2:$N$62,3,TRUE))))</f>
        <v>4300</v>
      </c>
      <c r="L936" s="17">
        <f t="shared" si="176"/>
        <v>73.993188147508448</v>
      </c>
      <c r="M936" s="16">
        <f t="shared" si="167"/>
        <v>1.3333328935553708</v>
      </c>
      <c r="N936" s="17">
        <f>VLOOKUP(K936,RPM!$A$2:$D$62,3,FALSE)</f>
        <v>11.4</v>
      </c>
      <c r="O936" s="16">
        <f>VLOOKUP(K936,RPM!$A$2:$D$62,4,FALSE)</f>
        <v>18.894837209302327</v>
      </c>
      <c r="P936" s="17">
        <f t="shared" si="168"/>
        <v>14.089880106976747</v>
      </c>
      <c r="Q936" s="16" cm="1">
        <f t="array" ref="Q936">_xlfn.XLOOKUP(O936,BSFC!$A$2:$A$24,_xlfn.XLOOKUP(K936,BSFC!$B$1:$O$1,BSFC!$B$2:$O$24,,-1),,-1)</f>
        <v>480</v>
      </c>
      <c r="R936" s="17">
        <f t="shared" si="169"/>
        <v>1.8786506809302328</v>
      </c>
      <c r="S936" s="16">
        <f t="shared" si="170"/>
        <v>2.9183485335175871E-4</v>
      </c>
      <c r="T936" s="17">
        <f t="shared" si="173"/>
        <v>0.14008072960884418</v>
      </c>
      <c r="U936" s="16">
        <f t="shared" si="174"/>
        <v>123.69466739032963</v>
      </c>
      <c r="V936" s="17">
        <f t="shared" si="175"/>
        <v>0.25702245297158788</v>
      </c>
      <c r="W936" s="16">
        <f t="shared" si="171"/>
        <v>925280.83069771633</v>
      </c>
      <c r="X936">
        <f>('Hybrid Info'!$A$2-Track!P936)*(L936-L935)*1000+X935</f>
        <v>-33517.137917859509</v>
      </c>
    </row>
    <row r="937" spans="1:24">
      <c r="A937" s="16">
        <f t="shared" si="172"/>
        <v>936</v>
      </c>
      <c r="B937" s="17">
        <f t="shared" si="166"/>
        <v>13.411199999999999</v>
      </c>
      <c r="C937" s="16">
        <f>Specification!$G$29</f>
        <v>164.943378</v>
      </c>
      <c r="D937" s="17">
        <f>0.5*Specification!$K$4*Track!B937^2*Specification!$K$3*Specification!$K$2</f>
        <v>93.159842569492653</v>
      </c>
      <c r="E937" s="16">
        <v>8</v>
      </c>
      <c r="F937" s="17">
        <f>Specification!$C$23*9.81*SIN((E937*PI()/180))</f>
        <v>765.1893799696079</v>
      </c>
      <c r="G937" s="18">
        <f>IF(J937=1,VLOOKUP(K937,RPM!$E$2:$H$62,3,FALSE)-F937-E937-D937,IF(J937=2,VLOOKUP(K937,RPM!$H$2:$K$62,3,FALSE)-F937-E937-D937,IF(J937=3,VLOOKUP(K937,RPM!$K$2:$N$62,3,FALSE)-F937-E937-D937)))</f>
        <v>-223.62720093133635</v>
      </c>
      <c r="H937" s="19">
        <f>IF(J937=1,Specification!$I$14,IF(J937=2,Specification!$I$15,IF(J937=3,Specification!$I$16)))</f>
        <v>578.93404261974786</v>
      </c>
      <c r="I937" s="16">
        <f t="shared" si="177"/>
        <v>0</v>
      </c>
      <c r="J937" s="17">
        <v>3</v>
      </c>
      <c r="K937" s="16">
        <f>IF(J937=1,VLOOKUP(B937,RPM!$F$2:$H$62,3,TRUE),IF(J937=2,VLOOKUP(B937,RPM!$I$2:$K$62,3,TRUE),IF(J937=3,VLOOKUP(B937,RPM!$L$2:$N$62,3,TRUE))))</f>
        <v>4300</v>
      </c>
      <c r="L937" s="17">
        <f t="shared" si="176"/>
        <v>74.067752690576924</v>
      </c>
      <c r="M937" s="16">
        <f t="shared" si="167"/>
        <v>1.4738737282577623</v>
      </c>
      <c r="N937" s="17">
        <f>VLOOKUP(K937,RPM!$A$2:$D$62,3,FALSE)</f>
        <v>11.4</v>
      </c>
      <c r="O937" s="16">
        <f>VLOOKUP(K937,RPM!$A$2:$D$62,4,FALSE)</f>
        <v>18.894837209302327</v>
      </c>
      <c r="P937" s="17">
        <f t="shared" si="168"/>
        <v>14.089880106976747</v>
      </c>
      <c r="Q937" s="16" cm="1">
        <f t="array" ref="Q937">_xlfn.XLOOKUP(O937,BSFC!$A$2:$A$24,_xlfn.XLOOKUP(K937,BSFC!$B$1:$O$1,BSFC!$B$2:$O$24,,-1),,-1)</f>
        <v>480</v>
      </c>
      <c r="R937" s="17">
        <f t="shared" si="169"/>
        <v>1.8786506809302328</v>
      </c>
      <c r="S937" s="16">
        <f t="shared" si="170"/>
        <v>2.9183485335175871E-4</v>
      </c>
      <c r="T937" s="17">
        <f t="shared" si="173"/>
        <v>0.14008072960884418</v>
      </c>
      <c r="U937" s="16">
        <f t="shared" si="174"/>
        <v>123.83474811993847</v>
      </c>
      <c r="V937" s="17">
        <f t="shared" si="175"/>
        <v>0.25731428782493965</v>
      </c>
      <c r="W937" s="16">
        <f t="shared" si="171"/>
        <v>926331.43616978265</v>
      </c>
      <c r="X937">
        <f>('Hybrid Info'!$A$2-Track!P937)*(L937-L936)*1000+X936</f>
        <v>-33663.987231208914</v>
      </c>
    </row>
    <row r="938" spans="1:24">
      <c r="A938" s="16">
        <f t="shared" si="172"/>
        <v>937</v>
      </c>
      <c r="B938" s="17">
        <f t="shared" si="166"/>
        <v>13.411199999999999</v>
      </c>
      <c r="C938" s="16">
        <f>Specification!$G$29</f>
        <v>164.943378</v>
      </c>
      <c r="D938" s="17">
        <f>0.5*Specification!$K$4*Track!B938^2*Specification!$K$3*Specification!$K$2</f>
        <v>93.159842569492653</v>
      </c>
      <c r="E938" s="16">
        <v>8</v>
      </c>
      <c r="F938" s="17">
        <f>Specification!$C$23*9.81*SIN((E938*PI()/180))</f>
        <v>765.1893799696079</v>
      </c>
      <c r="G938" s="18">
        <f>IF(J938=1,VLOOKUP(K938,RPM!$E$2:$H$62,3,FALSE)-F938-E938-D938,IF(J938=2,VLOOKUP(K938,RPM!$H$2:$K$62,3,FALSE)-F938-E938-D938,IF(J938=3,VLOOKUP(K938,RPM!$K$2:$N$62,3,FALSE)-F938-E938-D938)))</f>
        <v>-223.62720093133635</v>
      </c>
      <c r="H938" s="19">
        <f>IF(J938=1,Specification!$I$14,IF(J938=2,Specification!$I$15,IF(J938=3,Specification!$I$16)))</f>
        <v>578.93404261974786</v>
      </c>
      <c r="I938" s="16">
        <f t="shared" si="177"/>
        <v>0</v>
      </c>
      <c r="J938" s="17">
        <v>3</v>
      </c>
      <c r="K938" s="16">
        <f>IF(J938=1,VLOOKUP(B938,RPM!$F$2:$H$62,3,TRUE),IF(J938=2,VLOOKUP(B938,RPM!$I$2:$K$62,3,TRUE),IF(J938=3,VLOOKUP(B938,RPM!$L$2:$N$62,3,TRUE))))</f>
        <v>4300</v>
      </c>
      <c r="L938" s="17">
        <f t="shared" si="176"/>
        <v>74.1423172336454</v>
      </c>
      <c r="M938" s="16">
        <f t="shared" si="167"/>
        <v>1.6144145629601538</v>
      </c>
      <c r="N938" s="17">
        <f>VLOOKUP(K938,RPM!$A$2:$D$62,3,FALSE)</f>
        <v>11.4</v>
      </c>
      <c r="O938" s="16">
        <f>VLOOKUP(K938,RPM!$A$2:$D$62,4,FALSE)</f>
        <v>18.894837209302327</v>
      </c>
      <c r="P938" s="17">
        <f t="shared" si="168"/>
        <v>14.089880106976747</v>
      </c>
      <c r="Q938" s="16" cm="1">
        <f t="array" ref="Q938">_xlfn.XLOOKUP(O938,BSFC!$A$2:$A$24,_xlfn.XLOOKUP(K938,BSFC!$B$1:$O$1,BSFC!$B$2:$O$24,,-1),,-1)</f>
        <v>480</v>
      </c>
      <c r="R938" s="17">
        <f t="shared" si="169"/>
        <v>1.8786506809302328</v>
      </c>
      <c r="S938" s="16">
        <f t="shared" si="170"/>
        <v>2.9183485335175871E-4</v>
      </c>
      <c r="T938" s="17">
        <f t="shared" si="173"/>
        <v>0.14008072960884418</v>
      </c>
      <c r="U938" s="16">
        <f t="shared" si="174"/>
        <v>123.97482884954731</v>
      </c>
      <c r="V938" s="17">
        <f t="shared" si="175"/>
        <v>0.25760612267829142</v>
      </c>
      <c r="W938" s="16">
        <f t="shared" si="171"/>
        <v>927382.04164184909</v>
      </c>
      <c r="X938">
        <f>('Hybrid Info'!$A$2-Track!P938)*(L938-L937)*1000+X937</f>
        <v>-33810.836544558319</v>
      </c>
    </row>
    <row r="939" spans="1:24">
      <c r="A939" s="16">
        <f t="shared" si="172"/>
        <v>938</v>
      </c>
      <c r="B939" s="17">
        <f t="shared" si="166"/>
        <v>13.411199999999999</v>
      </c>
      <c r="C939" s="16">
        <f>Specification!$G$29</f>
        <v>164.943378</v>
      </c>
      <c r="D939" s="17">
        <f>0.5*Specification!$K$4*Track!B939^2*Specification!$K$3*Specification!$K$2</f>
        <v>93.159842569492653</v>
      </c>
      <c r="E939" s="16">
        <v>8</v>
      </c>
      <c r="F939" s="17">
        <f>Specification!$C$23*9.81*SIN((E939*PI()/180))</f>
        <v>765.1893799696079</v>
      </c>
      <c r="G939" s="18">
        <f>IF(J939=1,VLOOKUP(K939,RPM!$E$2:$H$62,3,FALSE)-F939-E939-D939,IF(J939=2,VLOOKUP(K939,RPM!$H$2:$K$62,3,FALSE)-F939-E939-D939,IF(J939=3,VLOOKUP(K939,RPM!$K$2:$N$62,3,FALSE)-F939-E939-D939)))</f>
        <v>-223.62720093133635</v>
      </c>
      <c r="H939" s="19">
        <f>IF(J939=1,Specification!$I$14,IF(J939=2,Specification!$I$15,IF(J939=3,Specification!$I$16)))</f>
        <v>578.93404261974786</v>
      </c>
      <c r="I939" s="16">
        <f t="shared" si="177"/>
        <v>0</v>
      </c>
      <c r="J939" s="17">
        <v>3</v>
      </c>
      <c r="K939" s="16">
        <f>IF(J939=1,VLOOKUP(B939,RPM!$F$2:$H$62,3,TRUE),IF(J939=2,VLOOKUP(B939,RPM!$I$2:$K$62,3,TRUE),IF(J939=3,VLOOKUP(B939,RPM!$L$2:$N$62,3,TRUE))))</f>
        <v>4300</v>
      </c>
      <c r="L939" s="17">
        <f t="shared" si="176"/>
        <v>74.216881776713876</v>
      </c>
      <c r="M939" s="16">
        <f t="shared" si="167"/>
        <v>1.7549553976625454</v>
      </c>
      <c r="N939" s="17">
        <f>VLOOKUP(K939,RPM!$A$2:$D$62,3,FALSE)</f>
        <v>11.4</v>
      </c>
      <c r="O939" s="16">
        <f>VLOOKUP(K939,RPM!$A$2:$D$62,4,FALSE)</f>
        <v>18.894837209302327</v>
      </c>
      <c r="P939" s="17">
        <f t="shared" si="168"/>
        <v>14.089880106976747</v>
      </c>
      <c r="Q939" s="16" cm="1">
        <f t="array" ref="Q939">_xlfn.XLOOKUP(O939,BSFC!$A$2:$A$24,_xlfn.XLOOKUP(K939,BSFC!$B$1:$O$1,BSFC!$B$2:$O$24,,-1),,-1)</f>
        <v>480</v>
      </c>
      <c r="R939" s="17">
        <f t="shared" si="169"/>
        <v>1.8786506809302328</v>
      </c>
      <c r="S939" s="16">
        <f t="shared" si="170"/>
        <v>2.9183485335175871E-4</v>
      </c>
      <c r="T939" s="17">
        <f t="shared" si="173"/>
        <v>0.14008072960884418</v>
      </c>
      <c r="U939" s="16">
        <f t="shared" si="174"/>
        <v>124.11490957915615</v>
      </c>
      <c r="V939" s="17">
        <f t="shared" si="175"/>
        <v>0.25789795753164318</v>
      </c>
      <c r="W939" s="16">
        <f t="shared" si="171"/>
        <v>928432.64711391542</v>
      </c>
      <c r="X939">
        <f>('Hybrid Info'!$A$2-Track!P939)*(L939-L938)*1000+X938</f>
        <v>-33957.685857907723</v>
      </c>
    </row>
    <row r="940" spans="1:24">
      <c r="A940" s="16">
        <f t="shared" si="172"/>
        <v>939</v>
      </c>
      <c r="B940" s="17">
        <f t="shared" si="166"/>
        <v>13.411199999999999</v>
      </c>
      <c r="C940" s="16">
        <f>Specification!$G$29</f>
        <v>164.943378</v>
      </c>
      <c r="D940" s="17">
        <f>0.5*Specification!$K$4*Track!B940^2*Specification!$K$3*Specification!$K$2</f>
        <v>93.159842569492653</v>
      </c>
      <c r="E940" s="16">
        <v>8</v>
      </c>
      <c r="F940" s="17">
        <f>Specification!$C$23*9.81*SIN((E940*PI()/180))</f>
        <v>765.1893799696079</v>
      </c>
      <c r="G940" s="18">
        <f>IF(J940=1,VLOOKUP(K940,RPM!$E$2:$H$62,3,FALSE)-F940-E940-D940,IF(J940=2,VLOOKUP(K940,RPM!$H$2:$K$62,3,FALSE)-F940-E940-D940,IF(J940=3,VLOOKUP(K940,RPM!$K$2:$N$62,3,FALSE)-F940-E940-D940)))</f>
        <v>-223.62720093133635</v>
      </c>
      <c r="H940" s="19">
        <f>IF(J940=1,Specification!$I$14,IF(J940=2,Specification!$I$15,IF(J940=3,Specification!$I$16)))</f>
        <v>578.93404261974786</v>
      </c>
      <c r="I940" s="16">
        <f t="shared" si="177"/>
        <v>0</v>
      </c>
      <c r="J940" s="17">
        <v>3</v>
      </c>
      <c r="K940" s="16">
        <f>IF(J940=1,VLOOKUP(B940,RPM!$F$2:$H$62,3,TRUE),IF(J940=2,VLOOKUP(B940,RPM!$I$2:$K$62,3,TRUE),IF(J940=3,VLOOKUP(B940,RPM!$L$2:$N$62,3,TRUE))))</f>
        <v>4300</v>
      </c>
      <c r="L940" s="17">
        <f t="shared" si="176"/>
        <v>74.291446319782352</v>
      </c>
      <c r="M940" s="16">
        <f t="shared" si="167"/>
        <v>1.8954962323649369</v>
      </c>
      <c r="N940" s="17">
        <f>VLOOKUP(K940,RPM!$A$2:$D$62,3,FALSE)</f>
        <v>11.4</v>
      </c>
      <c r="O940" s="16">
        <f>VLOOKUP(K940,RPM!$A$2:$D$62,4,FALSE)</f>
        <v>18.894837209302327</v>
      </c>
      <c r="P940" s="17">
        <f t="shared" si="168"/>
        <v>14.089880106976747</v>
      </c>
      <c r="Q940" s="16" cm="1">
        <f t="array" ref="Q940">_xlfn.XLOOKUP(O940,BSFC!$A$2:$A$24,_xlfn.XLOOKUP(K940,BSFC!$B$1:$O$1,BSFC!$B$2:$O$24,,-1),,-1)</f>
        <v>480</v>
      </c>
      <c r="R940" s="17">
        <f t="shared" si="169"/>
        <v>1.8786506809302328</v>
      </c>
      <c r="S940" s="16">
        <f t="shared" si="170"/>
        <v>2.9183485335175871E-4</v>
      </c>
      <c r="T940" s="17">
        <f t="shared" si="173"/>
        <v>0.14008072960884418</v>
      </c>
      <c r="U940" s="16">
        <f t="shared" si="174"/>
        <v>124.25499030876499</v>
      </c>
      <c r="V940" s="17">
        <f t="shared" si="175"/>
        <v>0.25818979238499495</v>
      </c>
      <c r="W940" s="16">
        <f t="shared" si="171"/>
        <v>929483.25258598186</v>
      </c>
      <c r="X940">
        <f>('Hybrid Info'!$A$2-Track!P940)*(L940-L939)*1000+X939</f>
        <v>-34104.535171257128</v>
      </c>
    </row>
    <row r="941" spans="1:24">
      <c r="A941" s="16">
        <f t="shared" si="172"/>
        <v>940</v>
      </c>
      <c r="B941" s="17">
        <f t="shared" si="166"/>
        <v>13.411199999999999</v>
      </c>
      <c r="C941" s="16">
        <f>Specification!$G$29</f>
        <v>164.943378</v>
      </c>
      <c r="D941" s="17">
        <f>0.5*Specification!$K$4*Track!B941^2*Specification!$K$3*Specification!$K$2</f>
        <v>93.159842569492653</v>
      </c>
      <c r="E941" s="16">
        <v>8</v>
      </c>
      <c r="F941" s="17">
        <f>Specification!$C$23*9.81*SIN((E941*PI()/180))</f>
        <v>765.1893799696079</v>
      </c>
      <c r="G941" s="18">
        <f>IF(J941=1,VLOOKUP(K941,RPM!$E$2:$H$62,3,FALSE)-F941-E941-D941,IF(J941=2,VLOOKUP(K941,RPM!$H$2:$K$62,3,FALSE)-F941-E941-D941,IF(J941=3,VLOOKUP(K941,RPM!$K$2:$N$62,3,FALSE)-F941-E941-D941)))</f>
        <v>-223.62720093133635</v>
      </c>
      <c r="H941" s="19">
        <f>IF(J941=1,Specification!$I$14,IF(J941=2,Specification!$I$15,IF(J941=3,Specification!$I$16)))</f>
        <v>578.93404261974786</v>
      </c>
      <c r="I941" s="16">
        <f t="shared" si="177"/>
        <v>0</v>
      </c>
      <c r="J941" s="17">
        <v>3</v>
      </c>
      <c r="K941" s="16">
        <f>IF(J941=1,VLOOKUP(B941,RPM!$F$2:$H$62,3,TRUE),IF(J941=2,VLOOKUP(B941,RPM!$I$2:$K$62,3,TRUE),IF(J941=3,VLOOKUP(B941,RPM!$L$2:$N$62,3,TRUE))))</f>
        <v>4300</v>
      </c>
      <c r="L941" s="17">
        <f t="shared" si="176"/>
        <v>74.366010862850828</v>
      </c>
      <c r="M941" s="16">
        <f t="shared" si="167"/>
        <v>2.0360370670673285</v>
      </c>
      <c r="N941" s="17">
        <f>VLOOKUP(K941,RPM!$A$2:$D$62,3,FALSE)</f>
        <v>11.4</v>
      </c>
      <c r="O941" s="16">
        <f>VLOOKUP(K941,RPM!$A$2:$D$62,4,FALSE)</f>
        <v>18.894837209302327</v>
      </c>
      <c r="P941" s="17">
        <f t="shared" si="168"/>
        <v>14.089880106976747</v>
      </c>
      <c r="Q941" s="16" cm="1">
        <f t="array" ref="Q941">_xlfn.XLOOKUP(O941,BSFC!$A$2:$A$24,_xlfn.XLOOKUP(K941,BSFC!$B$1:$O$1,BSFC!$B$2:$O$24,,-1),,-1)</f>
        <v>480</v>
      </c>
      <c r="R941" s="17">
        <f t="shared" si="169"/>
        <v>1.8786506809302328</v>
      </c>
      <c r="S941" s="16">
        <f t="shared" si="170"/>
        <v>2.9183485335175871E-4</v>
      </c>
      <c r="T941" s="17">
        <f t="shared" si="173"/>
        <v>0.14008072960884418</v>
      </c>
      <c r="U941" s="16">
        <f t="shared" si="174"/>
        <v>124.39507103837383</v>
      </c>
      <c r="V941" s="17">
        <f t="shared" si="175"/>
        <v>0.25848162723834672</v>
      </c>
      <c r="W941" s="16">
        <f t="shared" si="171"/>
        <v>930533.85805804818</v>
      </c>
      <c r="X941">
        <f>('Hybrid Info'!$A$2-Track!P941)*(L941-L940)*1000+X940</f>
        <v>-34251.384484606533</v>
      </c>
    </row>
    <row r="942" spans="1:24">
      <c r="A942" s="16">
        <f t="shared" si="172"/>
        <v>941</v>
      </c>
      <c r="B942" s="17">
        <f t="shared" si="166"/>
        <v>13.411199999999999</v>
      </c>
      <c r="C942" s="16">
        <f>Specification!$G$29</f>
        <v>164.943378</v>
      </c>
      <c r="D942" s="17">
        <f>0.5*Specification!$K$4*Track!B942^2*Specification!$K$3*Specification!$K$2</f>
        <v>93.159842569492653</v>
      </c>
      <c r="E942" s="16">
        <v>7</v>
      </c>
      <c r="F942" s="17">
        <f>Specification!$C$23*9.81*SIN((E942*PI()/180))</f>
        <v>670.05137252956831</v>
      </c>
      <c r="G942" s="18">
        <f>IF(J942=1,VLOOKUP(K942,RPM!$E$2:$H$62,3,FALSE)-F942-E942-D942,IF(J942=2,VLOOKUP(K942,RPM!$H$2:$K$62,3,FALSE)-F942-E942-D942,IF(J942=3,VLOOKUP(K942,RPM!$K$2:$N$62,3,FALSE)-F942-E942-D942)))</f>
        <v>-127.48919349129677</v>
      </c>
      <c r="H942" s="19">
        <f>IF(J942=1,Specification!$I$14,IF(J942=2,Specification!$I$15,IF(J942=3,Specification!$I$16)))</f>
        <v>578.93404261974786</v>
      </c>
      <c r="I942" s="16">
        <f t="shared" si="177"/>
        <v>0</v>
      </c>
      <c r="J942" s="17">
        <v>3</v>
      </c>
      <c r="K942" s="16">
        <f>IF(J942=1,VLOOKUP(B942,RPM!$F$2:$H$62,3,TRUE),IF(J942=2,VLOOKUP(B942,RPM!$I$2:$K$62,3,TRUE),IF(J942=3,VLOOKUP(B942,RPM!$L$2:$N$62,3,TRUE))))</f>
        <v>4300</v>
      </c>
      <c r="L942" s="17">
        <f t="shared" si="176"/>
        <v>74.440575405919304</v>
      </c>
      <c r="M942" s="16">
        <f t="shared" si="167"/>
        <v>2.1588216279702332</v>
      </c>
      <c r="N942" s="17">
        <f>VLOOKUP(K942,RPM!$A$2:$D$62,3,FALSE)</f>
        <v>11.4</v>
      </c>
      <c r="O942" s="16">
        <f>VLOOKUP(K942,RPM!$A$2:$D$62,4,FALSE)</f>
        <v>18.894837209302327</v>
      </c>
      <c r="P942" s="17">
        <f t="shared" si="168"/>
        <v>14.089880106976747</v>
      </c>
      <c r="Q942" s="16" cm="1">
        <f t="array" ref="Q942">_xlfn.XLOOKUP(O942,BSFC!$A$2:$A$24,_xlfn.XLOOKUP(K942,BSFC!$B$1:$O$1,BSFC!$B$2:$O$24,,-1),,-1)</f>
        <v>480</v>
      </c>
      <c r="R942" s="17">
        <f t="shared" si="169"/>
        <v>1.8786506809302328</v>
      </c>
      <c r="S942" s="16">
        <f t="shared" si="170"/>
        <v>2.9183485335175871E-4</v>
      </c>
      <c r="T942" s="17">
        <f t="shared" si="173"/>
        <v>0.14008072960884418</v>
      </c>
      <c r="U942" s="16">
        <f t="shared" si="174"/>
        <v>124.53515176798267</v>
      </c>
      <c r="V942" s="17">
        <f t="shared" si="175"/>
        <v>0.25877346209169849</v>
      </c>
      <c r="W942" s="16">
        <f t="shared" si="171"/>
        <v>931584.46353011462</v>
      </c>
      <c r="X942">
        <f>('Hybrid Info'!$A$2-Track!P942)*(L942-L941)*1000+X941</f>
        <v>-34398.233797955938</v>
      </c>
    </row>
    <row r="943" spans="1:24">
      <c r="A943" s="16">
        <f t="shared" si="172"/>
        <v>942</v>
      </c>
      <c r="B943" s="17">
        <f t="shared" si="166"/>
        <v>13.411199999999999</v>
      </c>
      <c r="C943" s="16">
        <f>Specification!$G$29</f>
        <v>164.943378</v>
      </c>
      <c r="D943" s="17">
        <f>0.5*Specification!$K$4*Track!B943^2*Specification!$K$3*Specification!$K$2</f>
        <v>93.159842569492653</v>
      </c>
      <c r="E943" s="16">
        <v>6</v>
      </c>
      <c r="F943" s="17">
        <f>Specification!$C$23*9.81*SIN((E943*PI()/180))</f>
        <v>574.70926095052266</v>
      </c>
      <c r="G943" s="18">
        <f>IF(J943=1,VLOOKUP(K943,RPM!$E$2:$H$62,3,FALSE)-F943-E943-D943,IF(J943=2,VLOOKUP(K943,RPM!$H$2:$K$62,3,FALSE)-F943-E943-D943,IF(J943=3,VLOOKUP(K943,RPM!$K$2:$N$62,3,FALSE)-F943-E943-D943)))</f>
        <v>-31.147081912251124</v>
      </c>
      <c r="H943" s="19">
        <f>IF(J943=1,Specification!$I$14,IF(J943=2,Specification!$I$15,IF(J943=3,Specification!$I$16)))</f>
        <v>578.93404261974786</v>
      </c>
      <c r="I943" s="16">
        <f t="shared" si="177"/>
        <v>0</v>
      </c>
      <c r="J943" s="17">
        <v>3</v>
      </c>
      <c r="K943" s="16">
        <f>IF(J943=1,VLOOKUP(B943,RPM!$F$2:$H$62,3,TRUE),IF(J943=2,VLOOKUP(B943,RPM!$I$2:$K$62,3,TRUE),IF(J943=3,VLOOKUP(B943,RPM!$L$2:$N$62,3,TRUE))))</f>
        <v>4300</v>
      </c>
      <c r="L943" s="17">
        <f t="shared" si="176"/>
        <v>74.51513994898778</v>
      </c>
      <c r="M943" s="16">
        <f t="shared" si="167"/>
        <v>2.2639258632359098</v>
      </c>
      <c r="N943" s="17">
        <f>VLOOKUP(K943,RPM!$A$2:$D$62,3,FALSE)</f>
        <v>11.4</v>
      </c>
      <c r="O943" s="16">
        <f>VLOOKUP(K943,RPM!$A$2:$D$62,4,FALSE)</f>
        <v>18.894837209302327</v>
      </c>
      <c r="P943" s="17">
        <f t="shared" si="168"/>
        <v>14.089880106976747</v>
      </c>
      <c r="Q943" s="16" cm="1">
        <f t="array" ref="Q943">_xlfn.XLOOKUP(O943,BSFC!$A$2:$A$24,_xlfn.XLOOKUP(K943,BSFC!$B$1:$O$1,BSFC!$B$2:$O$24,,-1),,-1)</f>
        <v>480</v>
      </c>
      <c r="R943" s="17">
        <f t="shared" si="169"/>
        <v>1.8786506809302328</v>
      </c>
      <c r="S943" s="16">
        <f t="shared" si="170"/>
        <v>2.9183485335175871E-4</v>
      </c>
      <c r="T943" s="17">
        <f t="shared" si="173"/>
        <v>0.14008072960884418</v>
      </c>
      <c r="U943" s="16">
        <f t="shared" si="174"/>
        <v>124.67523249759151</v>
      </c>
      <c r="V943" s="17">
        <f t="shared" si="175"/>
        <v>0.25906529694505026</v>
      </c>
      <c r="W943" s="16">
        <f t="shared" si="171"/>
        <v>932635.06900218094</v>
      </c>
      <c r="X943">
        <f>('Hybrid Info'!$A$2-Track!P943)*(L943-L942)*1000+X942</f>
        <v>-34545.083111305343</v>
      </c>
    </row>
    <row r="944" spans="1:24">
      <c r="A944" s="16">
        <f t="shared" si="172"/>
        <v>943</v>
      </c>
      <c r="B944" s="17">
        <f t="shared" si="166"/>
        <v>13.411199999999999</v>
      </c>
      <c r="C944" s="16">
        <f>Specification!$G$29</f>
        <v>164.943378</v>
      </c>
      <c r="D944" s="17">
        <f>0.5*Specification!$K$4*Track!B944^2*Specification!$K$3*Specification!$K$2</f>
        <v>93.159842569492653</v>
      </c>
      <c r="E944" s="16">
        <v>5</v>
      </c>
      <c r="F944" s="17">
        <f>Specification!$C$23*9.81*SIN((E944*PI()/180))</f>
        <v>479.192087363258</v>
      </c>
      <c r="G944" s="18">
        <f>IF(J944=1,VLOOKUP(K944,RPM!$E$2:$H$62,3,FALSE)-F944-E944-D944,IF(J944=2,VLOOKUP(K944,RPM!$H$2:$K$62,3,FALSE)-F944-E944-D944,IF(J944=3,VLOOKUP(K944,RPM!$K$2:$N$62,3,FALSE)-F944-E944-D944)))</f>
        <v>65.370091675013541</v>
      </c>
      <c r="H944" s="19">
        <f>IF(J944=1,Specification!$I$14,IF(J944=2,Specification!$I$15,IF(J944=3,Specification!$I$16)))</f>
        <v>578.93404261974786</v>
      </c>
      <c r="I944" s="16">
        <f t="shared" si="177"/>
        <v>0</v>
      </c>
      <c r="J944" s="17">
        <v>3</v>
      </c>
      <c r="K944" s="16">
        <f>IF(J944=1,VLOOKUP(B944,RPM!$F$2:$H$62,3,TRUE),IF(J944=2,VLOOKUP(B944,RPM!$I$2:$K$62,3,TRUE),IF(J944=3,VLOOKUP(B944,RPM!$L$2:$N$62,3,TRUE))))</f>
        <v>4300</v>
      </c>
      <c r="L944" s="17">
        <f t="shared" si="176"/>
        <v>74.589704492056256</v>
      </c>
      <c r="M944" s="16">
        <f t="shared" si="167"/>
        <v>2.3514145267618338</v>
      </c>
      <c r="N944" s="17">
        <f>VLOOKUP(K944,RPM!$A$2:$D$62,3,FALSE)</f>
        <v>11.4</v>
      </c>
      <c r="O944" s="16">
        <f>VLOOKUP(K944,RPM!$A$2:$D$62,4,FALSE)</f>
        <v>18.894837209302327</v>
      </c>
      <c r="P944" s="17">
        <f t="shared" si="168"/>
        <v>14.089880106976747</v>
      </c>
      <c r="Q944" s="16" cm="1">
        <f t="array" ref="Q944">_xlfn.XLOOKUP(O944,BSFC!$A$2:$A$24,_xlfn.XLOOKUP(K944,BSFC!$B$1:$O$1,BSFC!$B$2:$O$24,,-1),,-1)</f>
        <v>480</v>
      </c>
      <c r="R944" s="17">
        <f t="shared" si="169"/>
        <v>1.8786506809302328</v>
      </c>
      <c r="S944" s="16">
        <f t="shared" si="170"/>
        <v>2.9183485335175871E-4</v>
      </c>
      <c r="T944" s="17">
        <f t="shared" si="173"/>
        <v>0.14008072960884418</v>
      </c>
      <c r="U944" s="16">
        <f t="shared" si="174"/>
        <v>124.81531322720035</v>
      </c>
      <c r="V944" s="17">
        <f t="shared" si="175"/>
        <v>0.25935713179840203</v>
      </c>
      <c r="W944" s="16">
        <f t="shared" si="171"/>
        <v>933685.67447424727</v>
      </c>
      <c r="X944">
        <f>('Hybrid Info'!$A$2-Track!P944)*(L944-L943)*1000+X943</f>
        <v>-34691.932424654748</v>
      </c>
    </row>
    <row r="945" spans="1:24">
      <c r="A945" s="16">
        <f t="shared" si="172"/>
        <v>944</v>
      </c>
      <c r="B945" s="17">
        <f t="shared" ref="B945:B1008" si="178">IF(SQRT(B944^2+2*I944)&gt;13.4112,13.4112,SQRT(B944^2+2*I944))</f>
        <v>13.411199999999999</v>
      </c>
      <c r="C945" s="16">
        <f>Specification!$G$29</f>
        <v>164.943378</v>
      </c>
      <c r="D945" s="17">
        <f>0.5*Specification!$K$4*Track!B945^2*Specification!$K$3*Specification!$K$2</f>
        <v>93.159842569492653</v>
      </c>
      <c r="E945" s="16">
        <v>4</v>
      </c>
      <c r="F945" s="17">
        <f>Specification!$C$23*9.81*SIN((E945*PI()/180))</f>
        <v>383.52894722414453</v>
      </c>
      <c r="G945" s="18">
        <f>IF(J945=1,VLOOKUP(K945,RPM!$E$2:$H$62,3,FALSE)-F945-E945-D945,IF(J945=2,VLOOKUP(K945,RPM!$H$2:$K$62,3,FALSE)-F945-E945-D945,IF(J945=3,VLOOKUP(K945,RPM!$K$2:$N$62,3,FALSE)-F945-E945-D945)))</f>
        <v>162.03323181412702</v>
      </c>
      <c r="H945" s="19">
        <f>IF(J945=1,Specification!$I$14,IF(J945=2,Specification!$I$15,IF(J945=3,Specification!$I$16)))</f>
        <v>578.93404261974786</v>
      </c>
      <c r="I945" s="16">
        <f t="shared" si="177"/>
        <v>0</v>
      </c>
      <c r="J945" s="17">
        <v>3</v>
      </c>
      <c r="K945" s="16">
        <f>IF(J945=1,VLOOKUP(B945,RPM!$F$2:$H$62,3,TRUE),IF(J945=2,VLOOKUP(B945,RPM!$I$2:$K$62,3,TRUE),IF(J945=3,VLOOKUP(B945,RPM!$L$2:$N$62,3,TRUE))))</f>
        <v>4300</v>
      </c>
      <c r="L945" s="17">
        <f t="shared" si="176"/>
        <v>74.664269035124732</v>
      </c>
      <c r="M945" s="16">
        <f t="shared" si="167"/>
        <v>2.4213413387053442</v>
      </c>
      <c r="N945" s="17">
        <f>VLOOKUP(K945,RPM!$A$2:$D$62,3,FALSE)</f>
        <v>11.4</v>
      </c>
      <c r="O945" s="16">
        <f>VLOOKUP(K945,RPM!$A$2:$D$62,4,FALSE)</f>
        <v>18.894837209302327</v>
      </c>
      <c r="P945" s="17">
        <f t="shared" si="168"/>
        <v>14.089880106976747</v>
      </c>
      <c r="Q945" s="16" cm="1">
        <f t="array" ref="Q945">_xlfn.XLOOKUP(O945,BSFC!$A$2:$A$24,_xlfn.XLOOKUP(K945,BSFC!$B$1:$O$1,BSFC!$B$2:$O$24,,-1),,-1)</f>
        <v>480</v>
      </c>
      <c r="R945" s="17">
        <f t="shared" si="169"/>
        <v>1.8786506809302328</v>
      </c>
      <c r="S945" s="16">
        <f t="shared" si="170"/>
        <v>2.9183485335175871E-4</v>
      </c>
      <c r="T945" s="17">
        <f t="shared" si="173"/>
        <v>0.14008072960884418</v>
      </c>
      <c r="U945" s="16">
        <f t="shared" si="174"/>
        <v>124.95539395680919</v>
      </c>
      <c r="V945" s="17">
        <f t="shared" si="175"/>
        <v>0.2596489666517538</v>
      </c>
      <c r="W945" s="16">
        <f t="shared" si="171"/>
        <v>934736.27994631382</v>
      </c>
      <c r="X945">
        <f>('Hybrid Info'!$A$2-Track!P945)*(L945-L944)*1000+X944</f>
        <v>-34838.781738004152</v>
      </c>
    </row>
    <row r="946" spans="1:24">
      <c r="A946" s="16">
        <f t="shared" si="172"/>
        <v>945</v>
      </c>
      <c r="B946" s="17">
        <f t="shared" si="178"/>
        <v>13.411199999999999</v>
      </c>
      <c r="C946" s="16">
        <f>Specification!$G$29</f>
        <v>164.943378</v>
      </c>
      <c r="D946" s="17">
        <f>0.5*Specification!$K$4*Track!B946^2*Specification!$K$3*Specification!$K$2</f>
        <v>93.159842569492653</v>
      </c>
      <c r="E946" s="16">
        <v>3</v>
      </c>
      <c r="F946" s="17">
        <f>Specification!$C$23*9.81*SIN((E946*PI()/180))</f>
        <v>287.74898045237813</v>
      </c>
      <c r="G946" s="18">
        <f>IF(J946=1,VLOOKUP(K946,RPM!$E$2:$H$62,3,FALSE)-F946-E946-D946,IF(J946=2,VLOOKUP(K946,RPM!$H$2:$K$62,3,FALSE)-F946-E946-D946,IF(J946=3,VLOOKUP(K946,RPM!$K$2:$N$62,3,FALSE)-F946-E946-D946)))</f>
        <v>258.81319858589342</v>
      </c>
      <c r="H946" s="19">
        <f>IF(J946=1,Specification!$I$14,IF(J946=2,Specification!$I$15,IF(J946=3,Specification!$I$16)))</f>
        <v>578.93404261974786</v>
      </c>
      <c r="I946" s="16">
        <f t="shared" si="177"/>
        <v>0</v>
      </c>
      <c r="J946" s="17">
        <v>3</v>
      </c>
      <c r="K946" s="16">
        <f>IF(J946=1,VLOOKUP(B946,RPM!$F$2:$H$62,3,TRUE),IF(J946=2,VLOOKUP(B946,RPM!$I$2:$K$62,3,TRUE),IF(J946=3,VLOOKUP(B946,RPM!$L$2:$N$62,3,TRUE))))</f>
        <v>4300</v>
      </c>
      <c r="L946" s="17">
        <f t="shared" si="176"/>
        <v>74.738833578193208</v>
      </c>
      <c r="M946" s="16">
        <f t="shared" si="167"/>
        <v>2.4737491179883855</v>
      </c>
      <c r="N946" s="17">
        <f>VLOOKUP(K946,RPM!$A$2:$D$62,3,FALSE)</f>
        <v>11.4</v>
      </c>
      <c r="O946" s="16">
        <f>VLOOKUP(K946,RPM!$A$2:$D$62,4,FALSE)</f>
        <v>18.894837209302327</v>
      </c>
      <c r="P946" s="17">
        <f t="shared" si="168"/>
        <v>14.089880106976747</v>
      </c>
      <c r="Q946" s="16" cm="1">
        <f t="array" ref="Q946">_xlfn.XLOOKUP(O946,BSFC!$A$2:$A$24,_xlfn.XLOOKUP(K946,BSFC!$B$1:$O$1,BSFC!$B$2:$O$24,,-1),,-1)</f>
        <v>480</v>
      </c>
      <c r="R946" s="17">
        <f t="shared" si="169"/>
        <v>1.8786506809302328</v>
      </c>
      <c r="S946" s="16">
        <f t="shared" si="170"/>
        <v>2.9183485335175871E-4</v>
      </c>
      <c r="T946" s="17">
        <f t="shared" si="173"/>
        <v>0.14008072960884418</v>
      </c>
      <c r="U946" s="16">
        <f t="shared" si="174"/>
        <v>125.09547468641803</v>
      </c>
      <c r="V946" s="17">
        <f t="shared" si="175"/>
        <v>0.25994080150510557</v>
      </c>
      <c r="W946" s="16">
        <f t="shared" si="171"/>
        <v>935786.88541838014</v>
      </c>
      <c r="X946">
        <f>('Hybrid Info'!$A$2-Track!P946)*(L946-L945)*1000+X945</f>
        <v>-34985.631051353557</v>
      </c>
    </row>
    <row r="947" spans="1:24">
      <c r="A947" s="16">
        <f t="shared" si="172"/>
        <v>946</v>
      </c>
      <c r="B947" s="17">
        <f t="shared" si="178"/>
        <v>13.411199999999999</v>
      </c>
      <c r="C947" s="16">
        <f>Specification!$G$29</f>
        <v>164.943378</v>
      </c>
      <c r="D947" s="17">
        <f>0.5*Specification!$K$4*Track!B947^2*Specification!$K$3*Specification!$K$2</f>
        <v>93.159842569492653</v>
      </c>
      <c r="E947" s="16">
        <v>2</v>
      </c>
      <c r="F947" s="17">
        <f>Specification!$C$23*9.81*SIN((E947*PI()/180))</f>
        <v>191.88136255367905</v>
      </c>
      <c r="G947" s="18">
        <f>IF(J947=1,VLOOKUP(K947,RPM!$E$2:$H$62,3,FALSE)-F947-E947-D947,IF(J947=2,VLOOKUP(K947,RPM!$H$2:$K$62,3,FALSE)-F947-E947-D947,IF(J947=3,VLOOKUP(K947,RPM!$K$2:$N$62,3,FALSE)-F947-E947-D947)))</f>
        <v>355.68081648459247</v>
      </c>
      <c r="H947" s="19">
        <f>IF(J947=1,Specification!$I$14,IF(J947=2,Specification!$I$15,IF(J947=3,Specification!$I$16)))</f>
        <v>578.93404261974786</v>
      </c>
      <c r="I947" s="16">
        <f t="shared" si="177"/>
        <v>0</v>
      </c>
      <c r="J947" s="17">
        <v>3</v>
      </c>
      <c r="K947" s="16">
        <f>IF(J947=1,VLOOKUP(B947,RPM!$F$2:$H$62,3,TRUE),IF(J947=2,VLOOKUP(B947,RPM!$I$2:$K$62,3,TRUE),IF(J947=3,VLOOKUP(B947,RPM!$L$2:$N$62,3,TRUE))))</f>
        <v>4300</v>
      </c>
      <c r="L947" s="17">
        <f t="shared" si="176"/>
        <v>74.813398121261685</v>
      </c>
      <c r="M947" s="16">
        <f t="shared" ref="M947:M1010" si="179">TAN(E947*PI()/180)+M946</f>
        <v>2.5086698874801332</v>
      </c>
      <c r="N947" s="17">
        <f>VLOOKUP(K947,RPM!$A$2:$D$62,3,FALSE)</f>
        <v>11.4</v>
      </c>
      <c r="O947" s="16">
        <f>VLOOKUP(K947,RPM!$A$2:$D$62,4,FALSE)</f>
        <v>18.894837209302327</v>
      </c>
      <c r="P947" s="17">
        <f t="shared" si="168"/>
        <v>14.089880106976747</v>
      </c>
      <c r="Q947" s="16" cm="1">
        <f t="array" ref="Q947">_xlfn.XLOOKUP(O947,BSFC!$A$2:$A$24,_xlfn.XLOOKUP(K947,BSFC!$B$1:$O$1,BSFC!$B$2:$O$24,,-1),,-1)</f>
        <v>480</v>
      </c>
      <c r="R947" s="17">
        <f t="shared" si="169"/>
        <v>1.8786506809302328</v>
      </c>
      <c r="S947" s="16">
        <f t="shared" si="170"/>
        <v>2.9183485335175871E-4</v>
      </c>
      <c r="T947" s="17">
        <f t="shared" si="173"/>
        <v>0.14008072960884418</v>
      </c>
      <c r="U947" s="16">
        <f t="shared" si="174"/>
        <v>125.23555541602687</v>
      </c>
      <c r="V947" s="17">
        <f t="shared" si="175"/>
        <v>0.26023263635845734</v>
      </c>
      <c r="W947" s="16">
        <f t="shared" si="171"/>
        <v>936837.49089044647</v>
      </c>
      <c r="X947">
        <f>('Hybrid Info'!$A$2-Track!P947)*(L947-L946)*1000+X946</f>
        <v>-35132.480364702962</v>
      </c>
    </row>
    <row r="948" spans="1:24">
      <c r="A948" s="16">
        <f t="shared" si="172"/>
        <v>947</v>
      </c>
      <c r="B948" s="17">
        <f t="shared" si="178"/>
        <v>13.411199999999999</v>
      </c>
      <c r="C948" s="16">
        <f>Specification!$G$29</f>
        <v>164.943378</v>
      </c>
      <c r="D948" s="17">
        <f>0.5*Specification!$K$4*Track!B948^2*Specification!$K$3*Specification!$K$2</f>
        <v>93.159842569492653</v>
      </c>
      <c r="E948" s="16">
        <v>1</v>
      </c>
      <c r="F948" s="17">
        <f>Specification!$C$23*9.81*SIN((E948*PI()/180))</f>
        <v>95.955295733149597</v>
      </c>
      <c r="G948" s="18">
        <f>IF(J948=1,VLOOKUP(K948,RPM!$E$2:$H$62,3,FALSE)-F948-E948-D948,IF(J948=2,VLOOKUP(K948,RPM!$H$2:$K$62,3,FALSE)-F948-E948-D948,IF(J948=3,VLOOKUP(K948,RPM!$K$2:$N$62,3,FALSE)-F948-E948-D948)))</f>
        <v>452.60688330512198</v>
      </c>
      <c r="H948" s="19">
        <f>IF(J948=1,Specification!$I$14,IF(J948=2,Specification!$I$15,IF(J948=3,Specification!$I$16)))</f>
        <v>578.93404261974786</v>
      </c>
      <c r="I948" s="16">
        <f t="shared" si="177"/>
        <v>0</v>
      </c>
      <c r="J948" s="17">
        <v>3</v>
      </c>
      <c r="K948" s="16">
        <f>IF(J948=1,VLOOKUP(B948,RPM!$F$2:$H$62,3,TRUE),IF(J948=2,VLOOKUP(B948,RPM!$I$2:$K$62,3,TRUE),IF(J948=3,VLOOKUP(B948,RPM!$L$2:$N$62,3,TRUE))))</f>
        <v>4300</v>
      </c>
      <c r="L948" s="17">
        <f t="shared" si="176"/>
        <v>74.887962664330161</v>
      </c>
      <c r="M948" s="16">
        <f t="shared" si="179"/>
        <v>2.5261249524083507</v>
      </c>
      <c r="N948" s="17">
        <f>VLOOKUP(K948,RPM!$A$2:$D$62,3,FALSE)</f>
        <v>11.4</v>
      </c>
      <c r="O948" s="16">
        <f>VLOOKUP(K948,RPM!$A$2:$D$62,4,FALSE)</f>
        <v>18.894837209302327</v>
      </c>
      <c r="P948" s="17">
        <f t="shared" si="168"/>
        <v>14.089880106976747</v>
      </c>
      <c r="Q948" s="16" cm="1">
        <f t="array" ref="Q948">_xlfn.XLOOKUP(O948,BSFC!$A$2:$A$24,_xlfn.XLOOKUP(K948,BSFC!$B$1:$O$1,BSFC!$B$2:$O$24,,-1),,-1)</f>
        <v>480</v>
      </c>
      <c r="R948" s="17">
        <f t="shared" si="169"/>
        <v>1.8786506809302328</v>
      </c>
      <c r="S948" s="16">
        <f t="shared" si="170"/>
        <v>2.9183485335175871E-4</v>
      </c>
      <c r="T948" s="17">
        <f t="shared" si="173"/>
        <v>0.14008072960884418</v>
      </c>
      <c r="U948" s="16">
        <f t="shared" si="174"/>
        <v>125.37563614563571</v>
      </c>
      <c r="V948" s="17">
        <f t="shared" si="175"/>
        <v>0.26052447121180911</v>
      </c>
      <c r="W948" s="16">
        <f t="shared" si="171"/>
        <v>937888.09636251279</v>
      </c>
      <c r="X948">
        <f>('Hybrid Info'!$A$2-Track!P948)*(L948-L947)*1000+X947</f>
        <v>-35279.329678052367</v>
      </c>
    </row>
    <row r="949" spans="1:24">
      <c r="A949" s="16">
        <f t="shared" si="172"/>
        <v>948</v>
      </c>
      <c r="B949" s="17">
        <f t="shared" si="178"/>
        <v>13.411199999999999</v>
      </c>
      <c r="C949" s="16">
        <f>Specification!$G$29</f>
        <v>164.943378</v>
      </c>
      <c r="D949" s="17">
        <f>0.5*Specification!$K$4*Track!B949^2*Specification!$K$3*Specification!$K$2</f>
        <v>93.159842569492653</v>
      </c>
      <c r="E949" s="16">
        <v>0</v>
      </c>
      <c r="F949" s="17">
        <f>Specification!$C$23*9.81*SIN((E949*PI()/180))</f>
        <v>0</v>
      </c>
      <c r="G949" s="18">
        <f>IF(J949=1,VLOOKUP(K949,RPM!$E$2:$H$62,3,FALSE)-F949-E949-D949,IF(J949=2,VLOOKUP(K949,RPM!$H$2:$K$62,3,FALSE)-F949-E949-D949,IF(J949=3,VLOOKUP(K949,RPM!$K$2:$N$62,3,FALSE)-F949-E949-D949)))</f>
        <v>549.56217903827155</v>
      </c>
      <c r="H949" s="19">
        <f>IF(J949=1,Specification!$I$14,IF(J949=2,Specification!$I$15,IF(J949=3,Specification!$I$16)))</f>
        <v>578.93404261974786</v>
      </c>
      <c r="I949" s="16">
        <f t="shared" si="177"/>
        <v>0</v>
      </c>
      <c r="J949" s="17">
        <v>3</v>
      </c>
      <c r="K949" s="16">
        <f>IF(J949=1,VLOOKUP(B949,RPM!$F$2:$H$62,3,TRUE),IF(J949=2,VLOOKUP(B949,RPM!$I$2:$K$62,3,TRUE),IF(J949=3,VLOOKUP(B949,RPM!$L$2:$N$62,3,TRUE))))</f>
        <v>4300</v>
      </c>
      <c r="L949" s="17">
        <f t="shared" si="176"/>
        <v>74.962527207398637</v>
      </c>
      <c r="M949" s="16">
        <f t="shared" si="179"/>
        <v>2.5261249524083507</v>
      </c>
      <c r="N949" s="17">
        <f>VLOOKUP(K949,RPM!$A$2:$D$62,3,FALSE)</f>
        <v>11.4</v>
      </c>
      <c r="O949" s="16">
        <f>VLOOKUP(K949,RPM!$A$2:$D$62,4,FALSE)</f>
        <v>18.894837209302327</v>
      </c>
      <c r="P949" s="17">
        <f t="shared" si="168"/>
        <v>14.089880106976747</v>
      </c>
      <c r="Q949" s="16" cm="1">
        <f t="array" ref="Q949">_xlfn.XLOOKUP(O949,BSFC!$A$2:$A$24,_xlfn.XLOOKUP(K949,BSFC!$B$1:$O$1,BSFC!$B$2:$O$24,,-1),,-1)</f>
        <v>480</v>
      </c>
      <c r="R949" s="17">
        <f t="shared" si="169"/>
        <v>1.8786506809302328</v>
      </c>
      <c r="S949" s="16">
        <f t="shared" si="170"/>
        <v>2.9183485335175871E-4</v>
      </c>
      <c r="T949" s="17">
        <f t="shared" si="173"/>
        <v>0.14008072960884418</v>
      </c>
      <c r="U949" s="16">
        <f t="shared" si="174"/>
        <v>125.51571687524455</v>
      </c>
      <c r="V949" s="17">
        <f t="shared" si="175"/>
        <v>0.26081630606516087</v>
      </c>
      <c r="W949" s="16">
        <f t="shared" si="171"/>
        <v>938938.70183457911</v>
      </c>
      <c r="X949">
        <f>('Hybrid Info'!$A$2-Track!P949)*(L949-L948)*1000+X948</f>
        <v>-35426.178991401772</v>
      </c>
    </row>
    <row r="950" spans="1:24">
      <c r="A950" s="16">
        <f t="shared" si="172"/>
        <v>949</v>
      </c>
      <c r="B950" s="17">
        <f t="shared" si="178"/>
        <v>13.411199999999999</v>
      </c>
      <c r="C950" s="16">
        <f>Specification!$G$29</f>
        <v>164.943378</v>
      </c>
      <c r="D950" s="17">
        <f>0.5*Specification!$K$4*Track!B950^2*Specification!$K$3*Specification!$K$2</f>
        <v>93.159842569492653</v>
      </c>
      <c r="E950" s="16">
        <v>0</v>
      </c>
      <c r="F950" s="17">
        <f>Specification!$C$23*9.81*SIN((E950*PI()/180))</f>
        <v>0</v>
      </c>
      <c r="G950" s="18">
        <f>IF(J950=1,VLOOKUP(K950,RPM!$E$2:$H$62,3,FALSE)-F950-E950-D950,IF(J950=2,VLOOKUP(K950,RPM!$H$2:$K$62,3,FALSE)-F950-E950-D950,IF(J950=3,VLOOKUP(K950,RPM!$K$2:$N$62,3,FALSE)-F950-E950-D950)))</f>
        <v>549.56217903827155</v>
      </c>
      <c r="H950" s="19">
        <f>IF(J950=1,Specification!$I$14,IF(J950=2,Specification!$I$15,IF(J950=3,Specification!$I$16)))</f>
        <v>578.93404261974786</v>
      </c>
      <c r="I950" s="16">
        <f t="shared" si="177"/>
        <v>0</v>
      </c>
      <c r="J950" s="17">
        <v>3</v>
      </c>
      <c r="K950" s="16">
        <f>IF(J950=1,VLOOKUP(B950,RPM!$F$2:$H$62,3,TRUE),IF(J950=2,VLOOKUP(B950,RPM!$I$2:$K$62,3,TRUE),IF(J950=3,VLOOKUP(B950,RPM!$L$2:$N$62,3,TRUE))))</f>
        <v>4300</v>
      </c>
      <c r="L950" s="17">
        <f t="shared" si="176"/>
        <v>75.037091750467113</v>
      </c>
      <c r="M950" s="16">
        <f t="shared" si="179"/>
        <v>2.5261249524083507</v>
      </c>
      <c r="N950" s="17">
        <f>VLOOKUP(K950,RPM!$A$2:$D$62,3,FALSE)</f>
        <v>11.4</v>
      </c>
      <c r="O950" s="16">
        <f>VLOOKUP(K950,RPM!$A$2:$D$62,4,FALSE)</f>
        <v>18.894837209302327</v>
      </c>
      <c r="P950" s="17">
        <f t="shared" si="168"/>
        <v>14.089880106976747</v>
      </c>
      <c r="Q950" s="16" cm="1">
        <f t="array" ref="Q950">_xlfn.XLOOKUP(O950,BSFC!$A$2:$A$24,_xlfn.XLOOKUP(K950,BSFC!$B$1:$O$1,BSFC!$B$2:$O$24,,-1),,-1)</f>
        <v>480</v>
      </c>
      <c r="R950" s="17">
        <f t="shared" si="169"/>
        <v>1.8786506809302328</v>
      </c>
      <c r="S950" s="16">
        <f t="shared" si="170"/>
        <v>2.9183485335175871E-4</v>
      </c>
      <c r="T950" s="17">
        <f t="shared" si="173"/>
        <v>0.14008072960884418</v>
      </c>
      <c r="U950" s="16">
        <f t="shared" si="174"/>
        <v>125.65579760485339</v>
      </c>
      <c r="V950" s="17">
        <f t="shared" si="175"/>
        <v>0.26110814091851264</v>
      </c>
      <c r="W950" s="16">
        <f t="shared" si="171"/>
        <v>939989.30730664544</v>
      </c>
      <c r="X950">
        <f>('Hybrid Info'!$A$2-Track!P950)*(L950-L949)*1000+X949</f>
        <v>-35573.028304751177</v>
      </c>
    </row>
    <row r="951" spans="1:24">
      <c r="A951" s="16">
        <f t="shared" si="172"/>
        <v>950</v>
      </c>
      <c r="B951" s="17">
        <f t="shared" si="178"/>
        <v>13.411199999999999</v>
      </c>
      <c r="C951" s="16">
        <f>Specification!$G$29</f>
        <v>164.943378</v>
      </c>
      <c r="D951" s="17">
        <f>0.5*Specification!$K$4*Track!B951^2*Specification!$K$3*Specification!$K$2</f>
        <v>93.159842569492653</v>
      </c>
      <c r="E951" s="16">
        <v>0</v>
      </c>
      <c r="F951" s="17">
        <f>Specification!$C$23*9.81*SIN((E951*PI()/180))</f>
        <v>0</v>
      </c>
      <c r="G951" s="18">
        <f>IF(J951=1,VLOOKUP(K951,RPM!$E$2:$H$62,3,FALSE)-F951-E951-D951,IF(J951=2,VLOOKUP(K951,RPM!$H$2:$K$62,3,FALSE)-F951-E951-D951,IF(J951=3,VLOOKUP(K951,RPM!$K$2:$N$62,3,FALSE)-F951-E951-D951)))</f>
        <v>549.56217903827155</v>
      </c>
      <c r="H951" s="19">
        <f>IF(J951=1,Specification!$I$14,IF(J951=2,Specification!$I$15,IF(J951=3,Specification!$I$16)))</f>
        <v>578.93404261974786</v>
      </c>
      <c r="I951" s="16">
        <f t="shared" si="177"/>
        <v>0</v>
      </c>
      <c r="J951" s="17">
        <v>3</v>
      </c>
      <c r="K951" s="16">
        <f>IF(J951=1,VLOOKUP(B951,RPM!$F$2:$H$62,3,TRUE),IF(J951=2,VLOOKUP(B951,RPM!$I$2:$K$62,3,TRUE),IF(J951=3,VLOOKUP(B951,RPM!$L$2:$N$62,3,TRUE))))</f>
        <v>4300</v>
      </c>
      <c r="L951" s="17">
        <f t="shared" si="176"/>
        <v>75.111656293535589</v>
      </c>
      <c r="M951" s="16">
        <f t="shared" si="179"/>
        <v>2.5261249524083507</v>
      </c>
      <c r="N951" s="17">
        <f>VLOOKUP(K951,RPM!$A$2:$D$62,3,FALSE)</f>
        <v>11.4</v>
      </c>
      <c r="O951" s="16">
        <f>VLOOKUP(K951,RPM!$A$2:$D$62,4,FALSE)</f>
        <v>18.894837209302327</v>
      </c>
      <c r="P951" s="17">
        <f t="shared" si="168"/>
        <v>14.089880106976747</v>
      </c>
      <c r="Q951" s="16" cm="1">
        <f t="array" ref="Q951">_xlfn.XLOOKUP(O951,BSFC!$A$2:$A$24,_xlfn.XLOOKUP(K951,BSFC!$B$1:$O$1,BSFC!$B$2:$O$24,,-1),,-1)</f>
        <v>480</v>
      </c>
      <c r="R951" s="17">
        <f t="shared" si="169"/>
        <v>1.8786506809302328</v>
      </c>
      <c r="S951" s="16">
        <f t="shared" si="170"/>
        <v>2.9183485335175871E-4</v>
      </c>
      <c r="T951" s="17">
        <f t="shared" si="173"/>
        <v>0.14008072960884418</v>
      </c>
      <c r="U951" s="16">
        <f t="shared" si="174"/>
        <v>125.79587833446223</v>
      </c>
      <c r="V951" s="17">
        <f t="shared" si="175"/>
        <v>0.26139997577186441</v>
      </c>
      <c r="W951" s="16">
        <f t="shared" si="171"/>
        <v>941039.91277871199</v>
      </c>
      <c r="X951">
        <f>('Hybrid Info'!$A$2-Track!P951)*(L951-L950)*1000+X950</f>
        <v>-35719.877618100581</v>
      </c>
    </row>
    <row r="952" spans="1:24">
      <c r="A952" s="16">
        <f t="shared" si="172"/>
        <v>951</v>
      </c>
      <c r="B952" s="17">
        <f t="shared" si="178"/>
        <v>13.411199999999999</v>
      </c>
      <c r="C952" s="16">
        <f>Specification!$G$29</f>
        <v>164.943378</v>
      </c>
      <c r="D952" s="17">
        <f>0.5*Specification!$K$4*Track!B952^2*Specification!$K$3*Specification!$K$2</f>
        <v>93.159842569492653</v>
      </c>
      <c r="E952" s="16">
        <v>0</v>
      </c>
      <c r="F952" s="17">
        <f>Specification!$C$23*9.81*SIN((E952*PI()/180))</f>
        <v>0</v>
      </c>
      <c r="G952" s="18">
        <f>IF(J952=1,VLOOKUP(K952,RPM!$E$2:$H$62,3,FALSE)-F952-E952-D952,IF(J952=2,VLOOKUP(K952,RPM!$H$2:$K$62,3,FALSE)-F952-E952-D952,IF(J952=3,VLOOKUP(K952,RPM!$K$2:$N$62,3,FALSE)-F952-E952-D952)))</f>
        <v>549.56217903827155</v>
      </c>
      <c r="H952" s="19">
        <f>IF(J952=1,Specification!$I$14,IF(J952=2,Specification!$I$15,IF(J952=3,Specification!$I$16)))</f>
        <v>578.93404261974786</v>
      </c>
      <c r="I952" s="16">
        <f t="shared" si="177"/>
        <v>0</v>
      </c>
      <c r="J952" s="17">
        <v>3</v>
      </c>
      <c r="K952" s="16">
        <f>IF(J952=1,VLOOKUP(B952,RPM!$F$2:$H$62,3,TRUE),IF(J952=2,VLOOKUP(B952,RPM!$I$2:$K$62,3,TRUE),IF(J952=3,VLOOKUP(B952,RPM!$L$2:$N$62,3,TRUE))))</f>
        <v>4300</v>
      </c>
      <c r="L952" s="17">
        <f t="shared" si="176"/>
        <v>75.186220836604065</v>
      </c>
      <c r="M952" s="16">
        <f t="shared" si="179"/>
        <v>2.5261249524083507</v>
      </c>
      <c r="N952" s="17">
        <f>VLOOKUP(K952,RPM!$A$2:$D$62,3,FALSE)</f>
        <v>11.4</v>
      </c>
      <c r="O952" s="16">
        <f>VLOOKUP(K952,RPM!$A$2:$D$62,4,FALSE)</f>
        <v>18.894837209302327</v>
      </c>
      <c r="P952" s="17">
        <f t="shared" si="168"/>
        <v>14.089880106976747</v>
      </c>
      <c r="Q952" s="16" cm="1">
        <f t="array" ref="Q952">_xlfn.XLOOKUP(O952,BSFC!$A$2:$A$24,_xlfn.XLOOKUP(K952,BSFC!$B$1:$O$1,BSFC!$B$2:$O$24,,-1),,-1)</f>
        <v>480</v>
      </c>
      <c r="R952" s="17">
        <f t="shared" si="169"/>
        <v>1.8786506809302328</v>
      </c>
      <c r="S952" s="16">
        <f t="shared" si="170"/>
        <v>2.9183485335175871E-4</v>
      </c>
      <c r="T952" s="17">
        <f t="shared" si="173"/>
        <v>0.14008072960884418</v>
      </c>
      <c r="U952" s="16">
        <f t="shared" si="174"/>
        <v>125.93595906407107</v>
      </c>
      <c r="V952" s="17">
        <f t="shared" si="175"/>
        <v>0.26169181062521618</v>
      </c>
      <c r="W952" s="16">
        <f t="shared" si="171"/>
        <v>942090.51825077832</v>
      </c>
      <c r="X952">
        <f>('Hybrid Info'!$A$2-Track!P952)*(L952-L951)*1000+X951</f>
        <v>-35866.726931449986</v>
      </c>
    </row>
    <row r="953" spans="1:24">
      <c r="A953" s="16">
        <f t="shared" si="172"/>
        <v>952</v>
      </c>
      <c r="B953" s="17">
        <f t="shared" si="178"/>
        <v>13.411199999999999</v>
      </c>
      <c r="C953" s="16">
        <f>Specification!$G$29</f>
        <v>164.943378</v>
      </c>
      <c r="D953" s="17">
        <f>0.5*Specification!$K$4*Track!B953^2*Specification!$K$3*Specification!$K$2</f>
        <v>93.159842569492653</v>
      </c>
      <c r="E953" s="16">
        <v>-1</v>
      </c>
      <c r="F953" s="17">
        <f>Specification!$C$23*9.81*SIN((E953*PI()/180))</f>
        <v>-95.955295733149597</v>
      </c>
      <c r="G953" s="18">
        <f>IF(J953=1,VLOOKUP(K953,RPM!$E$2:$H$62,3,FALSE)-F953-E953-D953,IF(J953=2,VLOOKUP(K953,RPM!$H$2:$K$62,3,FALSE)-F953-E953-D953,IF(J953=3,VLOOKUP(K953,RPM!$K$2:$N$62,3,FALSE)-F953-E953-D953)))</f>
        <v>646.51747477142112</v>
      </c>
      <c r="H953" s="19">
        <f>IF(J953=1,Specification!$I$14,IF(J953=2,Specification!$I$15,IF(J953=3,Specification!$I$16)))</f>
        <v>578.93404261974786</v>
      </c>
      <c r="I953" s="16">
        <f t="shared" si="177"/>
        <v>0</v>
      </c>
      <c r="J953" s="17">
        <v>3</v>
      </c>
      <c r="K953" s="16">
        <f>IF(J953=1,VLOOKUP(B953,RPM!$F$2:$H$62,3,TRUE),IF(J953=2,VLOOKUP(B953,RPM!$I$2:$K$62,3,TRUE),IF(J953=3,VLOOKUP(B953,RPM!$L$2:$N$62,3,TRUE))))</f>
        <v>4300</v>
      </c>
      <c r="L953" s="17">
        <f t="shared" si="176"/>
        <v>75.260785379672541</v>
      </c>
      <c r="M953" s="16">
        <f t="shared" si="179"/>
        <v>2.5086698874801332</v>
      </c>
      <c r="N953" s="17">
        <f>VLOOKUP(K953,RPM!$A$2:$D$62,3,FALSE)</f>
        <v>11.4</v>
      </c>
      <c r="O953" s="16">
        <f>VLOOKUP(K953,RPM!$A$2:$D$62,4,FALSE)</f>
        <v>18.894837209302327</v>
      </c>
      <c r="P953" s="17">
        <f t="shared" si="168"/>
        <v>14.089880106976747</v>
      </c>
      <c r="Q953" s="16" cm="1">
        <f t="array" ref="Q953">_xlfn.XLOOKUP(O953,BSFC!$A$2:$A$24,_xlfn.XLOOKUP(K953,BSFC!$B$1:$O$1,BSFC!$B$2:$O$24,,-1),,-1)</f>
        <v>480</v>
      </c>
      <c r="R953" s="17">
        <f t="shared" si="169"/>
        <v>1.8786506809302328</v>
      </c>
      <c r="S953" s="16">
        <f t="shared" si="170"/>
        <v>2.9183485335175871E-4</v>
      </c>
      <c r="T953" s="17">
        <f t="shared" si="173"/>
        <v>0.14008072960884418</v>
      </c>
      <c r="U953" s="16">
        <f t="shared" si="174"/>
        <v>126.07603979367991</v>
      </c>
      <c r="V953" s="17">
        <f t="shared" si="175"/>
        <v>0.26198364547856795</v>
      </c>
      <c r="W953" s="16">
        <f t="shared" si="171"/>
        <v>943141.12372284464</v>
      </c>
      <c r="X953">
        <f>('Hybrid Info'!$A$2-Track!P953)*(L953-L952)*1000+X952</f>
        <v>-36013.576244799391</v>
      </c>
    </row>
    <row r="954" spans="1:24">
      <c r="A954" s="16">
        <f t="shared" si="172"/>
        <v>953</v>
      </c>
      <c r="B954" s="17">
        <f t="shared" si="178"/>
        <v>13.411199999999999</v>
      </c>
      <c r="C954" s="16">
        <f>Specification!$G$29</f>
        <v>164.943378</v>
      </c>
      <c r="D954" s="17">
        <f>0.5*Specification!$K$4*Track!B954^2*Specification!$K$3*Specification!$K$2</f>
        <v>93.159842569492653</v>
      </c>
      <c r="E954" s="16">
        <v>-2</v>
      </c>
      <c r="F954" s="17">
        <f>Specification!$C$23*9.81*SIN((E954*PI()/180))</f>
        <v>-191.88136255367905</v>
      </c>
      <c r="G954" s="18">
        <f>IF(J954=1,VLOOKUP(K954,RPM!$E$2:$H$62,3,FALSE)-F954-E954-D954,IF(J954=2,VLOOKUP(K954,RPM!$H$2:$K$62,3,FALSE)-F954-E954-D954,IF(J954=3,VLOOKUP(K954,RPM!$K$2:$N$62,3,FALSE)-F954-E954-D954)))</f>
        <v>743.44354159195063</v>
      </c>
      <c r="H954" s="19">
        <f>IF(J954=1,Specification!$I$14,IF(J954=2,Specification!$I$15,IF(J954=3,Specification!$I$16)))</f>
        <v>578.93404261974786</v>
      </c>
      <c r="I954" s="16">
        <f t="shared" si="177"/>
        <v>0</v>
      </c>
      <c r="J954" s="17">
        <v>3</v>
      </c>
      <c r="K954" s="16">
        <f>IF(J954=1,VLOOKUP(B954,RPM!$F$2:$H$62,3,TRUE),IF(J954=2,VLOOKUP(B954,RPM!$I$2:$K$62,3,TRUE),IF(J954=3,VLOOKUP(B954,RPM!$L$2:$N$62,3,TRUE))))</f>
        <v>4300</v>
      </c>
      <c r="L954" s="17">
        <f t="shared" si="176"/>
        <v>75.335349922741017</v>
      </c>
      <c r="M954" s="16">
        <f t="shared" si="179"/>
        <v>2.4737491179883855</v>
      </c>
      <c r="N954" s="17">
        <f>VLOOKUP(K954,RPM!$A$2:$D$62,3,FALSE)</f>
        <v>11.4</v>
      </c>
      <c r="O954" s="16">
        <f>VLOOKUP(K954,RPM!$A$2:$D$62,4,FALSE)</f>
        <v>18.894837209302327</v>
      </c>
      <c r="P954" s="17">
        <f t="shared" si="168"/>
        <v>14.089880106976747</v>
      </c>
      <c r="Q954" s="16" cm="1">
        <f t="array" ref="Q954">_xlfn.XLOOKUP(O954,BSFC!$A$2:$A$24,_xlfn.XLOOKUP(K954,BSFC!$B$1:$O$1,BSFC!$B$2:$O$24,,-1),,-1)</f>
        <v>480</v>
      </c>
      <c r="R954" s="17">
        <f t="shared" si="169"/>
        <v>1.8786506809302328</v>
      </c>
      <c r="S954" s="16">
        <f t="shared" si="170"/>
        <v>2.9183485335175871E-4</v>
      </c>
      <c r="T954" s="17">
        <f t="shared" si="173"/>
        <v>0.14008072960884418</v>
      </c>
      <c r="U954" s="16">
        <f t="shared" si="174"/>
        <v>126.21612052328875</v>
      </c>
      <c r="V954" s="17">
        <f t="shared" si="175"/>
        <v>0.26227548033191972</v>
      </c>
      <c r="W954" s="16">
        <f t="shared" si="171"/>
        <v>944191.72919491096</v>
      </c>
      <c r="X954">
        <f>('Hybrid Info'!$A$2-Track!P954)*(L954-L953)*1000+X953</f>
        <v>-36160.425558148796</v>
      </c>
    </row>
    <row r="955" spans="1:24">
      <c r="A955" s="16">
        <f t="shared" si="172"/>
        <v>954</v>
      </c>
      <c r="B955" s="17">
        <f t="shared" si="178"/>
        <v>13.411199999999999</v>
      </c>
      <c r="C955" s="16">
        <f>Specification!$G$29</f>
        <v>164.943378</v>
      </c>
      <c r="D955" s="17">
        <f>0.5*Specification!$K$4*Track!B955^2*Specification!$K$3*Specification!$K$2</f>
        <v>93.159842569492653</v>
      </c>
      <c r="E955" s="16">
        <v>-3</v>
      </c>
      <c r="F955" s="17">
        <f>Specification!$C$23*9.81*SIN((E955*PI()/180))</f>
        <v>-287.74898045237813</v>
      </c>
      <c r="G955" s="18">
        <f>IF(J955=1,VLOOKUP(K955,RPM!$E$2:$H$62,3,FALSE)-F955-E955-D955,IF(J955=2,VLOOKUP(K955,RPM!$H$2:$K$62,3,FALSE)-F955-E955-D955,IF(J955=3,VLOOKUP(K955,RPM!$K$2:$N$62,3,FALSE)-F955-E955-D955)))</f>
        <v>840.31115949064974</v>
      </c>
      <c r="H955" s="19">
        <f>IF(J955=1,Specification!$I$14,IF(J955=2,Specification!$I$15,IF(J955=3,Specification!$I$16)))</f>
        <v>578.93404261974786</v>
      </c>
      <c r="I955" s="16">
        <f t="shared" si="177"/>
        <v>0</v>
      </c>
      <c r="J955" s="17">
        <v>3</v>
      </c>
      <c r="K955" s="16">
        <f>IF(J955=1,VLOOKUP(B955,RPM!$F$2:$H$62,3,TRUE),IF(J955=2,VLOOKUP(B955,RPM!$I$2:$K$62,3,TRUE),IF(J955=3,VLOOKUP(B955,RPM!$L$2:$N$62,3,TRUE))))</f>
        <v>4300</v>
      </c>
      <c r="L955" s="17">
        <f t="shared" si="176"/>
        <v>75.409914465809493</v>
      </c>
      <c r="M955" s="16">
        <f t="shared" si="179"/>
        <v>2.4213413387053442</v>
      </c>
      <c r="N955" s="17">
        <f>VLOOKUP(K955,RPM!$A$2:$D$62,3,FALSE)</f>
        <v>11.4</v>
      </c>
      <c r="O955" s="16">
        <f>VLOOKUP(K955,RPM!$A$2:$D$62,4,FALSE)</f>
        <v>18.894837209302327</v>
      </c>
      <c r="P955" s="17">
        <f t="shared" si="168"/>
        <v>14.089880106976747</v>
      </c>
      <c r="Q955" s="16" cm="1">
        <f t="array" ref="Q955">_xlfn.XLOOKUP(O955,BSFC!$A$2:$A$24,_xlfn.XLOOKUP(K955,BSFC!$B$1:$O$1,BSFC!$B$2:$O$24,,-1),,-1)</f>
        <v>480</v>
      </c>
      <c r="R955" s="17">
        <f t="shared" si="169"/>
        <v>1.8786506809302328</v>
      </c>
      <c r="S955" s="16">
        <f t="shared" si="170"/>
        <v>2.9183485335175871E-4</v>
      </c>
      <c r="T955" s="17">
        <f t="shared" si="173"/>
        <v>0.14008072960884418</v>
      </c>
      <c r="U955" s="16">
        <f t="shared" si="174"/>
        <v>126.35620125289759</v>
      </c>
      <c r="V955" s="17">
        <f t="shared" si="175"/>
        <v>0.26256731518527149</v>
      </c>
      <c r="W955" s="16">
        <f t="shared" si="171"/>
        <v>945242.33466697729</v>
      </c>
      <c r="X955">
        <f>('Hybrid Info'!$A$2-Track!P955)*(L955-L954)*1000+X954</f>
        <v>-36307.274871498201</v>
      </c>
    </row>
    <row r="956" spans="1:24">
      <c r="A956" s="16">
        <f t="shared" si="172"/>
        <v>955</v>
      </c>
      <c r="B956" s="17">
        <f t="shared" si="178"/>
        <v>13.411199999999999</v>
      </c>
      <c r="C956" s="16">
        <f>Specification!$G$29</f>
        <v>164.943378</v>
      </c>
      <c r="D956" s="17">
        <f>0.5*Specification!$K$4*Track!B956^2*Specification!$K$3*Specification!$K$2</f>
        <v>93.159842569492653</v>
      </c>
      <c r="E956" s="16">
        <v>-4</v>
      </c>
      <c r="F956" s="17">
        <f>Specification!$C$23*9.81*SIN((E956*PI()/180))</f>
        <v>-383.52894722414453</v>
      </c>
      <c r="G956" s="18">
        <f>IF(J956=1,VLOOKUP(K956,RPM!$E$2:$H$62,3,FALSE)-F956-E956-D956,IF(J956=2,VLOOKUP(K956,RPM!$H$2:$K$62,3,FALSE)-F956-E956-D956,IF(J956=3,VLOOKUP(K956,RPM!$K$2:$N$62,3,FALSE)-F956-E956-D956)))</f>
        <v>937.09112626241608</v>
      </c>
      <c r="H956" s="19">
        <f>IF(J956=1,Specification!$I$14,IF(J956=2,Specification!$I$15,IF(J956=3,Specification!$I$16)))</f>
        <v>578.93404261974786</v>
      </c>
      <c r="I956" s="16">
        <f t="shared" si="177"/>
        <v>0</v>
      </c>
      <c r="J956" s="17">
        <v>3</v>
      </c>
      <c r="K956" s="16">
        <f>IF(J956=1,VLOOKUP(B956,RPM!$F$2:$H$62,3,TRUE),IF(J956=2,VLOOKUP(B956,RPM!$I$2:$K$62,3,TRUE),IF(J956=3,VLOOKUP(B956,RPM!$L$2:$N$62,3,TRUE))))</f>
        <v>4300</v>
      </c>
      <c r="L956" s="17">
        <f t="shared" si="176"/>
        <v>75.484479008877969</v>
      </c>
      <c r="M956" s="16">
        <f t="shared" si="179"/>
        <v>2.3514145267618338</v>
      </c>
      <c r="N956" s="17">
        <f>VLOOKUP(K956,RPM!$A$2:$D$62,3,FALSE)</f>
        <v>11.4</v>
      </c>
      <c r="O956" s="16">
        <f>VLOOKUP(K956,RPM!$A$2:$D$62,4,FALSE)</f>
        <v>18.894837209302327</v>
      </c>
      <c r="P956" s="17">
        <f t="shared" si="168"/>
        <v>14.089880106976747</v>
      </c>
      <c r="Q956" s="16" cm="1">
        <f t="array" ref="Q956">_xlfn.XLOOKUP(O956,BSFC!$A$2:$A$24,_xlfn.XLOOKUP(K956,BSFC!$B$1:$O$1,BSFC!$B$2:$O$24,,-1),,-1)</f>
        <v>480</v>
      </c>
      <c r="R956" s="17">
        <f t="shared" si="169"/>
        <v>1.8786506809302328</v>
      </c>
      <c r="S956" s="16">
        <f t="shared" si="170"/>
        <v>2.9183485335175871E-4</v>
      </c>
      <c r="T956" s="17">
        <f t="shared" si="173"/>
        <v>0.14008072960884418</v>
      </c>
      <c r="U956" s="16">
        <f t="shared" si="174"/>
        <v>126.49628198250643</v>
      </c>
      <c r="V956" s="17">
        <f t="shared" si="175"/>
        <v>0.26285915003862326</v>
      </c>
      <c r="W956" s="16">
        <f t="shared" si="171"/>
        <v>946292.94013904384</v>
      </c>
      <c r="X956">
        <f>('Hybrid Info'!$A$2-Track!P956)*(L956-L955)*1000+X955</f>
        <v>-36454.124184847606</v>
      </c>
    </row>
    <row r="957" spans="1:24">
      <c r="A957" s="16">
        <f t="shared" si="172"/>
        <v>956</v>
      </c>
      <c r="B957" s="17">
        <f t="shared" si="178"/>
        <v>13.411199999999999</v>
      </c>
      <c r="C957" s="16">
        <f>Specification!$G$29</f>
        <v>164.943378</v>
      </c>
      <c r="D957" s="17">
        <f>0.5*Specification!$K$4*Track!B957^2*Specification!$K$3*Specification!$K$2</f>
        <v>93.159842569492653</v>
      </c>
      <c r="E957" s="16">
        <v>-5</v>
      </c>
      <c r="F957" s="17">
        <f>Specification!$C$23*9.81*SIN((E957*PI()/180))</f>
        <v>-479.192087363258</v>
      </c>
      <c r="G957" s="18">
        <f>IF(J957=1,VLOOKUP(K957,RPM!$E$2:$H$62,3,FALSE)-F957-E957-D957,IF(J957=2,VLOOKUP(K957,RPM!$H$2:$K$62,3,FALSE)-F957-E957-D957,IF(J957=3,VLOOKUP(K957,RPM!$K$2:$N$62,3,FALSE)-F957-E957-D957)))</f>
        <v>1033.7542664015295</v>
      </c>
      <c r="H957" s="19">
        <f>IF(J957=1,Specification!$I$14,IF(J957=2,Specification!$I$15,IF(J957=3,Specification!$I$16)))</f>
        <v>578.93404261974786</v>
      </c>
      <c r="I957" s="16">
        <f t="shared" si="177"/>
        <v>0</v>
      </c>
      <c r="J957" s="17">
        <v>3</v>
      </c>
      <c r="K957" s="16">
        <f>IF(J957=1,VLOOKUP(B957,RPM!$F$2:$H$62,3,TRUE),IF(J957=2,VLOOKUP(B957,RPM!$I$2:$K$62,3,TRUE),IF(J957=3,VLOOKUP(B957,RPM!$L$2:$N$62,3,TRUE))))</f>
        <v>4300</v>
      </c>
      <c r="L957" s="17">
        <f t="shared" si="176"/>
        <v>75.559043551946445</v>
      </c>
      <c r="M957" s="16">
        <f t="shared" si="179"/>
        <v>2.2639258632359098</v>
      </c>
      <c r="N957" s="17">
        <f>VLOOKUP(K957,RPM!$A$2:$D$62,3,FALSE)</f>
        <v>11.4</v>
      </c>
      <c r="O957" s="16">
        <f>VLOOKUP(K957,RPM!$A$2:$D$62,4,FALSE)</f>
        <v>18.894837209302327</v>
      </c>
      <c r="P957" s="17">
        <f t="shared" si="168"/>
        <v>14.089880106976747</v>
      </c>
      <c r="Q957" s="16" cm="1">
        <f t="array" ref="Q957">_xlfn.XLOOKUP(O957,BSFC!$A$2:$A$24,_xlfn.XLOOKUP(K957,BSFC!$B$1:$O$1,BSFC!$B$2:$O$24,,-1),,-1)</f>
        <v>480</v>
      </c>
      <c r="R957" s="17">
        <f t="shared" si="169"/>
        <v>1.8786506809302328</v>
      </c>
      <c r="S957" s="16">
        <f t="shared" si="170"/>
        <v>2.9183485335175871E-4</v>
      </c>
      <c r="T957" s="17">
        <f t="shared" si="173"/>
        <v>0.14008072960884418</v>
      </c>
      <c r="U957" s="16">
        <f t="shared" si="174"/>
        <v>126.63636271211527</v>
      </c>
      <c r="V957" s="17">
        <f t="shared" si="175"/>
        <v>0.26315098489197503</v>
      </c>
      <c r="W957" s="16">
        <f t="shared" si="171"/>
        <v>947343.54561111017</v>
      </c>
      <c r="X957">
        <f>('Hybrid Info'!$A$2-Track!P957)*(L957-L956)*1000+X956</f>
        <v>-36600.97349819701</v>
      </c>
    </row>
    <row r="958" spans="1:24">
      <c r="A958" s="16">
        <f t="shared" si="172"/>
        <v>957</v>
      </c>
      <c r="B958" s="17">
        <f t="shared" si="178"/>
        <v>13.411199999999999</v>
      </c>
      <c r="C958" s="16">
        <f>Specification!$G$29</f>
        <v>164.943378</v>
      </c>
      <c r="D958" s="17">
        <f>0.5*Specification!$K$4*Track!B958^2*Specification!$K$3*Specification!$K$2</f>
        <v>93.159842569492653</v>
      </c>
      <c r="E958" s="16">
        <v>-6</v>
      </c>
      <c r="F958" s="17">
        <f>Specification!$C$23*9.81*SIN((E958*PI()/180))</f>
        <v>-574.70926095052266</v>
      </c>
      <c r="G958" s="18">
        <f>IF(J958=1,VLOOKUP(K958,RPM!$E$2:$H$62,3,FALSE)-F958-E958-D958,IF(J958=2,VLOOKUP(K958,RPM!$H$2:$K$62,3,FALSE)-F958-E958-D958,IF(J958=3,VLOOKUP(K958,RPM!$K$2:$N$62,3,FALSE)-F958-E958-D958)))</f>
        <v>1130.2714399887943</v>
      </c>
      <c r="H958" s="19">
        <f>IF(J958=1,Specification!$I$14,IF(J958=2,Specification!$I$15,IF(J958=3,Specification!$I$16)))</f>
        <v>578.93404261974786</v>
      </c>
      <c r="I958" s="16">
        <f t="shared" si="177"/>
        <v>0</v>
      </c>
      <c r="J958" s="17">
        <v>3</v>
      </c>
      <c r="K958" s="16">
        <f>IF(J958=1,VLOOKUP(B958,RPM!$F$2:$H$62,3,TRUE),IF(J958=2,VLOOKUP(B958,RPM!$I$2:$K$62,3,TRUE),IF(J958=3,VLOOKUP(B958,RPM!$L$2:$N$62,3,TRUE))))</f>
        <v>4300</v>
      </c>
      <c r="L958" s="17">
        <f t="shared" si="176"/>
        <v>75.633608095014921</v>
      </c>
      <c r="M958" s="16">
        <f t="shared" si="179"/>
        <v>2.1588216279702332</v>
      </c>
      <c r="N958" s="17">
        <f>VLOOKUP(K958,RPM!$A$2:$D$62,3,FALSE)</f>
        <v>11.4</v>
      </c>
      <c r="O958" s="16">
        <f>VLOOKUP(K958,RPM!$A$2:$D$62,4,FALSE)</f>
        <v>18.894837209302327</v>
      </c>
      <c r="P958" s="17">
        <f t="shared" si="168"/>
        <v>14.089880106976747</v>
      </c>
      <c r="Q958" s="16" cm="1">
        <f t="array" ref="Q958">_xlfn.XLOOKUP(O958,BSFC!$A$2:$A$24,_xlfn.XLOOKUP(K958,BSFC!$B$1:$O$1,BSFC!$B$2:$O$24,,-1),,-1)</f>
        <v>480</v>
      </c>
      <c r="R958" s="17">
        <f t="shared" si="169"/>
        <v>1.8786506809302328</v>
      </c>
      <c r="S958" s="16">
        <f t="shared" si="170"/>
        <v>2.9183485335175871E-4</v>
      </c>
      <c r="T958" s="17">
        <f t="shared" si="173"/>
        <v>0.14008072960884418</v>
      </c>
      <c r="U958" s="16">
        <f t="shared" si="174"/>
        <v>126.77644344172411</v>
      </c>
      <c r="V958" s="17">
        <f t="shared" si="175"/>
        <v>0.2634428197453268</v>
      </c>
      <c r="W958" s="16">
        <f t="shared" si="171"/>
        <v>948394.15108317649</v>
      </c>
      <c r="X958">
        <f>('Hybrid Info'!$A$2-Track!P958)*(L958-L957)*1000+X957</f>
        <v>-36747.822811546415</v>
      </c>
    </row>
    <row r="959" spans="1:24">
      <c r="A959" s="16">
        <f t="shared" si="172"/>
        <v>958</v>
      </c>
      <c r="B959" s="17">
        <f t="shared" si="178"/>
        <v>13.411199999999999</v>
      </c>
      <c r="C959" s="16">
        <f>Specification!$G$29</f>
        <v>164.943378</v>
      </c>
      <c r="D959" s="17">
        <f>0.5*Specification!$K$4*Track!B959^2*Specification!$K$3*Specification!$K$2</f>
        <v>93.159842569492653</v>
      </c>
      <c r="E959" s="16">
        <v>-7</v>
      </c>
      <c r="F959" s="17">
        <f>Specification!$C$23*9.81*SIN((E959*PI()/180))</f>
        <v>-670.05137252956831</v>
      </c>
      <c r="G959" s="18">
        <f>IF(J959=1,VLOOKUP(K959,RPM!$E$2:$H$62,3,FALSE)-F959-E959-D959,IF(J959=2,VLOOKUP(K959,RPM!$H$2:$K$62,3,FALSE)-F959-E959-D959,IF(J959=3,VLOOKUP(K959,RPM!$K$2:$N$62,3,FALSE)-F959-E959-D959)))</f>
        <v>1226.61355156784</v>
      </c>
      <c r="H959" s="19">
        <f>IF(J959=1,Specification!$I$14,IF(J959=2,Specification!$I$15,IF(J959=3,Specification!$I$16)))</f>
        <v>578.93404261974786</v>
      </c>
      <c r="I959" s="16">
        <f t="shared" si="177"/>
        <v>0</v>
      </c>
      <c r="J959" s="17">
        <v>3</v>
      </c>
      <c r="K959" s="16">
        <f>IF(J959=1,VLOOKUP(B959,RPM!$F$2:$H$62,3,TRUE),IF(J959=2,VLOOKUP(B959,RPM!$I$2:$K$62,3,TRUE),IF(J959=3,VLOOKUP(B959,RPM!$L$2:$N$62,3,TRUE))))</f>
        <v>4300</v>
      </c>
      <c r="L959" s="17">
        <f t="shared" si="176"/>
        <v>75.708172638083397</v>
      </c>
      <c r="M959" s="16">
        <f t="shared" si="179"/>
        <v>2.0360370670673285</v>
      </c>
      <c r="N959" s="17">
        <f>VLOOKUP(K959,RPM!$A$2:$D$62,3,FALSE)</f>
        <v>11.4</v>
      </c>
      <c r="O959" s="16">
        <f>VLOOKUP(K959,RPM!$A$2:$D$62,4,FALSE)</f>
        <v>18.894837209302327</v>
      </c>
      <c r="P959" s="17">
        <f t="shared" si="168"/>
        <v>14.089880106976747</v>
      </c>
      <c r="Q959" s="16" cm="1">
        <f t="array" ref="Q959">_xlfn.XLOOKUP(O959,BSFC!$A$2:$A$24,_xlfn.XLOOKUP(K959,BSFC!$B$1:$O$1,BSFC!$B$2:$O$24,,-1),,-1)</f>
        <v>480</v>
      </c>
      <c r="R959" s="17">
        <f t="shared" si="169"/>
        <v>1.8786506809302328</v>
      </c>
      <c r="S959" s="16">
        <f t="shared" si="170"/>
        <v>2.9183485335175871E-4</v>
      </c>
      <c r="T959" s="17">
        <f t="shared" si="173"/>
        <v>0.14008072960884418</v>
      </c>
      <c r="U959" s="16">
        <f t="shared" si="174"/>
        <v>126.91652417133295</v>
      </c>
      <c r="V959" s="17">
        <f t="shared" si="175"/>
        <v>0.26373465459867856</v>
      </c>
      <c r="W959" s="16">
        <f t="shared" si="171"/>
        <v>949444.75655524281</v>
      </c>
      <c r="X959">
        <f>('Hybrid Info'!$A$2-Track!P959)*(L959-L958)*1000+X958</f>
        <v>-36894.67212489582</v>
      </c>
    </row>
    <row r="960" spans="1:24">
      <c r="A960" s="16">
        <f t="shared" si="172"/>
        <v>959</v>
      </c>
      <c r="B960" s="17">
        <f t="shared" si="178"/>
        <v>13.411199999999999</v>
      </c>
      <c r="C960" s="16">
        <f>Specification!$G$29</f>
        <v>164.943378</v>
      </c>
      <c r="D960" s="17">
        <f>0.5*Specification!$K$4*Track!B960^2*Specification!$K$3*Specification!$K$2</f>
        <v>93.159842569492653</v>
      </c>
      <c r="E960" s="16">
        <v>-8</v>
      </c>
      <c r="F960" s="17">
        <f>Specification!$C$23*9.81*SIN((E960*PI()/180))</f>
        <v>-765.1893799696079</v>
      </c>
      <c r="G960" s="18">
        <f>IF(J960=1,VLOOKUP(K960,RPM!$E$2:$H$62,3,FALSE)-F960-E960-D960,IF(J960=2,VLOOKUP(K960,RPM!$H$2:$K$62,3,FALSE)-F960-E960-D960,IF(J960=3,VLOOKUP(K960,RPM!$K$2:$N$62,3,FALSE)-F960-E960-D960)))</f>
        <v>1322.7515590078795</v>
      </c>
      <c r="H960" s="19">
        <f>IF(J960=1,Specification!$I$14,IF(J960=2,Specification!$I$15,IF(J960=3,Specification!$I$16)))</f>
        <v>578.93404261974786</v>
      </c>
      <c r="I960" s="16">
        <f t="shared" si="177"/>
        <v>0</v>
      </c>
      <c r="J960" s="17">
        <v>3</v>
      </c>
      <c r="K960" s="16">
        <f>IF(J960=1,VLOOKUP(B960,RPM!$F$2:$H$62,3,TRUE),IF(J960=2,VLOOKUP(B960,RPM!$I$2:$K$62,3,TRUE),IF(J960=3,VLOOKUP(B960,RPM!$L$2:$N$62,3,TRUE))))</f>
        <v>4300</v>
      </c>
      <c r="L960" s="17">
        <f t="shared" si="176"/>
        <v>75.782737181151873</v>
      </c>
      <c r="M960" s="16">
        <f t="shared" si="179"/>
        <v>1.8954962323649369</v>
      </c>
      <c r="N960" s="17">
        <f>VLOOKUP(K960,RPM!$A$2:$D$62,3,FALSE)</f>
        <v>11.4</v>
      </c>
      <c r="O960" s="16">
        <f>VLOOKUP(K960,RPM!$A$2:$D$62,4,FALSE)</f>
        <v>18.894837209302327</v>
      </c>
      <c r="P960" s="17">
        <f t="shared" si="168"/>
        <v>14.089880106976747</v>
      </c>
      <c r="Q960" s="16" cm="1">
        <f t="array" ref="Q960">_xlfn.XLOOKUP(O960,BSFC!$A$2:$A$24,_xlfn.XLOOKUP(K960,BSFC!$B$1:$O$1,BSFC!$B$2:$O$24,,-1),,-1)</f>
        <v>480</v>
      </c>
      <c r="R960" s="17">
        <f t="shared" si="169"/>
        <v>1.8786506809302328</v>
      </c>
      <c r="S960" s="16">
        <f t="shared" si="170"/>
        <v>2.9183485335175871E-4</v>
      </c>
      <c r="T960" s="17">
        <f t="shared" si="173"/>
        <v>0.14008072960884418</v>
      </c>
      <c r="U960" s="16">
        <f t="shared" si="174"/>
        <v>127.05660490094179</v>
      </c>
      <c r="V960" s="17">
        <f t="shared" si="175"/>
        <v>0.26402648945203033</v>
      </c>
      <c r="W960" s="16">
        <f t="shared" si="171"/>
        <v>950495.36202730914</v>
      </c>
      <c r="X960">
        <f>('Hybrid Info'!$A$2-Track!P960)*(L960-L959)*1000+X959</f>
        <v>-37041.521438245225</v>
      </c>
    </row>
    <row r="961" spans="1:24">
      <c r="A961" s="16">
        <f t="shared" si="172"/>
        <v>960</v>
      </c>
      <c r="B961" s="17">
        <f t="shared" si="178"/>
        <v>13.411199999999999</v>
      </c>
      <c r="C961" s="16">
        <f>Specification!$G$29</f>
        <v>164.943378</v>
      </c>
      <c r="D961" s="17">
        <f>0.5*Specification!$K$4*Track!B961^2*Specification!$K$3*Specification!$K$2</f>
        <v>93.159842569492653</v>
      </c>
      <c r="E961" s="16">
        <v>-8</v>
      </c>
      <c r="F961" s="17">
        <f>Specification!$C$23*9.81*SIN((E961*PI()/180))</f>
        <v>-765.1893799696079</v>
      </c>
      <c r="G961" s="18">
        <f>IF(J961=1,VLOOKUP(K961,RPM!$E$2:$H$62,3,FALSE)-F961-E961-D961,IF(J961=2,VLOOKUP(K961,RPM!$H$2:$K$62,3,FALSE)-F961-E961-D961,IF(J961=3,VLOOKUP(K961,RPM!$K$2:$N$62,3,FALSE)-F961-E961-D961)))</f>
        <v>1322.7515590078795</v>
      </c>
      <c r="H961" s="19">
        <f>IF(J961=1,Specification!$I$14,IF(J961=2,Specification!$I$15,IF(J961=3,Specification!$I$16)))</f>
        <v>578.93404261974786</v>
      </c>
      <c r="I961" s="16">
        <f t="shared" si="177"/>
        <v>0</v>
      </c>
      <c r="J961" s="17">
        <v>3</v>
      </c>
      <c r="K961" s="16">
        <f>IF(J961=1,VLOOKUP(B961,RPM!$F$2:$H$62,3,TRUE),IF(J961=2,VLOOKUP(B961,RPM!$I$2:$K$62,3,TRUE),IF(J961=3,VLOOKUP(B961,RPM!$L$2:$N$62,3,TRUE))))</f>
        <v>4300</v>
      </c>
      <c r="L961" s="17">
        <f t="shared" si="176"/>
        <v>75.857301724220349</v>
      </c>
      <c r="M961" s="16">
        <f t="shared" si="179"/>
        <v>1.7549553976625454</v>
      </c>
      <c r="N961" s="17">
        <f>VLOOKUP(K961,RPM!$A$2:$D$62,3,FALSE)</f>
        <v>11.4</v>
      </c>
      <c r="O961" s="16">
        <f>VLOOKUP(K961,RPM!$A$2:$D$62,4,FALSE)</f>
        <v>18.894837209302327</v>
      </c>
      <c r="P961" s="17">
        <f t="shared" si="168"/>
        <v>14.089880106976747</v>
      </c>
      <c r="Q961" s="16" cm="1">
        <f t="array" ref="Q961">_xlfn.XLOOKUP(O961,BSFC!$A$2:$A$24,_xlfn.XLOOKUP(K961,BSFC!$B$1:$O$1,BSFC!$B$2:$O$24,,-1),,-1)</f>
        <v>480</v>
      </c>
      <c r="R961" s="17">
        <f t="shared" si="169"/>
        <v>1.8786506809302328</v>
      </c>
      <c r="S961" s="16">
        <f t="shared" si="170"/>
        <v>2.9183485335175871E-4</v>
      </c>
      <c r="T961" s="17">
        <f t="shared" si="173"/>
        <v>0.14008072960884418</v>
      </c>
      <c r="U961" s="16">
        <f t="shared" si="174"/>
        <v>127.19668563055063</v>
      </c>
      <c r="V961" s="17">
        <f t="shared" si="175"/>
        <v>0.2643183243053821</v>
      </c>
      <c r="W961" s="16">
        <f t="shared" si="171"/>
        <v>951545.96749937546</v>
      </c>
      <c r="X961">
        <f>('Hybrid Info'!$A$2-Track!P961)*(L961-L960)*1000+X960</f>
        <v>-37188.37075159463</v>
      </c>
    </row>
    <row r="962" spans="1:24">
      <c r="A962" s="16">
        <f t="shared" si="172"/>
        <v>961</v>
      </c>
      <c r="B962" s="17">
        <f t="shared" si="178"/>
        <v>13.411199999999999</v>
      </c>
      <c r="C962" s="16">
        <f>Specification!$G$29</f>
        <v>164.943378</v>
      </c>
      <c r="D962" s="17">
        <f>0.5*Specification!$K$4*Track!B962^2*Specification!$K$3*Specification!$K$2</f>
        <v>93.159842569492653</v>
      </c>
      <c r="E962" s="16">
        <v>-8</v>
      </c>
      <c r="F962" s="17">
        <f>Specification!$C$23*9.81*SIN((E962*PI()/180))</f>
        <v>-765.1893799696079</v>
      </c>
      <c r="G962" s="18">
        <f>IF(J962=1,VLOOKUP(K962,RPM!$E$2:$H$62,3,FALSE)-F962-E962-D962,IF(J962=2,VLOOKUP(K962,RPM!$H$2:$K$62,3,FALSE)-F962-E962-D962,IF(J962=3,VLOOKUP(K962,RPM!$K$2:$N$62,3,FALSE)-F962-E962-D962)))</f>
        <v>1322.7515590078795</v>
      </c>
      <c r="H962" s="19">
        <f>IF(J962=1,Specification!$I$14,IF(J962=2,Specification!$I$15,IF(J962=3,Specification!$I$16)))</f>
        <v>578.93404261974786</v>
      </c>
      <c r="I962" s="16">
        <f t="shared" si="177"/>
        <v>0</v>
      </c>
      <c r="J962" s="17">
        <v>3</v>
      </c>
      <c r="K962" s="16">
        <f>IF(J962=1,VLOOKUP(B962,RPM!$F$2:$H$62,3,TRUE),IF(J962=2,VLOOKUP(B962,RPM!$I$2:$K$62,3,TRUE),IF(J962=3,VLOOKUP(B962,RPM!$L$2:$N$62,3,TRUE))))</f>
        <v>4300</v>
      </c>
      <c r="L962" s="17">
        <f t="shared" si="176"/>
        <v>75.931866267288825</v>
      </c>
      <c r="M962" s="16">
        <f t="shared" si="179"/>
        <v>1.6144145629601538</v>
      </c>
      <c r="N962" s="17">
        <f>VLOOKUP(K962,RPM!$A$2:$D$62,3,FALSE)</f>
        <v>11.4</v>
      </c>
      <c r="O962" s="16">
        <f>VLOOKUP(K962,RPM!$A$2:$D$62,4,FALSE)</f>
        <v>18.894837209302327</v>
      </c>
      <c r="P962" s="17">
        <f t="shared" ref="P962:P1025" si="180">O962*0.7457</f>
        <v>14.089880106976747</v>
      </c>
      <c r="Q962" s="16" cm="1">
        <f t="array" ref="Q962">_xlfn.XLOOKUP(O962,BSFC!$A$2:$A$24,_xlfn.XLOOKUP(K962,BSFC!$B$1:$O$1,BSFC!$B$2:$O$24,,-1),,-1)</f>
        <v>480</v>
      </c>
      <c r="R962" s="17">
        <f t="shared" ref="R962:R1025" si="181">Q962*P962/3600</f>
        <v>1.8786506809302328</v>
      </c>
      <c r="S962" s="16">
        <f t="shared" si="170"/>
        <v>2.9183485335175871E-4</v>
      </c>
      <c r="T962" s="17">
        <f t="shared" si="173"/>
        <v>0.14008072960884418</v>
      </c>
      <c r="U962" s="16">
        <f t="shared" si="174"/>
        <v>127.33676636015947</v>
      </c>
      <c r="V962" s="17">
        <f t="shared" si="175"/>
        <v>0.26461015915873387</v>
      </c>
      <c r="W962" s="16">
        <f t="shared" si="171"/>
        <v>952596.57297144202</v>
      </c>
      <c r="X962">
        <f>('Hybrid Info'!$A$2-Track!P962)*(L962-L961)*1000+X961</f>
        <v>-37335.220064944035</v>
      </c>
    </row>
    <row r="963" spans="1:24">
      <c r="A963" s="16">
        <f t="shared" si="172"/>
        <v>962</v>
      </c>
      <c r="B963" s="17">
        <f t="shared" si="178"/>
        <v>13.411199999999999</v>
      </c>
      <c r="C963" s="16">
        <f>Specification!$G$29</f>
        <v>164.943378</v>
      </c>
      <c r="D963" s="17">
        <f>0.5*Specification!$K$4*Track!B963^2*Specification!$K$3*Specification!$K$2</f>
        <v>93.159842569492653</v>
      </c>
      <c r="E963" s="16">
        <v>-8</v>
      </c>
      <c r="F963" s="17">
        <f>Specification!$C$23*9.81*SIN((E963*PI()/180))</f>
        <v>-765.1893799696079</v>
      </c>
      <c r="G963" s="18">
        <f>IF(J963=1,VLOOKUP(K963,RPM!$E$2:$H$62,3,FALSE)-F963-E963-D963,IF(J963=2,VLOOKUP(K963,RPM!$H$2:$K$62,3,FALSE)-F963-E963-D963,IF(J963=3,VLOOKUP(K963,RPM!$K$2:$N$62,3,FALSE)-F963-E963-D963)))</f>
        <v>1322.7515590078795</v>
      </c>
      <c r="H963" s="19">
        <f>IF(J963=1,Specification!$I$14,IF(J963=2,Specification!$I$15,IF(J963=3,Specification!$I$16)))</f>
        <v>578.93404261974786</v>
      </c>
      <c r="I963" s="16">
        <f t="shared" si="177"/>
        <v>0</v>
      </c>
      <c r="J963" s="17">
        <v>3</v>
      </c>
      <c r="K963" s="16">
        <f>IF(J963=1,VLOOKUP(B963,RPM!$F$2:$H$62,3,TRUE),IF(J963=2,VLOOKUP(B963,RPM!$I$2:$K$62,3,TRUE),IF(J963=3,VLOOKUP(B963,RPM!$L$2:$N$62,3,TRUE))))</f>
        <v>4300</v>
      </c>
      <c r="L963" s="17">
        <f t="shared" si="176"/>
        <v>76.006430810357301</v>
      </c>
      <c r="M963" s="16">
        <f t="shared" si="179"/>
        <v>1.4738737282577623</v>
      </c>
      <c r="N963" s="17">
        <f>VLOOKUP(K963,RPM!$A$2:$D$62,3,FALSE)</f>
        <v>11.4</v>
      </c>
      <c r="O963" s="16">
        <f>VLOOKUP(K963,RPM!$A$2:$D$62,4,FALSE)</f>
        <v>18.894837209302327</v>
      </c>
      <c r="P963" s="17">
        <f t="shared" si="180"/>
        <v>14.089880106976747</v>
      </c>
      <c r="Q963" s="16" cm="1">
        <f t="array" ref="Q963">_xlfn.XLOOKUP(O963,BSFC!$A$2:$A$24,_xlfn.XLOOKUP(K963,BSFC!$B$1:$O$1,BSFC!$B$2:$O$24,,-1),,-1)</f>
        <v>480</v>
      </c>
      <c r="R963" s="17">
        <f t="shared" si="181"/>
        <v>1.8786506809302328</v>
      </c>
      <c r="S963" s="16">
        <f t="shared" ref="S963:S1026" si="182">(L963-L962)/3600*P963</f>
        <v>2.9183485335175871E-4</v>
      </c>
      <c r="T963" s="17">
        <f t="shared" si="173"/>
        <v>0.14008072960884418</v>
      </c>
      <c r="U963" s="16">
        <f t="shared" si="174"/>
        <v>127.47684708976831</v>
      </c>
      <c r="V963" s="17">
        <f t="shared" si="175"/>
        <v>0.26490199401208564</v>
      </c>
      <c r="W963" s="16">
        <f t="shared" ref="W963:W1026" si="183">V963*1000*3600</f>
        <v>953647.17844350834</v>
      </c>
      <c r="X963">
        <f>('Hybrid Info'!$A$2-Track!P963)*(L963-L962)*1000+X962</f>
        <v>-37482.06937829344</v>
      </c>
    </row>
    <row r="964" spans="1:24">
      <c r="A964" s="16">
        <f t="shared" ref="A964:A1027" si="184">A963+1</f>
        <v>963</v>
      </c>
      <c r="B964" s="17">
        <f t="shared" si="178"/>
        <v>13.411199999999999</v>
      </c>
      <c r="C964" s="16">
        <f>Specification!$G$29</f>
        <v>164.943378</v>
      </c>
      <c r="D964" s="17">
        <f>0.5*Specification!$K$4*Track!B964^2*Specification!$K$3*Specification!$K$2</f>
        <v>93.159842569492653</v>
      </c>
      <c r="E964" s="16">
        <v>-8</v>
      </c>
      <c r="F964" s="17">
        <f>Specification!$C$23*9.81*SIN((E964*PI()/180))</f>
        <v>-765.1893799696079</v>
      </c>
      <c r="G964" s="18">
        <f>IF(J964=1,VLOOKUP(K964,RPM!$E$2:$H$62,3,FALSE)-F964-E964-D964,IF(J964=2,VLOOKUP(K964,RPM!$H$2:$K$62,3,FALSE)-F964-E964-D964,IF(J964=3,VLOOKUP(K964,RPM!$K$2:$N$62,3,FALSE)-F964-E964-D964)))</f>
        <v>1322.7515590078795</v>
      </c>
      <c r="H964" s="19">
        <f>IF(J964=1,Specification!$I$14,IF(J964=2,Specification!$I$15,IF(J964=3,Specification!$I$16)))</f>
        <v>578.93404261974786</v>
      </c>
      <c r="I964" s="16">
        <f t="shared" si="177"/>
        <v>0</v>
      </c>
      <c r="J964" s="17">
        <v>3</v>
      </c>
      <c r="K964" s="16">
        <f>IF(J964=1,VLOOKUP(B964,RPM!$F$2:$H$62,3,TRUE),IF(J964=2,VLOOKUP(B964,RPM!$I$2:$K$62,3,TRUE),IF(J964=3,VLOOKUP(B964,RPM!$L$2:$N$62,3,TRUE))))</f>
        <v>4300</v>
      </c>
      <c r="L964" s="17">
        <f t="shared" si="176"/>
        <v>76.080995353425777</v>
      </c>
      <c r="M964" s="16">
        <f t="shared" si="179"/>
        <v>1.3333328935553708</v>
      </c>
      <c r="N964" s="17">
        <f>VLOOKUP(K964,RPM!$A$2:$D$62,3,FALSE)</f>
        <v>11.4</v>
      </c>
      <c r="O964" s="16">
        <f>VLOOKUP(K964,RPM!$A$2:$D$62,4,FALSE)</f>
        <v>18.894837209302327</v>
      </c>
      <c r="P964" s="17">
        <f t="shared" si="180"/>
        <v>14.089880106976747</v>
      </c>
      <c r="Q964" s="16" cm="1">
        <f t="array" ref="Q964">_xlfn.XLOOKUP(O964,BSFC!$A$2:$A$24,_xlfn.XLOOKUP(K964,BSFC!$B$1:$O$1,BSFC!$B$2:$O$24,,-1),,-1)</f>
        <v>480</v>
      </c>
      <c r="R964" s="17">
        <f t="shared" si="181"/>
        <v>1.8786506809302328</v>
      </c>
      <c r="S964" s="16">
        <f t="shared" si="182"/>
        <v>2.9183485335175871E-4</v>
      </c>
      <c r="T964" s="17">
        <f t="shared" ref="T964:T1027" si="185">S964*Q964</f>
        <v>0.14008072960884418</v>
      </c>
      <c r="U964" s="16">
        <f t="shared" ref="U964:U1027" si="186">U963+T964</f>
        <v>127.61692781937715</v>
      </c>
      <c r="V964" s="17">
        <f t="shared" si="175"/>
        <v>0.26519382886543741</v>
      </c>
      <c r="W964" s="16">
        <f t="shared" si="183"/>
        <v>954697.78391557466</v>
      </c>
      <c r="X964">
        <f>('Hybrid Info'!$A$2-Track!P964)*(L964-L963)*1000+X963</f>
        <v>-37628.918691642844</v>
      </c>
    </row>
    <row r="965" spans="1:24">
      <c r="A965" s="16">
        <f t="shared" si="184"/>
        <v>964</v>
      </c>
      <c r="B965" s="17">
        <f t="shared" si="178"/>
        <v>13.411199999999999</v>
      </c>
      <c r="C965" s="16">
        <f>Specification!$G$29</f>
        <v>164.943378</v>
      </c>
      <c r="D965" s="17">
        <f>0.5*Specification!$K$4*Track!B965^2*Specification!$K$3*Specification!$K$2</f>
        <v>93.159842569492653</v>
      </c>
      <c r="E965" s="16">
        <v>-8</v>
      </c>
      <c r="F965" s="17">
        <f>Specification!$C$23*9.81*SIN((E965*PI()/180))</f>
        <v>-765.1893799696079</v>
      </c>
      <c r="G965" s="18">
        <f>IF(J965=1,VLOOKUP(K965,RPM!$E$2:$H$62,3,FALSE)-F965-E965-D965,IF(J965=2,VLOOKUP(K965,RPM!$H$2:$K$62,3,FALSE)-F965-E965-D965,IF(J965=3,VLOOKUP(K965,RPM!$K$2:$N$62,3,FALSE)-F965-E965-D965)))</f>
        <v>1322.7515590078795</v>
      </c>
      <c r="H965" s="19">
        <f>IF(J965=1,Specification!$I$14,IF(J965=2,Specification!$I$15,IF(J965=3,Specification!$I$16)))</f>
        <v>578.93404261974786</v>
      </c>
      <c r="I965" s="16">
        <f t="shared" si="177"/>
        <v>0</v>
      </c>
      <c r="J965" s="17">
        <v>3</v>
      </c>
      <c r="K965" s="16">
        <f>IF(J965=1,VLOOKUP(B965,RPM!$F$2:$H$62,3,TRUE),IF(J965=2,VLOOKUP(B965,RPM!$I$2:$K$62,3,TRUE),IF(J965=3,VLOOKUP(B965,RPM!$L$2:$N$62,3,TRUE))))</f>
        <v>4300</v>
      </c>
      <c r="L965" s="17">
        <f t="shared" si="176"/>
        <v>76.155559896494253</v>
      </c>
      <c r="M965" s="16">
        <f t="shared" si="179"/>
        <v>1.1927920588529792</v>
      </c>
      <c r="N965" s="17">
        <f>VLOOKUP(K965,RPM!$A$2:$D$62,3,FALSE)</f>
        <v>11.4</v>
      </c>
      <c r="O965" s="16">
        <f>VLOOKUP(K965,RPM!$A$2:$D$62,4,FALSE)</f>
        <v>18.894837209302327</v>
      </c>
      <c r="P965" s="17">
        <f t="shared" si="180"/>
        <v>14.089880106976747</v>
      </c>
      <c r="Q965" s="16" cm="1">
        <f t="array" ref="Q965">_xlfn.XLOOKUP(O965,BSFC!$A$2:$A$24,_xlfn.XLOOKUP(K965,BSFC!$B$1:$O$1,BSFC!$B$2:$O$24,,-1),,-1)</f>
        <v>480</v>
      </c>
      <c r="R965" s="17">
        <f t="shared" si="181"/>
        <v>1.8786506809302328</v>
      </c>
      <c r="S965" s="16">
        <f t="shared" si="182"/>
        <v>2.9183485335175871E-4</v>
      </c>
      <c r="T965" s="17">
        <f t="shared" si="185"/>
        <v>0.14008072960884418</v>
      </c>
      <c r="U965" s="16">
        <f t="shared" si="186"/>
        <v>127.75700854898599</v>
      </c>
      <c r="V965" s="17">
        <f t="shared" ref="V965:V1028" si="187">V964+S965</f>
        <v>0.26548566371878918</v>
      </c>
      <c r="W965" s="16">
        <f t="shared" si="183"/>
        <v>955748.38938764099</v>
      </c>
      <c r="X965">
        <f>('Hybrid Info'!$A$2-Track!P965)*(L965-L964)*1000+X964</f>
        <v>-37775.768004992249</v>
      </c>
    </row>
    <row r="966" spans="1:24">
      <c r="A966" s="16">
        <f t="shared" si="184"/>
        <v>965</v>
      </c>
      <c r="B966" s="17">
        <f t="shared" si="178"/>
        <v>13.411199999999999</v>
      </c>
      <c r="C966" s="16">
        <f>Specification!$G$29</f>
        <v>164.943378</v>
      </c>
      <c r="D966" s="17">
        <f>0.5*Specification!$K$4*Track!B966^2*Specification!$K$3*Specification!$K$2</f>
        <v>93.159842569492653</v>
      </c>
      <c r="E966" s="16">
        <v>-8</v>
      </c>
      <c r="F966" s="17">
        <f>Specification!$C$23*9.81*SIN((E966*PI()/180))</f>
        <v>-765.1893799696079</v>
      </c>
      <c r="G966" s="18">
        <f>IF(J966=1,VLOOKUP(K966,RPM!$E$2:$H$62,3,FALSE)-F966-E966-D966,IF(J966=2,VLOOKUP(K966,RPM!$H$2:$K$62,3,FALSE)-F966-E966-D966,IF(J966=3,VLOOKUP(K966,RPM!$K$2:$N$62,3,FALSE)-F966-E966-D966)))</f>
        <v>1322.7515590078795</v>
      </c>
      <c r="H966" s="19">
        <f>IF(J966=1,Specification!$I$14,IF(J966=2,Specification!$I$15,IF(J966=3,Specification!$I$16)))</f>
        <v>578.93404261974786</v>
      </c>
      <c r="I966" s="16">
        <f t="shared" si="177"/>
        <v>0</v>
      </c>
      <c r="J966" s="17">
        <v>3</v>
      </c>
      <c r="K966" s="16">
        <f>IF(J966=1,VLOOKUP(B966,RPM!$F$2:$H$62,3,TRUE),IF(J966=2,VLOOKUP(B966,RPM!$I$2:$K$62,3,TRUE),IF(J966=3,VLOOKUP(B966,RPM!$L$2:$N$62,3,TRUE))))</f>
        <v>4300</v>
      </c>
      <c r="L966" s="17">
        <f t="shared" si="176"/>
        <v>76.230124439562729</v>
      </c>
      <c r="M966" s="16">
        <f t="shared" si="179"/>
        <v>1.0522512241505877</v>
      </c>
      <c r="N966" s="17">
        <f>VLOOKUP(K966,RPM!$A$2:$D$62,3,FALSE)</f>
        <v>11.4</v>
      </c>
      <c r="O966" s="16">
        <f>VLOOKUP(K966,RPM!$A$2:$D$62,4,FALSE)</f>
        <v>18.894837209302327</v>
      </c>
      <c r="P966" s="17">
        <f t="shared" si="180"/>
        <v>14.089880106976747</v>
      </c>
      <c r="Q966" s="16" cm="1">
        <f t="array" ref="Q966">_xlfn.XLOOKUP(O966,BSFC!$A$2:$A$24,_xlfn.XLOOKUP(K966,BSFC!$B$1:$O$1,BSFC!$B$2:$O$24,,-1),,-1)</f>
        <v>480</v>
      </c>
      <c r="R966" s="17">
        <f t="shared" si="181"/>
        <v>1.8786506809302328</v>
      </c>
      <c r="S966" s="16">
        <f t="shared" si="182"/>
        <v>2.9183485335175871E-4</v>
      </c>
      <c r="T966" s="17">
        <f t="shared" si="185"/>
        <v>0.14008072960884418</v>
      </c>
      <c r="U966" s="16">
        <f t="shared" si="186"/>
        <v>127.89708927859483</v>
      </c>
      <c r="V966" s="17">
        <f t="shared" si="187"/>
        <v>0.26577749857214095</v>
      </c>
      <c r="W966" s="16">
        <f t="shared" si="183"/>
        <v>956798.99485970731</v>
      </c>
      <c r="X966">
        <f>('Hybrid Info'!$A$2-Track!P966)*(L966-L965)*1000+X965</f>
        <v>-37922.617318341654</v>
      </c>
    </row>
    <row r="967" spans="1:24">
      <c r="A967" s="16">
        <f t="shared" si="184"/>
        <v>966</v>
      </c>
      <c r="B967" s="17">
        <f t="shared" si="178"/>
        <v>13.411199999999999</v>
      </c>
      <c r="C967" s="16">
        <f>Specification!$G$29</f>
        <v>164.943378</v>
      </c>
      <c r="D967" s="17">
        <f>0.5*Specification!$K$4*Track!B967^2*Specification!$K$3*Specification!$K$2</f>
        <v>93.159842569492653</v>
      </c>
      <c r="E967" s="16">
        <v>-8</v>
      </c>
      <c r="F967" s="17">
        <f>Specification!$C$23*9.81*SIN((E967*PI()/180))</f>
        <v>-765.1893799696079</v>
      </c>
      <c r="G967" s="18">
        <f>IF(J967=1,VLOOKUP(K967,RPM!$E$2:$H$62,3,FALSE)-F967-E967-D967,IF(J967=2,VLOOKUP(K967,RPM!$H$2:$K$62,3,FALSE)-F967-E967-D967,IF(J967=3,VLOOKUP(K967,RPM!$K$2:$N$62,3,FALSE)-F967-E967-D967)))</f>
        <v>1322.7515590078795</v>
      </c>
      <c r="H967" s="19">
        <f>IF(J967=1,Specification!$I$14,IF(J967=2,Specification!$I$15,IF(J967=3,Specification!$I$16)))</f>
        <v>578.93404261974786</v>
      </c>
      <c r="I967" s="16">
        <f t="shared" si="177"/>
        <v>0</v>
      </c>
      <c r="J967" s="17">
        <v>3</v>
      </c>
      <c r="K967" s="16">
        <f>IF(J967=1,VLOOKUP(B967,RPM!$F$2:$H$62,3,TRUE),IF(J967=2,VLOOKUP(B967,RPM!$I$2:$K$62,3,TRUE),IF(J967=3,VLOOKUP(B967,RPM!$L$2:$N$62,3,TRUE))))</f>
        <v>4300</v>
      </c>
      <c r="L967" s="17">
        <f t="shared" si="176"/>
        <v>76.304688982631205</v>
      </c>
      <c r="M967" s="16">
        <f t="shared" si="179"/>
        <v>0.91171038944819627</v>
      </c>
      <c r="N967" s="17">
        <f>VLOOKUP(K967,RPM!$A$2:$D$62,3,FALSE)</f>
        <v>11.4</v>
      </c>
      <c r="O967" s="16">
        <f>VLOOKUP(K967,RPM!$A$2:$D$62,4,FALSE)</f>
        <v>18.894837209302327</v>
      </c>
      <c r="P967" s="17">
        <f t="shared" si="180"/>
        <v>14.089880106976747</v>
      </c>
      <c r="Q967" s="16" cm="1">
        <f t="array" ref="Q967">_xlfn.XLOOKUP(O967,BSFC!$A$2:$A$24,_xlfn.XLOOKUP(K967,BSFC!$B$1:$O$1,BSFC!$B$2:$O$24,,-1),,-1)</f>
        <v>480</v>
      </c>
      <c r="R967" s="17">
        <f t="shared" si="181"/>
        <v>1.8786506809302328</v>
      </c>
      <c r="S967" s="16">
        <f t="shared" si="182"/>
        <v>2.9183485335175871E-4</v>
      </c>
      <c r="T967" s="17">
        <f t="shared" si="185"/>
        <v>0.14008072960884418</v>
      </c>
      <c r="U967" s="16">
        <f t="shared" si="186"/>
        <v>128.03717000820367</v>
      </c>
      <c r="V967" s="17">
        <f t="shared" si="187"/>
        <v>0.26606933342549272</v>
      </c>
      <c r="W967" s="16">
        <f t="shared" si="183"/>
        <v>957849.60033177387</v>
      </c>
      <c r="X967">
        <f>('Hybrid Info'!$A$2-Track!P967)*(L967-L966)*1000+X966</f>
        <v>-38069.466631691059</v>
      </c>
    </row>
    <row r="968" spans="1:24">
      <c r="A968" s="16">
        <f t="shared" si="184"/>
        <v>967</v>
      </c>
      <c r="B968" s="17">
        <f t="shared" si="178"/>
        <v>13.411199999999999</v>
      </c>
      <c r="C968" s="16">
        <f>Specification!$G$29</f>
        <v>164.943378</v>
      </c>
      <c r="D968" s="17">
        <f>0.5*Specification!$K$4*Track!B968^2*Specification!$K$3*Specification!$K$2</f>
        <v>93.159842569492653</v>
      </c>
      <c r="E968" s="16">
        <v>-8</v>
      </c>
      <c r="F968" s="17">
        <f>Specification!$C$23*9.81*SIN((E968*PI()/180))</f>
        <v>-765.1893799696079</v>
      </c>
      <c r="G968" s="18">
        <f>IF(J968=1,VLOOKUP(K968,RPM!$E$2:$H$62,3,FALSE)-F968-E968-D968,IF(J968=2,VLOOKUP(K968,RPM!$H$2:$K$62,3,FALSE)-F968-E968-D968,IF(J968=3,VLOOKUP(K968,RPM!$K$2:$N$62,3,FALSE)-F968-E968-D968)))</f>
        <v>1322.7515590078795</v>
      </c>
      <c r="H968" s="19">
        <f>IF(J968=1,Specification!$I$14,IF(J968=2,Specification!$I$15,IF(J968=3,Specification!$I$16)))</f>
        <v>578.93404261974786</v>
      </c>
      <c r="I968" s="16">
        <f t="shared" si="177"/>
        <v>0</v>
      </c>
      <c r="J968" s="17">
        <v>3</v>
      </c>
      <c r="K968" s="16">
        <f>IF(J968=1,VLOOKUP(B968,RPM!$F$2:$H$62,3,TRUE),IF(J968=2,VLOOKUP(B968,RPM!$I$2:$K$62,3,TRUE),IF(J968=3,VLOOKUP(B968,RPM!$L$2:$N$62,3,TRUE))))</f>
        <v>4300</v>
      </c>
      <c r="L968" s="17">
        <f t="shared" si="176"/>
        <v>76.379253525699681</v>
      </c>
      <c r="M968" s="16">
        <f t="shared" si="179"/>
        <v>0.77116955474580484</v>
      </c>
      <c r="N968" s="17">
        <f>VLOOKUP(K968,RPM!$A$2:$D$62,3,FALSE)</f>
        <v>11.4</v>
      </c>
      <c r="O968" s="16">
        <f>VLOOKUP(K968,RPM!$A$2:$D$62,4,FALSE)</f>
        <v>18.894837209302327</v>
      </c>
      <c r="P968" s="17">
        <f t="shared" si="180"/>
        <v>14.089880106976747</v>
      </c>
      <c r="Q968" s="16" cm="1">
        <f t="array" ref="Q968">_xlfn.XLOOKUP(O968,BSFC!$A$2:$A$24,_xlfn.XLOOKUP(K968,BSFC!$B$1:$O$1,BSFC!$B$2:$O$24,,-1),,-1)</f>
        <v>480</v>
      </c>
      <c r="R968" s="17">
        <f t="shared" si="181"/>
        <v>1.8786506809302328</v>
      </c>
      <c r="S968" s="16">
        <f t="shared" si="182"/>
        <v>2.9183485335175871E-4</v>
      </c>
      <c r="T968" s="17">
        <f t="shared" si="185"/>
        <v>0.14008072960884418</v>
      </c>
      <c r="U968" s="16">
        <f t="shared" si="186"/>
        <v>128.17725073781253</v>
      </c>
      <c r="V968" s="17">
        <f t="shared" si="187"/>
        <v>0.26636116827884448</v>
      </c>
      <c r="W968" s="16">
        <f t="shared" si="183"/>
        <v>958900.20580384019</v>
      </c>
      <c r="X968">
        <f>('Hybrid Info'!$A$2-Track!P968)*(L968-L967)*1000+X967</f>
        <v>-38216.315945040464</v>
      </c>
    </row>
    <row r="969" spans="1:24">
      <c r="A969" s="16">
        <f t="shared" si="184"/>
        <v>968</v>
      </c>
      <c r="B969" s="17">
        <f t="shared" si="178"/>
        <v>13.411199999999999</v>
      </c>
      <c r="C969" s="16">
        <f>Specification!$G$29</f>
        <v>164.943378</v>
      </c>
      <c r="D969" s="17">
        <f>0.5*Specification!$K$4*Track!B969^2*Specification!$K$3*Specification!$K$2</f>
        <v>93.159842569492653</v>
      </c>
      <c r="E969" s="16">
        <v>-8</v>
      </c>
      <c r="F969" s="17">
        <f>Specification!$C$23*9.81*SIN((E969*PI()/180))</f>
        <v>-765.1893799696079</v>
      </c>
      <c r="G969" s="18">
        <f>IF(J969=1,VLOOKUP(K969,RPM!$E$2:$H$62,3,FALSE)-F969-E969-D969,IF(J969=2,VLOOKUP(K969,RPM!$H$2:$K$62,3,FALSE)-F969-E969-D969,IF(J969=3,VLOOKUP(K969,RPM!$K$2:$N$62,3,FALSE)-F969-E969-D969)))</f>
        <v>1322.7515590078795</v>
      </c>
      <c r="H969" s="19">
        <f>IF(J969=1,Specification!$I$14,IF(J969=2,Specification!$I$15,IF(J969=3,Specification!$I$16)))</f>
        <v>578.93404261974786</v>
      </c>
      <c r="I969" s="16">
        <f t="shared" si="177"/>
        <v>0</v>
      </c>
      <c r="J969" s="17">
        <v>3</v>
      </c>
      <c r="K969" s="16">
        <f>IF(J969=1,VLOOKUP(B969,RPM!$F$2:$H$62,3,TRUE),IF(J969=2,VLOOKUP(B969,RPM!$I$2:$K$62,3,TRUE),IF(J969=3,VLOOKUP(B969,RPM!$L$2:$N$62,3,TRUE))))</f>
        <v>4300</v>
      </c>
      <c r="L969" s="17">
        <f t="shared" si="176"/>
        <v>76.453818068768157</v>
      </c>
      <c r="M969" s="16">
        <f t="shared" si="179"/>
        <v>0.63062872004341342</v>
      </c>
      <c r="N969" s="17">
        <f>VLOOKUP(K969,RPM!$A$2:$D$62,3,FALSE)</f>
        <v>11.4</v>
      </c>
      <c r="O969" s="16">
        <f>VLOOKUP(K969,RPM!$A$2:$D$62,4,FALSE)</f>
        <v>18.894837209302327</v>
      </c>
      <c r="P969" s="17">
        <f t="shared" si="180"/>
        <v>14.089880106976747</v>
      </c>
      <c r="Q969" s="16" cm="1">
        <f t="array" ref="Q969">_xlfn.XLOOKUP(O969,BSFC!$A$2:$A$24,_xlfn.XLOOKUP(K969,BSFC!$B$1:$O$1,BSFC!$B$2:$O$24,,-1),,-1)</f>
        <v>480</v>
      </c>
      <c r="R969" s="17">
        <f t="shared" si="181"/>
        <v>1.8786506809302328</v>
      </c>
      <c r="S969" s="16">
        <f t="shared" si="182"/>
        <v>2.9183485335175871E-4</v>
      </c>
      <c r="T969" s="17">
        <f t="shared" si="185"/>
        <v>0.14008072960884418</v>
      </c>
      <c r="U969" s="16">
        <f t="shared" si="186"/>
        <v>128.31733146742138</v>
      </c>
      <c r="V969" s="17">
        <f t="shared" si="187"/>
        <v>0.26665300313219625</v>
      </c>
      <c r="W969" s="16">
        <f t="shared" si="183"/>
        <v>959950.81127590651</v>
      </c>
      <c r="X969">
        <f>('Hybrid Info'!$A$2-Track!P969)*(L969-L968)*1000+X968</f>
        <v>-38363.165258389869</v>
      </c>
    </row>
    <row r="970" spans="1:24">
      <c r="A970" s="16">
        <f t="shared" si="184"/>
        <v>969</v>
      </c>
      <c r="B970" s="17">
        <f t="shared" si="178"/>
        <v>13.411199999999999</v>
      </c>
      <c r="C970" s="16">
        <f>Specification!$G$29</f>
        <v>164.943378</v>
      </c>
      <c r="D970" s="17">
        <f>0.5*Specification!$K$4*Track!B970^2*Specification!$K$3*Specification!$K$2</f>
        <v>93.159842569492653</v>
      </c>
      <c r="E970" s="16">
        <v>-8</v>
      </c>
      <c r="F970" s="17">
        <f>Specification!$C$23*9.81*SIN((E970*PI()/180))</f>
        <v>-765.1893799696079</v>
      </c>
      <c r="G970" s="18">
        <f>IF(J970=1,VLOOKUP(K970,RPM!$E$2:$H$62,3,FALSE)-F970-E970-D970,IF(J970=2,VLOOKUP(K970,RPM!$H$2:$K$62,3,FALSE)-F970-E970-D970,IF(J970=3,VLOOKUP(K970,RPM!$K$2:$N$62,3,FALSE)-F970-E970-D970)))</f>
        <v>1322.7515590078795</v>
      </c>
      <c r="H970" s="19">
        <f>IF(J970=1,Specification!$I$14,IF(J970=2,Specification!$I$15,IF(J970=3,Specification!$I$16)))</f>
        <v>578.93404261974786</v>
      </c>
      <c r="I970" s="16">
        <f t="shared" si="177"/>
        <v>0</v>
      </c>
      <c r="J970" s="17">
        <v>3</v>
      </c>
      <c r="K970" s="16">
        <f>IF(J970=1,VLOOKUP(B970,RPM!$F$2:$H$62,3,TRUE),IF(J970=2,VLOOKUP(B970,RPM!$I$2:$K$62,3,TRUE),IF(J970=3,VLOOKUP(B970,RPM!$L$2:$N$62,3,TRUE))))</f>
        <v>4300</v>
      </c>
      <c r="L970" s="17">
        <f t="shared" si="176"/>
        <v>76.528382611836633</v>
      </c>
      <c r="M970" s="16">
        <f t="shared" si="179"/>
        <v>0.49008788534102199</v>
      </c>
      <c r="N970" s="17">
        <f>VLOOKUP(K970,RPM!$A$2:$D$62,3,FALSE)</f>
        <v>11.4</v>
      </c>
      <c r="O970" s="16">
        <f>VLOOKUP(K970,RPM!$A$2:$D$62,4,FALSE)</f>
        <v>18.894837209302327</v>
      </c>
      <c r="P970" s="17">
        <f t="shared" si="180"/>
        <v>14.089880106976747</v>
      </c>
      <c r="Q970" s="16" cm="1">
        <f t="array" ref="Q970">_xlfn.XLOOKUP(O970,BSFC!$A$2:$A$24,_xlfn.XLOOKUP(K970,BSFC!$B$1:$O$1,BSFC!$B$2:$O$24,,-1),,-1)</f>
        <v>480</v>
      </c>
      <c r="R970" s="17">
        <f t="shared" si="181"/>
        <v>1.8786506809302328</v>
      </c>
      <c r="S970" s="16">
        <f t="shared" si="182"/>
        <v>2.9183485335175871E-4</v>
      </c>
      <c r="T970" s="17">
        <f t="shared" si="185"/>
        <v>0.14008072960884418</v>
      </c>
      <c r="U970" s="16">
        <f t="shared" si="186"/>
        <v>128.45741219703024</v>
      </c>
      <c r="V970" s="17">
        <f t="shared" si="187"/>
        <v>0.26694483798554802</v>
      </c>
      <c r="W970" s="16">
        <f t="shared" si="183"/>
        <v>961001.41674797283</v>
      </c>
      <c r="X970">
        <f>('Hybrid Info'!$A$2-Track!P970)*(L970-L969)*1000+X969</f>
        <v>-38510.014571739273</v>
      </c>
    </row>
    <row r="971" spans="1:24">
      <c r="A971" s="16">
        <f t="shared" si="184"/>
        <v>970</v>
      </c>
      <c r="B971" s="17">
        <f t="shared" si="178"/>
        <v>13.411199999999999</v>
      </c>
      <c r="C971" s="16">
        <f>Specification!$G$29</f>
        <v>164.943378</v>
      </c>
      <c r="D971" s="17">
        <f>0.5*Specification!$K$4*Track!B971^2*Specification!$K$3*Specification!$K$2</f>
        <v>93.159842569492653</v>
      </c>
      <c r="E971" s="16">
        <v>-7</v>
      </c>
      <c r="F971" s="17">
        <f>Specification!$C$23*9.81*SIN((E971*PI()/180))</f>
        <v>-670.05137252956831</v>
      </c>
      <c r="G971" s="18">
        <f>IF(J971=1,VLOOKUP(K971,RPM!$E$2:$H$62,3,FALSE)-F971-E971-D971,IF(J971=2,VLOOKUP(K971,RPM!$H$2:$K$62,3,FALSE)-F971-E971-D971,IF(J971=3,VLOOKUP(K971,RPM!$K$2:$N$62,3,FALSE)-F971-E971-D971)))</f>
        <v>1226.61355156784</v>
      </c>
      <c r="H971" s="19">
        <f>IF(J971=1,Specification!$I$14,IF(J971=2,Specification!$I$15,IF(J971=3,Specification!$I$16)))</f>
        <v>578.93404261974786</v>
      </c>
      <c r="I971" s="16">
        <f t="shared" si="177"/>
        <v>0</v>
      </c>
      <c r="J971" s="17">
        <v>3</v>
      </c>
      <c r="K971" s="16">
        <f>IF(J971=1,VLOOKUP(B971,RPM!$F$2:$H$62,3,TRUE),IF(J971=2,VLOOKUP(B971,RPM!$I$2:$K$62,3,TRUE),IF(J971=3,VLOOKUP(B971,RPM!$L$2:$N$62,3,TRUE))))</f>
        <v>4300</v>
      </c>
      <c r="L971" s="17">
        <f t="shared" si="176"/>
        <v>76.60294715490511</v>
      </c>
      <c r="M971" s="16">
        <f t="shared" si="179"/>
        <v>0.36730332443811742</v>
      </c>
      <c r="N971" s="17">
        <f>VLOOKUP(K971,RPM!$A$2:$D$62,3,FALSE)</f>
        <v>11.4</v>
      </c>
      <c r="O971" s="16">
        <f>VLOOKUP(K971,RPM!$A$2:$D$62,4,FALSE)</f>
        <v>18.894837209302327</v>
      </c>
      <c r="P971" s="17">
        <f t="shared" si="180"/>
        <v>14.089880106976747</v>
      </c>
      <c r="Q971" s="16" cm="1">
        <f t="array" ref="Q971">_xlfn.XLOOKUP(O971,BSFC!$A$2:$A$24,_xlfn.XLOOKUP(K971,BSFC!$B$1:$O$1,BSFC!$B$2:$O$24,,-1),,-1)</f>
        <v>480</v>
      </c>
      <c r="R971" s="17">
        <f t="shared" si="181"/>
        <v>1.8786506809302328</v>
      </c>
      <c r="S971" s="16">
        <f t="shared" si="182"/>
        <v>2.9183485335175871E-4</v>
      </c>
      <c r="T971" s="17">
        <f t="shared" si="185"/>
        <v>0.14008072960884418</v>
      </c>
      <c r="U971" s="16">
        <f t="shared" si="186"/>
        <v>128.59749292663909</v>
      </c>
      <c r="V971" s="17">
        <f t="shared" si="187"/>
        <v>0.26723667283889979</v>
      </c>
      <c r="W971" s="16">
        <f t="shared" si="183"/>
        <v>962052.02222003916</v>
      </c>
      <c r="X971">
        <f>('Hybrid Info'!$A$2-Track!P971)*(L971-L970)*1000+X970</f>
        <v>-38656.863885088678</v>
      </c>
    </row>
    <row r="972" spans="1:24">
      <c r="A972" s="16">
        <f t="shared" si="184"/>
        <v>971</v>
      </c>
      <c r="B972" s="17">
        <f t="shared" si="178"/>
        <v>13.411199999999999</v>
      </c>
      <c r="C972" s="16">
        <f>Specification!$G$29</f>
        <v>164.943378</v>
      </c>
      <c r="D972" s="17">
        <f>0.5*Specification!$K$4*Track!B972^2*Specification!$K$3*Specification!$K$2</f>
        <v>93.159842569492653</v>
      </c>
      <c r="E972" s="16">
        <v>-6</v>
      </c>
      <c r="F972" s="17">
        <f>Specification!$C$23*9.81*SIN((E972*PI()/180))</f>
        <v>-574.70926095052266</v>
      </c>
      <c r="G972" s="18">
        <f>IF(J972=1,VLOOKUP(K972,RPM!$E$2:$H$62,3,FALSE)-F972-E972-D972,IF(J972=2,VLOOKUP(K972,RPM!$H$2:$K$62,3,FALSE)-F972-E972-D972,IF(J972=3,VLOOKUP(K972,RPM!$K$2:$N$62,3,FALSE)-F972-E972-D972)))</f>
        <v>1130.2714399887943</v>
      </c>
      <c r="H972" s="19">
        <f>IF(J972=1,Specification!$I$14,IF(J972=2,Specification!$I$15,IF(J972=3,Specification!$I$16)))</f>
        <v>578.93404261974786</v>
      </c>
      <c r="I972" s="16">
        <f t="shared" si="177"/>
        <v>0</v>
      </c>
      <c r="J972" s="17">
        <v>3</v>
      </c>
      <c r="K972" s="16">
        <f>IF(J972=1,VLOOKUP(B972,RPM!$F$2:$H$62,3,TRUE),IF(J972=2,VLOOKUP(B972,RPM!$I$2:$K$62,3,TRUE),IF(J972=3,VLOOKUP(B972,RPM!$L$2:$N$62,3,TRUE))))</f>
        <v>4300</v>
      </c>
      <c r="L972" s="17">
        <f t="shared" si="176"/>
        <v>76.677511697973586</v>
      </c>
      <c r="M972" s="16">
        <f t="shared" si="179"/>
        <v>0.26219908917244095</v>
      </c>
      <c r="N972" s="17">
        <f>VLOOKUP(K972,RPM!$A$2:$D$62,3,FALSE)</f>
        <v>11.4</v>
      </c>
      <c r="O972" s="16">
        <f>VLOOKUP(K972,RPM!$A$2:$D$62,4,FALSE)</f>
        <v>18.894837209302327</v>
      </c>
      <c r="P972" s="17">
        <f t="shared" si="180"/>
        <v>14.089880106976747</v>
      </c>
      <c r="Q972" s="16" cm="1">
        <f t="array" ref="Q972">_xlfn.XLOOKUP(O972,BSFC!$A$2:$A$24,_xlfn.XLOOKUP(K972,BSFC!$B$1:$O$1,BSFC!$B$2:$O$24,,-1),,-1)</f>
        <v>480</v>
      </c>
      <c r="R972" s="17">
        <f t="shared" si="181"/>
        <v>1.8786506809302328</v>
      </c>
      <c r="S972" s="16">
        <f t="shared" si="182"/>
        <v>2.9183485335175871E-4</v>
      </c>
      <c r="T972" s="17">
        <f t="shared" si="185"/>
        <v>0.14008072960884418</v>
      </c>
      <c r="U972" s="16">
        <f t="shared" si="186"/>
        <v>128.73757365624795</v>
      </c>
      <c r="V972" s="17">
        <f t="shared" si="187"/>
        <v>0.26752850769225156</v>
      </c>
      <c r="W972" s="16">
        <f t="shared" si="183"/>
        <v>963102.62769210548</v>
      </c>
      <c r="X972">
        <f>('Hybrid Info'!$A$2-Track!P972)*(L972-L971)*1000+X971</f>
        <v>-38803.713198438083</v>
      </c>
    </row>
    <row r="973" spans="1:24">
      <c r="A973" s="16">
        <f t="shared" si="184"/>
        <v>972</v>
      </c>
      <c r="B973" s="17">
        <f t="shared" si="178"/>
        <v>13.411199999999999</v>
      </c>
      <c r="C973" s="16">
        <f>Specification!$G$29</f>
        <v>164.943378</v>
      </c>
      <c r="D973" s="17">
        <f>0.5*Specification!$K$4*Track!B973^2*Specification!$K$3*Specification!$K$2</f>
        <v>93.159842569492653</v>
      </c>
      <c r="E973" s="16">
        <v>-5</v>
      </c>
      <c r="F973" s="17">
        <f>Specification!$C$23*9.81*SIN((E973*PI()/180))</f>
        <v>-479.192087363258</v>
      </c>
      <c r="G973" s="18">
        <f>IF(J973=1,VLOOKUP(K973,RPM!$E$2:$H$62,3,FALSE)-F973-E973-D973,IF(J973=2,VLOOKUP(K973,RPM!$H$2:$K$62,3,FALSE)-F973-E973-D973,IF(J973=3,VLOOKUP(K973,RPM!$K$2:$N$62,3,FALSE)-F973-E973-D973)))</f>
        <v>1033.7542664015295</v>
      </c>
      <c r="H973" s="19">
        <f>IF(J973=1,Specification!$I$14,IF(J973=2,Specification!$I$15,IF(J973=3,Specification!$I$16)))</f>
        <v>578.93404261974786</v>
      </c>
      <c r="I973" s="16">
        <f t="shared" si="177"/>
        <v>0</v>
      </c>
      <c r="J973" s="17">
        <v>3</v>
      </c>
      <c r="K973" s="16">
        <f>IF(J973=1,VLOOKUP(B973,RPM!$F$2:$H$62,3,TRUE),IF(J973=2,VLOOKUP(B973,RPM!$I$2:$K$62,3,TRUE),IF(J973=3,VLOOKUP(B973,RPM!$L$2:$N$62,3,TRUE))))</f>
        <v>4300</v>
      </c>
      <c r="L973" s="17">
        <f t="shared" ref="L973:L1036" si="188">IF(I973=0,ABS(1/B973)+L972,IF(ABS(B974-B973)=0,1/B973+L972,ABS((B974-B973)/I973)+L972))</f>
        <v>76.752076241042062</v>
      </c>
      <c r="M973" s="16">
        <f t="shared" si="179"/>
        <v>0.17471042564651695</v>
      </c>
      <c r="N973" s="17">
        <f>VLOOKUP(K973,RPM!$A$2:$D$62,3,FALSE)</f>
        <v>11.4</v>
      </c>
      <c r="O973" s="16">
        <f>VLOOKUP(K973,RPM!$A$2:$D$62,4,FALSE)</f>
        <v>18.894837209302327</v>
      </c>
      <c r="P973" s="17">
        <f t="shared" si="180"/>
        <v>14.089880106976747</v>
      </c>
      <c r="Q973" s="16" cm="1">
        <f t="array" ref="Q973">_xlfn.XLOOKUP(O973,BSFC!$A$2:$A$24,_xlfn.XLOOKUP(K973,BSFC!$B$1:$O$1,BSFC!$B$2:$O$24,,-1),,-1)</f>
        <v>480</v>
      </c>
      <c r="R973" s="17">
        <f t="shared" si="181"/>
        <v>1.8786506809302328</v>
      </c>
      <c r="S973" s="16">
        <f t="shared" si="182"/>
        <v>2.9183485335175871E-4</v>
      </c>
      <c r="T973" s="17">
        <f t="shared" si="185"/>
        <v>0.14008072960884418</v>
      </c>
      <c r="U973" s="16">
        <f t="shared" si="186"/>
        <v>128.8776543858568</v>
      </c>
      <c r="V973" s="17">
        <f t="shared" si="187"/>
        <v>0.26782034254560333</v>
      </c>
      <c r="W973" s="16">
        <f t="shared" si="183"/>
        <v>964153.23316417204</v>
      </c>
      <c r="X973">
        <f>('Hybrid Info'!$A$2-Track!P973)*(L973-L972)*1000+X972</f>
        <v>-38950.562511787488</v>
      </c>
    </row>
    <row r="974" spans="1:24">
      <c r="A974" s="16">
        <f t="shared" si="184"/>
        <v>973</v>
      </c>
      <c r="B974" s="17">
        <f t="shared" si="178"/>
        <v>13.411199999999999</v>
      </c>
      <c r="C974" s="16">
        <f>Specification!$G$29</f>
        <v>164.943378</v>
      </c>
      <c r="D974" s="17">
        <f>0.5*Specification!$K$4*Track!B974^2*Specification!$K$3*Specification!$K$2</f>
        <v>93.159842569492653</v>
      </c>
      <c r="E974" s="16">
        <v>-4</v>
      </c>
      <c r="F974" s="17">
        <f>Specification!$C$23*9.81*SIN((E974*PI()/180))</f>
        <v>-383.52894722414453</v>
      </c>
      <c r="G974" s="18">
        <f>IF(J974=1,VLOOKUP(K974,RPM!$E$2:$H$62,3,FALSE)-F974-E974-D974,IF(J974=2,VLOOKUP(K974,RPM!$H$2:$K$62,3,FALSE)-F974-E974-D974,IF(J974=3,VLOOKUP(K974,RPM!$K$2:$N$62,3,FALSE)-F974-E974-D974)))</f>
        <v>937.09112626241608</v>
      </c>
      <c r="H974" s="19">
        <f>IF(J974=1,Specification!$I$14,IF(J974=2,Specification!$I$15,IF(J974=3,Specification!$I$16)))</f>
        <v>578.93404261974786</v>
      </c>
      <c r="I974" s="16">
        <f t="shared" si="177"/>
        <v>0</v>
      </c>
      <c r="J974" s="17">
        <v>3</v>
      </c>
      <c r="K974" s="16">
        <f>IF(J974=1,VLOOKUP(B974,RPM!$F$2:$H$62,3,TRUE),IF(J974=2,VLOOKUP(B974,RPM!$I$2:$K$62,3,TRUE),IF(J974=3,VLOOKUP(B974,RPM!$L$2:$N$62,3,TRUE))))</f>
        <v>4300</v>
      </c>
      <c r="L974" s="17">
        <f t="shared" si="188"/>
        <v>76.826640784110538</v>
      </c>
      <c r="M974" s="16">
        <f t="shared" si="179"/>
        <v>0.10478361370300654</v>
      </c>
      <c r="N974" s="17">
        <f>VLOOKUP(K974,RPM!$A$2:$D$62,3,FALSE)</f>
        <v>11.4</v>
      </c>
      <c r="O974" s="16">
        <f>VLOOKUP(K974,RPM!$A$2:$D$62,4,FALSE)</f>
        <v>18.894837209302327</v>
      </c>
      <c r="P974" s="17">
        <f t="shared" si="180"/>
        <v>14.089880106976747</v>
      </c>
      <c r="Q974" s="16" cm="1">
        <f t="array" ref="Q974">_xlfn.XLOOKUP(O974,BSFC!$A$2:$A$24,_xlfn.XLOOKUP(K974,BSFC!$B$1:$O$1,BSFC!$B$2:$O$24,,-1),,-1)</f>
        <v>480</v>
      </c>
      <c r="R974" s="17">
        <f t="shared" si="181"/>
        <v>1.8786506809302328</v>
      </c>
      <c r="S974" s="16">
        <f t="shared" si="182"/>
        <v>2.9183485335175871E-4</v>
      </c>
      <c r="T974" s="17">
        <f t="shared" si="185"/>
        <v>0.14008072960884418</v>
      </c>
      <c r="U974" s="16">
        <f t="shared" si="186"/>
        <v>129.01773511546565</v>
      </c>
      <c r="V974" s="17">
        <f t="shared" si="187"/>
        <v>0.2681121773989551</v>
      </c>
      <c r="W974" s="16">
        <f t="shared" si="183"/>
        <v>965203.83863623836</v>
      </c>
      <c r="X974">
        <f>('Hybrid Info'!$A$2-Track!P974)*(L974-L973)*1000+X973</f>
        <v>-39097.411825136893</v>
      </c>
    </row>
    <row r="975" spans="1:24">
      <c r="A975" s="16">
        <f t="shared" si="184"/>
        <v>974</v>
      </c>
      <c r="B975" s="17">
        <f t="shared" si="178"/>
        <v>13.411199999999999</v>
      </c>
      <c r="C975" s="16">
        <f>Specification!$G$29</f>
        <v>164.943378</v>
      </c>
      <c r="D975" s="17">
        <f>0.5*Specification!$K$4*Track!B975^2*Specification!$K$3*Specification!$K$2</f>
        <v>93.159842569492653</v>
      </c>
      <c r="E975" s="16">
        <v>-3</v>
      </c>
      <c r="F975" s="17">
        <f>Specification!$C$23*9.81*SIN((E975*PI()/180))</f>
        <v>-287.74898045237813</v>
      </c>
      <c r="G975" s="18">
        <f>IF(J975=1,VLOOKUP(K975,RPM!$E$2:$H$62,3,FALSE)-F975-E975-D975,IF(J975=2,VLOOKUP(K975,RPM!$H$2:$K$62,3,FALSE)-F975-E975-D975,IF(J975=3,VLOOKUP(K975,RPM!$K$2:$N$62,3,FALSE)-F975-E975-D975)))</f>
        <v>840.31115949064974</v>
      </c>
      <c r="H975" s="19">
        <f>IF(J975=1,Specification!$I$14,IF(J975=2,Specification!$I$15,IF(J975=3,Specification!$I$16)))</f>
        <v>578.93404261974786</v>
      </c>
      <c r="I975" s="16">
        <f t="shared" si="177"/>
        <v>0</v>
      </c>
      <c r="J975" s="17">
        <v>3</v>
      </c>
      <c r="K975" s="16">
        <f>IF(J975=1,VLOOKUP(B975,RPM!$F$2:$H$62,3,TRUE),IF(J975=2,VLOOKUP(B975,RPM!$I$2:$K$62,3,TRUE),IF(J975=3,VLOOKUP(B975,RPM!$L$2:$N$62,3,TRUE))))</f>
        <v>4300</v>
      </c>
      <c r="L975" s="17">
        <f t="shared" si="188"/>
        <v>76.901205327179014</v>
      </c>
      <c r="M975" s="16">
        <f t="shared" si="179"/>
        <v>5.2375834419965343E-2</v>
      </c>
      <c r="N975" s="17">
        <f>VLOOKUP(K975,RPM!$A$2:$D$62,3,FALSE)</f>
        <v>11.4</v>
      </c>
      <c r="O975" s="16">
        <f>VLOOKUP(K975,RPM!$A$2:$D$62,4,FALSE)</f>
        <v>18.894837209302327</v>
      </c>
      <c r="P975" s="17">
        <f t="shared" si="180"/>
        <v>14.089880106976747</v>
      </c>
      <c r="Q975" s="16" cm="1">
        <f t="array" ref="Q975">_xlfn.XLOOKUP(O975,BSFC!$A$2:$A$24,_xlfn.XLOOKUP(K975,BSFC!$B$1:$O$1,BSFC!$B$2:$O$24,,-1),,-1)</f>
        <v>480</v>
      </c>
      <c r="R975" s="17">
        <f t="shared" si="181"/>
        <v>1.8786506809302328</v>
      </c>
      <c r="S975" s="16">
        <f t="shared" si="182"/>
        <v>2.9183485335175871E-4</v>
      </c>
      <c r="T975" s="17">
        <f t="shared" si="185"/>
        <v>0.14008072960884418</v>
      </c>
      <c r="U975" s="16">
        <f t="shared" si="186"/>
        <v>129.15781584507451</v>
      </c>
      <c r="V975" s="17">
        <f t="shared" si="187"/>
        <v>0.26840401225230687</v>
      </c>
      <c r="W975" s="16">
        <f t="shared" si="183"/>
        <v>966254.44410830468</v>
      </c>
      <c r="X975">
        <f>('Hybrid Info'!$A$2-Track!P975)*(L975-L974)*1000+X974</f>
        <v>-39244.261138486298</v>
      </c>
    </row>
    <row r="976" spans="1:24">
      <c r="A976" s="16">
        <f t="shared" si="184"/>
        <v>975</v>
      </c>
      <c r="B976" s="17">
        <f t="shared" si="178"/>
        <v>13.411199999999999</v>
      </c>
      <c r="C976" s="16">
        <f>Specification!$G$29</f>
        <v>164.943378</v>
      </c>
      <c r="D976" s="17">
        <f>0.5*Specification!$K$4*Track!B976^2*Specification!$K$3*Specification!$K$2</f>
        <v>93.159842569492653</v>
      </c>
      <c r="E976" s="16">
        <v>-2</v>
      </c>
      <c r="F976" s="17">
        <f>Specification!$C$23*9.81*SIN((E976*PI()/180))</f>
        <v>-191.88136255367905</v>
      </c>
      <c r="G976" s="18">
        <f>IF(J976=1,VLOOKUP(K976,RPM!$E$2:$H$62,3,FALSE)-F976-E976-D976,IF(J976=2,VLOOKUP(K976,RPM!$H$2:$K$62,3,FALSE)-F976-E976-D976,IF(J976=3,VLOOKUP(K976,RPM!$K$2:$N$62,3,FALSE)-F976-E976-D976)))</f>
        <v>743.44354159195063</v>
      </c>
      <c r="H976" s="19">
        <f>IF(J976=1,Specification!$I$14,IF(J976=2,Specification!$I$15,IF(J976=3,Specification!$I$16)))</f>
        <v>578.93404261974786</v>
      </c>
      <c r="I976" s="16">
        <f t="shared" si="177"/>
        <v>0</v>
      </c>
      <c r="J976" s="17">
        <v>3</v>
      </c>
      <c r="K976" s="16">
        <f>IF(J976=1,VLOOKUP(B976,RPM!$F$2:$H$62,3,TRUE),IF(J976=2,VLOOKUP(B976,RPM!$I$2:$K$62,3,TRUE),IF(J976=3,VLOOKUP(B976,RPM!$L$2:$N$62,3,TRUE))))</f>
        <v>4300</v>
      </c>
      <c r="L976" s="17">
        <f t="shared" si="188"/>
        <v>76.97576987024749</v>
      </c>
      <c r="M976" s="16">
        <f t="shared" si="179"/>
        <v>1.7455064928217613E-2</v>
      </c>
      <c r="N976" s="17">
        <f>VLOOKUP(K976,RPM!$A$2:$D$62,3,FALSE)</f>
        <v>11.4</v>
      </c>
      <c r="O976" s="16">
        <f>VLOOKUP(K976,RPM!$A$2:$D$62,4,FALSE)</f>
        <v>18.894837209302327</v>
      </c>
      <c r="P976" s="17">
        <f t="shared" si="180"/>
        <v>14.089880106976747</v>
      </c>
      <c r="Q976" s="16" cm="1">
        <f t="array" ref="Q976">_xlfn.XLOOKUP(O976,BSFC!$A$2:$A$24,_xlfn.XLOOKUP(K976,BSFC!$B$1:$O$1,BSFC!$B$2:$O$24,,-1),,-1)</f>
        <v>480</v>
      </c>
      <c r="R976" s="17">
        <f t="shared" si="181"/>
        <v>1.8786506809302328</v>
      </c>
      <c r="S976" s="16">
        <f t="shared" si="182"/>
        <v>2.9183485335175871E-4</v>
      </c>
      <c r="T976" s="17">
        <f t="shared" si="185"/>
        <v>0.14008072960884418</v>
      </c>
      <c r="U976" s="16">
        <f t="shared" si="186"/>
        <v>129.29789657468336</v>
      </c>
      <c r="V976" s="17">
        <f t="shared" si="187"/>
        <v>0.26869584710565864</v>
      </c>
      <c r="W976" s="16">
        <f t="shared" si="183"/>
        <v>967305.04958037101</v>
      </c>
      <c r="X976">
        <f>('Hybrid Info'!$A$2-Track!P976)*(L976-L975)*1000+X975</f>
        <v>-39391.110451835702</v>
      </c>
    </row>
    <row r="977" spans="1:24">
      <c r="A977" s="16">
        <f t="shared" si="184"/>
        <v>976</v>
      </c>
      <c r="B977" s="17">
        <f t="shared" si="178"/>
        <v>13.411199999999999</v>
      </c>
      <c r="C977" s="16">
        <f>Specification!$G$29</f>
        <v>164.943378</v>
      </c>
      <c r="D977" s="17">
        <f>0.5*Specification!$K$4*Track!B977^2*Specification!$K$3*Specification!$K$2</f>
        <v>93.159842569492653</v>
      </c>
      <c r="E977" s="16">
        <v>-1</v>
      </c>
      <c r="F977" s="17">
        <f>Specification!$C$23*9.81*SIN((E977*PI()/180))</f>
        <v>-95.955295733149597</v>
      </c>
      <c r="G977" s="18">
        <f>IF(J977=1,VLOOKUP(K977,RPM!$E$2:$H$62,3,FALSE)-F977-E977-D977,IF(J977=2,VLOOKUP(K977,RPM!$H$2:$K$62,3,FALSE)-F977-E977-D977,IF(J977=3,VLOOKUP(K977,RPM!$K$2:$N$62,3,FALSE)-F977-E977-D977)))</f>
        <v>646.51747477142112</v>
      </c>
      <c r="H977" s="19">
        <f>IF(J977=1,Specification!$I$14,IF(J977=2,Specification!$I$15,IF(J977=3,Specification!$I$16)))</f>
        <v>578.93404261974786</v>
      </c>
      <c r="I977" s="16">
        <f t="shared" si="177"/>
        <v>0</v>
      </c>
      <c r="J977" s="17">
        <v>3</v>
      </c>
      <c r="K977" s="16">
        <f>IF(J977=1,VLOOKUP(B977,RPM!$F$2:$H$62,3,TRUE),IF(J977=2,VLOOKUP(B977,RPM!$I$2:$K$62,3,TRUE),IF(J977=3,VLOOKUP(B977,RPM!$L$2:$N$62,3,TRUE))))</f>
        <v>4300</v>
      </c>
      <c r="L977" s="17">
        <f t="shared" si="188"/>
        <v>77.050334413315966</v>
      </c>
      <c r="M977" s="16">
        <v>0</v>
      </c>
      <c r="N977" s="17">
        <f>VLOOKUP(K977,RPM!$A$2:$D$62,3,FALSE)</f>
        <v>11.4</v>
      </c>
      <c r="O977" s="16">
        <f>VLOOKUP(K977,RPM!$A$2:$D$62,4,FALSE)</f>
        <v>18.894837209302327</v>
      </c>
      <c r="P977" s="17">
        <f t="shared" si="180"/>
        <v>14.089880106976747</v>
      </c>
      <c r="Q977" s="16" cm="1">
        <f t="array" ref="Q977">_xlfn.XLOOKUP(O977,BSFC!$A$2:$A$24,_xlfn.XLOOKUP(K977,BSFC!$B$1:$O$1,BSFC!$B$2:$O$24,,-1),,-1)</f>
        <v>480</v>
      </c>
      <c r="R977" s="17">
        <f t="shared" si="181"/>
        <v>1.8786506809302328</v>
      </c>
      <c r="S977" s="16">
        <f t="shared" si="182"/>
        <v>2.9183485335175871E-4</v>
      </c>
      <c r="T977" s="17">
        <f t="shared" si="185"/>
        <v>0.14008072960884418</v>
      </c>
      <c r="U977" s="16">
        <f t="shared" si="186"/>
        <v>129.43797730429222</v>
      </c>
      <c r="V977" s="17">
        <f t="shared" si="187"/>
        <v>0.26898768195901041</v>
      </c>
      <c r="W977" s="16">
        <f t="shared" si="183"/>
        <v>968355.65505243745</v>
      </c>
      <c r="X977">
        <f>('Hybrid Info'!$A$2-Track!P977)*(L977-L976)*1000+X976</f>
        <v>-39537.959765185107</v>
      </c>
    </row>
    <row r="978" spans="1:24">
      <c r="A978" s="16">
        <f t="shared" si="184"/>
        <v>977</v>
      </c>
      <c r="B978" s="17">
        <f t="shared" si="178"/>
        <v>13.411199999999999</v>
      </c>
      <c r="C978" s="16">
        <f>Specification!$G$29</f>
        <v>164.943378</v>
      </c>
      <c r="D978" s="17">
        <f>0.5*Specification!$K$4*Track!B978^2*Specification!$K$3*Specification!$K$2</f>
        <v>93.159842569492653</v>
      </c>
      <c r="E978" s="16">
        <v>0</v>
      </c>
      <c r="F978" s="17">
        <f>Specification!$C$23*9.81*SIN((E978*PI()/180))</f>
        <v>0</v>
      </c>
      <c r="G978" s="18">
        <f>IF(J978=1,VLOOKUP(K978,RPM!$E$2:$H$62,3,FALSE)-F978-E978-D978,IF(J978=2,VLOOKUP(K978,RPM!$H$2:$K$62,3,FALSE)-F978-E978-D978,IF(J978=3,VLOOKUP(K978,RPM!$K$2:$N$62,3,FALSE)-F978-E978-D978)))</f>
        <v>549.56217903827155</v>
      </c>
      <c r="H978" s="19">
        <f>IF(J978=1,Specification!$I$14,IF(J978=2,Specification!$I$15,IF(J978=3,Specification!$I$16)))</f>
        <v>578.93404261974786</v>
      </c>
      <c r="I978" s="16">
        <f t="shared" si="177"/>
        <v>0</v>
      </c>
      <c r="J978" s="17">
        <v>3</v>
      </c>
      <c r="K978" s="16">
        <f>IF(J978=1,VLOOKUP(B978,RPM!$F$2:$H$62,3,TRUE),IF(J978=2,VLOOKUP(B978,RPM!$I$2:$K$62,3,TRUE),IF(J978=3,VLOOKUP(B978,RPM!$L$2:$N$62,3,TRUE))))</f>
        <v>4300</v>
      </c>
      <c r="L978" s="17">
        <f t="shared" si="188"/>
        <v>77.124898956384442</v>
      </c>
      <c r="M978" s="16">
        <f t="shared" si="179"/>
        <v>0</v>
      </c>
      <c r="N978" s="17">
        <f>VLOOKUP(K978,RPM!$A$2:$D$62,3,FALSE)</f>
        <v>11.4</v>
      </c>
      <c r="O978" s="16">
        <f>VLOOKUP(K978,RPM!$A$2:$D$62,4,FALSE)</f>
        <v>18.894837209302327</v>
      </c>
      <c r="P978" s="17">
        <f t="shared" si="180"/>
        <v>14.089880106976747</v>
      </c>
      <c r="Q978" s="16" cm="1">
        <f t="array" ref="Q978">_xlfn.XLOOKUP(O978,BSFC!$A$2:$A$24,_xlfn.XLOOKUP(K978,BSFC!$B$1:$O$1,BSFC!$B$2:$O$24,,-1),,-1)</f>
        <v>480</v>
      </c>
      <c r="R978" s="17">
        <f t="shared" si="181"/>
        <v>1.8786506809302328</v>
      </c>
      <c r="S978" s="16">
        <f t="shared" si="182"/>
        <v>2.9183485335175871E-4</v>
      </c>
      <c r="T978" s="17">
        <f t="shared" si="185"/>
        <v>0.14008072960884418</v>
      </c>
      <c r="U978" s="16">
        <f t="shared" si="186"/>
        <v>129.57805803390107</v>
      </c>
      <c r="V978" s="17">
        <f t="shared" si="187"/>
        <v>0.26927951681236217</v>
      </c>
      <c r="W978" s="16">
        <f t="shared" si="183"/>
        <v>969406.26052450377</v>
      </c>
      <c r="X978">
        <f>('Hybrid Info'!$A$2-Track!P978)*(L978-L977)*1000+X977</f>
        <v>-39684.809078534512</v>
      </c>
    </row>
    <row r="979" spans="1:24">
      <c r="A979" s="16">
        <f t="shared" si="184"/>
        <v>978</v>
      </c>
      <c r="B979" s="17">
        <f t="shared" si="178"/>
        <v>13.411199999999999</v>
      </c>
      <c r="C979" s="16">
        <f>Specification!$G$29</f>
        <v>164.943378</v>
      </c>
      <c r="D979" s="17">
        <f>0.5*Specification!$K$4*Track!B979^2*Specification!$K$3*Specification!$K$2</f>
        <v>93.159842569492653</v>
      </c>
      <c r="E979" s="16">
        <v>0</v>
      </c>
      <c r="F979" s="17">
        <f>Specification!$C$23*9.81*SIN((E979*PI()/180))</f>
        <v>0</v>
      </c>
      <c r="G979" s="18">
        <f>IF(J979=1,VLOOKUP(K979,RPM!$E$2:$H$62,3,FALSE)-F979-E979-D979,IF(J979=2,VLOOKUP(K979,RPM!$H$2:$K$62,3,FALSE)-F979-E979-D979,IF(J979=3,VLOOKUP(K979,RPM!$K$2:$N$62,3,FALSE)-F979-E979-D979)))</f>
        <v>549.56217903827155</v>
      </c>
      <c r="H979" s="19">
        <f>IF(J979=1,Specification!$I$14,IF(J979=2,Specification!$I$15,IF(J979=3,Specification!$I$16)))</f>
        <v>578.93404261974786</v>
      </c>
      <c r="I979" s="16">
        <f t="shared" si="177"/>
        <v>0</v>
      </c>
      <c r="J979" s="17">
        <v>3</v>
      </c>
      <c r="K979" s="16">
        <f>IF(J979=1,VLOOKUP(B979,RPM!$F$2:$H$62,3,TRUE),IF(J979=2,VLOOKUP(B979,RPM!$I$2:$K$62,3,TRUE),IF(J979=3,VLOOKUP(B979,RPM!$L$2:$N$62,3,TRUE))))</f>
        <v>4300</v>
      </c>
      <c r="L979" s="17">
        <f t="shared" si="188"/>
        <v>77.199463499452918</v>
      </c>
      <c r="M979" s="16">
        <f t="shared" si="179"/>
        <v>0</v>
      </c>
      <c r="N979" s="17">
        <f>VLOOKUP(K979,RPM!$A$2:$D$62,3,FALSE)</f>
        <v>11.4</v>
      </c>
      <c r="O979" s="16">
        <f>VLOOKUP(K979,RPM!$A$2:$D$62,4,FALSE)</f>
        <v>18.894837209302327</v>
      </c>
      <c r="P979" s="17">
        <f t="shared" si="180"/>
        <v>14.089880106976747</v>
      </c>
      <c r="Q979" s="16" cm="1">
        <f t="array" ref="Q979">_xlfn.XLOOKUP(O979,BSFC!$A$2:$A$24,_xlfn.XLOOKUP(K979,BSFC!$B$1:$O$1,BSFC!$B$2:$O$24,,-1),,-1)</f>
        <v>480</v>
      </c>
      <c r="R979" s="17">
        <f t="shared" si="181"/>
        <v>1.8786506809302328</v>
      </c>
      <c r="S979" s="16">
        <f t="shared" si="182"/>
        <v>2.9183485335175871E-4</v>
      </c>
      <c r="T979" s="17">
        <f t="shared" si="185"/>
        <v>0.14008072960884418</v>
      </c>
      <c r="U979" s="16">
        <f t="shared" si="186"/>
        <v>129.71813876350993</v>
      </c>
      <c r="V979" s="17">
        <f t="shared" si="187"/>
        <v>0.26957135166571394</v>
      </c>
      <c r="W979" s="16">
        <f t="shared" si="183"/>
        <v>970456.86599657021</v>
      </c>
      <c r="X979">
        <f>('Hybrid Info'!$A$2-Track!P979)*(L979-L978)*1000+X978</f>
        <v>-39831.658391883917</v>
      </c>
    </row>
    <row r="980" spans="1:24">
      <c r="A980" s="16">
        <f t="shared" si="184"/>
        <v>979</v>
      </c>
      <c r="B980" s="17">
        <f t="shared" si="178"/>
        <v>13.411199999999999</v>
      </c>
      <c r="C980" s="16">
        <f>Specification!$G$29</f>
        <v>164.943378</v>
      </c>
      <c r="D980" s="17">
        <f>0.5*Specification!$K$4*Track!B980^2*Specification!$K$3*Specification!$K$2</f>
        <v>93.159842569492653</v>
      </c>
      <c r="E980" s="16">
        <v>0</v>
      </c>
      <c r="F980" s="17">
        <f>Specification!$C$23*9.81*SIN((E980*PI()/180))</f>
        <v>0</v>
      </c>
      <c r="G980" s="18">
        <f>IF(J980=1,VLOOKUP(K980,RPM!$E$2:$H$62,3,FALSE)-F980-E980-D980,IF(J980=2,VLOOKUP(K980,RPM!$H$2:$K$62,3,FALSE)-F980-E980-D980,IF(J980=3,VLOOKUP(K980,RPM!$K$2:$N$62,3,FALSE)-F980-E980-D980)))</f>
        <v>549.56217903827155</v>
      </c>
      <c r="H980" s="19">
        <f>IF(J980=1,Specification!$I$14,IF(J980=2,Specification!$I$15,IF(J980=3,Specification!$I$16)))</f>
        <v>578.93404261974786</v>
      </c>
      <c r="I980" s="16">
        <f t="shared" si="177"/>
        <v>0</v>
      </c>
      <c r="J980" s="17">
        <v>3</v>
      </c>
      <c r="K980" s="16">
        <f>IF(J980=1,VLOOKUP(B980,RPM!$F$2:$H$62,3,TRUE),IF(J980=2,VLOOKUP(B980,RPM!$I$2:$K$62,3,TRUE),IF(J980=3,VLOOKUP(B980,RPM!$L$2:$N$62,3,TRUE))))</f>
        <v>4300</v>
      </c>
      <c r="L980" s="17">
        <f t="shared" si="188"/>
        <v>77.274028042521394</v>
      </c>
      <c r="M980" s="16">
        <f t="shared" si="179"/>
        <v>0</v>
      </c>
      <c r="N980" s="17">
        <f>VLOOKUP(K980,RPM!$A$2:$D$62,3,FALSE)</f>
        <v>11.4</v>
      </c>
      <c r="O980" s="16">
        <f>VLOOKUP(K980,RPM!$A$2:$D$62,4,FALSE)</f>
        <v>18.894837209302327</v>
      </c>
      <c r="P980" s="17">
        <f t="shared" si="180"/>
        <v>14.089880106976747</v>
      </c>
      <c r="Q980" s="16" cm="1">
        <f t="array" ref="Q980">_xlfn.XLOOKUP(O980,BSFC!$A$2:$A$24,_xlfn.XLOOKUP(K980,BSFC!$B$1:$O$1,BSFC!$B$2:$O$24,,-1),,-1)</f>
        <v>480</v>
      </c>
      <c r="R980" s="17">
        <f t="shared" si="181"/>
        <v>1.8786506809302328</v>
      </c>
      <c r="S980" s="16">
        <f t="shared" si="182"/>
        <v>2.9183485335175871E-4</v>
      </c>
      <c r="T980" s="17">
        <f t="shared" si="185"/>
        <v>0.14008072960884418</v>
      </c>
      <c r="U980" s="16">
        <f t="shared" si="186"/>
        <v>129.85821949311878</v>
      </c>
      <c r="V980" s="17">
        <f t="shared" si="187"/>
        <v>0.26986318651906571</v>
      </c>
      <c r="W980" s="16">
        <f t="shared" si="183"/>
        <v>971507.47146863665</v>
      </c>
      <c r="X980">
        <f>('Hybrid Info'!$A$2-Track!P980)*(L980-L979)*1000+X979</f>
        <v>-39978.507705233322</v>
      </c>
    </row>
    <row r="981" spans="1:24">
      <c r="A981" s="16">
        <f t="shared" si="184"/>
        <v>980</v>
      </c>
      <c r="B981" s="17">
        <f t="shared" si="178"/>
        <v>13.411199999999999</v>
      </c>
      <c r="C981" s="16">
        <f>Specification!$G$29</f>
        <v>164.943378</v>
      </c>
      <c r="D981" s="17">
        <f>0.5*Specification!$K$4*Track!B981^2*Specification!$K$3*Specification!$K$2</f>
        <v>93.159842569492653</v>
      </c>
      <c r="E981" s="16">
        <v>0</v>
      </c>
      <c r="F981" s="17">
        <f>Specification!$C$23*9.81*SIN((E981*PI()/180))</f>
        <v>0</v>
      </c>
      <c r="G981" s="18">
        <f>IF(J981=1,VLOOKUP(K981,RPM!$E$2:$H$62,3,FALSE)-F981-E981-D981,IF(J981=2,VLOOKUP(K981,RPM!$H$2:$K$62,3,FALSE)-F981-E981-D981,IF(J981=3,VLOOKUP(K981,RPM!$K$2:$N$62,3,FALSE)-F981-E981-D981)))</f>
        <v>549.56217903827155</v>
      </c>
      <c r="H981" s="19">
        <f>IF(J981=1,Specification!$I$14,IF(J981=2,Specification!$I$15,IF(J981=3,Specification!$I$16)))</f>
        <v>578.93404261974786</v>
      </c>
      <c r="I981" s="16">
        <f t="shared" si="177"/>
        <v>0</v>
      </c>
      <c r="J981" s="17">
        <v>3</v>
      </c>
      <c r="K981" s="16">
        <f>IF(J981=1,VLOOKUP(B981,RPM!$F$2:$H$62,3,TRUE),IF(J981=2,VLOOKUP(B981,RPM!$I$2:$K$62,3,TRUE),IF(J981=3,VLOOKUP(B981,RPM!$L$2:$N$62,3,TRUE))))</f>
        <v>4300</v>
      </c>
      <c r="L981" s="17">
        <f t="shared" si="188"/>
        <v>77.34859258558987</v>
      </c>
      <c r="M981" s="16">
        <f t="shared" si="179"/>
        <v>0</v>
      </c>
      <c r="N981" s="17">
        <f>VLOOKUP(K981,RPM!$A$2:$D$62,3,FALSE)</f>
        <v>11.4</v>
      </c>
      <c r="O981" s="16">
        <f>VLOOKUP(K981,RPM!$A$2:$D$62,4,FALSE)</f>
        <v>18.894837209302327</v>
      </c>
      <c r="P981" s="17">
        <f t="shared" si="180"/>
        <v>14.089880106976747</v>
      </c>
      <c r="Q981" s="16" cm="1">
        <f t="array" ref="Q981">_xlfn.XLOOKUP(O981,BSFC!$A$2:$A$24,_xlfn.XLOOKUP(K981,BSFC!$B$1:$O$1,BSFC!$B$2:$O$24,,-1),,-1)</f>
        <v>480</v>
      </c>
      <c r="R981" s="17">
        <f t="shared" si="181"/>
        <v>1.8786506809302328</v>
      </c>
      <c r="S981" s="16">
        <f t="shared" si="182"/>
        <v>2.9183485335175871E-4</v>
      </c>
      <c r="T981" s="17">
        <f t="shared" si="185"/>
        <v>0.14008072960884418</v>
      </c>
      <c r="U981" s="16">
        <f t="shared" si="186"/>
        <v>129.99830022272764</v>
      </c>
      <c r="V981" s="17">
        <f t="shared" si="187"/>
        <v>0.27015502137241748</v>
      </c>
      <c r="W981" s="16">
        <f t="shared" si="183"/>
        <v>972558.07694070297</v>
      </c>
      <c r="X981">
        <f>('Hybrid Info'!$A$2-Track!P981)*(L981-L980)*1000+X980</f>
        <v>-40125.357018582727</v>
      </c>
    </row>
    <row r="982" spans="1:24">
      <c r="A982" s="16">
        <f t="shared" si="184"/>
        <v>981</v>
      </c>
      <c r="B982" s="17">
        <f t="shared" si="178"/>
        <v>13.411199999999999</v>
      </c>
      <c r="C982" s="16">
        <f>Specification!$G$29</f>
        <v>164.943378</v>
      </c>
      <c r="D982" s="17">
        <f>0.5*Specification!$K$4*Track!B982^2*Specification!$K$3*Specification!$K$2</f>
        <v>93.159842569492653</v>
      </c>
      <c r="E982" s="16">
        <v>0</v>
      </c>
      <c r="F982" s="17">
        <f>Specification!$C$23*9.81*SIN((E982*PI()/180))</f>
        <v>0</v>
      </c>
      <c r="G982" s="18">
        <f>IF(J982=1,VLOOKUP(K982,RPM!$E$2:$H$62,3,FALSE)-F982-E982-D982,IF(J982=2,VLOOKUP(K982,RPM!$H$2:$K$62,3,FALSE)-F982-E982-D982,IF(J982=3,VLOOKUP(K982,RPM!$K$2:$N$62,3,FALSE)-F982-E982-D982)))</f>
        <v>549.56217903827155</v>
      </c>
      <c r="H982" s="19">
        <f>IF(J982=1,Specification!$I$14,IF(J982=2,Specification!$I$15,IF(J982=3,Specification!$I$16)))</f>
        <v>578.93404261974786</v>
      </c>
      <c r="I982" s="16">
        <f t="shared" si="177"/>
        <v>0</v>
      </c>
      <c r="J982" s="17">
        <v>3</v>
      </c>
      <c r="K982" s="16">
        <f>IF(J982=1,VLOOKUP(B982,RPM!$F$2:$H$62,3,TRUE),IF(J982=2,VLOOKUP(B982,RPM!$I$2:$K$62,3,TRUE),IF(J982=3,VLOOKUP(B982,RPM!$L$2:$N$62,3,TRUE))))</f>
        <v>4300</v>
      </c>
      <c r="L982" s="17">
        <f t="shared" si="188"/>
        <v>77.423157128658346</v>
      </c>
      <c r="M982" s="16">
        <f t="shared" si="179"/>
        <v>0</v>
      </c>
      <c r="N982" s="17">
        <f>VLOOKUP(K982,RPM!$A$2:$D$62,3,FALSE)</f>
        <v>11.4</v>
      </c>
      <c r="O982" s="16">
        <f>VLOOKUP(K982,RPM!$A$2:$D$62,4,FALSE)</f>
        <v>18.894837209302327</v>
      </c>
      <c r="P982" s="17">
        <f t="shared" si="180"/>
        <v>14.089880106976747</v>
      </c>
      <c r="Q982" s="16" cm="1">
        <f t="array" ref="Q982">_xlfn.XLOOKUP(O982,BSFC!$A$2:$A$24,_xlfn.XLOOKUP(K982,BSFC!$B$1:$O$1,BSFC!$B$2:$O$24,,-1),,-1)</f>
        <v>480</v>
      </c>
      <c r="R982" s="17">
        <f t="shared" si="181"/>
        <v>1.8786506809302328</v>
      </c>
      <c r="S982" s="16">
        <f t="shared" si="182"/>
        <v>2.9183485335175871E-4</v>
      </c>
      <c r="T982" s="17">
        <f t="shared" si="185"/>
        <v>0.14008072960884418</v>
      </c>
      <c r="U982" s="16">
        <f t="shared" si="186"/>
        <v>130.13838095233649</v>
      </c>
      <c r="V982" s="17">
        <f t="shared" si="187"/>
        <v>0.27044685622576925</v>
      </c>
      <c r="W982" s="16">
        <f t="shared" si="183"/>
        <v>973608.6824127693</v>
      </c>
      <c r="X982">
        <f>('Hybrid Info'!$A$2-Track!P982)*(L982-L981)*1000+X981</f>
        <v>-40272.206331932131</v>
      </c>
    </row>
    <row r="983" spans="1:24">
      <c r="A983" s="16">
        <f t="shared" si="184"/>
        <v>982</v>
      </c>
      <c r="B983" s="17">
        <f t="shared" si="178"/>
        <v>13.411199999999999</v>
      </c>
      <c r="C983" s="16">
        <f>Specification!$G$29</f>
        <v>164.943378</v>
      </c>
      <c r="D983" s="17">
        <f>0.5*Specification!$K$4*Track!B983^2*Specification!$K$3*Specification!$K$2</f>
        <v>93.159842569492653</v>
      </c>
      <c r="E983" s="16">
        <v>0</v>
      </c>
      <c r="F983" s="17">
        <f>Specification!$C$23*9.81*SIN((E983*PI()/180))</f>
        <v>0</v>
      </c>
      <c r="G983" s="18">
        <f>IF(J983=1,VLOOKUP(K983,RPM!$E$2:$H$62,3,FALSE)-F983-E983-D983,IF(J983=2,VLOOKUP(K983,RPM!$H$2:$K$62,3,FALSE)-F983-E983-D983,IF(J983=3,VLOOKUP(K983,RPM!$K$2:$N$62,3,FALSE)-F983-E983-D983)))</f>
        <v>549.56217903827155</v>
      </c>
      <c r="H983" s="19">
        <f>IF(J983=1,Specification!$I$14,IF(J983=2,Specification!$I$15,IF(J983=3,Specification!$I$16)))</f>
        <v>578.93404261974786</v>
      </c>
      <c r="I983" s="16">
        <f t="shared" si="177"/>
        <v>0</v>
      </c>
      <c r="J983" s="17">
        <v>3</v>
      </c>
      <c r="K983" s="16">
        <f>IF(J983=1,VLOOKUP(B983,RPM!$F$2:$H$62,3,TRUE),IF(J983=2,VLOOKUP(B983,RPM!$I$2:$K$62,3,TRUE),IF(J983=3,VLOOKUP(B983,RPM!$L$2:$N$62,3,TRUE))))</f>
        <v>4300</v>
      </c>
      <c r="L983" s="17">
        <f t="shared" si="188"/>
        <v>77.497721671726822</v>
      </c>
      <c r="M983" s="16">
        <f t="shared" si="179"/>
        <v>0</v>
      </c>
      <c r="N983" s="17">
        <f>VLOOKUP(K983,RPM!$A$2:$D$62,3,FALSE)</f>
        <v>11.4</v>
      </c>
      <c r="O983" s="16">
        <f>VLOOKUP(K983,RPM!$A$2:$D$62,4,FALSE)</f>
        <v>18.894837209302327</v>
      </c>
      <c r="P983" s="17">
        <f t="shared" si="180"/>
        <v>14.089880106976747</v>
      </c>
      <c r="Q983" s="16" cm="1">
        <f t="array" ref="Q983">_xlfn.XLOOKUP(O983,BSFC!$A$2:$A$24,_xlfn.XLOOKUP(K983,BSFC!$B$1:$O$1,BSFC!$B$2:$O$24,,-1),,-1)</f>
        <v>480</v>
      </c>
      <c r="R983" s="17">
        <f t="shared" si="181"/>
        <v>1.8786506809302328</v>
      </c>
      <c r="S983" s="16">
        <f t="shared" si="182"/>
        <v>2.9183485335175871E-4</v>
      </c>
      <c r="T983" s="17">
        <f t="shared" si="185"/>
        <v>0.14008072960884418</v>
      </c>
      <c r="U983" s="16">
        <f t="shared" si="186"/>
        <v>130.27846168194534</v>
      </c>
      <c r="V983" s="17">
        <f t="shared" si="187"/>
        <v>0.27073869107912102</v>
      </c>
      <c r="W983" s="16">
        <f t="shared" si="183"/>
        <v>974659.28788483562</v>
      </c>
      <c r="X983">
        <f>('Hybrid Info'!$A$2-Track!P983)*(L983-L982)*1000+X982</f>
        <v>-40419.055645281536</v>
      </c>
    </row>
    <row r="984" spans="1:24">
      <c r="A984" s="16">
        <f t="shared" si="184"/>
        <v>983</v>
      </c>
      <c r="B984" s="17">
        <f t="shared" si="178"/>
        <v>13.411199999999999</v>
      </c>
      <c r="C984" s="16">
        <f>Specification!$G$29</f>
        <v>164.943378</v>
      </c>
      <c r="D984" s="17">
        <f>0.5*Specification!$K$4*Track!B984^2*Specification!$K$3*Specification!$K$2</f>
        <v>93.159842569492653</v>
      </c>
      <c r="E984" s="16">
        <v>0</v>
      </c>
      <c r="F984" s="17">
        <f>Specification!$C$23*9.81*SIN((E984*PI()/180))</f>
        <v>0</v>
      </c>
      <c r="G984" s="18">
        <f>IF(J984=1,VLOOKUP(K984,RPM!$E$2:$H$62,3,FALSE)-F984-E984-D984,IF(J984=2,VLOOKUP(K984,RPM!$H$2:$K$62,3,FALSE)-F984-E984-D984,IF(J984=3,VLOOKUP(K984,RPM!$K$2:$N$62,3,FALSE)-F984-E984-D984)))</f>
        <v>549.56217903827155</v>
      </c>
      <c r="H984" s="19">
        <f>IF(J984=1,Specification!$I$14,IF(J984=2,Specification!$I$15,IF(J984=3,Specification!$I$16)))</f>
        <v>578.93404261974786</v>
      </c>
      <c r="I984" s="16">
        <f t="shared" si="177"/>
        <v>0</v>
      </c>
      <c r="J984" s="17">
        <v>3</v>
      </c>
      <c r="K984" s="16">
        <f>IF(J984=1,VLOOKUP(B984,RPM!$F$2:$H$62,3,TRUE),IF(J984=2,VLOOKUP(B984,RPM!$I$2:$K$62,3,TRUE),IF(J984=3,VLOOKUP(B984,RPM!$L$2:$N$62,3,TRUE))))</f>
        <v>4300</v>
      </c>
      <c r="L984" s="17">
        <f t="shared" si="188"/>
        <v>77.572286214795298</v>
      </c>
      <c r="M984" s="16">
        <f t="shared" si="179"/>
        <v>0</v>
      </c>
      <c r="N984" s="17">
        <f>VLOOKUP(K984,RPM!$A$2:$D$62,3,FALSE)</f>
        <v>11.4</v>
      </c>
      <c r="O984" s="16">
        <f>VLOOKUP(K984,RPM!$A$2:$D$62,4,FALSE)</f>
        <v>18.894837209302327</v>
      </c>
      <c r="P984" s="17">
        <f t="shared" si="180"/>
        <v>14.089880106976747</v>
      </c>
      <c r="Q984" s="16" cm="1">
        <f t="array" ref="Q984">_xlfn.XLOOKUP(O984,BSFC!$A$2:$A$24,_xlfn.XLOOKUP(K984,BSFC!$B$1:$O$1,BSFC!$B$2:$O$24,,-1),,-1)</f>
        <v>480</v>
      </c>
      <c r="R984" s="17">
        <f t="shared" si="181"/>
        <v>1.8786506809302328</v>
      </c>
      <c r="S984" s="16">
        <f t="shared" si="182"/>
        <v>2.9183485335175871E-4</v>
      </c>
      <c r="T984" s="17">
        <f t="shared" si="185"/>
        <v>0.14008072960884418</v>
      </c>
      <c r="U984" s="16">
        <f t="shared" si="186"/>
        <v>130.4185424115542</v>
      </c>
      <c r="V984" s="17">
        <f t="shared" si="187"/>
        <v>0.27103052593247279</v>
      </c>
      <c r="W984" s="16">
        <f t="shared" si="183"/>
        <v>975709.89335690218</v>
      </c>
      <c r="X984">
        <f>('Hybrid Info'!$A$2-Track!P984)*(L984-L983)*1000+X983</f>
        <v>-40565.904958630941</v>
      </c>
    </row>
    <row r="985" spans="1:24">
      <c r="A985" s="16">
        <f t="shared" si="184"/>
        <v>984</v>
      </c>
      <c r="B985" s="17">
        <f t="shared" si="178"/>
        <v>13.411199999999999</v>
      </c>
      <c r="C985" s="16">
        <f>Specification!$G$29</f>
        <v>164.943378</v>
      </c>
      <c r="D985" s="17">
        <f>0.5*Specification!$K$4*Track!B985^2*Specification!$K$3*Specification!$K$2</f>
        <v>93.159842569492653</v>
      </c>
      <c r="E985" s="16">
        <v>0</v>
      </c>
      <c r="F985" s="17">
        <f>Specification!$C$23*9.81*SIN((E985*PI()/180))</f>
        <v>0</v>
      </c>
      <c r="G985" s="18">
        <f>IF(J985=1,VLOOKUP(K985,RPM!$E$2:$H$62,3,FALSE)-F985-E985-D985,IF(J985=2,VLOOKUP(K985,RPM!$H$2:$K$62,3,FALSE)-F985-E985-D985,IF(J985=3,VLOOKUP(K985,RPM!$K$2:$N$62,3,FALSE)-F985-E985-D985)))</f>
        <v>549.56217903827155</v>
      </c>
      <c r="H985" s="19">
        <f>IF(J985=1,Specification!$I$14,IF(J985=2,Specification!$I$15,IF(J985=3,Specification!$I$16)))</f>
        <v>578.93404261974786</v>
      </c>
      <c r="I985" s="16">
        <f t="shared" si="177"/>
        <v>0</v>
      </c>
      <c r="J985" s="17">
        <v>3</v>
      </c>
      <c r="K985" s="16">
        <f>IF(J985=1,VLOOKUP(B985,RPM!$F$2:$H$62,3,TRUE),IF(J985=2,VLOOKUP(B985,RPM!$I$2:$K$62,3,TRUE),IF(J985=3,VLOOKUP(B985,RPM!$L$2:$N$62,3,TRUE))))</f>
        <v>4300</v>
      </c>
      <c r="L985" s="17">
        <f t="shared" si="188"/>
        <v>77.646850757863774</v>
      </c>
      <c r="M985" s="16">
        <f t="shared" si="179"/>
        <v>0</v>
      </c>
      <c r="N985" s="17">
        <f>VLOOKUP(K985,RPM!$A$2:$D$62,3,FALSE)</f>
        <v>11.4</v>
      </c>
      <c r="O985" s="16">
        <f>VLOOKUP(K985,RPM!$A$2:$D$62,4,FALSE)</f>
        <v>18.894837209302327</v>
      </c>
      <c r="P985" s="17">
        <f t="shared" si="180"/>
        <v>14.089880106976747</v>
      </c>
      <c r="Q985" s="16" cm="1">
        <f t="array" ref="Q985">_xlfn.XLOOKUP(O985,BSFC!$A$2:$A$24,_xlfn.XLOOKUP(K985,BSFC!$B$1:$O$1,BSFC!$B$2:$O$24,,-1),,-1)</f>
        <v>480</v>
      </c>
      <c r="R985" s="17">
        <f t="shared" si="181"/>
        <v>1.8786506809302328</v>
      </c>
      <c r="S985" s="16">
        <f t="shared" si="182"/>
        <v>2.9183485335175871E-4</v>
      </c>
      <c r="T985" s="17">
        <f t="shared" si="185"/>
        <v>0.14008072960884418</v>
      </c>
      <c r="U985" s="16">
        <f t="shared" si="186"/>
        <v>130.55862314116305</v>
      </c>
      <c r="V985" s="17">
        <f t="shared" si="187"/>
        <v>0.27132236078582456</v>
      </c>
      <c r="W985" s="16">
        <f t="shared" si="183"/>
        <v>976760.4988289685</v>
      </c>
      <c r="X985">
        <f>('Hybrid Info'!$A$2-Track!P985)*(L985-L984)*1000+X984</f>
        <v>-40712.754271980346</v>
      </c>
    </row>
    <row r="986" spans="1:24">
      <c r="A986" s="16">
        <f t="shared" si="184"/>
        <v>985</v>
      </c>
      <c r="B986" s="17">
        <f t="shared" si="178"/>
        <v>13.411199999999999</v>
      </c>
      <c r="C986" s="16">
        <f>Specification!$G$29</f>
        <v>164.943378</v>
      </c>
      <c r="D986" s="17">
        <f>0.5*Specification!$K$4*Track!B986^2*Specification!$K$3*Specification!$K$2</f>
        <v>93.159842569492653</v>
      </c>
      <c r="E986" s="16">
        <v>0</v>
      </c>
      <c r="F986" s="17">
        <f>Specification!$C$23*9.81*SIN((E986*PI()/180))</f>
        <v>0</v>
      </c>
      <c r="G986" s="18">
        <f>IF(J986=1,VLOOKUP(K986,RPM!$E$2:$H$62,3,FALSE)-F986-E986-D986,IF(J986=2,VLOOKUP(K986,RPM!$H$2:$K$62,3,FALSE)-F986-E986-D986,IF(J986=3,VLOOKUP(K986,RPM!$K$2:$N$62,3,FALSE)-F986-E986-D986)))</f>
        <v>549.56217903827155</v>
      </c>
      <c r="H986" s="19">
        <f>IF(J986=1,Specification!$I$14,IF(J986=2,Specification!$I$15,IF(J986=3,Specification!$I$16)))</f>
        <v>578.93404261974786</v>
      </c>
      <c r="I986" s="16">
        <f t="shared" si="177"/>
        <v>0</v>
      </c>
      <c r="J986" s="17">
        <v>3</v>
      </c>
      <c r="K986" s="16">
        <f>IF(J986=1,VLOOKUP(B986,RPM!$F$2:$H$62,3,TRUE),IF(J986=2,VLOOKUP(B986,RPM!$I$2:$K$62,3,TRUE),IF(J986=3,VLOOKUP(B986,RPM!$L$2:$N$62,3,TRUE))))</f>
        <v>4300</v>
      </c>
      <c r="L986" s="17">
        <f t="shared" si="188"/>
        <v>77.72141530093225</v>
      </c>
      <c r="M986" s="16">
        <f t="shared" si="179"/>
        <v>0</v>
      </c>
      <c r="N986" s="17">
        <f>VLOOKUP(K986,RPM!$A$2:$D$62,3,FALSE)</f>
        <v>11.4</v>
      </c>
      <c r="O986" s="16">
        <f>VLOOKUP(K986,RPM!$A$2:$D$62,4,FALSE)</f>
        <v>18.894837209302327</v>
      </c>
      <c r="P986" s="17">
        <f t="shared" si="180"/>
        <v>14.089880106976747</v>
      </c>
      <c r="Q986" s="16" cm="1">
        <f t="array" ref="Q986">_xlfn.XLOOKUP(O986,BSFC!$A$2:$A$24,_xlfn.XLOOKUP(K986,BSFC!$B$1:$O$1,BSFC!$B$2:$O$24,,-1),,-1)</f>
        <v>480</v>
      </c>
      <c r="R986" s="17">
        <f t="shared" si="181"/>
        <v>1.8786506809302328</v>
      </c>
      <c r="S986" s="16">
        <f t="shared" si="182"/>
        <v>2.9183485335175871E-4</v>
      </c>
      <c r="T986" s="17">
        <f t="shared" si="185"/>
        <v>0.14008072960884418</v>
      </c>
      <c r="U986" s="16">
        <f t="shared" si="186"/>
        <v>130.69870387077191</v>
      </c>
      <c r="V986" s="17">
        <f t="shared" si="187"/>
        <v>0.27161419563917633</v>
      </c>
      <c r="W986" s="16">
        <f t="shared" si="183"/>
        <v>977811.10430103482</v>
      </c>
      <c r="X986">
        <f>('Hybrid Info'!$A$2-Track!P986)*(L986-L985)*1000+X985</f>
        <v>-40859.603585329751</v>
      </c>
    </row>
    <row r="987" spans="1:24">
      <c r="A987" s="16">
        <f t="shared" si="184"/>
        <v>986</v>
      </c>
      <c r="B987" s="17">
        <f t="shared" si="178"/>
        <v>13.411199999999999</v>
      </c>
      <c r="C987" s="16">
        <f>Specification!$G$29</f>
        <v>164.943378</v>
      </c>
      <c r="D987" s="17">
        <f>0.5*Specification!$K$4*Track!B987^2*Specification!$K$3*Specification!$K$2</f>
        <v>93.159842569492653</v>
      </c>
      <c r="E987" s="16">
        <v>0</v>
      </c>
      <c r="F987" s="17">
        <f>Specification!$C$23*9.81*SIN((E987*PI()/180))</f>
        <v>0</v>
      </c>
      <c r="G987" s="18">
        <f>IF(J987=1,VLOOKUP(K987,RPM!$E$2:$H$62,3,FALSE)-F987-E987-D987,IF(J987=2,VLOOKUP(K987,RPM!$H$2:$K$62,3,FALSE)-F987-E987-D987,IF(J987=3,VLOOKUP(K987,RPM!$K$2:$N$62,3,FALSE)-F987-E987-D987)))</f>
        <v>549.56217903827155</v>
      </c>
      <c r="H987" s="19">
        <f>IF(J987=1,Specification!$I$14,IF(J987=2,Specification!$I$15,IF(J987=3,Specification!$I$16)))</f>
        <v>578.93404261974786</v>
      </c>
      <c r="I987" s="16">
        <f t="shared" si="177"/>
        <v>0</v>
      </c>
      <c r="J987" s="17">
        <v>3</v>
      </c>
      <c r="K987" s="16">
        <f>IF(J987=1,VLOOKUP(B987,RPM!$F$2:$H$62,3,TRUE),IF(J987=2,VLOOKUP(B987,RPM!$I$2:$K$62,3,TRUE),IF(J987=3,VLOOKUP(B987,RPM!$L$2:$N$62,3,TRUE))))</f>
        <v>4300</v>
      </c>
      <c r="L987" s="17">
        <f t="shared" si="188"/>
        <v>77.795979844000726</v>
      </c>
      <c r="M987" s="16">
        <f t="shared" si="179"/>
        <v>0</v>
      </c>
      <c r="N987" s="17">
        <f>VLOOKUP(K987,RPM!$A$2:$D$62,3,FALSE)</f>
        <v>11.4</v>
      </c>
      <c r="O987" s="16">
        <f>VLOOKUP(K987,RPM!$A$2:$D$62,4,FALSE)</f>
        <v>18.894837209302327</v>
      </c>
      <c r="P987" s="17">
        <f t="shared" si="180"/>
        <v>14.089880106976747</v>
      </c>
      <c r="Q987" s="16" cm="1">
        <f t="array" ref="Q987">_xlfn.XLOOKUP(O987,BSFC!$A$2:$A$24,_xlfn.XLOOKUP(K987,BSFC!$B$1:$O$1,BSFC!$B$2:$O$24,,-1),,-1)</f>
        <v>480</v>
      </c>
      <c r="R987" s="17">
        <f t="shared" si="181"/>
        <v>1.8786506809302328</v>
      </c>
      <c r="S987" s="16">
        <f t="shared" si="182"/>
        <v>2.9183485335175871E-4</v>
      </c>
      <c r="T987" s="17">
        <f t="shared" si="185"/>
        <v>0.14008072960884418</v>
      </c>
      <c r="U987" s="16">
        <f t="shared" si="186"/>
        <v>130.83878460038076</v>
      </c>
      <c r="V987" s="17">
        <f t="shared" si="187"/>
        <v>0.27190603049252809</v>
      </c>
      <c r="W987" s="16">
        <f t="shared" si="183"/>
        <v>978861.70977310115</v>
      </c>
      <c r="X987">
        <f>('Hybrid Info'!$A$2-Track!P987)*(L987-L986)*1000+X986</f>
        <v>-41006.452898679156</v>
      </c>
    </row>
    <row r="988" spans="1:24">
      <c r="A988" s="16">
        <f t="shared" si="184"/>
        <v>987</v>
      </c>
      <c r="B988" s="17">
        <f t="shared" si="178"/>
        <v>13.411199999999999</v>
      </c>
      <c r="C988" s="16">
        <f>Specification!$G$29</f>
        <v>164.943378</v>
      </c>
      <c r="D988" s="17">
        <f>0.5*Specification!$K$4*Track!B988^2*Specification!$K$3*Specification!$K$2</f>
        <v>93.159842569492653</v>
      </c>
      <c r="E988" s="16">
        <v>0</v>
      </c>
      <c r="F988" s="17">
        <f>Specification!$C$23*9.81*SIN((E988*PI()/180))</f>
        <v>0</v>
      </c>
      <c r="G988" s="18">
        <f>IF(J988=1,VLOOKUP(K988,RPM!$E$2:$H$62,3,FALSE)-F988-E988-D988,IF(J988=2,VLOOKUP(K988,RPM!$H$2:$K$62,3,FALSE)-F988-E988-D988,IF(J988=3,VLOOKUP(K988,RPM!$K$2:$N$62,3,FALSE)-F988-E988-D988)))</f>
        <v>549.56217903827155</v>
      </c>
      <c r="H988" s="19">
        <f>IF(J988=1,Specification!$I$14,IF(J988=2,Specification!$I$15,IF(J988=3,Specification!$I$16)))</f>
        <v>578.93404261974786</v>
      </c>
      <c r="I988" s="16">
        <f t="shared" si="177"/>
        <v>0</v>
      </c>
      <c r="J988" s="17">
        <v>3</v>
      </c>
      <c r="K988" s="16">
        <f>IF(J988=1,VLOOKUP(B988,RPM!$F$2:$H$62,3,TRUE),IF(J988=2,VLOOKUP(B988,RPM!$I$2:$K$62,3,TRUE),IF(J988=3,VLOOKUP(B988,RPM!$L$2:$N$62,3,TRUE))))</f>
        <v>4300</v>
      </c>
      <c r="L988" s="17">
        <f t="shared" si="188"/>
        <v>77.870544387069202</v>
      </c>
      <c r="M988" s="16">
        <f t="shared" si="179"/>
        <v>0</v>
      </c>
      <c r="N988" s="17">
        <f>VLOOKUP(K988,RPM!$A$2:$D$62,3,FALSE)</f>
        <v>11.4</v>
      </c>
      <c r="O988" s="16">
        <f>VLOOKUP(K988,RPM!$A$2:$D$62,4,FALSE)</f>
        <v>18.894837209302327</v>
      </c>
      <c r="P988" s="17">
        <f t="shared" si="180"/>
        <v>14.089880106976747</v>
      </c>
      <c r="Q988" s="16" cm="1">
        <f t="array" ref="Q988">_xlfn.XLOOKUP(O988,BSFC!$A$2:$A$24,_xlfn.XLOOKUP(K988,BSFC!$B$1:$O$1,BSFC!$B$2:$O$24,,-1),,-1)</f>
        <v>480</v>
      </c>
      <c r="R988" s="17">
        <f t="shared" si="181"/>
        <v>1.8786506809302328</v>
      </c>
      <c r="S988" s="16">
        <f t="shared" si="182"/>
        <v>2.9183485335175871E-4</v>
      </c>
      <c r="T988" s="17">
        <f t="shared" si="185"/>
        <v>0.14008072960884418</v>
      </c>
      <c r="U988" s="16">
        <f t="shared" si="186"/>
        <v>130.97886532998962</v>
      </c>
      <c r="V988" s="17">
        <f t="shared" si="187"/>
        <v>0.27219786534587986</v>
      </c>
      <c r="W988" s="16">
        <f t="shared" si="183"/>
        <v>979912.31524516747</v>
      </c>
      <c r="X988">
        <f>('Hybrid Info'!$A$2-Track!P988)*(L988-L987)*1000+X987</f>
        <v>-41153.30221202856</v>
      </c>
    </row>
    <row r="989" spans="1:24">
      <c r="A989" s="16">
        <f t="shared" si="184"/>
        <v>988</v>
      </c>
      <c r="B989" s="17">
        <f t="shared" si="178"/>
        <v>13.411199999999999</v>
      </c>
      <c r="C989" s="16">
        <f>Specification!$G$29</f>
        <v>164.943378</v>
      </c>
      <c r="D989" s="17">
        <f>0.5*Specification!$K$4*Track!B989^2*Specification!$K$3*Specification!$K$2</f>
        <v>93.159842569492653</v>
      </c>
      <c r="E989" s="16">
        <v>0</v>
      </c>
      <c r="F989" s="17">
        <f>Specification!$C$23*9.81*SIN((E989*PI()/180))</f>
        <v>0</v>
      </c>
      <c r="G989" s="18">
        <f>IF(J989=1,VLOOKUP(K989,RPM!$E$2:$H$62,3,FALSE)-F989-E989-D989,IF(J989=2,VLOOKUP(K989,RPM!$H$2:$K$62,3,FALSE)-F989-E989-D989,IF(J989=3,VLOOKUP(K989,RPM!$K$2:$N$62,3,FALSE)-F989-E989-D989)))</f>
        <v>549.56217903827155</v>
      </c>
      <c r="H989" s="19">
        <f>IF(J989=1,Specification!$I$14,IF(J989=2,Specification!$I$15,IF(J989=3,Specification!$I$16)))</f>
        <v>578.93404261974786</v>
      </c>
      <c r="I989" s="16">
        <f t="shared" si="177"/>
        <v>0</v>
      </c>
      <c r="J989" s="17">
        <v>3</v>
      </c>
      <c r="K989" s="16">
        <f>IF(J989=1,VLOOKUP(B989,RPM!$F$2:$H$62,3,TRUE),IF(J989=2,VLOOKUP(B989,RPM!$I$2:$K$62,3,TRUE),IF(J989=3,VLOOKUP(B989,RPM!$L$2:$N$62,3,TRUE))))</f>
        <v>4300</v>
      </c>
      <c r="L989" s="17">
        <f t="shared" si="188"/>
        <v>77.945108930137678</v>
      </c>
      <c r="M989" s="16">
        <f t="shared" si="179"/>
        <v>0</v>
      </c>
      <c r="N989" s="17">
        <f>VLOOKUP(K989,RPM!$A$2:$D$62,3,FALSE)</f>
        <v>11.4</v>
      </c>
      <c r="O989" s="16">
        <f>VLOOKUP(K989,RPM!$A$2:$D$62,4,FALSE)</f>
        <v>18.894837209302327</v>
      </c>
      <c r="P989" s="17">
        <f t="shared" si="180"/>
        <v>14.089880106976747</v>
      </c>
      <c r="Q989" s="16" cm="1">
        <f t="array" ref="Q989">_xlfn.XLOOKUP(O989,BSFC!$A$2:$A$24,_xlfn.XLOOKUP(K989,BSFC!$B$1:$O$1,BSFC!$B$2:$O$24,,-1),,-1)</f>
        <v>480</v>
      </c>
      <c r="R989" s="17">
        <f t="shared" si="181"/>
        <v>1.8786506809302328</v>
      </c>
      <c r="S989" s="16">
        <f t="shared" si="182"/>
        <v>2.9183485335175871E-4</v>
      </c>
      <c r="T989" s="17">
        <f t="shared" si="185"/>
        <v>0.14008072960884418</v>
      </c>
      <c r="U989" s="16">
        <f t="shared" si="186"/>
        <v>131.11894605959847</v>
      </c>
      <c r="V989" s="17">
        <f t="shared" si="187"/>
        <v>0.27248970019923163</v>
      </c>
      <c r="W989" s="16">
        <f t="shared" si="183"/>
        <v>980962.92071723379</v>
      </c>
      <c r="X989">
        <f>('Hybrid Info'!$A$2-Track!P989)*(L989-L988)*1000+X988</f>
        <v>-41300.151525377965</v>
      </c>
    </row>
    <row r="990" spans="1:24">
      <c r="A990" s="16">
        <f t="shared" si="184"/>
        <v>989</v>
      </c>
      <c r="B990" s="17">
        <f t="shared" si="178"/>
        <v>13.411199999999999</v>
      </c>
      <c r="C990" s="16">
        <f>Specification!$G$29</f>
        <v>164.943378</v>
      </c>
      <c r="D990" s="17">
        <f>0.5*Specification!$K$4*Track!B990^2*Specification!$K$3*Specification!$K$2</f>
        <v>93.159842569492653</v>
      </c>
      <c r="E990" s="16">
        <v>0</v>
      </c>
      <c r="F990" s="17">
        <f>Specification!$C$23*9.81*SIN((E990*PI()/180))</f>
        <v>0</v>
      </c>
      <c r="G990" s="18">
        <f>IF(J990=1,VLOOKUP(K990,RPM!$E$2:$H$62,3,FALSE)-F990-E990-D990,IF(J990=2,VLOOKUP(K990,RPM!$H$2:$K$62,3,FALSE)-F990-E990-D990,IF(J990=3,VLOOKUP(K990,RPM!$K$2:$N$62,3,FALSE)-F990-E990-D990)))</f>
        <v>549.56217903827155</v>
      </c>
      <c r="H990" s="19">
        <f>IF(J990=1,Specification!$I$14,IF(J990=2,Specification!$I$15,IF(J990=3,Specification!$I$16)))</f>
        <v>578.93404261974786</v>
      </c>
      <c r="I990" s="16">
        <f t="shared" si="177"/>
        <v>0</v>
      </c>
      <c r="J990" s="17">
        <v>3</v>
      </c>
      <c r="K990" s="16">
        <f>IF(J990=1,VLOOKUP(B990,RPM!$F$2:$H$62,3,TRUE),IF(J990=2,VLOOKUP(B990,RPM!$I$2:$K$62,3,TRUE),IF(J990=3,VLOOKUP(B990,RPM!$L$2:$N$62,3,TRUE))))</f>
        <v>4300</v>
      </c>
      <c r="L990" s="17">
        <f t="shared" si="188"/>
        <v>78.019673473206154</v>
      </c>
      <c r="M990" s="16">
        <f t="shared" si="179"/>
        <v>0</v>
      </c>
      <c r="N990" s="17">
        <f>VLOOKUP(K990,RPM!$A$2:$D$62,3,FALSE)</f>
        <v>11.4</v>
      </c>
      <c r="O990" s="16">
        <f>VLOOKUP(K990,RPM!$A$2:$D$62,4,FALSE)</f>
        <v>18.894837209302327</v>
      </c>
      <c r="P990" s="17">
        <f t="shared" si="180"/>
        <v>14.089880106976747</v>
      </c>
      <c r="Q990" s="16" cm="1">
        <f t="array" ref="Q990">_xlfn.XLOOKUP(O990,BSFC!$A$2:$A$24,_xlfn.XLOOKUP(K990,BSFC!$B$1:$O$1,BSFC!$B$2:$O$24,,-1),,-1)</f>
        <v>480</v>
      </c>
      <c r="R990" s="17">
        <f t="shared" si="181"/>
        <v>1.8786506809302328</v>
      </c>
      <c r="S990" s="16">
        <f t="shared" si="182"/>
        <v>2.9183485335175871E-4</v>
      </c>
      <c r="T990" s="17">
        <f t="shared" si="185"/>
        <v>0.14008072960884418</v>
      </c>
      <c r="U990" s="16">
        <f t="shared" si="186"/>
        <v>131.25902678920733</v>
      </c>
      <c r="V990" s="17">
        <f t="shared" si="187"/>
        <v>0.2727815350525834</v>
      </c>
      <c r="W990" s="16">
        <f t="shared" si="183"/>
        <v>982013.52618930035</v>
      </c>
      <c r="X990">
        <f>('Hybrid Info'!$A$2-Track!P990)*(L990-L989)*1000+X989</f>
        <v>-41447.00083872737</v>
      </c>
    </row>
    <row r="991" spans="1:24">
      <c r="A991" s="16">
        <f t="shared" si="184"/>
        <v>990</v>
      </c>
      <c r="B991" s="17">
        <f t="shared" si="178"/>
        <v>13.411199999999999</v>
      </c>
      <c r="C991" s="16">
        <f>Specification!$G$29</f>
        <v>164.943378</v>
      </c>
      <c r="D991" s="17">
        <f>0.5*Specification!$K$4*Track!B991^2*Specification!$K$3*Specification!$K$2</f>
        <v>93.159842569492653</v>
      </c>
      <c r="E991" s="16">
        <v>0</v>
      </c>
      <c r="F991" s="17">
        <f>Specification!$C$23*9.81*SIN((E991*PI()/180))</f>
        <v>0</v>
      </c>
      <c r="G991" s="18">
        <f>IF(J991=1,VLOOKUP(K991,RPM!$E$2:$H$62,3,FALSE)-F991-E991-D991,IF(J991=2,VLOOKUP(K991,RPM!$H$2:$K$62,3,FALSE)-F991-E991-D991,IF(J991=3,VLOOKUP(K991,RPM!$K$2:$N$62,3,FALSE)-F991-E991-D991)))</f>
        <v>549.56217903827155</v>
      </c>
      <c r="H991" s="19">
        <f>IF(J991=1,Specification!$I$14,IF(J991=2,Specification!$I$15,IF(J991=3,Specification!$I$16)))</f>
        <v>578.93404261974786</v>
      </c>
      <c r="I991" s="16">
        <f t="shared" si="177"/>
        <v>0</v>
      </c>
      <c r="J991" s="17">
        <v>3</v>
      </c>
      <c r="K991" s="16">
        <f>IF(J991=1,VLOOKUP(B991,RPM!$F$2:$H$62,3,TRUE),IF(J991=2,VLOOKUP(B991,RPM!$I$2:$K$62,3,TRUE),IF(J991=3,VLOOKUP(B991,RPM!$L$2:$N$62,3,TRUE))))</f>
        <v>4300</v>
      </c>
      <c r="L991" s="17">
        <f t="shared" si="188"/>
        <v>78.09423801627463</v>
      </c>
      <c r="M991" s="16">
        <f t="shared" si="179"/>
        <v>0</v>
      </c>
      <c r="N991" s="17">
        <f>VLOOKUP(K991,RPM!$A$2:$D$62,3,FALSE)</f>
        <v>11.4</v>
      </c>
      <c r="O991" s="16">
        <f>VLOOKUP(K991,RPM!$A$2:$D$62,4,FALSE)</f>
        <v>18.894837209302327</v>
      </c>
      <c r="P991" s="17">
        <f t="shared" si="180"/>
        <v>14.089880106976747</v>
      </c>
      <c r="Q991" s="16" cm="1">
        <f t="array" ref="Q991">_xlfn.XLOOKUP(O991,BSFC!$A$2:$A$24,_xlfn.XLOOKUP(K991,BSFC!$B$1:$O$1,BSFC!$B$2:$O$24,,-1),,-1)</f>
        <v>480</v>
      </c>
      <c r="R991" s="17">
        <f t="shared" si="181"/>
        <v>1.8786506809302328</v>
      </c>
      <c r="S991" s="16">
        <f t="shared" si="182"/>
        <v>2.9183485335175871E-4</v>
      </c>
      <c r="T991" s="17">
        <f t="shared" si="185"/>
        <v>0.14008072960884418</v>
      </c>
      <c r="U991" s="16">
        <f t="shared" si="186"/>
        <v>131.39910751881618</v>
      </c>
      <c r="V991" s="17">
        <f t="shared" si="187"/>
        <v>0.27307336990593517</v>
      </c>
      <c r="W991" s="16">
        <f t="shared" si="183"/>
        <v>983064.13166136667</v>
      </c>
      <c r="X991">
        <f>('Hybrid Info'!$A$2-Track!P991)*(L991-L990)*1000+X990</f>
        <v>-41593.850152076775</v>
      </c>
    </row>
    <row r="992" spans="1:24">
      <c r="A992" s="16">
        <f t="shared" si="184"/>
        <v>991</v>
      </c>
      <c r="B992" s="17">
        <f t="shared" si="178"/>
        <v>13.411199999999999</v>
      </c>
      <c r="C992" s="16">
        <f>Specification!$G$29</f>
        <v>164.943378</v>
      </c>
      <c r="D992" s="17">
        <f>0.5*Specification!$K$4*Track!B992^2*Specification!$K$3*Specification!$K$2</f>
        <v>93.159842569492653</v>
      </c>
      <c r="E992" s="16">
        <v>0</v>
      </c>
      <c r="F992" s="17">
        <f>Specification!$C$23*9.81*SIN((E992*PI()/180))</f>
        <v>0</v>
      </c>
      <c r="G992" s="18">
        <f>IF(J992=1,VLOOKUP(K992,RPM!$E$2:$H$62,3,FALSE)-F992-E992-D992,IF(J992=2,VLOOKUP(K992,RPM!$H$2:$K$62,3,FALSE)-F992-E992-D992,IF(J992=3,VLOOKUP(K992,RPM!$K$2:$N$62,3,FALSE)-F992-E992-D992)))</f>
        <v>549.56217903827155</v>
      </c>
      <c r="H992" s="19">
        <f>IF(J992=1,Specification!$I$14,IF(J992=2,Specification!$I$15,IF(J992=3,Specification!$I$16)))</f>
        <v>578.93404261974786</v>
      </c>
      <c r="I992" s="16">
        <f t="shared" si="177"/>
        <v>0</v>
      </c>
      <c r="J992" s="17">
        <v>3</v>
      </c>
      <c r="K992" s="16">
        <f>IF(J992=1,VLOOKUP(B992,RPM!$F$2:$H$62,3,TRUE),IF(J992=2,VLOOKUP(B992,RPM!$I$2:$K$62,3,TRUE),IF(J992=3,VLOOKUP(B992,RPM!$L$2:$N$62,3,TRUE))))</f>
        <v>4300</v>
      </c>
      <c r="L992" s="17">
        <f t="shared" si="188"/>
        <v>78.168802559343106</v>
      </c>
      <c r="M992" s="16">
        <f t="shared" si="179"/>
        <v>0</v>
      </c>
      <c r="N992" s="17">
        <f>VLOOKUP(K992,RPM!$A$2:$D$62,3,FALSE)</f>
        <v>11.4</v>
      </c>
      <c r="O992" s="16">
        <f>VLOOKUP(K992,RPM!$A$2:$D$62,4,FALSE)</f>
        <v>18.894837209302327</v>
      </c>
      <c r="P992" s="17">
        <f t="shared" si="180"/>
        <v>14.089880106976747</v>
      </c>
      <c r="Q992" s="16" cm="1">
        <f t="array" ref="Q992">_xlfn.XLOOKUP(O992,BSFC!$A$2:$A$24,_xlfn.XLOOKUP(K992,BSFC!$B$1:$O$1,BSFC!$B$2:$O$24,,-1),,-1)</f>
        <v>480</v>
      </c>
      <c r="R992" s="17">
        <f t="shared" si="181"/>
        <v>1.8786506809302328</v>
      </c>
      <c r="S992" s="16">
        <f t="shared" si="182"/>
        <v>2.9183485335175871E-4</v>
      </c>
      <c r="T992" s="17">
        <f t="shared" si="185"/>
        <v>0.14008072960884418</v>
      </c>
      <c r="U992" s="16">
        <f t="shared" si="186"/>
        <v>131.53918824842503</v>
      </c>
      <c r="V992" s="17">
        <f t="shared" si="187"/>
        <v>0.27336520475928694</v>
      </c>
      <c r="W992" s="16">
        <f t="shared" si="183"/>
        <v>984114.73713343299</v>
      </c>
      <c r="X992">
        <f>('Hybrid Info'!$A$2-Track!P992)*(L992-L991)*1000+X991</f>
        <v>-41740.69946542618</v>
      </c>
    </row>
    <row r="993" spans="1:24">
      <c r="A993" s="16">
        <f t="shared" si="184"/>
        <v>992</v>
      </c>
      <c r="B993" s="17">
        <f t="shared" si="178"/>
        <v>13.411199999999999</v>
      </c>
      <c r="C993" s="16">
        <f>Specification!$G$29</f>
        <v>164.943378</v>
      </c>
      <c r="D993" s="17">
        <f>0.5*Specification!$K$4*Track!B993^2*Specification!$K$3*Specification!$K$2</f>
        <v>93.159842569492653</v>
      </c>
      <c r="E993" s="16">
        <v>0</v>
      </c>
      <c r="F993" s="17">
        <f>Specification!$C$23*9.81*SIN((E993*PI()/180))</f>
        <v>0</v>
      </c>
      <c r="G993" s="18">
        <f>IF(J993=1,VLOOKUP(K993,RPM!$E$2:$H$62,3,FALSE)-F993-E993-D993,IF(J993=2,VLOOKUP(K993,RPM!$H$2:$K$62,3,FALSE)-F993-E993-D993,IF(J993=3,VLOOKUP(K993,RPM!$K$2:$N$62,3,FALSE)-F993-E993-D993)))</f>
        <v>549.56217903827155</v>
      </c>
      <c r="H993" s="19">
        <f>IF(J993=1,Specification!$I$14,IF(J993=2,Specification!$I$15,IF(J993=3,Specification!$I$16)))</f>
        <v>578.93404261974786</v>
      </c>
      <c r="I993" s="16">
        <f t="shared" si="177"/>
        <v>0</v>
      </c>
      <c r="J993" s="17">
        <v>3</v>
      </c>
      <c r="K993" s="16">
        <f>IF(J993=1,VLOOKUP(B993,RPM!$F$2:$H$62,3,TRUE),IF(J993=2,VLOOKUP(B993,RPM!$I$2:$K$62,3,TRUE),IF(J993=3,VLOOKUP(B993,RPM!$L$2:$N$62,3,TRUE))))</f>
        <v>4300</v>
      </c>
      <c r="L993" s="17">
        <f t="shared" si="188"/>
        <v>78.243367102411582</v>
      </c>
      <c r="M993" s="16">
        <f t="shared" si="179"/>
        <v>0</v>
      </c>
      <c r="N993" s="17">
        <f>VLOOKUP(K993,RPM!$A$2:$D$62,3,FALSE)</f>
        <v>11.4</v>
      </c>
      <c r="O993" s="16">
        <f>VLOOKUP(K993,RPM!$A$2:$D$62,4,FALSE)</f>
        <v>18.894837209302327</v>
      </c>
      <c r="P993" s="17">
        <f t="shared" si="180"/>
        <v>14.089880106976747</v>
      </c>
      <c r="Q993" s="16" cm="1">
        <f t="array" ref="Q993">_xlfn.XLOOKUP(O993,BSFC!$A$2:$A$24,_xlfn.XLOOKUP(K993,BSFC!$B$1:$O$1,BSFC!$B$2:$O$24,,-1),,-1)</f>
        <v>480</v>
      </c>
      <c r="R993" s="17">
        <f t="shared" si="181"/>
        <v>1.8786506809302328</v>
      </c>
      <c r="S993" s="16">
        <f t="shared" si="182"/>
        <v>2.9183485335175871E-4</v>
      </c>
      <c r="T993" s="17">
        <f t="shared" si="185"/>
        <v>0.14008072960884418</v>
      </c>
      <c r="U993" s="16">
        <f t="shared" si="186"/>
        <v>131.67926897803389</v>
      </c>
      <c r="V993" s="17">
        <f t="shared" si="187"/>
        <v>0.27365703961263871</v>
      </c>
      <c r="W993" s="16">
        <f t="shared" si="183"/>
        <v>985165.34260549932</v>
      </c>
      <c r="X993">
        <f>('Hybrid Info'!$A$2-Track!P993)*(L993-L992)*1000+X992</f>
        <v>-41887.548778775585</v>
      </c>
    </row>
    <row r="994" spans="1:24">
      <c r="A994" s="16">
        <f t="shared" si="184"/>
        <v>993</v>
      </c>
      <c r="B994" s="17">
        <f t="shared" si="178"/>
        <v>13.411199999999999</v>
      </c>
      <c r="C994" s="16">
        <f>Specification!$G$29</f>
        <v>164.943378</v>
      </c>
      <c r="D994" s="17">
        <f>0.5*Specification!$K$4*Track!B994^2*Specification!$K$3*Specification!$K$2</f>
        <v>93.159842569492653</v>
      </c>
      <c r="E994" s="16">
        <v>0</v>
      </c>
      <c r="F994" s="17">
        <f>Specification!$C$23*9.81*SIN((E994*PI()/180))</f>
        <v>0</v>
      </c>
      <c r="G994" s="18">
        <f>IF(J994=1,VLOOKUP(K994,RPM!$E$2:$H$62,3,FALSE)-F994-E994-D994,IF(J994=2,VLOOKUP(K994,RPM!$H$2:$K$62,3,FALSE)-F994-E994-D994,IF(J994=3,VLOOKUP(K994,RPM!$K$2:$N$62,3,FALSE)-F994-E994-D994)))</f>
        <v>549.56217903827155</v>
      </c>
      <c r="H994" s="19">
        <f>IF(J994=1,Specification!$I$14,IF(J994=2,Specification!$I$15,IF(J994=3,Specification!$I$16)))</f>
        <v>578.93404261974786</v>
      </c>
      <c r="I994" s="16">
        <f t="shared" si="177"/>
        <v>0</v>
      </c>
      <c r="J994" s="17">
        <v>3</v>
      </c>
      <c r="K994" s="16">
        <f>IF(J994=1,VLOOKUP(B994,RPM!$F$2:$H$62,3,TRUE),IF(J994=2,VLOOKUP(B994,RPM!$I$2:$K$62,3,TRUE),IF(J994=3,VLOOKUP(B994,RPM!$L$2:$N$62,3,TRUE))))</f>
        <v>4300</v>
      </c>
      <c r="L994" s="17">
        <f t="shared" si="188"/>
        <v>78.317931645480058</v>
      </c>
      <c r="M994" s="16">
        <f t="shared" si="179"/>
        <v>0</v>
      </c>
      <c r="N994" s="17">
        <f>VLOOKUP(K994,RPM!$A$2:$D$62,3,FALSE)</f>
        <v>11.4</v>
      </c>
      <c r="O994" s="16">
        <f>VLOOKUP(K994,RPM!$A$2:$D$62,4,FALSE)</f>
        <v>18.894837209302327</v>
      </c>
      <c r="P994" s="17">
        <f t="shared" si="180"/>
        <v>14.089880106976747</v>
      </c>
      <c r="Q994" s="16" cm="1">
        <f t="array" ref="Q994">_xlfn.XLOOKUP(O994,BSFC!$A$2:$A$24,_xlfn.XLOOKUP(K994,BSFC!$B$1:$O$1,BSFC!$B$2:$O$24,,-1),,-1)</f>
        <v>480</v>
      </c>
      <c r="R994" s="17">
        <f t="shared" si="181"/>
        <v>1.8786506809302328</v>
      </c>
      <c r="S994" s="16">
        <f t="shared" si="182"/>
        <v>2.9183485335175871E-4</v>
      </c>
      <c r="T994" s="17">
        <f t="shared" si="185"/>
        <v>0.14008072960884418</v>
      </c>
      <c r="U994" s="16">
        <f t="shared" si="186"/>
        <v>131.81934970764274</v>
      </c>
      <c r="V994" s="17">
        <f t="shared" si="187"/>
        <v>0.27394887446599048</v>
      </c>
      <c r="W994" s="16">
        <f t="shared" si="183"/>
        <v>986215.94807756564</v>
      </c>
      <c r="X994">
        <f>('Hybrid Info'!$A$2-Track!P994)*(L994-L993)*1000+X993</f>
        <v>-42034.398092124989</v>
      </c>
    </row>
    <row r="995" spans="1:24">
      <c r="A995" s="16">
        <f t="shared" si="184"/>
        <v>994</v>
      </c>
      <c r="B995" s="17">
        <f t="shared" si="178"/>
        <v>13.411199999999999</v>
      </c>
      <c r="C995" s="16">
        <f>Specification!$G$29</f>
        <v>164.943378</v>
      </c>
      <c r="D995" s="17">
        <f>0.5*Specification!$K$4*Track!B995^2*Specification!$K$3*Specification!$K$2</f>
        <v>93.159842569492653</v>
      </c>
      <c r="E995" s="16">
        <v>0</v>
      </c>
      <c r="F995" s="17">
        <f>Specification!$C$23*9.81*SIN((E995*PI()/180))</f>
        <v>0</v>
      </c>
      <c r="G995" s="18">
        <f>IF(J995=1,VLOOKUP(K995,RPM!$E$2:$H$62,3,FALSE)-F995-E995-D995,IF(J995=2,VLOOKUP(K995,RPM!$H$2:$K$62,3,FALSE)-F995-E995-D995,IF(J995=3,VLOOKUP(K995,RPM!$K$2:$N$62,3,FALSE)-F995-E995-D995)))</f>
        <v>549.56217903827155</v>
      </c>
      <c r="H995" s="19">
        <f>IF(J995=1,Specification!$I$14,IF(J995=2,Specification!$I$15,IF(J995=3,Specification!$I$16)))</f>
        <v>578.93404261974786</v>
      </c>
      <c r="I995" s="16">
        <f t="shared" si="177"/>
        <v>0</v>
      </c>
      <c r="J995" s="17">
        <v>3</v>
      </c>
      <c r="K995" s="16">
        <f>IF(J995=1,VLOOKUP(B995,RPM!$F$2:$H$62,3,TRUE),IF(J995=2,VLOOKUP(B995,RPM!$I$2:$K$62,3,TRUE),IF(J995=3,VLOOKUP(B995,RPM!$L$2:$N$62,3,TRUE))))</f>
        <v>4300</v>
      </c>
      <c r="L995" s="17">
        <f t="shared" si="188"/>
        <v>78.392496188548535</v>
      </c>
      <c r="M995" s="16">
        <f t="shared" si="179"/>
        <v>0</v>
      </c>
      <c r="N995" s="17">
        <f>VLOOKUP(K995,RPM!$A$2:$D$62,3,FALSE)</f>
        <v>11.4</v>
      </c>
      <c r="O995" s="16">
        <f>VLOOKUP(K995,RPM!$A$2:$D$62,4,FALSE)</f>
        <v>18.894837209302327</v>
      </c>
      <c r="P995" s="17">
        <f t="shared" si="180"/>
        <v>14.089880106976747</v>
      </c>
      <c r="Q995" s="16" cm="1">
        <f t="array" ref="Q995">_xlfn.XLOOKUP(O995,BSFC!$A$2:$A$24,_xlfn.XLOOKUP(K995,BSFC!$B$1:$O$1,BSFC!$B$2:$O$24,,-1),,-1)</f>
        <v>480</v>
      </c>
      <c r="R995" s="17">
        <f t="shared" si="181"/>
        <v>1.8786506809302328</v>
      </c>
      <c r="S995" s="16">
        <f t="shared" si="182"/>
        <v>2.9183485335175871E-4</v>
      </c>
      <c r="T995" s="17">
        <f t="shared" si="185"/>
        <v>0.14008072960884418</v>
      </c>
      <c r="U995" s="16">
        <f t="shared" si="186"/>
        <v>131.9594304372516</v>
      </c>
      <c r="V995" s="17">
        <f t="shared" si="187"/>
        <v>0.27424070931934225</v>
      </c>
      <c r="W995" s="16">
        <f t="shared" si="183"/>
        <v>987266.5535496322</v>
      </c>
      <c r="X995">
        <f>('Hybrid Info'!$A$2-Track!P995)*(L995-L994)*1000+X994</f>
        <v>-42181.247405474394</v>
      </c>
    </row>
    <row r="996" spans="1:24">
      <c r="A996" s="16">
        <f t="shared" si="184"/>
        <v>995</v>
      </c>
      <c r="B996" s="17">
        <f t="shared" si="178"/>
        <v>13.411199999999999</v>
      </c>
      <c r="C996" s="16">
        <f>Specification!$G$29</f>
        <v>164.943378</v>
      </c>
      <c r="D996" s="17">
        <f>0.5*Specification!$K$4*Track!B996^2*Specification!$K$3*Specification!$K$2</f>
        <v>93.159842569492653</v>
      </c>
      <c r="E996" s="16">
        <v>0</v>
      </c>
      <c r="F996" s="17">
        <f>Specification!$C$23*9.81*SIN((E996*PI()/180))</f>
        <v>0</v>
      </c>
      <c r="G996" s="18">
        <f>IF(J996=1,VLOOKUP(K996,RPM!$E$2:$H$62,3,FALSE)-F996-E996-D996,IF(J996=2,VLOOKUP(K996,RPM!$H$2:$K$62,3,FALSE)-F996-E996-D996,IF(J996=3,VLOOKUP(K996,RPM!$K$2:$N$62,3,FALSE)-F996-E996-D996)))</f>
        <v>549.56217903827155</v>
      </c>
      <c r="H996" s="19">
        <f>IF(J996=1,Specification!$I$14,IF(J996=2,Specification!$I$15,IF(J996=3,Specification!$I$16)))</f>
        <v>578.93404261974786</v>
      </c>
      <c r="I996" s="16">
        <f t="shared" ref="I996:I1059" si="189">IF(B996=13.4112,0,G996/H996)</f>
        <v>0</v>
      </c>
      <c r="J996" s="17">
        <v>3</v>
      </c>
      <c r="K996" s="16">
        <f>IF(J996=1,VLOOKUP(B996,RPM!$F$2:$H$62,3,TRUE),IF(J996=2,VLOOKUP(B996,RPM!$I$2:$K$62,3,TRUE),IF(J996=3,VLOOKUP(B996,RPM!$L$2:$N$62,3,TRUE))))</f>
        <v>4300</v>
      </c>
      <c r="L996" s="17">
        <f t="shared" si="188"/>
        <v>78.467060731617011</v>
      </c>
      <c r="M996" s="16">
        <f t="shared" si="179"/>
        <v>0</v>
      </c>
      <c r="N996" s="17">
        <f>VLOOKUP(K996,RPM!$A$2:$D$62,3,FALSE)</f>
        <v>11.4</v>
      </c>
      <c r="O996" s="16">
        <f>VLOOKUP(K996,RPM!$A$2:$D$62,4,FALSE)</f>
        <v>18.894837209302327</v>
      </c>
      <c r="P996" s="17">
        <f t="shared" si="180"/>
        <v>14.089880106976747</v>
      </c>
      <c r="Q996" s="16" cm="1">
        <f t="array" ref="Q996">_xlfn.XLOOKUP(O996,BSFC!$A$2:$A$24,_xlfn.XLOOKUP(K996,BSFC!$B$1:$O$1,BSFC!$B$2:$O$24,,-1),,-1)</f>
        <v>480</v>
      </c>
      <c r="R996" s="17">
        <f t="shared" si="181"/>
        <v>1.8786506809302328</v>
      </c>
      <c r="S996" s="16">
        <f t="shared" si="182"/>
        <v>2.9183485335175871E-4</v>
      </c>
      <c r="T996" s="17">
        <f t="shared" si="185"/>
        <v>0.14008072960884418</v>
      </c>
      <c r="U996" s="16">
        <f t="shared" si="186"/>
        <v>132.09951116686045</v>
      </c>
      <c r="V996" s="17">
        <f t="shared" si="187"/>
        <v>0.27453254417269402</v>
      </c>
      <c r="W996" s="16">
        <f t="shared" si="183"/>
        <v>988317.15902169852</v>
      </c>
      <c r="X996">
        <f>('Hybrid Info'!$A$2-Track!P996)*(L996-L995)*1000+X995</f>
        <v>-42328.096718823799</v>
      </c>
    </row>
    <row r="997" spans="1:24">
      <c r="A997" s="16">
        <f t="shared" si="184"/>
        <v>996</v>
      </c>
      <c r="B997" s="17">
        <f t="shared" si="178"/>
        <v>13.411199999999999</v>
      </c>
      <c r="C997" s="16">
        <f>Specification!$G$29</f>
        <v>164.943378</v>
      </c>
      <c r="D997" s="17">
        <f>0.5*Specification!$K$4*Track!B997^2*Specification!$K$3*Specification!$K$2</f>
        <v>93.159842569492653</v>
      </c>
      <c r="E997" s="16">
        <v>0</v>
      </c>
      <c r="F997" s="17">
        <f>Specification!$C$23*9.81*SIN((E997*PI()/180))</f>
        <v>0</v>
      </c>
      <c r="G997" s="18">
        <f>IF(J997=1,VLOOKUP(K997,RPM!$E$2:$H$62,3,FALSE)-F997-E997-D997,IF(J997=2,VLOOKUP(K997,RPM!$H$2:$K$62,3,FALSE)-F997-E997-D997,IF(J997=3,VLOOKUP(K997,RPM!$K$2:$N$62,3,FALSE)-F997-E997-D997)))</f>
        <v>549.56217903827155</v>
      </c>
      <c r="H997" s="19">
        <f>IF(J997=1,Specification!$I$14,IF(J997=2,Specification!$I$15,IF(J997=3,Specification!$I$16)))</f>
        <v>578.93404261974786</v>
      </c>
      <c r="I997" s="16">
        <f t="shared" si="189"/>
        <v>0</v>
      </c>
      <c r="J997" s="17">
        <v>3</v>
      </c>
      <c r="K997" s="16">
        <f>IF(J997=1,VLOOKUP(B997,RPM!$F$2:$H$62,3,TRUE),IF(J997=2,VLOOKUP(B997,RPM!$I$2:$K$62,3,TRUE),IF(J997=3,VLOOKUP(B997,RPM!$L$2:$N$62,3,TRUE))))</f>
        <v>4300</v>
      </c>
      <c r="L997" s="17">
        <f t="shared" si="188"/>
        <v>78.541625274685487</v>
      </c>
      <c r="M997" s="16">
        <f t="shared" si="179"/>
        <v>0</v>
      </c>
      <c r="N997" s="17">
        <f>VLOOKUP(K997,RPM!$A$2:$D$62,3,FALSE)</f>
        <v>11.4</v>
      </c>
      <c r="O997" s="16">
        <f>VLOOKUP(K997,RPM!$A$2:$D$62,4,FALSE)</f>
        <v>18.894837209302327</v>
      </c>
      <c r="P997" s="17">
        <f t="shared" si="180"/>
        <v>14.089880106976747</v>
      </c>
      <c r="Q997" s="16" cm="1">
        <f t="array" ref="Q997">_xlfn.XLOOKUP(O997,BSFC!$A$2:$A$24,_xlfn.XLOOKUP(K997,BSFC!$B$1:$O$1,BSFC!$B$2:$O$24,,-1),,-1)</f>
        <v>480</v>
      </c>
      <c r="R997" s="17">
        <f t="shared" si="181"/>
        <v>1.8786506809302328</v>
      </c>
      <c r="S997" s="16">
        <f t="shared" si="182"/>
        <v>2.9183485335175871E-4</v>
      </c>
      <c r="T997" s="17">
        <f t="shared" si="185"/>
        <v>0.14008072960884418</v>
      </c>
      <c r="U997" s="16">
        <f t="shared" si="186"/>
        <v>132.23959189646931</v>
      </c>
      <c r="V997" s="17">
        <f t="shared" si="187"/>
        <v>0.27482437902604578</v>
      </c>
      <c r="W997" s="16">
        <f t="shared" si="183"/>
        <v>989367.76449376484</v>
      </c>
      <c r="X997">
        <f>('Hybrid Info'!$A$2-Track!P997)*(L997-L996)*1000+X996</f>
        <v>-42474.946032173204</v>
      </c>
    </row>
    <row r="998" spans="1:24">
      <c r="A998" s="16">
        <f t="shared" si="184"/>
        <v>997</v>
      </c>
      <c r="B998" s="17">
        <f t="shared" si="178"/>
        <v>13.411199999999999</v>
      </c>
      <c r="C998" s="16">
        <f>Specification!$G$29</f>
        <v>164.943378</v>
      </c>
      <c r="D998" s="17">
        <f>0.5*Specification!$K$4*Track!B998^2*Specification!$K$3*Specification!$K$2</f>
        <v>93.159842569492653</v>
      </c>
      <c r="E998" s="16">
        <v>0</v>
      </c>
      <c r="F998" s="17">
        <f>Specification!$C$23*9.81*SIN((E998*PI()/180))</f>
        <v>0</v>
      </c>
      <c r="G998" s="18">
        <f>IF(J998=1,VLOOKUP(K998,RPM!$E$2:$H$62,3,FALSE)-F998-E998-D998,IF(J998=2,VLOOKUP(K998,RPM!$H$2:$K$62,3,FALSE)-F998-E998-D998,IF(J998=3,VLOOKUP(K998,RPM!$K$2:$N$62,3,FALSE)-F998-E998-D998)))</f>
        <v>549.56217903827155</v>
      </c>
      <c r="H998" s="19">
        <f>IF(J998=1,Specification!$I$14,IF(J998=2,Specification!$I$15,IF(J998=3,Specification!$I$16)))</f>
        <v>578.93404261974786</v>
      </c>
      <c r="I998" s="16">
        <f t="shared" si="189"/>
        <v>0</v>
      </c>
      <c r="J998" s="17">
        <v>3</v>
      </c>
      <c r="K998" s="16">
        <f>IF(J998=1,VLOOKUP(B998,RPM!$F$2:$H$62,3,TRUE),IF(J998=2,VLOOKUP(B998,RPM!$I$2:$K$62,3,TRUE),IF(J998=3,VLOOKUP(B998,RPM!$L$2:$N$62,3,TRUE))))</f>
        <v>4300</v>
      </c>
      <c r="L998" s="17">
        <f t="shared" si="188"/>
        <v>78.616189817753963</v>
      </c>
      <c r="M998" s="16">
        <f t="shared" si="179"/>
        <v>0</v>
      </c>
      <c r="N998" s="17">
        <f>VLOOKUP(K998,RPM!$A$2:$D$62,3,FALSE)</f>
        <v>11.4</v>
      </c>
      <c r="O998" s="16">
        <f>VLOOKUP(K998,RPM!$A$2:$D$62,4,FALSE)</f>
        <v>18.894837209302327</v>
      </c>
      <c r="P998" s="17">
        <f t="shared" si="180"/>
        <v>14.089880106976747</v>
      </c>
      <c r="Q998" s="16" cm="1">
        <f t="array" ref="Q998">_xlfn.XLOOKUP(O998,BSFC!$A$2:$A$24,_xlfn.XLOOKUP(K998,BSFC!$B$1:$O$1,BSFC!$B$2:$O$24,,-1),,-1)</f>
        <v>480</v>
      </c>
      <c r="R998" s="17">
        <f t="shared" si="181"/>
        <v>1.8786506809302328</v>
      </c>
      <c r="S998" s="16">
        <f t="shared" si="182"/>
        <v>2.9183485335175871E-4</v>
      </c>
      <c r="T998" s="17">
        <f t="shared" si="185"/>
        <v>0.14008072960884418</v>
      </c>
      <c r="U998" s="16">
        <f t="shared" si="186"/>
        <v>132.37967262607816</v>
      </c>
      <c r="V998" s="17">
        <f t="shared" si="187"/>
        <v>0.27511621387939755</v>
      </c>
      <c r="W998" s="16">
        <f t="shared" si="183"/>
        <v>990418.36996583117</v>
      </c>
      <c r="X998">
        <f>('Hybrid Info'!$A$2-Track!P998)*(L998-L997)*1000+X997</f>
        <v>-42621.795345522609</v>
      </c>
    </row>
    <row r="999" spans="1:24">
      <c r="A999" s="16">
        <f t="shared" si="184"/>
        <v>998</v>
      </c>
      <c r="B999" s="17">
        <f t="shared" si="178"/>
        <v>13.411199999999999</v>
      </c>
      <c r="C999" s="16">
        <f>Specification!$G$29</f>
        <v>164.943378</v>
      </c>
      <c r="D999" s="17">
        <f>0.5*Specification!$K$4*Track!B999^2*Specification!$K$3*Specification!$K$2</f>
        <v>93.159842569492653</v>
      </c>
      <c r="E999" s="16">
        <v>1</v>
      </c>
      <c r="F999" s="17">
        <f>Specification!$C$23*9.81*SIN((E999*PI()/180))</f>
        <v>95.955295733149597</v>
      </c>
      <c r="G999" s="18">
        <f>IF(J999=1,VLOOKUP(K999,RPM!$E$2:$H$62,3,FALSE)-F999-E999-D999,IF(J999=2,VLOOKUP(K999,RPM!$H$2:$K$62,3,FALSE)-F999-E999-D999,IF(J999=3,VLOOKUP(K999,RPM!$K$2:$N$62,3,FALSE)-F999-E999-D999)))</f>
        <v>452.60688330512198</v>
      </c>
      <c r="H999" s="19">
        <f>IF(J999=1,Specification!$I$14,IF(J999=2,Specification!$I$15,IF(J999=3,Specification!$I$16)))</f>
        <v>578.93404261974786</v>
      </c>
      <c r="I999" s="16">
        <f t="shared" si="189"/>
        <v>0</v>
      </c>
      <c r="J999" s="17">
        <v>3</v>
      </c>
      <c r="K999" s="16">
        <f>IF(J999=1,VLOOKUP(B999,RPM!$F$2:$H$62,3,TRUE),IF(J999=2,VLOOKUP(B999,RPM!$I$2:$K$62,3,TRUE),IF(J999=3,VLOOKUP(B999,RPM!$L$2:$N$62,3,TRUE))))</f>
        <v>4300</v>
      </c>
      <c r="L999" s="17">
        <f t="shared" si="188"/>
        <v>78.690754360822439</v>
      </c>
      <c r="M999" s="16">
        <f t="shared" si="179"/>
        <v>1.7455064928217585E-2</v>
      </c>
      <c r="N999" s="17">
        <f>VLOOKUP(K999,RPM!$A$2:$D$62,3,FALSE)</f>
        <v>11.4</v>
      </c>
      <c r="O999" s="16">
        <f>VLOOKUP(K999,RPM!$A$2:$D$62,4,FALSE)</f>
        <v>18.894837209302327</v>
      </c>
      <c r="P999" s="17">
        <f t="shared" si="180"/>
        <v>14.089880106976747</v>
      </c>
      <c r="Q999" s="16" cm="1">
        <f t="array" ref="Q999">_xlfn.XLOOKUP(O999,BSFC!$A$2:$A$24,_xlfn.XLOOKUP(K999,BSFC!$B$1:$O$1,BSFC!$B$2:$O$24,,-1),,-1)</f>
        <v>480</v>
      </c>
      <c r="R999" s="17">
        <f t="shared" si="181"/>
        <v>1.8786506809302328</v>
      </c>
      <c r="S999" s="16">
        <f t="shared" si="182"/>
        <v>2.9183485335175871E-4</v>
      </c>
      <c r="T999" s="17">
        <f t="shared" si="185"/>
        <v>0.14008072960884418</v>
      </c>
      <c r="U999" s="16">
        <f t="shared" si="186"/>
        <v>132.51975335568702</v>
      </c>
      <c r="V999" s="17">
        <f t="shared" si="187"/>
        <v>0.27540804873274932</v>
      </c>
      <c r="W999" s="16">
        <f t="shared" si="183"/>
        <v>991468.97543789749</v>
      </c>
      <c r="X999">
        <f>('Hybrid Info'!$A$2-Track!P999)*(L999-L998)*1000+X998</f>
        <v>-42768.644658872014</v>
      </c>
    </row>
    <row r="1000" spans="1:24">
      <c r="A1000" s="16">
        <f t="shared" si="184"/>
        <v>999</v>
      </c>
      <c r="B1000" s="17">
        <f t="shared" si="178"/>
        <v>13.411199999999999</v>
      </c>
      <c r="C1000" s="16">
        <f>Specification!$G$29</f>
        <v>164.943378</v>
      </c>
      <c r="D1000" s="17">
        <f>0.5*Specification!$K$4*Track!B1000^2*Specification!$K$3*Specification!$K$2</f>
        <v>93.159842569492653</v>
      </c>
      <c r="E1000" s="16">
        <v>2</v>
      </c>
      <c r="F1000" s="17">
        <f>Specification!$C$23*9.81*SIN((E1000*PI()/180))</f>
        <v>191.88136255367905</v>
      </c>
      <c r="G1000" s="18">
        <f>IF(J1000=1,VLOOKUP(K1000,RPM!$E$2:$H$62,3,FALSE)-F1000-E1000-D1000,IF(J1000=2,VLOOKUP(K1000,RPM!$H$2:$K$62,3,FALSE)-F1000-E1000-D1000,IF(J1000=3,VLOOKUP(K1000,RPM!$K$2:$N$62,3,FALSE)-F1000-E1000-D1000)))</f>
        <v>355.68081648459247</v>
      </c>
      <c r="H1000" s="19">
        <f>IF(J1000=1,Specification!$I$14,IF(J1000=2,Specification!$I$15,IF(J1000=3,Specification!$I$16)))</f>
        <v>578.93404261974786</v>
      </c>
      <c r="I1000" s="16">
        <f t="shared" si="189"/>
        <v>0</v>
      </c>
      <c r="J1000" s="17">
        <v>3</v>
      </c>
      <c r="K1000" s="16">
        <f>IF(J1000=1,VLOOKUP(B1000,RPM!$F$2:$H$62,3,TRUE),IF(J1000=2,VLOOKUP(B1000,RPM!$I$2:$K$62,3,TRUE),IF(J1000=3,VLOOKUP(B1000,RPM!$L$2:$N$62,3,TRUE))))</f>
        <v>4300</v>
      </c>
      <c r="L1000" s="17">
        <f t="shared" si="188"/>
        <v>78.765318903890915</v>
      </c>
      <c r="M1000" s="16">
        <f t="shared" si="179"/>
        <v>5.2375834419965316E-2</v>
      </c>
      <c r="N1000" s="17">
        <f>VLOOKUP(K1000,RPM!$A$2:$D$62,3,FALSE)</f>
        <v>11.4</v>
      </c>
      <c r="O1000" s="16">
        <f>VLOOKUP(K1000,RPM!$A$2:$D$62,4,FALSE)</f>
        <v>18.894837209302327</v>
      </c>
      <c r="P1000" s="17">
        <f t="shared" si="180"/>
        <v>14.089880106976747</v>
      </c>
      <c r="Q1000" s="16" cm="1">
        <f t="array" ref="Q1000">_xlfn.XLOOKUP(O1000,BSFC!$A$2:$A$24,_xlfn.XLOOKUP(K1000,BSFC!$B$1:$O$1,BSFC!$B$2:$O$24,,-1),,-1)</f>
        <v>480</v>
      </c>
      <c r="R1000" s="17">
        <f t="shared" si="181"/>
        <v>1.8786506809302328</v>
      </c>
      <c r="S1000" s="16">
        <f t="shared" si="182"/>
        <v>2.9183485335175871E-4</v>
      </c>
      <c r="T1000" s="17">
        <f t="shared" si="185"/>
        <v>0.14008072960884418</v>
      </c>
      <c r="U1000" s="16">
        <f t="shared" si="186"/>
        <v>132.65983408529587</v>
      </c>
      <c r="V1000" s="17">
        <f t="shared" si="187"/>
        <v>0.27569988358610109</v>
      </c>
      <c r="W1000" s="16">
        <f t="shared" si="183"/>
        <v>992519.58090996381</v>
      </c>
      <c r="X1000">
        <f>('Hybrid Info'!$A$2-Track!P1000)*(L1000-L999)*1000+X999</f>
        <v>-42915.493972221419</v>
      </c>
    </row>
    <row r="1001" spans="1:24">
      <c r="A1001" s="16">
        <f t="shared" si="184"/>
        <v>1000</v>
      </c>
      <c r="B1001" s="17">
        <f t="shared" si="178"/>
        <v>13.411199999999999</v>
      </c>
      <c r="C1001" s="16">
        <f>Specification!$G$29</f>
        <v>164.943378</v>
      </c>
      <c r="D1001" s="17">
        <f>0.5*Specification!$K$4*Track!B1001^2*Specification!$K$3*Specification!$K$2</f>
        <v>93.159842569492653</v>
      </c>
      <c r="E1001" s="16">
        <v>3</v>
      </c>
      <c r="F1001" s="17">
        <f>Specification!$C$23*9.81*SIN((E1001*PI()/180))</f>
        <v>287.74898045237813</v>
      </c>
      <c r="G1001" s="18">
        <f>IF(J1001=1,VLOOKUP(K1001,RPM!$E$2:$H$62,3,FALSE)-F1001-E1001-D1001,IF(J1001=2,VLOOKUP(K1001,RPM!$H$2:$K$62,3,FALSE)-F1001-E1001-D1001,IF(J1001=3,VLOOKUP(K1001,RPM!$K$2:$N$62,3,FALSE)-F1001-E1001-D1001)))</f>
        <v>258.81319858589342</v>
      </c>
      <c r="H1001" s="19">
        <f>IF(J1001=1,Specification!$I$14,IF(J1001=2,Specification!$I$15,IF(J1001=3,Specification!$I$16)))</f>
        <v>578.93404261974786</v>
      </c>
      <c r="I1001" s="16">
        <f t="shared" si="189"/>
        <v>0</v>
      </c>
      <c r="J1001" s="17">
        <v>3</v>
      </c>
      <c r="K1001" s="16">
        <f>IF(J1001=1,VLOOKUP(B1001,RPM!$F$2:$H$62,3,TRUE),IF(J1001=2,VLOOKUP(B1001,RPM!$I$2:$K$62,3,TRUE),IF(J1001=3,VLOOKUP(B1001,RPM!$L$2:$N$62,3,TRUE))))</f>
        <v>4300</v>
      </c>
      <c r="L1001" s="17">
        <f t="shared" si="188"/>
        <v>78.839883446959391</v>
      </c>
      <c r="M1001" s="16">
        <f t="shared" si="179"/>
        <v>0.10478361370300651</v>
      </c>
      <c r="N1001" s="17">
        <f>VLOOKUP(K1001,RPM!$A$2:$D$62,3,FALSE)</f>
        <v>11.4</v>
      </c>
      <c r="O1001" s="16">
        <f>VLOOKUP(K1001,RPM!$A$2:$D$62,4,FALSE)</f>
        <v>18.894837209302327</v>
      </c>
      <c r="P1001" s="17">
        <f t="shared" si="180"/>
        <v>14.089880106976747</v>
      </c>
      <c r="Q1001" s="16" cm="1">
        <f t="array" ref="Q1001">_xlfn.XLOOKUP(O1001,BSFC!$A$2:$A$24,_xlfn.XLOOKUP(K1001,BSFC!$B$1:$O$1,BSFC!$B$2:$O$24,,-1),,-1)</f>
        <v>480</v>
      </c>
      <c r="R1001" s="17">
        <f t="shared" si="181"/>
        <v>1.8786506809302328</v>
      </c>
      <c r="S1001" s="16">
        <f t="shared" si="182"/>
        <v>2.9183485335175871E-4</v>
      </c>
      <c r="T1001" s="17">
        <f t="shared" si="185"/>
        <v>0.14008072960884418</v>
      </c>
      <c r="U1001" s="16">
        <f t="shared" si="186"/>
        <v>132.79991481490472</v>
      </c>
      <c r="V1001" s="17">
        <f t="shared" si="187"/>
        <v>0.27599171843945286</v>
      </c>
      <c r="W1001" s="16">
        <f t="shared" si="183"/>
        <v>993570.18638203037</v>
      </c>
      <c r="X1001">
        <f>('Hybrid Info'!$A$2-Track!P1001)*(L1001-L1000)*1000+X1000</f>
        <v>-43062.343285570823</v>
      </c>
    </row>
    <row r="1002" spans="1:24">
      <c r="A1002" s="16">
        <f t="shared" si="184"/>
        <v>1001</v>
      </c>
      <c r="B1002" s="17">
        <f t="shared" si="178"/>
        <v>13.411199999999999</v>
      </c>
      <c r="C1002" s="16">
        <f>Specification!$G$29</f>
        <v>164.943378</v>
      </c>
      <c r="D1002" s="17">
        <f>0.5*Specification!$K$4*Track!B1002^2*Specification!$K$3*Specification!$K$2</f>
        <v>93.159842569492653</v>
      </c>
      <c r="E1002" s="16">
        <v>4</v>
      </c>
      <c r="F1002" s="17">
        <f>Specification!$C$23*9.81*SIN((E1002*PI()/180))</f>
        <v>383.52894722414453</v>
      </c>
      <c r="G1002" s="18">
        <f>IF(J1002=1,VLOOKUP(K1002,RPM!$E$2:$H$62,3,FALSE)-F1002-E1002-D1002,IF(J1002=2,VLOOKUP(K1002,RPM!$H$2:$K$62,3,FALSE)-F1002-E1002-D1002,IF(J1002=3,VLOOKUP(K1002,RPM!$K$2:$N$62,3,FALSE)-F1002-E1002-D1002)))</f>
        <v>162.03323181412702</v>
      </c>
      <c r="H1002" s="19">
        <f>IF(J1002=1,Specification!$I$14,IF(J1002=2,Specification!$I$15,IF(J1002=3,Specification!$I$16)))</f>
        <v>578.93404261974786</v>
      </c>
      <c r="I1002" s="16">
        <f t="shared" si="189"/>
        <v>0</v>
      </c>
      <c r="J1002" s="17">
        <v>3</v>
      </c>
      <c r="K1002" s="16">
        <f>IF(J1002=1,VLOOKUP(B1002,RPM!$F$2:$H$62,3,TRUE),IF(J1002=2,VLOOKUP(B1002,RPM!$I$2:$K$62,3,TRUE),IF(J1002=3,VLOOKUP(B1002,RPM!$L$2:$N$62,3,TRUE))))</f>
        <v>4300</v>
      </c>
      <c r="L1002" s="17">
        <f t="shared" si="188"/>
        <v>78.914447990027867</v>
      </c>
      <c r="M1002" s="16">
        <f t="shared" si="179"/>
        <v>0.17471042564651693</v>
      </c>
      <c r="N1002" s="17">
        <f>VLOOKUP(K1002,RPM!$A$2:$D$62,3,FALSE)</f>
        <v>11.4</v>
      </c>
      <c r="O1002" s="16">
        <f>VLOOKUP(K1002,RPM!$A$2:$D$62,4,FALSE)</f>
        <v>18.894837209302327</v>
      </c>
      <c r="P1002" s="17">
        <f t="shared" si="180"/>
        <v>14.089880106976747</v>
      </c>
      <c r="Q1002" s="16" cm="1">
        <f t="array" ref="Q1002">_xlfn.XLOOKUP(O1002,BSFC!$A$2:$A$24,_xlfn.XLOOKUP(K1002,BSFC!$B$1:$O$1,BSFC!$B$2:$O$24,,-1),,-1)</f>
        <v>480</v>
      </c>
      <c r="R1002" s="17">
        <f t="shared" si="181"/>
        <v>1.8786506809302328</v>
      </c>
      <c r="S1002" s="16">
        <f t="shared" si="182"/>
        <v>2.9183485335175871E-4</v>
      </c>
      <c r="T1002" s="17">
        <f t="shared" si="185"/>
        <v>0.14008072960884418</v>
      </c>
      <c r="U1002" s="16">
        <f t="shared" si="186"/>
        <v>132.93999554451358</v>
      </c>
      <c r="V1002" s="17">
        <f t="shared" si="187"/>
        <v>0.27628355329280463</v>
      </c>
      <c r="W1002" s="16">
        <f t="shared" si="183"/>
        <v>994620.79185409669</v>
      </c>
      <c r="X1002">
        <f>('Hybrid Info'!$A$2-Track!P1002)*(L1002-L1001)*1000+X1001</f>
        <v>-43209.192598920228</v>
      </c>
    </row>
    <row r="1003" spans="1:24">
      <c r="A1003" s="16">
        <f t="shared" si="184"/>
        <v>1002</v>
      </c>
      <c r="B1003" s="17">
        <f t="shared" si="178"/>
        <v>13.411199999999999</v>
      </c>
      <c r="C1003" s="16">
        <f>Specification!$G$29</f>
        <v>164.943378</v>
      </c>
      <c r="D1003" s="17">
        <f>0.5*Specification!$K$4*Track!B1003^2*Specification!$K$3*Specification!$K$2</f>
        <v>93.159842569492653</v>
      </c>
      <c r="E1003" s="16">
        <v>5</v>
      </c>
      <c r="F1003" s="17">
        <f>Specification!$C$23*9.81*SIN((E1003*PI()/180))</f>
        <v>479.192087363258</v>
      </c>
      <c r="G1003" s="18">
        <f>IF(J1003=1,VLOOKUP(K1003,RPM!$E$2:$H$62,3,FALSE)-F1003-E1003-D1003,IF(J1003=2,VLOOKUP(K1003,RPM!$H$2:$K$62,3,FALSE)-F1003-E1003-D1003,IF(J1003=3,VLOOKUP(K1003,RPM!$K$2:$N$62,3,FALSE)-F1003-E1003-D1003)))</f>
        <v>65.370091675013541</v>
      </c>
      <c r="H1003" s="19">
        <f>IF(J1003=1,Specification!$I$14,IF(J1003=2,Specification!$I$15,IF(J1003=3,Specification!$I$16)))</f>
        <v>578.93404261974786</v>
      </c>
      <c r="I1003" s="16">
        <f t="shared" si="189"/>
        <v>0</v>
      </c>
      <c r="J1003" s="17">
        <v>3</v>
      </c>
      <c r="K1003" s="16">
        <f>IF(J1003=1,VLOOKUP(B1003,RPM!$F$2:$H$62,3,TRUE),IF(J1003=2,VLOOKUP(B1003,RPM!$I$2:$K$62,3,TRUE),IF(J1003=3,VLOOKUP(B1003,RPM!$L$2:$N$62,3,TRUE))))</f>
        <v>4300</v>
      </c>
      <c r="L1003" s="17">
        <f t="shared" si="188"/>
        <v>78.989012533096343</v>
      </c>
      <c r="M1003" s="16">
        <f t="shared" si="179"/>
        <v>0.26219908917244095</v>
      </c>
      <c r="N1003" s="17">
        <f>VLOOKUP(K1003,RPM!$A$2:$D$62,3,FALSE)</f>
        <v>11.4</v>
      </c>
      <c r="O1003" s="16">
        <f>VLOOKUP(K1003,RPM!$A$2:$D$62,4,FALSE)</f>
        <v>18.894837209302327</v>
      </c>
      <c r="P1003" s="17">
        <f t="shared" si="180"/>
        <v>14.089880106976747</v>
      </c>
      <c r="Q1003" s="16" cm="1">
        <f t="array" ref="Q1003">_xlfn.XLOOKUP(O1003,BSFC!$A$2:$A$24,_xlfn.XLOOKUP(K1003,BSFC!$B$1:$O$1,BSFC!$B$2:$O$24,,-1),,-1)</f>
        <v>480</v>
      </c>
      <c r="R1003" s="17">
        <f t="shared" si="181"/>
        <v>1.8786506809302328</v>
      </c>
      <c r="S1003" s="16">
        <f t="shared" si="182"/>
        <v>2.9183485335175871E-4</v>
      </c>
      <c r="T1003" s="17">
        <f t="shared" si="185"/>
        <v>0.14008072960884418</v>
      </c>
      <c r="U1003" s="16">
        <f t="shared" si="186"/>
        <v>133.08007627412243</v>
      </c>
      <c r="V1003" s="17">
        <f t="shared" si="187"/>
        <v>0.2765753881461564</v>
      </c>
      <c r="W1003" s="16">
        <f t="shared" si="183"/>
        <v>995671.39732616302</v>
      </c>
      <c r="X1003">
        <f>('Hybrid Info'!$A$2-Track!P1003)*(L1003-L1002)*1000+X1002</f>
        <v>-43356.041912269633</v>
      </c>
    </row>
    <row r="1004" spans="1:24">
      <c r="A1004" s="16">
        <f t="shared" si="184"/>
        <v>1003</v>
      </c>
      <c r="B1004" s="17">
        <f t="shared" si="178"/>
        <v>13.411199999999999</v>
      </c>
      <c r="C1004" s="16">
        <f>Specification!$G$29</f>
        <v>164.943378</v>
      </c>
      <c r="D1004" s="17">
        <f>0.5*Specification!$K$4*Track!B1004^2*Specification!$K$3*Specification!$K$2</f>
        <v>93.159842569492653</v>
      </c>
      <c r="E1004" s="16">
        <v>6</v>
      </c>
      <c r="F1004" s="17">
        <f>Specification!$C$23*9.81*SIN((E1004*PI()/180))</f>
        <v>574.70926095052266</v>
      </c>
      <c r="G1004" s="18">
        <f>IF(J1004=1,VLOOKUP(K1004,RPM!$E$2:$H$62,3,FALSE)-F1004-E1004-D1004,IF(J1004=2,VLOOKUP(K1004,RPM!$H$2:$K$62,3,FALSE)-F1004-E1004-D1004,IF(J1004=3,VLOOKUP(K1004,RPM!$K$2:$N$62,3,FALSE)-F1004-E1004-D1004)))</f>
        <v>-31.147081912251124</v>
      </c>
      <c r="H1004" s="19">
        <f>IF(J1004=1,Specification!$I$14,IF(J1004=2,Specification!$I$15,IF(J1004=3,Specification!$I$16)))</f>
        <v>578.93404261974786</v>
      </c>
      <c r="I1004" s="16">
        <f t="shared" si="189"/>
        <v>0</v>
      </c>
      <c r="J1004" s="17">
        <v>3</v>
      </c>
      <c r="K1004" s="16">
        <f>IF(J1004=1,VLOOKUP(B1004,RPM!$F$2:$H$62,3,TRUE),IF(J1004=2,VLOOKUP(B1004,RPM!$I$2:$K$62,3,TRUE),IF(J1004=3,VLOOKUP(B1004,RPM!$L$2:$N$62,3,TRUE))))</f>
        <v>4300</v>
      </c>
      <c r="L1004" s="17">
        <f t="shared" si="188"/>
        <v>79.063577076164819</v>
      </c>
      <c r="M1004" s="16">
        <f t="shared" si="179"/>
        <v>0.36730332443811742</v>
      </c>
      <c r="N1004" s="17">
        <f>VLOOKUP(K1004,RPM!$A$2:$D$62,3,FALSE)</f>
        <v>11.4</v>
      </c>
      <c r="O1004" s="16">
        <f>VLOOKUP(K1004,RPM!$A$2:$D$62,4,FALSE)</f>
        <v>18.894837209302327</v>
      </c>
      <c r="P1004" s="17">
        <f t="shared" si="180"/>
        <v>14.089880106976747</v>
      </c>
      <c r="Q1004" s="16" cm="1">
        <f t="array" ref="Q1004">_xlfn.XLOOKUP(O1004,BSFC!$A$2:$A$24,_xlfn.XLOOKUP(K1004,BSFC!$B$1:$O$1,BSFC!$B$2:$O$24,,-1),,-1)</f>
        <v>480</v>
      </c>
      <c r="R1004" s="17">
        <f t="shared" si="181"/>
        <v>1.8786506809302328</v>
      </c>
      <c r="S1004" s="16">
        <f t="shared" si="182"/>
        <v>2.9183485335175871E-4</v>
      </c>
      <c r="T1004" s="17">
        <f t="shared" si="185"/>
        <v>0.14008072960884418</v>
      </c>
      <c r="U1004" s="16">
        <f t="shared" si="186"/>
        <v>133.22015700373129</v>
      </c>
      <c r="V1004" s="17">
        <f t="shared" si="187"/>
        <v>0.27686722299950817</v>
      </c>
      <c r="W1004" s="16">
        <f t="shared" si="183"/>
        <v>996722.00279822934</v>
      </c>
      <c r="X1004">
        <f>('Hybrid Info'!$A$2-Track!P1004)*(L1004-L1003)*1000+X1003</f>
        <v>-43502.891225619038</v>
      </c>
    </row>
    <row r="1005" spans="1:24">
      <c r="A1005" s="16">
        <f t="shared" si="184"/>
        <v>1004</v>
      </c>
      <c r="B1005" s="17">
        <f t="shared" si="178"/>
        <v>13.411199999999999</v>
      </c>
      <c r="C1005" s="16">
        <f>Specification!$G$29</f>
        <v>164.943378</v>
      </c>
      <c r="D1005" s="17">
        <f>0.5*Specification!$K$4*Track!B1005^2*Specification!$K$3*Specification!$K$2</f>
        <v>93.159842569492653</v>
      </c>
      <c r="E1005" s="16">
        <v>7</v>
      </c>
      <c r="F1005" s="17">
        <f>Specification!$C$23*9.81*SIN((E1005*PI()/180))</f>
        <v>670.05137252956831</v>
      </c>
      <c r="G1005" s="18">
        <f>IF(J1005=1,VLOOKUP(K1005,RPM!$E$2:$H$62,3,FALSE)-F1005-E1005-D1005,IF(J1005=2,VLOOKUP(K1005,RPM!$H$2:$K$62,3,FALSE)-F1005-E1005-D1005,IF(J1005=3,VLOOKUP(K1005,RPM!$K$2:$N$62,3,FALSE)-F1005-E1005-D1005)))</f>
        <v>-127.48919349129677</v>
      </c>
      <c r="H1005" s="19">
        <f>IF(J1005=1,Specification!$I$14,IF(J1005=2,Specification!$I$15,IF(J1005=3,Specification!$I$16)))</f>
        <v>578.93404261974786</v>
      </c>
      <c r="I1005" s="16">
        <f t="shared" si="189"/>
        <v>0</v>
      </c>
      <c r="J1005" s="17">
        <v>3</v>
      </c>
      <c r="K1005" s="16">
        <f>IF(J1005=1,VLOOKUP(B1005,RPM!$F$2:$H$62,3,TRUE),IF(J1005=2,VLOOKUP(B1005,RPM!$I$2:$K$62,3,TRUE),IF(J1005=3,VLOOKUP(B1005,RPM!$L$2:$N$62,3,TRUE))))</f>
        <v>4300</v>
      </c>
      <c r="L1005" s="17">
        <f t="shared" si="188"/>
        <v>79.138141619233295</v>
      </c>
      <c r="M1005" s="16">
        <f t="shared" si="179"/>
        <v>0.49008788534102199</v>
      </c>
      <c r="N1005" s="17">
        <f>VLOOKUP(K1005,RPM!$A$2:$D$62,3,FALSE)</f>
        <v>11.4</v>
      </c>
      <c r="O1005" s="16">
        <f>VLOOKUP(K1005,RPM!$A$2:$D$62,4,FALSE)</f>
        <v>18.894837209302327</v>
      </c>
      <c r="P1005" s="17">
        <f t="shared" si="180"/>
        <v>14.089880106976747</v>
      </c>
      <c r="Q1005" s="16" cm="1">
        <f t="array" ref="Q1005">_xlfn.XLOOKUP(O1005,BSFC!$A$2:$A$24,_xlfn.XLOOKUP(K1005,BSFC!$B$1:$O$1,BSFC!$B$2:$O$24,,-1),,-1)</f>
        <v>480</v>
      </c>
      <c r="R1005" s="17">
        <f t="shared" si="181"/>
        <v>1.8786506809302328</v>
      </c>
      <c r="S1005" s="16">
        <f t="shared" si="182"/>
        <v>2.9183485335175871E-4</v>
      </c>
      <c r="T1005" s="17">
        <f t="shared" si="185"/>
        <v>0.14008072960884418</v>
      </c>
      <c r="U1005" s="16">
        <f t="shared" si="186"/>
        <v>133.36023773334014</v>
      </c>
      <c r="V1005" s="17">
        <f t="shared" si="187"/>
        <v>0.27715905785285994</v>
      </c>
      <c r="W1005" s="16">
        <f t="shared" si="183"/>
        <v>997772.60827029566</v>
      </c>
      <c r="X1005">
        <f>('Hybrid Info'!$A$2-Track!P1005)*(L1005-L1004)*1000+X1004</f>
        <v>-43649.740538968443</v>
      </c>
    </row>
    <row r="1006" spans="1:24">
      <c r="A1006" s="16">
        <f t="shared" si="184"/>
        <v>1005</v>
      </c>
      <c r="B1006" s="17">
        <f t="shared" si="178"/>
        <v>13.411199999999999</v>
      </c>
      <c r="C1006" s="16">
        <f>Specification!$G$29</f>
        <v>164.943378</v>
      </c>
      <c r="D1006" s="17">
        <f>0.5*Specification!$K$4*Track!B1006^2*Specification!$K$3*Specification!$K$2</f>
        <v>93.159842569492653</v>
      </c>
      <c r="E1006" s="16">
        <v>8</v>
      </c>
      <c r="F1006" s="17">
        <f>Specification!$C$23*9.81*SIN((E1006*PI()/180))</f>
        <v>765.1893799696079</v>
      </c>
      <c r="G1006" s="18">
        <f>IF(J1006=1,VLOOKUP(K1006,RPM!$E$2:$H$62,3,FALSE)-F1006-E1006-D1006,IF(J1006=2,VLOOKUP(K1006,RPM!$H$2:$K$62,3,FALSE)-F1006-E1006-D1006,IF(J1006=3,VLOOKUP(K1006,RPM!$K$2:$N$62,3,FALSE)-F1006-E1006-D1006)))</f>
        <v>-223.62720093133635</v>
      </c>
      <c r="H1006" s="19">
        <f>IF(J1006=1,Specification!$I$14,IF(J1006=2,Specification!$I$15,IF(J1006=3,Specification!$I$16)))</f>
        <v>578.93404261974786</v>
      </c>
      <c r="I1006" s="16">
        <f t="shared" si="189"/>
        <v>0</v>
      </c>
      <c r="J1006" s="17">
        <v>3</v>
      </c>
      <c r="K1006" s="16">
        <f>IF(J1006=1,VLOOKUP(B1006,RPM!$F$2:$H$62,3,TRUE),IF(J1006=2,VLOOKUP(B1006,RPM!$I$2:$K$62,3,TRUE),IF(J1006=3,VLOOKUP(B1006,RPM!$L$2:$N$62,3,TRUE))))</f>
        <v>4300</v>
      </c>
      <c r="L1006" s="17">
        <f t="shared" si="188"/>
        <v>79.212706162301771</v>
      </c>
      <c r="M1006" s="16">
        <f t="shared" si="179"/>
        <v>0.63062872004341342</v>
      </c>
      <c r="N1006" s="17">
        <f>VLOOKUP(K1006,RPM!$A$2:$D$62,3,FALSE)</f>
        <v>11.4</v>
      </c>
      <c r="O1006" s="16">
        <f>VLOOKUP(K1006,RPM!$A$2:$D$62,4,FALSE)</f>
        <v>18.894837209302327</v>
      </c>
      <c r="P1006" s="17">
        <f t="shared" si="180"/>
        <v>14.089880106976747</v>
      </c>
      <c r="Q1006" s="16" cm="1">
        <f t="array" ref="Q1006">_xlfn.XLOOKUP(O1006,BSFC!$A$2:$A$24,_xlfn.XLOOKUP(K1006,BSFC!$B$1:$O$1,BSFC!$B$2:$O$24,,-1),,-1)</f>
        <v>480</v>
      </c>
      <c r="R1006" s="17">
        <f t="shared" si="181"/>
        <v>1.8786506809302328</v>
      </c>
      <c r="S1006" s="16">
        <f t="shared" si="182"/>
        <v>2.9183485335175871E-4</v>
      </c>
      <c r="T1006" s="17">
        <f t="shared" si="185"/>
        <v>0.14008072960884418</v>
      </c>
      <c r="U1006" s="16">
        <f t="shared" si="186"/>
        <v>133.500318462949</v>
      </c>
      <c r="V1006" s="17">
        <f t="shared" si="187"/>
        <v>0.2774508927062117</v>
      </c>
      <c r="W1006" s="16">
        <f t="shared" si="183"/>
        <v>998823.21374236222</v>
      </c>
      <c r="X1006">
        <f>('Hybrid Info'!$A$2-Track!P1006)*(L1006-L1005)*1000+X1005</f>
        <v>-43796.589852317848</v>
      </c>
    </row>
    <row r="1007" spans="1:24">
      <c r="A1007" s="16">
        <f t="shared" si="184"/>
        <v>1006</v>
      </c>
      <c r="B1007" s="17">
        <f t="shared" si="178"/>
        <v>13.411199999999999</v>
      </c>
      <c r="C1007" s="16">
        <f>Specification!$G$29</f>
        <v>164.943378</v>
      </c>
      <c r="D1007" s="17">
        <f>0.5*Specification!$K$4*Track!B1007^2*Specification!$K$3*Specification!$K$2</f>
        <v>93.159842569492653</v>
      </c>
      <c r="E1007" s="16">
        <v>8</v>
      </c>
      <c r="F1007" s="17">
        <f>Specification!$C$23*9.81*SIN((E1007*PI()/180))</f>
        <v>765.1893799696079</v>
      </c>
      <c r="G1007" s="18">
        <f>IF(J1007=1,VLOOKUP(K1007,RPM!$E$2:$H$62,3,FALSE)-F1007-E1007-D1007,IF(J1007=2,VLOOKUP(K1007,RPM!$H$2:$K$62,3,FALSE)-F1007-E1007-D1007,IF(J1007=3,VLOOKUP(K1007,RPM!$K$2:$N$62,3,FALSE)-F1007-E1007-D1007)))</f>
        <v>-223.62720093133635</v>
      </c>
      <c r="H1007" s="19">
        <f>IF(J1007=1,Specification!$I$14,IF(J1007=2,Specification!$I$15,IF(J1007=3,Specification!$I$16)))</f>
        <v>578.93404261974786</v>
      </c>
      <c r="I1007" s="16">
        <f t="shared" si="189"/>
        <v>0</v>
      </c>
      <c r="J1007" s="17">
        <v>3</v>
      </c>
      <c r="K1007" s="16">
        <f>IF(J1007=1,VLOOKUP(B1007,RPM!$F$2:$H$62,3,TRUE),IF(J1007=2,VLOOKUP(B1007,RPM!$I$2:$K$62,3,TRUE),IF(J1007=3,VLOOKUP(B1007,RPM!$L$2:$N$62,3,TRUE))))</f>
        <v>4300</v>
      </c>
      <c r="L1007" s="17">
        <f t="shared" si="188"/>
        <v>79.287270705370247</v>
      </c>
      <c r="M1007" s="16">
        <f t="shared" si="179"/>
        <v>0.77116955474580484</v>
      </c>
      <c r="N1007" s="17">
        <f>VLOOKUP(K1007,RPM!$A$2:$D$62,3,FALSE)</f>
        <v>11.4</v>
      </c>
      <c r="O1007" s="16">
        <f>VLOOKUP(K1007,RPM!$A$2:$D$62,4,FALSE)</f>
        <v>18.894837209302327</v>
      </c>
      <c r="P1007" s="17">
        <f t="shared" si="180"/>
        <v>14.089880106976747</v>
      </c>
      <c r="Q1007" s="16" cm="1">
        <f t="array" ref="Q1007">_xlfn.XLOOKUP(O1007,BSFC!$A$2:$A$24,_xlfn.XLOOKUP(K1007,BSFC!$B$1:$O$1,BSFC!$B$2:$O$24,,-1),,-1)</f>
        <v>480</v>
      </c>
      <c r="R1007" s="17">
        <f t="shared" si="181"/>
        <v>1.8786506809302328</v>
      </c>
      <c r="S1007" s="16">
        <f t="shared" si="182"/>
        <v>2.9183485335175871E-4</v>
      </c>
      <c r="T1007" s="17">
        <f t="shared" si="185"/>
        <v>0.14008072960884418</v>
      </c>
      <c r="U1007" s="16">
        <f t="shared" si="186"/>
        <v>133.64039919255785</v>
      </c>
      <c r="V1007" s="17">
        <f t="shared" si="187"/>
        <v>0.27774272755956347</v>
      </c>
      <c r="W1007" s="16">
        <f t="shared" si="183"/>
        <v>999873.81921442854</v>
      </c>
      <c r="X1007">
        <f>('Hybrid Info'!$A$2-Track!P1007)*(L1007-L1006)*1000+X1006</f>
        <v>-43943.439165667252</v>
      </c>
    </row>
    <row r="1008" spans="1:24">
      <c r="A1008" s="16">
        <f t="shared" si="184"/>
        <v>1007</v>
      </c>
      <c r="B1008" s="17">
        <f t="shared" si="178"/>
        <v>13.411199999999999</v>
      </c>
      <c r="C1008" s="16">
        <f>Specification!$G$29</f>
        <v>164.943378</v>
      </c>
      <c r="D1008" s="17">
        <f>0.5*Specification!$K$4*Track!B1008^2*Specification!$K$3*Specification!$K$2</f>
        <v>93.159842569492653</v>
      </c>
      <c r="E1008" s="16">
        <v>8</v>
      </c>
      <c r="F1008" s="17">
        <f>Specification!$C$23*9.81*SIN((E1008*PI()/180))</f>
        <v>765.1893799696079</v>
      </c>
      <c r="G1008" s="18">
        <f>IF(J1008=1,VLOOKUP(K1008,RPM!$E$2:$H$62,3,FALSE)-F1008-E1008-D1008,IF(J1008=2,VLOOKUP(K1008,RPM!$H$2:$K$62,3,FALSE)-F1008-E1008-D1008,IF(J1008=3,VLOOKUP(K1008,RPM!$K$2:$N$62,3,FALSE)-F1008-E1008-D1008)))</f>
        <v>-223.62720093133635</v>
      </c>
      <c r="H1008" s="19">
        <f>IF(J1008=1,Specification!$I$14,IF(J1008=2,Specification!$I$15,IF(J1008=3,Specification!$I$16)))</f>
        <v>578.93404261974786</v>
      </c>
      <c r="I1008" s="16">
        <f t="shared" si="189"/>
        <v>0</v>
      </c>
      <c r="J1008" s="17">
        <v>3</v>
      </c>
      <c r="K1008" s="16">
        <f>IF(J1008=1,VLOOKUP(B1008,RPM!$F$2:$H$62,3,TRUE),IF(J1008=2,VLOOKUP(B1008,RPM!$I$2:$K$62,3,TRUE),IF(J1008=3,VLOOKUP(B1008,RPM!$L$2:$N$62,3,TRUE))))</f>
        <v>4300</v>
      </c>
      <c r="L1008" s="17">
        <f t="shared" si="188"/>
        <v>79.361835248438723</v>
      </c>
      <c r="M1008" s="16">
        <f t="shared" si="179"/>
        <v>0.91171038944819627</v>
      </c>
      <c r="N1008" s="17">
        <f>VLOOKUP(K1008,RPM!$A$2:$D$62,3,FALSE)</f>
        <v>11.4</v>
      </c>
      <c r="O1008" s="16">
        <f>VLOOKUP(K1008,RPM!$A$2:$D$62,4,FALSE)</f>
        <v>18.894837209302327</v>
      </c>
      <c r="P1008" s="17">
        <f t="shared" si="180"/>
        <v>14.089880106976747</v>
      </c>
      <c r="Q1008" s="16" cm="1">
        <f t="array" ref="Q1008">_xlfn.XLOOKUP(O1008,BSFC!$A$2:$A$24,_xlfn.XLOOKUP(K1008,BSFC!$B$1:$O$1,BSFC!$B$2:$O$24,,-1),,-1)</f>
        <v>480</v>
      </c>
      <c r="R1008" s="17">
        <f t="shared" si="181"/>
        <v>1.8786506809302328</v>
      </c>
      <c r="S1008" s="16">
        <f t="shared" si="182"/>
        <v>2.9183485335175871E-4</v>
      </c>
      <c r="T1008" s="17">
        <f t="shared" si="185"/>
        <v>0.14008072960884418</v>
      </c>
      <c r="U1008" s="16">
        <f t="shared" si="186"/>
        <v>133.78047992216671</v>
      </c>
      <c r="V1008" s="17">
        <f t="shared" si="187"/>
        <v>0.27803456241291524</v>
      </c>
      <c r="W1008" s="16">
        <f t="shared" si="183"/>
        <v>1000924.4246864949</v>
      </c>
      <c r="X1008">
        <f>('Hybrid Info'!$A$2-Track!P1008)*(L1008-L1007)*1000+X1007</f>
        <v>-44090.288479016657</v>
      </c>
    </row>
    <row r="1009" spans="1:24">
      <c r="A1009" s="16">
        <f t="shared" si="184"/>
        <v>1008</v>
      </c>
      <c r="B1009" s="17">
        <f t="shared" ref="B1009:B1072" si="190">IF(SQRT(B1008^2+2*I1008)&gt;13.4112,13.4112,SQRT(B1008^2+2*I1008))</f>
        <v>13.411199999999999</v>
      </c>
      <c r="C1009" s="16">
        <f>Specification!$G$29</f>
        <v>164.943378</v>
      </c>
      <c r="D1009" s="17">
        <f>0.5*Specification!$K$4*Track!B1009^2*Specification!$K$3*Specification!$K$2</f>
        <v>93.159842569492653</v>
      </c>
      <c r="E1009" s="16">
        <v>8</v>
      </c>
      <c r="F1009" s="17">
        <f>Specification!$C$23*9.81*SIN((E1009*PI()/180))</f>
        <v>765.1893799696079</v>
      </c>
      <c r="G1009" s="18">
        <f>IF(J1009=1,VLOOKUP(K1009,RPM!$E$2:$H$62,3,FALSE)-F1009-E1009-D1009,IF(J1009=2,VLOOKUP(K1009,RPM!$H$2:$K$62,3,FALSE)-F1009-E1009-D1009,IF(J1009=3,VLOOKUP(K1009,RPM!$K$2:$N$62,3,FALSE)-F1009-E1009-D1009)))</f>
        <v>-223.62720093133635</v>
      </c>
      <c r="H1009" s="19">
        <f>IF(J1009=1,Specification!$I$14,IF(J1009=2,Specification!$I$15,IF(J1009=3,Specification!$I$16)))</f>
        <v>578.93404261974786</v>
      </c>
      <c r="I1009" s="16">
        <f t="shared" si="189"/>
        <v>0</v>
      </c>
      <c r="J1009" s="17">
        <v>3</v>
      </c>
      <c r="K1009" s="16">
        <f>IF(J1009=1,VLOOKUP(B1009,RPM!$F$2:$H$62,3,TRUE),IF(J1009=2,VLOOKUP(B1009,RPM!$I$2:$K$62,3,TRUE),IF(J1009=3,VLOOKUP(B1009,RPM!$L$2:$N$62,3,TRUE))))</f>
        <v>4300</v>
      </c>
      <c r="L1009" s="17">
        <f t="shared" si="188"/>
        <v>79.436399791507199</v>
      </c>
      <c r="M1009" s="16">
        <f t="shared" si="179"/>
        <v>1.0522512241505877</v>
      </c>
      <c r="N1009" s="17">
        <f>VLOOKUP(K1009,RPM!$A$2:$D$62,3,FALSE)</f>
        <v>11.4</v>
      </c>
      <c r="O1009" s="16">
        <f>VLOOKUP(K1009,RPM!$A$2:$D$62,4,FALSE)</f>
        <v>18.894837209302327</v>
      </c>
      <c r="P1009" s="17">
        <f t="shared" si="180"/>
        <v>14.089880106976747</v>
      </c>
      <c r="Q1009" s="16" cm="1">
        <f t="array" ref="Q1009">_xlfn.XLOOKUP(O1009,BSFC!$A$2:$A$24,_xlfn.XLOOKUP(K1009,BSFC!$B$1:$O$1,BSFC!$B$2:$O$24,,-1),,-1)</f>
        <v>480</v>
      </c>
      <c r="R1009" s="17">
        <f t="shared" si="181"/>
        <v>1.8786506809302328</v>
      </c>
      <c r="S1009" s="16">
        <f t="shared" si="182"/>
        <v>2.9183485335175871E-4</v>
      </c>
      <c r="T1009" s="17">
        <f t="shared" si="185"/>
        <v>0.14008072960884418</v>
      </c>
      <c r="U1009" s="16">
        <f t="shared" si="186"/>
        <v>133.92056065177556</v>
      </c>
      <c r="V1009" s="17">
        <f t="shared" si="187"/>
        <v>0.27832639726626701</v>
      </c>
      <c r="W1009" s="16">
        <f t="shared" si="183"/>
        <v>1001975.0301585612</v>
      </c>
      <c r="X1009">
        <f>('Hybrid Info'!$A$2-Track!P1009)*(L1009-L1008)*1000+X1008</f>
        <v>-44237.137792366062</v>
      </c>
    </row>
    <row r="1010" spans="1:24">
      <c r="A1010" s="16">
        <f t="shared" si="184"/>
        <v>1009</v>
      </c>
      <c r="B1010" s="17">
        <f t="shared" si="190"/>
        <v>13.411199999999999</v>
      </c>
      <c r="C1010" s="16">
        <f>Specification!$G$29</f>
        <v>164.943378</v>
      </c>
      <c r="D1010" s="17">
        <f>0.5*Specification!$K$4*Track!B1010^2*Specification!$K$3*Specification!$K$2</f>
        <v>93.159842569492653</v>
      </c>
      <c r="E1010" s="16">
        <v>8</v>
      </c>
      <c r="F1010" s="17">
        <f>Specification!$C$23*9.81*SIN((E1010*PI()/180))</f>
        <v>765.1893799696079</v>
      </c>
      <c r="G1010" s="18">
        <f>IF(J1010=1,VLOOKUP(K1010,RPM!$E$2:$H$62,3,FALSE)-F1010-E1010-D1010,IF(J1010=2,VLOOKUP(K1010,RPM!$H$2:$K$62,3,FALSE)-F1010-E1010-D1010,IF(J1010=3,VLOOKUP(K1010,RPM!$K$2:$N$62,3,FALSE)-F1010-E1010-D1010)))</f>
        <v>-223.62720093133635</v>
      </c>
      <c r="H1010" s="19">
        <f>IF(J1010=1,Specification!$I$14,IF(J1010=2,Specification!$I$15,IF(J1010=3,Specification!$I$16)))</f>
        <v>578.93404261974786</v>
      </c>
      <c r="I1010" s="16">
        <f t="shared" si="189"/>
        <v>0</v>
      </c>
      <c r="J1010" s="17">
        <v>3</v>
      </c>
      <c r="K1010" s="16">
        <f>IF(J1010=1,VLOOKUP(B1010,RPM!$F$2:$H$62,3,TRUE),IF(J1010=2,VLOOKUP(B1010,RPM!$I$2:$K$62,3,TRUE),IF(J1010=3,VLOOKUP(B1010,RPM!$L$2:$N$62,3,TRUE))))</f>
        <v>4300</v>
      </c>
      <c r="L1010" s="17">
        <f t="shared" si="188"/>
        <v>79.510964334575675</v>
      </c>
      <c r="M1010" s="16">
        <f t="shared" si="179"/>
        <v>1.1927920588529792</v>
      </c>
      <c r="N1010" s="17">
        <f>VLOOKUP(K1010,RPM!$A$2:$D$62,3,FALSE)</f>
        <v>11.4</v>
      </c>
      <c r="O1010" s="16">
        <f>VLOOKUP(K1010,RPM!$A$2:$D$62,4,FALSE)</f>
        <v>18.894837209302327</v>
      </c>
      <c r="P1010" s="17">
        <f t="shared" si="180"/>
        <v>14.089880106976747</v>
      </c>
      <c r="Q1010" s="16" cm="1">
        <f t="array" ref="Q1010">_xlfn.XLOOKUP(O1010,BSFC!$A$2:$A$24,_xlfn.XLOOKUP(K1010,BSFC!$B$1:$O$1,BSFC!$B$2:$O$24,,-1),,-1)</f>
        <v>480</v>
      </c>
      <c r="R1010" s="17">
        <f t="shared" si="181"/>
        <v>1.8786506809302328</v>
      </c>
      <c r="S1010" s="16">
        <f t="shared" si="182"/>
        <v>2.9183485335175871E-4</v>
      </c>
      <c r="T1010" s="17">
        <f t="shared" si="185"/>
        <v>0.14008072960884418</v>
      </c>
      <c r="U1010" s="16">
        <f t="shared" si="186"/>
        <v>134.06064138138441</v>
      </c>
      <c r="V1010" s="17">
        <f t="shared" si="187"/>
        <v>0.27861823211961878</v>
      </c>
      <c r="W1010" s="16">
        <f t="shared" si="183"/>
        <v>1003025.6356306275</v>
      </c>
      <c r="X1010">
        <f>('Hybrid Info'!$A$2-Track!P1010)*(L1010-L1009)*1000+X1009</f>
        <v>-44383.987105715467</v>
      </c>
    </row>
    <row r="1011" spans="1:24">
      <c r="A1011" s="16">
        <f t="shared" si="184"/>
        <v>1010</v>
      </c>
      <c r="B1011" s="17">
        <f t="shared" si="190"/>
        <v>13.411199999999999</v>
      </c>
      <c r="C1011" s="16">
        <f>Specification!$G$29</f>
        <v>164.943378</v>
      </c>
      <c r="D1011" s="17">
        <f>0.5*Specification!$K$4*Track!B1011^2*Specification!$K$3*Specification!$K$2</f>
        <v>93.159842569492653</v>
      </c>
      <c r="E1011" s="16">
        <v>8</v>
      </c>
      <c r="F1011" s="17">
        <f>Specification!$C$23*9.81*SIN((E1011*PI()/180))</f>
        <v>765.1893799696079</v>
      </c>
      <c r="G1011" s="18">
        <f>IF(J1011=1,VLOOKUP(K1011,RPM!$E$2:$H$62,3,FALSE)-F1011-E1011-D1011,IF(J1011=2,VLOOKUP(K1011,RPM!$H$2:$K$62,3,FALSE)-F1011-E1011-D1011,IF(J1011=3,VLOOKUP(K1011,RPM!$K$2:$N$62,3,FALSE)-F1011-E1011-D1011)))</f>
        <v>-223.62720093133635</v>
      </c>
      <c r="H1011" s="19">
        <f>IF(J1011=1,Specification!$I$14,IF(J1011=2,Specification!$I$15,IF(J1011=3,Specification!$I$16)))</f>
        <v>578.93404261974786</v>
      </c>
      <c r="I1011" s="16">
        <f t="shared" si="189"/>
        <v>0</v>
      </c>
      <c r="J1011" s="17">
        <v>3</v>
      </c>
      <c r="K1011" s="16">
        <f>IF(J1011=1,VLOOKUP(B1011,RPM!$F$2:$H$62,3,TRUE),IF(J1011=2,VLOOKUP(B1011,RPM!$I$2:$K$62,3,TRUE),IF(J1011=3,VLOOKUP(B1011,RPM!$L$2:$N$62,3,TRUE))))</f>
        <v>4300</v>
      </c>
      <c r="L1011" s="17">
        <f t="shared" si="188"/>
        <v>79.585528877644151</v>
      </c>
      <c r="M1011" s="16">
        <f t="shared" ref="M1011:M1072" si="191">TAN(E1011*PI()/180)+M1010</f>
        <v>1.3333328935553708</v>
      </c>
      <c r="N1011" s="17">
        <f>VLOOKUP(K1011,RPM!$A$2:$D$62,3,FALSE)</f>
        <v>11.4</v>
      </c>
      <c r="O1011" s="16">
        <f>VLOOKUP(K1011,RPM!$A$2:$D$62,4,FALSE)</f>
        <v>18.894837209302327</v>
      </c>
      <c r="P1011" s="17">
        <f t="shared" si="180"/>
        <v>14.089880106976747</v>
      </c>
      <c r="Q1011" s="16" cm="1">
        <f t="array" ref="Q1011">_xlfn.XLOOKUP(O1011,BSFC!$A$2:$A$24,_xlfn.XLOOKUP(K1011,BSFC!$B$1:$O$1,BSFC!$B$2:$O$24,,-1),,-1)</f>
        <v>480</v>
      </c>
      <c r="R1011" s="17">
        <f t="shared" si="181"/>
        <v>1.8786506809302328</v>
      </c>
      <c r="S1011" s="16">
        <f t="shared" si="182"/>
        <v>2.9183485335175871E-4</v>
      </c>
      <c r="T1011" s="17">
        <f t="shared" si="185"/>
        <v>0.14008072960884418</v>
      </c>
      <c r="U1011" s="16">
        <f t="shared" si="186"/>
        <v>134.20072211099327</v>
      </c>
      <c r="V1011" s="17">
        <f t="shared" si="187"/>
        <v>0.27891006697297055</v>
      </c>
      <c r="W1011" s="16">
        <f t="shared" si="183"/>
        <v>1004076.2411026938</v>
      </c>
      <c r="X1011">
        <f>('Hybrid Info'!$A$2-Track!P1011)*(L1011-L1010)*1000+X1010</f>
        <v>-44530.836419064872</v>
      </c>
    </row>
    <row r="1012" spans="1:24">
      <c r="A1012" s="16">
        <f t="shared" si="184"/>
        <v>1011</v>
      </c>
      <c r="B1012" s="17">
        <f t="shared" si="190"/>
        <v>13.411199999999999</v>
      </c>
      <c r="C1012" s="16">
        <f>Specification!$G$29</f>
        <v>164.943378</v>
      </c>
      <c r="D1012" s="17">
        <f>0.5*Specification!$K$4*Track!B1012^2*Specification!$K$3*Specification!$K$2</f>
        <v>93.159842569492653</v>
      </c>
      <c r="E1012" s="16">
        <v>8</v>
      </c>
      <c r="F1012" s="17">
        <f>Specification!$C$23*9.81*SIN((E1012*PI()/180))</f>
        <v>765.1893799696079</v>
      </c>
      <c r="G1012" s="18">
        <f>IF(J1012=1,VLOOKUP(K1012,RPM!$E$2:$H$62,3,FALSE)-F1012-E1012-D1012,IF(J1012=2,VLOOKUP(K1012,RPM!$H$2:$K$62,3,FALSE)-F1012-E1012-D1012,IF(J1012=3,VLOOKUP(K1012,RPM!$K$2:$N$62,3,FALSE)-F1012-E1012-D1012)))</f>
        <v>-223.62720093133635</v>
      </c>
      <c r="H1012" s="19">
        <f>IF(J1012=1,Specification!$I$14,IF(J1012=2,Specification!$I$15,IF(J1012=3,Specification!$I$16)))</f>
        <v>578.93404261974786</v>
      </c>
      <c r="I1012" s="16">
        <f t="shared" si="189"/>
        <v>0</v>
      </c>
      <c r="J1012" s="17">
        <v>3</v>
      </c>
      <c r="K1012" s="16">
        <f>IF(J1012=1,VLOOKUP(B1012,RPM!$F$2:$H$62,3,TRUE),IF(J1012=2,VLOOKUP(B1012,RPM!$I$2:$K$62,3,TRUE),IF(J1012=3,VLOOKUP(B1012,RPM!$L$2:$N$62,3,TRUE))))</f>
        <v>4300</v>
      </c>
      <c r="L1012" s="17">
        <f t="shared" si="188"/>
        <v>79.660093420712627</v>
      </c>
      <c r="M1012" s="16">
        <f t="shared" si="191"/>
        <v>1.4738737282577623</v>
      </c>
      <c r="N1012" s="17">
        <f>VLOOKUP(K1012,RPM!$A$2:$D$62,3,FALSE)</f>
        <v>11.4</v>
      </c>
      <c r="O1012" s="16">
        <f>VLOOKUP(K1012,RPM!$A$2:$D$62,4,FALSE)</f>
        <v>18.894837209302327</v>
      </c>
      <c r="P1012" s="17">
        <f t="shared" si="180"/>
        <v>14.089880106976747</v>
      </c>
      <c r="Q1012" s="16" cm="1">
        <f t="array" ref="Q1012">_xlfn.XLOOKUP(O1012,BSFC!$A$2:$A$24,_xlfn.XLOOKUP(K1012,BSFC!$B$1:$O$1,BSFC!$B$2:$O$24,,-1),,-1)</f>
        <v>480</v>
      </c>
      <c r="R1012" s="17">
        <f t="shared" si="181"/>
        <v>1.8786506809302328</v>
      </c>
      <c r="S1012" s="16">
        <f t="shared" si="182"/>
        <v>2.9183485335175871E-4</v>
      </c>
      <c r="T1012" s="17">
        <f t="shared" si="185"/>
        <v>0.14008072960884418</v>
      </c>
      <c r="U1012" s="16">
        <f t="shared" si="186"/>
        <v>134.34080284060212</v>
      </c>
      <c r="V1012" s="17">
        <f t="shared" si="187"/>
        <v>0.27920190182632232</v>
      </c>
      <c r="W1012" s="16">
        <f t="shared" si="183"/>
        <v>1005126.8465747604</v>
      </c>
      <c r="X1012">
        <f>('Hybrid Info'!$A$2-Track!P1012)*(L1012-L1011)*1000+X1011</f>
        <v>-44677.685732414277</v>
      </c>
    </row>
    <row r="1013" spans="1:24">
      <c r="A1013" s="16">
        <f t="shared" si="184"/>
        <v>1012</v>
      </c>
      <c r="B1013" s="17">
        <f t="shared" si="190"/>
        <v>13.411199999999999</v>
      </c>
      <c r="C1013" s="16">
        <f>Specification!$G$29</f>
        <v>164.943378</v>
      </c>
      <c r="D1013" s="17">
        <f>0.5*Specification!$K$4*Track!B1013^2*Specification!$K$3*Specification!$K$2</f>
        <v>93.159842569492653</v>
      </c>
      <c r="E1013" s="16">
        <v>8</v>
      </c>
      <c r="F1013" s="17">
        <f>Specification!$C$23*9.81*SIN((E1013*PI()/180))</f>
        <v>765.1893799696079</v>
      </c>
      <c r="G1013" s="18">
        <f>IF(J1013=1,VLOOKUP(K1013,RPM!$E$2:$H$62,3,FALSE)-F1013-E1013-D1013,IF(J1013=2,VLOOKUP(K1013,RPM!$H$2:$K$62,3,FALSE)-F1013-E1013-D1013,IF(J1013=3,VLOOKUP(K1013,RPM!$K$2:$N$62,3,FALSE)-F1013-E1013-D1013)))</f>
        <v>-223.62720093133635</v>
      </c>
      <c r="H1013" s="19">
        <f>IF(J1013=1,Specification!$I$14,IF(J1013=2,Specification!$I$15,IF(J1013=3,Specification!$I$16)))</f>
        <v>578.93404261974786</v>
      </c>
      <c r="I1013" s="16">
        <f t="shared" si="189"/>
        <v>0</v>
      </c>
      <c r="J1013" s="17">
        <v>3</v>
      </c>
      <c r="K1013" s="16">
        <f>IF(J1013=1,VLOOKUP(B1013,RPM!$F$2:$H$62,3,TRUE),IF(J1013=2,VLOOKUP(B1013,RPM!$I$2:$K$62,3,TRUE),IF(J1013=3,VLOOKUP(B1013,RPM!$L$2:$N$62,3,TRUE))))</f>
        <v>4300</v>
      </c>
      <c r="L1013" s="17">
        <f t="shared" si="188"/>
        <v>79.734657963781103</v>
      </c>
      <c r="M1013" s="16">
        <f t="shared" si="191"/>
        <v>1.6144145629601538</v>
      </c>
      <c r="N1013" s="17">
        <f>VLOOKUP(K1013,RPM!$A$2:$D$62,3,FALSE)</f>
        <v>11.4</v>
      </c>
      <c r="O1013" s="16">
        <f>VLOOKUP(K1013,RPM!$A$2:$D$62,4,FALSE)</f>
        <v>18.894837209302327</v>
      </c>
      <c r="P1013" s="17">
        <f t="shared" si="180"/>
        <v>14.089880106976747</v>
      </c>
      <c r="Q1013" s="16" cm="1">
        <f t="array" ref="Q1013">_xlfn.XLOOKUP(O1013,BSFC!$A$2:$A$24,_xlfn.XLOOKUP(K1013,BSFC!$B$1:$O$1,BSFC!$B$2:$O$24,,-1),,-1)</f>
        <v>480</v>
      </c>
      <c r="R1013" s="17">
        <f t="shared" si="181"/>
        <v>1.8786506809302328</v>
      </c>
      <c r="S1013" s="16">
        <f t="shared" si="182"/>
        <v>2.9183485335175871E-4</v>
      </c>
      <c r="T1013" s="17">
        <f t="shared" si="185"/>
        <v>0.14008072960884418</v>
      </c>
      <c r="U1013" s="16">
        <f t="shared" si="186"/>
        <v>134.48088357021098</v>
      </c>
      <c r="V1013" s="17">
        <f t="shared" si="187"/>
        <v>0.27949373667967409</v>
      </c>
      <c r="W1013" s="16">
        <f t="shared" si="183"/>
        <v>1006177.4520468267</v>
      </c>
      <c r="X1013">
        <f>('Hybrid Info'!$A$2-Track!P1013)*(L1013-L1012)*1000+X1012</f>
        <v>-44824.535045763681</v>
      </c>
    </row>
    <row r="1014" spans="1:24">
      <c r="A1014" s="16">
        <f t="shared" si="184"/>
        <v>1013</v>
      </c>
      <c r="B1014" s="17">
        <f t="shared" si="190"/>
        <v>13.411199999999999</v>
      </c>
      <c r="C1014" s="16">
        <f>Specification!$G$29</f>
        <v>164.943378</v>
      </c>
      <c r="D1014" s="17">
        <f>0.5*Specification!$K$4*Track!B1014^2*Specification!$K$3*Specification!$K$2</f>
        <v>93.159842569492653</v>
      </c>
      <c r="E1014" s="16">
        <v>8</v>
      </c>
      <c r="F1014" s="17">
        <f>Specification!$C$23*9.81*SIN((E1014*PI()/180))</f>
        <v>765.1893799696079</v>
      </c>
      <c r="G1014" s="18">
        <f>IF(J1014=1,VLOOKUP(K1014,RPM!$E$2:$H$62,3,FALSE)-F1014-E1014-D1014,IF(J1014=2,VLOOKUP(K1014,RPM!$H$2:$K$62,3,FALSE)-F1014-E1014-D1014,IF(J1014=3,VLOOKUP(K1014,RPM!$K$2:$N$62,3,FALSE)-F1014-E1014-D1014)))</f>
        <v>-223.62720093133635</v>
      </c>
      <c r="H1014" s="19">
        <f>IF(J1014=1,Specification!$I$14,IF(J1014=2,Specification!$I$15,IF(J1014=3,Specification!$I$16)))</f>
        <v>578.93404261974786</v>
      </c>
      <c r="I1014" s="16">
        <f t="shared" si="189"/>
        <v>0</v>
      </c>
      <c r="J1014" s="17">
        <v>3</v>
      </c>
      <c r="K1014" s="16">
        <f>IF(J1014=1,VLOOKUP(B1014,RPM!$F$2:$H$62,3,TRUE),IF(J1014=2,VLOOKUP(B1014,RPM!$I$2:$K$62,3,TRUE),IF(J1014=3,VLOOKUP(B1014,RPM!$L$2:$N$62,3,TRUE))))</f>
        <v>4300</v>
      </c>
      <c r="L1014" s="17">
        <f t="shared" si="188"/>
        <v>79.809222506849579</v>
      </c>
      <c r="M1014" s="16">
        <f t="shared" si="191"/>
        <v>1.7549553976625454</v>
      </c>
      <c r="N1014" s="17">
        <f>VLOOKUP(K1014,RPM!$A$2:$D$62,3,FALSE)</f>
        <v>11.4</v>
      </c>
      <c r="O1014" s="16">
        <f>VLOOKUP(K1014,RPM!$A$2:$D$62,4,FALSE)</f>
        <v>18.894837209302327</v>
      </c>
      <c r="P1014" s="17">
        <f t="shared" si="180"/>
        <v>14.089880106976747</v>
      </c>
      <c r="Q1014" s="16" cm="1">
        <f t="array" ref="Q1014">_xlfn.XLOOKUP(O1014,BSFC!$A$2:$A$24,_xlfn.XLOOKUP(K1014,BSFC!$B$1:$O$1,BSFC!$B$2:$O$24,,-1),,-1)</f>
        <v>480</v>
      </c>
      <c r="R1014" s="17">
        <f t="shared" si="181"/>
        <v>1.8786506809302328</v>
      </c>
      <c r="S1014" s="16">
        <f t="shared" si="182"/>
        <v>2.9183485335175871E-4</v>
      </c>
      <c r="T1014" s="17">
        <f t="shared" si="185"/>
        <v>0.14008072960884418</v>
      </c>
      <c r="U1014" s="16">
        <f t="shared" si="186"/>
        <v>134.62096429981983</v>
      </c>
      <c r="V1014" s="17">
        <f t="shared" si="187"/>
        <v>0.27978557153302586</v>
      </c>
      <c r="W1014" s="16">
        <f t="shared" si="183"/>
        <v>1007228.057518893</v>
      </c>
      <c r="X1014">
        <f>('Hybrid Info'!$A$2-Track!P1014)*(L1014-L1013)*1000+X1013</f>
        <v>-44971.384359113086</v>
      </c>
    </row>
    <row r="1015" spans="1:24">
      <c r="A1015" s="16">
        <f t="shared" si="184"/>
        <v>1014</v>
      </c>
      <c r="B1015" s="17">
        <f t="shared" si="190"/>
        <v>13.411199999999999</v>
      </c>
      <c r="C1015" s="16">
        <f>Specification!$G$29</f>
        <v>164.943378</v>
      </c>
      <c r="D1015" s="17">
        <f>0.5*Specification!$K$4*Track!B1015^2*Specification!$K$3*Specification!$K$2</f>
        <v>93.159842569492653</v>
      </c>
      <c r="E1015" s="16">
        <v>8</v>
      </c>
      <c r="F1015" s="17">
        <f>Specification!$C$23*9.81*SIN((E1015*PI()/180))</f>
        <v>765.1893799696079</v>
      </c>
      <c r="G1015" s="18">
        <f>IF(J1015=1,VLOOKUP(K1015,RPM!$E$2:$H$62,3,FALSE)-F1015-E1015-D1015,IF(J1015=2,VLOOKUP(K1015,RPM!$H$2:$K$62,3,FALSE)-F1015-E1015-D1015,IF(J1015=3,VLOOKUP(K1015,RPM!$K$2:$N$62,3,FALSE)-F1015-E1015-D1015)))</f>
        <v>-223.62720093133635</v>
      </c>
      <c r="H1015" s="19">
        <f>IF(J1015=1,Specification!$I$14,IF(J1015=2,Specification!$I$15,IF(J1015=3,Specification!$I$16)))</f>
        <v>578.93404261974786</v>
      </c>
      <c r="I1015" s="16">
        <f t="shared" si="189"/>
        <v>0</v>
      </c>
      <c r="J1015" s="17">
        <v>3</v>
      </c>
      <c r="K1015" s="16">
        <f>IF(J1015=1,VLOOKUP(B1015,RPM!$F$2:$H$62,3,TRUE),IF(J1015=2,VLOOKUP(B1015,RPM!$I$2:$K$62,3,TRUE),IF(J1015=3,VLOOKUP(B1015,RPM!$L$2:$N$62,3,TRUE))))</f>
        <v>4300</v>
      </c>
      <c r="L1015" s="17">
        <f t="shared" si="188"/>
        <v>79.883787049918055</v>
      </c>
      <c r="M1015" s="16">
        <f t="shared" si="191"/>
        <v>1.8954962323649369</v>
      </c>
      <c r="N1015" s="17">
        <f>VLOOKUP(K1015,RPM!$A$2:$D$62,3,FALSE)</f>
        <v>11.4</v>
      </c>
      <c r="O1015" s="16">
        <f>VLOOKUP(K1015,RPM!$A$2:$D$62,4,FALSE)</f>
        <v>18.894837209302327</v>
      </c>
      <c r="P1015" s="17">
        <f t="shared" si="180"/>
        <v>14.089880106976747</v>
      </c>
      <c r="Q1015" s="16" cm="1">
        <f t="array" ref="Q1015">_xlfn.XLOOKUP(O1015,BSFC!$A$2:$A$24,_xlfn.XLOOKUP(K1015,BSFC!$B$1:$O$1,BSFC!$B$2:$O$24,,-1),,-1)</f>
        <v>480</v>
      </c>
      <c r="R1015" s="17">
        <f t="shared" si="181"/>
        <v>1.8786506809302328</v>
      </c>
      <c r="S1015" s="16">
        <f t="shared" si="182"/>
        <v>2.9183485335175871E-4</v>
      </c>
      <c r="T1015" s="17">
        <f t="shared" si="185"/>
        <v>0.14008072960884418</v>
      </c>
      <c r="U1015" s="16">
        <f t="shared" si="186"/>
        <v>134.76104502942869</v>
      </c>
      <c r="V1015" s="17">
        <f t="shared" si="187"/>
        <v>0.28007740638637763</v>
      </c>
      <c r="W1015" s="16">
        <f t="shared" si="183"/>
        <v>1008278.6629909595</v>
      </c>
      <c r="X1015">
        <f>('Hybrid Info'!$A$2-Track!P1015)*(L1015-L1014)*1000+X1014</f>
        <v>-45118.233672462491</v>
      </c>
    </row>
    <row r="1016" spans="1:24">
      <c r="A1016" s="16">
        <f t="shared" si="184"/>
        <v>1015</v>
      </c>
      <c r="B1016" s="17">
        <f t="shared" si="190"/>
        <v>13.411199999999999</v>
      </c>
      <c r="C1016" s="16">
        <f>Specification!$G$29</f>
        <v>164.943378</v>
      </c>
      <c r="D1016" s="17">
        <f>0.5*Specification!$K$4*Track!B1016^2*Specification!$K$3*Specification!$K$2</f>
        <v>93.159842569492653</v>
      </c>
      <c r="E1016" s="16">
        <v>8</v>
      </c>
      <c r="F1016" s="17">
        <f>Specification!$C$23*9.81*SIN((E1016*PI()/180))</f>
        <v>765.1893799696079</v>
      </c>
      <c r="G1016" s="18">
        <f>IF(J1016=1,VLOOKUP(K1016,RPM!$E$2:$H$62,3,FALSE)-F1016-E1016-D1016,IF(J1016=2,VLOOKUP(K1016,RPM!$H$2:$K$62,3,FALSE)-F1016-E1016-D1016,IF(J1016=3,VLOOKUP(K1016,RPM!$K$2:$N$62,3,FALSE)-F1016-E1016-D1016)))</f>
        <v>-223.62720093133635</v>
      </c>
      <c r="H1016" s="19">
        <f>IF(J1016=1,Specification!$I$14,IF(J1016=2,Specification!$I$15,IF(J1016=3,Specification!$I$16)))</f>
        <v>578.93404261974786</v>
      </c>
      <c r="I1016" s="16">
        <f t="shared" si="189"/>
        <v>0</v>
      </c>
      <c r="J1016" s="17">
        <v>3</v>
      </c>
      <c r="K1016" s="16">
        <f>IF(J1016=1,VLOOKUP(B1016,RPM!$F$2:$H$62,3,TRUE),IF(J1016=2,VLOOKUP(B1016,RPM!$I$2:$K$62,3,TRUE),IF(J1016=3,VLOOKUP(B1016,RPM!$L$2:$N$62,3,TRUE))))</f>
        <v>4300</v>
      </c>
      <c r="L1016" s="17">
        <f t="shared" si="188"/>
        <v>79.958351592986531</v>
      </c>
      <c r="M1016" s="16">
        <f t="shared" si="191"/>
        <v>2.0360370670673285</v>
      </c>
      <c r="N1016" s="17">
        <f>VLOOKUP(K1016,RPM!$A$2:$D$62,3,FALSE)</f>
        <v>11.4</v>
      </c>
      <c r="O1016" s="16">
        <f>VLOOKUP(K1016,RPM!$A$2:$D$62,4,FALSE)</f>
        <v>18.894837209302327</v>
      </c>
      <c r="P1016" s="17">
        <f t="shared" si="180"/>
        <v>14.089880106976747</v>
      </c>
      <c r="Q1016" s="16" cm="1">
        <f t="array" ref="Q1016">_xlfn.XLOOKUP(O1016,BSFC!$A$2:$A$24,_xlfn.XLOOKUP(K1016,BSFC!$B$1:$O$1,BSFC!$B$2:$O$24,,-1),,-1)</f>
        <v>480</v>
      </c>
      <c r="R1016" s="17">
        <f t="shared" si="181"/>
        <v>1.8786506809302328</v>
      </c>
      <c r="S1016" s="16">
        <f t="shared" si="182"/>
        <v>2.9183485335175871E-4</v>
      </c>
      <c r="T1016" s="17">
        <f t="shared" si="185"/>
        <v>0.14008072960884418</v>
      </c>
      <c r="U1016" s="16">
        <f t="shared" si="186"/>
        <v>134.90112575903754</v>
      </c>
      <c r="V1016" s="17">
        <f t="shared" si="187"/>
        <v>0.28036924123972939</v>
      </c>
      <c r="W1016" s="16">
        <f t="shared" si="183"/>
        <v>1009329.2684630258</v>
      </c>
      <c r="X1016">
        <f>('Hybrid Info'!$A$2-Track!P1016)*(L1016-L1015)*1000+X1015</f>
        <v>-45265.082985811896</v>
      </c>
    </row>
    <row r="1017" spans="1:24">
      <c r="A1017" s="16">
        <f t="shared" si="184"/>
        <v>1016</v>
      </c>
      <c r="B1017" s="17">
        <f t="shared" si="190"/>
        <v>13.411199999999999</v>
      </c>
      <c r="C1017" s="16">
        <f>Specification!$G$29</f>
        <v>164.943378</v>
      </c>
      <c r="D1017" s="17">
        <f>0.5*Specification!$K$4*Track!B1017^2*Specification!$K$3*Specification!$K$2</f>
        <v>93.159842569492653</v>
      </c>
      <c r="E1017" s="16">
        <v>7</v>
      </c>
      <c r="F1017" s="17">
        <f>Specification!$C$23*9.81*SIN((E1017*PI()/180))</f>
        <v>670.05137252956831</v>
      </c>
      <c r="G1017" s="18">
        <f>IF(J1017=1,VLOOKUP(K1017,RPM!$E$2:$H$62,3,FALSE)-F1017-E1017-D1017,IF(J1017=2,VLOOKUP(K1017,RPM!$H$2:$K$62,3,FALSE)-F1017-E1017-D1017,IF(J1017=3,VLOOKUP(K1017,RPM!$K$2:$N$62,3,FALSE)-F1017-E1017-D1017)))</f>
        <v>-127.48919349129677</v>
      </c>
      <c r="H1017" s="19">
        <f>IF(J1017=1,Specification!$I$14,IF(J1017=2,Specification!$I$15,IF(J1017=3,Specification!$I$16)))</f>
        <v>578.93404261974786</v>
      </c>
      <c r="I1017" s="16">
        <f t="shared" si="189"/>
        <v>0</v>
      </c>
      <c r="J1017" s="17">
        <v>3</v>
      </c>
      <c r="K1017" s="16">
        <f>IF(J1017=1,VLOOKUP(B1017,RPM!$F$2:$H$62,3,TRUE),IF(J1017=2,VLOOKUP(B1017,RPM!$I$2:$K$62,3,TRUE),IF(J1017=3,VLOOKUP(B1017,RPM!$L$2:$N$62,3,TRUE))))</f>
        <v>4300</v>
      </c>
      <c r="L1017" s="17">
        <f t="shared" si="188"/>
        <v>80.032916136055007</v>
      </c>
      <c r="M1017" s="16">
        <f t="shared" si="191"/>
        <v>2.1588216279702332</v>
      </c>
      <c r="N1017" s="17">
        <f>VLOOKUP(K1017,RPM!$A$2:$D$62,3,FALSE)</f>
        <v>11.4</v>
      </c>
      <c r="O1017" s="16">
        <f>VLOOKUP(K1017,RPM!$A$2:$D$62,4,FALSE)</f>
        <v>18.894837209302327</v>
      </c>
      <c r="P1017" s="17">
        <f t="shared" si="180"/>
        <v>14.089880106976747</v>
      </c>
      <c r="Q1017" s="16" cm="1">
        <f t="array" ref="Q1017">_xlfn.XLOOKUP(O1017,BSFC!$A$2:$A$24,_xlfn.XLOOKUP(K1017,BSFC!$B$1:$O$1,BSFC!$B$2:$O$24,,-1),,-1)</f>
        <v>480</v>
      </c>
      <c r="R1017" s="17">
        <f t="shared" si="181"/>
        <v>1.8786506809302328</v>
      </c>
      <c r="S1017" s="16">
        <f t="shared" si="182"/>
        <v>2.9183485335175871E-4</v>
      </c>
      <c r="T1017" s="17">
        <f t="shared" si="185"/>
        <v>0.14008072960884418</v>
      </c>
      <c r="U1017" s="16">
        <f t="shared" si="186"/>
        <v>135.0412064886464</v>
      </c>
      <c r="V1017" s="17">
        <f t="shared" si="187"/>
        <v>0.28066107609308116</v>
      </c>
      <c r="W1017" s="16">
        <f t="shared" si="183"/>
        <v>1010379.8739350921</v>
      </c>
      <c r="X1017">
        <f>('Hybrid Info'!$A$2-Track!P1017)*(L1017-L1016)*1000+X1016</f>
        <v>-45411.932299161301</v>
      </c>
    </row>
    <row r="1018" spans="1:24">
      <c r="A1018" s="16">
        <f t="shared" si="184"/>
        <v>1017</v>
      </c>
      <c r="B1018" s="17">
        <f t="shared" si="190"/>
        <v>13.411199999999999</v>
      </c>
      <c r="C1018" s="16">
        <f>Specification!$G$29</f>
        <v>164.943378</v>
      </c>
      <c r="D1018" s="17">
        <f>0.5*Specification!$K$4*Track!B1018^2*Specification!$K$3*Specification!$K$2</f>
        <v>93.159842569492653</v>
      </c>
      <c r="E1018" s="16">
        <v>6</v>
      </c>
      <c r="F1018" s="17">
        <f>Specification!$C$23*9.81*SIN((E1018*PI()/180))</f>
        <v>574.70926095052266</v>
      </c>
      <c r="G1018" s="18">
        <f>IF(J1018=1,VLOOKUP(K1018,RPM!$E$2:$H$62,3,FALSE)-F1018-E1018-D1018,IF(J1018=2,VLOOKUP(K1018,RPM!$H$2:$K$62,3,FALSE)-F1018-E1018-D1018,IF(J1018=3,VLOOKUP(K1018,RPM!$K$2:$N$62,3,FALSE)-F1018-E1018-D1018)))</f>
        <v>-31.147081912251124</v>
      </c>
      <c r="H1018" s="19">
        <f>IF(J1018=1,Specification!$I$14,IF(J1018=2,Specification!$I$15,IF(J1018=3,Specification!$I$16)))</f>
        <v>578.93404261974786</v>
      </c>
      <c r="I1018" s="16">
        <f t="shared" si="189"/>
        <v>0</v>
      </c>
      <c r="J1018" s="17">
        <v>3</v>
      </c>
      <c r="K1018" s="16">
        <f>IF(J1018=1,VLOOKUP(B1018,RPM!$F$2:$H$62,3,TRUE),IF(J1018=2,VLOOKUP(B1018,RPM!$I$2:$K$62,3,TRUE),IF(J1018=3,VLOOKUP(B1018,RPM!$L$2:$N$62,3,TRUE))))</f>
        <v>4300</v>
      </c>
      <c r="L1018" s="17">
        <f t="shared" si="188"/>
        <v>80.107480679123483</v>
      </c>
      <c r="M1018" s="16">
        <f t="shared" si="191"/>
        <v>2.2639258632359098</v>
      </c>
      <c r="N1018" s="17">
        <f>VLOOKUP(K1018,RPM!$A$2:$D$62,3,FALSE)</f>
        <v>11.4</v>
      </c>
      <c r="O1018" s="16">
        <f>VLOOKUP(K1018,RPM!$A$2:$D$62,4,FALSE)</f>
        <v>18.894837209302327</v>
      </c>
      <c r="P1018" s="17">
        <f t="shared" si="180"/>
        <v>14.089880106976747</v>
      </c>
      <c r="Q1018" s="16" cm="1">
        <f t="array" ref="Q1018">_xlfn.XLOOKUP(O1018,BSFC!$A$2:$A$24,_xlfn.XLOOKUP(K1018,BSFC!$B$1:$O$1,BSFC!$B$2:$O$24,,-1),,-1)</f>
        <v>480</v>
      </c>
      <c r="R1018" s="17">
        <f t="shared" si="181"/>
        <v>1.8786506809302328</v>
      </c>
      <c r="S1018" s="16">
        <f t="shared" si="182"/>
        <v>2.9183485335175871E-4</v>
      </c>
      <c r="T1018" s="17">
        <f t="shared" si="185"/>
        <v>0.14008072960884418</v>
      </c>
      <c r="U1018" s="16">
        <f t="shared" si="186"/>
        <v>135.18128721825525</v>
      </c>
      <c r="V1018" s="17">
        <f t="shared" si="187"/>
        <v>0.28095291094643293</v>
      </c>
      <c r="W1018" s="16">
        <f t="shared" si="183"/>
        <v>1011430.4794071587</v>
      </c>
      <c r="X1018">
        <f>('Hybrid Info'!$A$2-Track!P1018)*(L1018-L1017)*1000+X1017</f>
        <v>-45558.781612510706</v>
      </c>
    </row>
    <row r="1019" spans="1:24">
      <c r="A1019" s="16">
        <f t="shared" si="184"/>
        <v>1018</v>
      </c>
      <c r="B1019" s="17">
        <f t="shared" si="190"/>
        <v>13.411199999999999</v>
      </c>
      <c r="C1019" s="16">
        <f>Specification!$G$29</f>
        <v>164.943378</v>
      </c>
      <c r="D1019" s="17">
        <f>0.5*Specification!$K$4*Track!B1019^2*Specification!$K$3*Specification!$K$2</f>
        <v>93.159842569492653</v>
      </c>
      <c r="E1019" s="16">
        <v>5</v>
      </c>
      <c r="F1019" s="17">
        <f>Specification!$C$23*9.81*SIN((E1019*PI()/180))</f>
        <v>479.192087363258</v>
      </c>
      <c r="G1019" s="18">
        <f>IF(J1019=1,VLOOKUP(K1019,RPM!$E$2:$H$62,3,FALSE)-F1019-E1019-D1019,IF(J1019=2,VLOOKUP(K1019,RPM!$H$2:$K$62,3,FALSE)-F1019-E1019-D1019,IF(J1019=3,VLOOKUP(K1019,RPM!$K$2:$N$62,3,FALSE)-F1019-E1019-D1019)))</f>
        <v>65.370091675013541</v>
      </c>
      <c r="H1019" s="19">
        <f>IF(J1019=1,Specification!$I$14,IF(J1019=2,Specification!$I$15,IF(J1019=3,Specification!$I$16)))</f>
        <v>578.93404261974786</v>
      </c>
      <c r="I1019" s="16">
        <f t="shared" si="189"/>
        <v>0</v>
      </c>
      <c r="J1019" s="17">
        <v>3</v>
      </c>
      <c r="K1019" s="16">
        <f>IF(J1019=1,VLOOKUP(B1019,RPM!$F$2:$H$62,3,TRUE),IF(J1019=2,VLOOKUP(B1019,RPM!$I$2:$K$62,3,TRUE),IF(J1019=3,VLOOKUP(B1019,RPM!$L$2:$N$62,3,TRUE))))</f>
        <v>4300</v>
      </c>
      <c r="L1019" s="17">
        <f t="shared" si="188"/>
        <v>80.18204522219196</v>
      </c>
      <c r="M1019" s="16">
        <f t="shared" si="191"/>
        <v>2.3514145267618338</v>
      </c>
      <c r="N1019" s="17">
        <f>VLOOKUP(K1019,RPM!$A$2:$D$62,3,FALSE)</f>
        <v>11.4</v>
      </c>
      <c r="O1019" s="16">
        <f>VLOOKUP(K1019,RPM!$A$2:$D$62,4,FALSE)</f>
        <v>18.894837209302327</v>
      </c>
      <c r="P1019" s="17">
        <f t="shared" si="180"/>
        <v>14.089880106976747</v>
      </c>
      <c r="Q1019" s="16" cm="1">
        <f t="array" ref="Q1019">_xlfn.XLOOKUP(O1019,BSFC!$A$2:$A$24,_xlfn.XLOOKUP(K1019,BSFC!$B$1:$O$1,BSFC!$B$2:$O$24,,-1),,-1)</f>
        <v>480</v>
      </c>
      <c r="R1019" s="17">
        <f t="shared" si="181"/>
        <v>1.8786506809302328</v>
      </c>
      <c r="S1019" s="16">
        <f t="shared" si="182"/>
        <v>2.9183485335175871E-4</v>
      </c>
      <c r="T1019" s="17">
        <f t="shared" si="185"/>
        <v>0.14008072960884418</v>
      </c>
      <c r="U1019" s="16">
        <f t="shared" si="186"/>
        <v>135.3213679478641</v>
      </c>
      <c r="V1019" s="17">
        <f t="shared" si="187"/>
        <v>0.2812447457997847</v>
      </c>
      <c r="W1019" s="16">
        <f t="shared" si="183"/>
        <v>1012481.084879225</v>
      </c>
      <c r="X1019">
        <f>('Hybrid Info'!$A$2-Track!P1019)*(L1019-L1018)*1000+X1018</f>
        <v>-45705.63092586011</v>
      </c>
    </row>
    <row r="1020" spans="1:24">
      <c r="A1020" s="16">
        <f t="shared" si="184"/>
        <v>1019</v>
      </c>
      <c r="B1020" s="17">
        <f t="shared" si="190"/>
        <v>13.411199999999999</v>
      </c>
      <c r="C1020" s="16">
        <f>Specification!$G$29</f>
        <v>164.943378</v>
      </c>
      <c r="D1020" s="17">
        <f>0.5*Specification!$K$4*Track!B1020^2*Specification!$K$3*Specification!$K$2</f>
        <v>93.159842569492653</v>
      </c>
      <c r="E1020" s="16">
        <v>4</v>
      </c>
      <c r="F1020" s="17">
        <f>Specification!$C$23*9.81*SIN((E1020*PI()/180))</f>
        <v>383.52894722414453</v>
      </c>
      <c r="G1020" s="18">
        <f>IF(J1020=1,VLOOKUP(K1020,RPM!$E$2:$H$62,3,FALSE)-F1020-E1020-D1020,IF(J1020=2,VLOOKUP(K1020,RPM!$H$2:$K$62,3,FALSE)-F1020-E1020-D1020,IF(J1020=3,VLOOKUP(K1020,RPM!$K$2:$N$62,3,FALSE)-F1020-E1020-D1020)))</f>
        <v>162.03323181412702</v>
      </c>
      <c r="H1020" s="19">
        <f>IF(J1020=1,Specification!$I$14,IF(J1020=2,Specification!$I$15,IF(J1020=3,Specification!$I$16)))</f>
        <v>578.93404261974786</v>
      </c>
      <c r="I1020" s="16">
        <f t="shared" si="189"/>
        <v>0</v>
      </c>
      <c r="J1020" s="17">
        <v>3</v>
      </c>
      <c r="K1020" s="16">
        <f>IF(J1020=1,VLOOKUP(B1020,RPM!$F$2:$H$62,3,TRUE),IF(J1020=2,VLOOKUP(B1020,RPM!$I$2:$K$62,3,TRUE),IF(J1020=3,VLOOKUP(B1020,RPM!$L$2:$N$62,3,TRUE))))</f>
        <v>4300</v>
      </c>
      <c r="L1020" s="17">
        <f t="shared" si="188"/>
        <v>80.256609765260436</v>
      </c>
      <c r="M1020" s="16">
        <f t="shared" si="191"/>
        <v>2.4213413387053442</v>
      </c>
      <c r="N1020" s="17">
        <f>VLOOKUP(K1020,RPM!$A$2:$D$62,3,FALSE)</f>
        <v>11.4</v>
      </c>
      <c r="O1020" s="16">
        <f>VLOOKUP(K1020,RPM!$A$2:$D$62,4,FALSE)</f>
        <v>18.894837209302327</v>
      </c>
      <c r="P1020" s="17">
        <f t="shared" si="180"/>
        <v>14.089880106976747</v>
      </c>
      <c r="Q1020" s="16" cm="1">
        <f t="array" ref="Q1020">_xlfn.XLOOKUP(O1020,BSFC!$A$2:$A$24,_xlfn.XLOOKUP(K1020,BSFC!$B$1:$O$1,BSFC!$B$2:$O$24,,-1),,-1)</f>
        <v>480</v>
      </c>
      <c r="R1020" s="17">
        <f t="shared" si="181"/>
        <v>1.8786506809302328</v>
      </c>
      <c r="S1020" s="16">
        <f t="shared" si="182"/>
        <v>2.9183485335175871E-4</v>
      </c>
      <c r="T1020" s="17">
        <f t="shared" si="185"/>
        <v>0.14008072960884418</v>
      </c>
      <c r="U1020" s="16">
        <f t="shared" si="186"/>
        <v>135.46144867747296</v>
      </c>
      <c r="V1020" s="17">
        <f t="shared" si="187"/>
        <v>0.28153658065313647</v>
      </c>
      <c r="W1020" s="16">
        <f t="shared" si="183"/>
        <v>1013531.6903512913</v>
      </c>
      <c r="X1020">
        <f>('Hybrid Info'!$A$2-Track!P1020)*(L1020-L1019)*1000+X1019</f>
        <v>-45852.480239209515</v>
      </c>
    </row>
    <row r="1021" spans="1:24">
      <c r="A1021" s="16">
        <f t="shared" si="184"/>
        <v>1020</v>
      </c>
      <c r="B1021" s="17">
        <f t="shared" si="190"/>
        <v>13.411199999999999</v>
      </c>
      <c r="C1021" s="16">
        <f>Specification!$G$29</f>
        <v>164.943378</v>
      </c>
      <c r="D1021" s="17">
        <f>0.5*Specification!$K$4*Track!B1021^2*Specification!$K$3*Specification!$K$2</f>
        <v>93.159842569492653</v>
      </c>
      <c r="E1021" s="16">
        <v>3</v>
      </c>
      <c r="F1021" s="17">
        <f>Specification!$C$23*9.81*SIN((E1021*PI()/180))</f>
        <v>287.74898045237813</v>
      </c>
      <c r="G1021" s="18">
        <f>IF(J1021=1,VLOOKUP(K1021,RPM!$E$2:$H$62,3,FALSE)-F1021-E1021-D1021,IF(J1021=2,VLOOKUP(K1021,RPM!$H$2:$K$62,3,FALSE)-F1021-E1021-D1021,IF(J1021=3,VLOOKUP(K1021,RPM!$K$2:$N$62,3,FALSE)-F1021-E1021-D1021)))</f>
        <v>258.81319858589342</v>
      </c>
      <c r="H1021" s="19">
        <f>IF(J1021=1,Specification!$I$14,IF(J1021=2,Specification!$I$15,IF(J1021=3,Specification!$I$16)))</f>
        <v>578.93404261974786</v>
      </c>
      <c r="I1021" s="16">
        <f t="shared" si="189"/>
        <v>0</v>
      </c>
      <c r="J1021" s="17">
        <v>3</v>
      </c>
      <c r="K1021" s="16">
        <f>IF(J1021=1,VLOOKUP(B1021,RPM!$F$2:$H$62,3,TRUE),IF(J1021=2,VLOOKUP(B1021,RPM!$I$2:$K$62,3,TRUE),IF(J1021=3,VLOOKUP(B1021,RPM!$L$2:$N$62,3,TRUE))))</f>
        <v>4300</v>
      </c>
      <c r="L1021" s="17">
        <f t="shared" si="188"/>
        <v>80.331174308328912</v>
      </c>
      <c r="M1021" s="16">
        <f t="shared" si="191"/>
        <v>2.4737491179883855</v>
      </c>
      <c r="N1021" s="17">
        <f>VLOOKUP(K1021,RPM!$A$2:$D$62,3,FALSE)</f>
        <v>11.4</v>
      </c>
      <c r="O1021" s="16">
        <f>VLOOKUP(K1021,RPM!$A$2:$D$62,4,FALSE)</f>
        <v>18.894837209302327</v>
      </c>
      <c r="P1021" s="17">
        <f t="shared" si="180"/>
        <v>14.089880106976747</v>
      </c>
      <c r="Q1021" s="16" cm="1">
        <f t="array" ref="Q1021">_xlfn.XLOOKUP(O1021,BSFC!$A$2:$A$24,_xlfn.XLOOKUP(K1021,BSFC!$B$1:$O$1,BSFC!$B$2:$O$24,,-1),,-1)</f>
        <v>480</v>
      </c>
      <c r="R1021" s="17">
        <f t="shared" si="181"/>
        <v>1.8786506809302328</v>
      </c>
      <c r="S1021" s="16">
        <f t="shared" si="182"/>
        <v>2.9183485335175871E-4</v>
      </c>
      <c r="T1021" s="17">
        <f t="shared" si="185"/>
        <v>0.14008072960884418</v>
      </c>
      <c r="U1021" s="16">
        <f t="shared" si="186"/>
        <v>135.60152940708181</v>
      </c>
      <c r="V1021" s="17">
        <f t="shared" si="187"/>
        <v>0.28182841550648824</v>
      </c>
      <c r="W1021" s="16">
        <f t="shared" si="183"/>
        <v>1014582.2958233577</v>
      </c>
      <c r="X1021">
        <f>('Hybrid Info'!$A$2-Track!P1021)*(L1021-L1020)*1000+X1020</f>
        <v>-45999.32955255892</v>
      </c>
    </row>
    <row r="1022" spans="1:24">
      <c r="A1022" s="16">
        <f t="shared" si="184"/>
        <v>1021</v>
      </c>
      <c r="B1022" s="17">
        <f t="shared" si="190"/>
        <v>13.411199999999999</v>
      </c>
      <c r="C1022" s="16">
        <f>Specification!$G$29</f>
        <v>164.943378</v>
      </c>
      <c r="D1022" s="17">
        <f>0.5*Specification!$K$4*Track!B1022^2*Specification!$K$3*Specification!$K$2</f>
        <v>93.159842569492653</v>
      </c>
      <c r="E1022" s="16">
        <v>2</v>
      </c>
      <c r="F1022" s="17">
        <f>Specification!$C$23*9.81*SIN((E1022*PI()/180))</f>
        <v>191.88136255367905</v>
      </c>
      <c r="G1022" s="18">
        <f>IF(J1022=1,VLOOKUP(K1022,RPM!$E$2:$H$62,3,FALSE)-F1022-E1022-D1022,IF(J1022=2,VLOOKUP(K1022,RPM!$H$2:$K$62,3,FALSE)-F1022-E1022-D1022,IF(J1022=3,VLOOKUP(K1022,RPM!$K$2:$N$62,3,FALSE)-F1022-E1022-D1022)))</f>
        <v>355.68081648459247</v>
      </c>
      <c r="H1022" s="19">
        <f>IF(J1022=1,Specification!$I$14,IF(J1022=2,Specification!$I$15,IF(J1022=3,Specification!$I$16)))</f>
        <v>578.93404261974786</v>
      </c>
      <c r="I1022" s="16">
        <f t="shared" si="189"/>
        <v>0</v>
      </c>
      <c r="J1022" s="17">
        <v>3</v>
      </c>
      <c r="K1022" s="16">
        <f>IF(J1022=1,VLOOKUP(B1022,RPM!$F$2:$H$62,3,TRUE),IF(J1022=2,VLOOKUP(B1022,RPM!$I$2:$K$62,3,TRUE),IF(J1022=3,VLOOKUP(B1022,RPM!$L$2:$N$62,3,TRUE))))</f>
        <v>4300</v>
      </c>
      <c r="L1022" s="17">
        <f t="shared" si="188"/>
        <v>80.405738851397388</v>
      </c>
      <c r="M1022" s="16">
        <f t="shared" si="191"/>
        <v>2.5086698874801332</v>
      </c>
      <c r="N1022" s="17">
        <f>VLOOKUP(K1022,RPM!$A$2:$D$62,3,FALSE)</f>
        <v>11.4</v>
      </c>
      <c r="O1022" s="16">
        <f>VLOOKUP(K1022,RPM!$A$2:$D$62,4,FALSE)</f>
        <v>18.894837209302327</v>
      </c>
      <c r="P1022" s="17">
        <f t="shared" si="180"/>
        <v>14.089880106976747</v>
      </c>
      <c r="Q1022" s="16" cm="1">
        <f t="array" ref="Q1022">_xlfn.XLOOKUP(O1022,BSFC!$A$2:$A$24,_xlfn.XLOOKUP(K1022,BSFC!$B$1:$O$1,BSFC!$B$2:$O$24,,-1),,-1)</f>
        <v>480</v>
      </c>
      <c r="R1022" s="17">
        <f t="shared" si="181"/>
        <v>1.8786506809302328</v>
      </c>
      <c r="S1022" s="16">
        <f t="shared" si="182"/>
        <v>2.9183485335175871E-4</v>
      </c>
      <c r="T1022" s="17">
        <f t="shared" si="185"/>
        <v>0.14008072960884418</v>
      </c>
      <c r="U1022" s="16">
        <f t="shared" si="186"/>
        <v>135.74161013669067</v>
      </c>
      <c r="V1022" s="17">
        <f t="shared" si="187"/>
        <v>0.28212025035984001</v>
      </c>
      <c r="W1022" s="16">
        <f t="shared" si="183"/>
        <v>1015632.901295424</v>
      </c>
      <c r="X1022">
        <f>('Hybrid Info'!$A$2-Track!P1022)*(L1022-L1021)*1000+X1021</f>
        <v>-46146.178865908325</v>
      </c>
    </row>
    <row r="1023" spans="1:24">
      <c r="A1023" s="16">
        <f t="shared" si="184"/>
        <v>1022</v>
      </c>
      <c r="B1023" s="17">
        <f t="shared" si="190"/>
        <v>13.411199999999999</v>
      </c>
      <c r="C1023" s="16">
        <f>Specification!$G$29</f>
        <v>164.943378</v>
      </c>
      <c r="D1023" s="17">
        <f>0.5*Specification!$K$4*Track!B1023^2*Specification!$K$3*Specification!$K$2</f>
        <v>93.159842569492653</v>
      </c>
      <c r="E1023" s="16">
        <v>1</v>
      </c>
      <c r="F1023" s="17">
        <f>Specification!$C$23*9.81*SIN((E1023*PI()/180))</f>
        <v>95.955295733149597</v>
      </c>
      <c r="G1023" s="18">
        <f>IF(J1023=1,VLOOKUP(K1023,RPM!$E$2:$H$62,3,FALSE)-F1023-E1023-D1023,IF(J1023=2,VLOOKUP(K1023,RPM!$H$2:$K$62,3,FALSE)-F1023-E1023-D1023,IF(J1023=3,VLOOKUP(K1023,RPM!$K$2:$N$62,3,FALSE)-F1023-E1023-D1023)))</f>
        <v>452.60688330512198</v>
      </c>
      <c r="H1023" s="19">
        <f>IF(J1023=1,Specification!$I$14,IF(J1023=2,Specification!$I$15,IF(J1023=3,Specification!$I$16)))</f>
        <v>578.93404261974786</v>
      </c>
      <c r="I1023" s="16">
        <f t="shared" si="189"/>
        <v>0</v>
      </c>
      <c r="J1023" s="17">
        <v>3</v>
      </c>
      <c r="K1023" s="16">
        <f>IF(J1023=1,VLOOKUP(B1023,RPM!$F$2:$H$62,3,TRUE),IF(J1023=2,VLOOKUP(B1023,RPM!$I$2:$K$62,3,TRUE),IF(J1023=3,VLOOKUP(B1023,RPM!$L$2:$N$62,3,TRUE))))</f>
        <v>4300</v>
      </c>
      <c r="L1023" s="17">
        <f t="shared" si="188"/>
        <v>80.480303394465864</v>
      </c>
      <c r="M1023" s="16">
        <f t="shared" si="191"/>
        <v>2.5261249524083507</v>
      </c>
      <c r="N1023" s="17">
        <f>VLOOKUP(K1023,RPM!$A$2:$D$62,3,FALSE)</f>
        <v>11.4</v>
      </c>
      <c r="O1023" s="16">
        <f>VLOOKUP(K1023,RPM!$A$2:$D$62,4,FALSE)</f>
        <v>18.894837209302327</v>
      </c>
      <c r="P1023" s="17">
        <f t="shared" si="180"/>
        <v>14.089880106976747</v>
      </c>
      <c r="Q1023" s="16" cm="1">
        <f t="array" ref="Q1023">_xlfn.XLOOKUP(O1023,BSFC!$A$2:$A$24,_xlfn.XLOOKUP(K1023,BSFC!$B$1:$O$1,BSFC!$B$2:$O$24,,-1),,-1)</f>
        <v>480</v>
      </c>
      <c r="R1023" s="17">
        <f t="shared" si="181"/>
        <v>1.8786506809302328</v>
      </c>
      <c r="S1023" s="16">
        <f t="shared" si="182"/>
        <v>2.9183485335175871E-4</v>
      </c>
      <c r="T1023" s="17">
        <f t="shared" si="185"/>
        <v>0.14008072960884418</v>
      </c>
      <c r="U1023" s="16">
        <f t="shared" si="186"/>
        <v>135.88169086629952</v>
      </c>
      <c r="V1023" s="17">
        <f t="shared" si="187"/>
        <v>0.28241208521319178</v>
      </c>
      <c r="W1023" s="16">
        <f t="shared" si="183"/>
        <v>1016683.5067674905</v>
      </c>
      <c r="X1023">
        <f>('Hybrid Info'!$A$2-Track!P1023)*(L1023-L1022)*1000+X1022</f>
        <v>-46293.02817925773</v>
      </c>
    </row>
    <row r="1024" spans="1:24">
      <c r="A1024" s="16">
        <f t="shared" si="184"/>
        <v>1023</v>
      </c>
      <c r="B1024" s="17">
        <f t="shared" si="190"/>
        <v>13.411199999999999</v>
      </c>
      <c r="C1024" s="16">
        <f>Specification!$G$29</f>
        <v>164.943378</v>
      </c>
      <c r="D1024" s="17">
        <f>0.5*Specification!$K$4*Track!B1024^2*Specification!$K$3*Specification!$K$2</f>
        <v>93.159842569492653</v>
      </c>
      <c r="E1024" s="16">
        <v>0</v>
      </c>
      <c r="F1024" s="17">
        <f>Specification!$C$23*9.81*SIN((E1024*PI()/180))</f>
        <v>0</v>
      </c>
      <c r="G1024" s="18">
        <f>IF(J1024=1,VLOOKUP(K1024,RPM!$E$2:$H$62,3,FALSE)-F1024-E1024-D1024,IF(J1024=2,VLOOKUP(K1024,RPM!$H$2:$K$62,3,FALSE)-F1024-E1024-D1024,IF(J1024=3,VLOOKUP(K1024,RPM!$K$2:$N$62,3,FALSE)-F1024-E1024-D1024)))</f>
        <v>549.56217903827155</v>
      </c>
      <c r="H1024" s="19">
        <f>IF(J1024=1,Specification!$I$14,IF(J1024=2,Specification!$I$15,IF(J1024=3,Specification!$I$16)))</f>
        <v>578.93404261974786</v>
      </c>
      <c r="I1024" s="16">
        <f t="shared" si="189"/>
        <v>0</v>
      </c>
      <c r="J1024" s="17">
        <v>3</v>
      </c>
      <c r="K1024" s="16">
        <f>IF(J1024=1,VLOOKUP(B1024,RPM!$F$2:$H$62,3,TRUE),IF(J1024=2,VLOOKUP(B1024,RPM!$I$2:$K$62,3,TRUE),IF(J1024=3,VLOOKUP(B1024,RPM!$L$2:$N$62,3,TRUE))))</f>
        <v>4300</v>
      </c>
      <c r="L1024" s="17">
        <f t="shared" si="188"/>
        <v>80.55486793753434</v>
      </c>
      <c r="M1024" s="16">
        <f t="shared" si="191"/>
        <v>2.5261249524083507</v>
      </c>
      <c r="N1024" s="17">
        <f>VLOOKUP(K1024,RPM!$A$2:$D$62,3,FALSE)</f>
        <v>11.4</v>
      </c>
      <c r="O1024" s="16">
        <f>VLOOKUP(K1024,RPM!$A$2:$D$62,4,FALSE)</f>
        <v>18.894837209302327</v>
      </c>
      <c r="P1024" s="17">
        <f t="shared" si="180"/>
        <v>14.089880106976747</v>
      </c>
      <c r="Q1024" s="16" cm="1">
        <f t="array" ref="Q1024">_xlfn.XLOOKUP(O1024,BSFC!$A$2:$A$24,_xlfn.XLOOKUP(K1024,BSFC!$B$1:$O$1,BSFC!$B$2:$O$24,,-1),,-1)</f>
        <v>480</v>
      </c>
      <c r="R1024" s="17">
        <f t="shared" si="181"/>
        <v>1.8786506809302328</v>
      </c>
      <c r="S1024" s="16">
        <f t="shared" si="182"/>
        <v>2.9183485335175871E-4</v>
      </c>
      <c r="T1024" s="17">
        <f t="shared" si="185"/>
        <v>0.14008072960884418</v>
      </c>
      <c r="U1024" s="16">
        <f t="shared" si="186"/>
        <v>136.02177159590838</v>
      </c>
      <c r="V1024" s="17">
        <f t="shared" si="187"/>
        <v>0.28270392006654355</v>
      </c>
      <c r="W1024" s="16">
        <f t="shared" si="183"/>
        <v>1017734.1122395569</v>
      </c>
      <c r="X1024">
        <f>('Hybrid Info'!$A$2-Track!P1024)*(L1024-L1023)*1000+X1023</f>
        <v>-46439.877492607135</v>
      </c>
    </row>
    <row r="1025" spans="1:24">
      <c r="A1025" s="16">
        <f t="shared" si="184"/>
        <v>1024</v>
      </c>
      <c r="B1025" s="17">
        <f t="shared" si="190"/>
        <v>13.411199999999999</v>
      </c>
      <c r="C1025" s="16">
        <f>Specification!$G$29</f>
        <v>164.943378</v>
      </c>
      <c r="D1025" s="17">
        <f>0.5*Specification!$K$4*Track!B1025^2*Specification!$K$3*Specification!$K$2</f>
        <v>93.159842569492653</v>
      </c>
      <c r="E1025" s="16">
        <v>0</v>
      </c>
      <c r="F1025" s="17">
        <f>Specification!$C$23*9.81*SIN((E1025*PI()/180))</f>
        <v>0</v>
      </c>
      <c r="G1025" s="18">
        <f>IF(J1025=1,VLOOKUP(K1025,RPM!$E$2:$H$62,3,FALSE)-F1025-E1025-D1025,IF(J1025=2,VLOOKUP(K1025,RPM!$H$2:$K$62,3,FALSE)-F1025-E1025-D1025,IF(J1025=3,VLOOKUP(K1025,RPM!$K$2:$N$62,3,FALSE)-F1025-E1025-D1025)))</f>
        <v>549.56217903827155</v>
      </c>
      <c r="H1025" s="19">
        <f>IF(J1025=1,Specification!$I$14,IF(J1025=2,Specification!$I$15,IF(J1025=3,Specification!$I$16)))</f>
        <v>578.93404261974786</v>
      </c>
      <c r="I1025" s="16">
        <f t="shared" si="189"/>
        <v>0</v>
      </c>
      <c r="J1025" s="17">
        <v>3</v>
      </c>
      <c r="K1025" s="16">
        <f>IF(J1025=1,VLOOKUP(B1025,RPM!$F$2:$H$62,3,TRUE),IF(J1025=2,VLOOKUP(B1025,RPM!$I$2:$K$62,3,TRUE),IF(J1025=3,VLOOKUP(B1025,RPM!$L$2:$N$62,3,TRUE))))</f>
        <v>4300</v>
      </c>
      <c r="L1025" s="17">
        <f t="shared" si="188"/>
        <v>80.629432480602816</v>
      </c>
      <c r="M1025" s="16">
        <f t="shared" si="191"/>
        <v>2.5261249524083507</v>
      </c>
      <c r="N1025" s="17">
        <f>VLOOKUP(K1025,RPM!$A$2:$D$62,3,FALSE)</f>
        <v>11.4</v>
      </c>
      <c r="O1025" s="16">
        <f>VLOOKUP(K1025,RPM!$A$2:$D$62,4,FALSE)</f>
        <v>18.894837209302327</v>
      </c>
      <c r="P1025" s="17">
        <f t="shared" si="180"/>
        <v>14.089880106976747</v>
      </c>
      <c r="Q1025" s="16" cm="1">
        <f t="array" ref="Q1025">_xlfn.XLOOKUP(O1025,BSFC!$A$2:$A$24,_xlfn.XLOOKUP(K1025,BSFC!$B$1:$O$1,BSFC!$B$2:$O$24,,-1),,-1)</f>
        <v>480</v>
      </c>
      <c r="R1025" s="17">
        <f t="shared" si="181"/>
        <v>1.8786506809302328</v>
      </c>
      <c r="S1025" s="16">
        <f t="shared" si="182"/>
        <v>2.9183485335175871E-4</v>
      </c>
      <c r="T1025" s="17">
        <f t="shared" si="185"/>
        <v>0.14008072960884418</v>
      </c>
      <c r="U1025" s="16">
        <f t="shared" si="186"/>
        <v>136.16185232551723</v>
      </c>
      <c r="V1025" s="17">
        <f t="shared" si="187"/>
        <v>0.28299575491989531</v>
      </c>
      <c r="W1025" s="16">
        <f t="shared" si="183"/>
        <v>1018784.7177116232</v>
      </c>
      <c r="X1025">
        <f>('Hybrid Info'!$A$2-Track!P1025)*(L1025-L1024)*1000+X1024</f>
        <v>-46586.726805956539</v>
      </c>
    </row>
    <row r="1026" spans="1:24">
      <c r="A1026" s="16">
        <f t="shared" si="184"/>
        <v>1025</v>
      </c>
      <c r="B1026" s="17">
        <f t="shared" si="190"/>
        <v>13.411199999999999</v>
      </c>
      <c r="C1026" s="16">
        <f>Specification!$G$29</f>
        <v>164.943378</v>
      </c>
      <c r="D1026" s="17">
        <f>0.5*Specification!$K$4*Track!B1026^2*Specification!$K$3*Specification!$K$2</f>
        <v>93.159842569492653</v>
      </c>
      <c r="E1026" s="16">
        <v>0</v>
      </c>
      <c r="F1026" s="17">
        <f>Specification!$C$23*9.81*SIN((E1026*PI()/180))</f>
        <v>0</v>
      </c>
      <c r="G1026" s="18">
        <f>IF(J1026=1,VLOOKUP(K1026,RPM!$E$2:$H$62,3,FALSE)-F1026-E1026-D1026,IF(J1026=2,VLOOKUP(K1026,RPM!$H$2:$K$62,3,FALSE)-F1026-E1026-D1026,IF(J1026=3,VLOOKUP(K1026,RPM!$K$2:$N$62,3,FALSE)-F1026-E1026-D1026)))</f>
        <v>549.56217903827155</v>
      </c>
      <c r="H1026" s="19">
        <f>IF(J1026=1,Specification!$I$14,IF(J1026=2,Specification!$I$15,IF(J1026=3,Specification!$I$16)))</f>
        <v>578.93404261974786</v>
      </c>
      <c r="I1026" s="16">
        <f t="shared" si="189"/>
        <v>0</v>
      </c>
      <c r="J1026" s="17">
        <v>3</v>
      </c>
      <c r="K1026" s="16">
        <f>IF(J1026=1,VLOOKUP(B1026,RPM!$F$2:$H$62,3,TRUE),IF(J1026=2,VLOOKUP(B1026,RPM!$I$2:$K$62,3,TRUE),IF(J1026=3,VLOOKUP(B1026,RPM!$L$2:$N$62,3,TRUE))))</f>
        <v>4300</v>
      </c>
      <c r="L1026" s="17">
        <f t="shared" si="188"/>
        <v>80.703997023671292</v>
      </c>
      <c r="M1026" s="16">
        <f t="shared" si="191"/>
        <v>2.5261249524083507</v>
      </c>
      <c r="N1026" s="17">
        <f>VLOOKUP(K1026,RPM!$A$2:$D$62,3,FALSE)</f>
        <v>11.4</v>
      </c>
      <c r="O1026" s="16">
        <f>VLOOKUP(K1026,RPM!$A$2:$D$62,4,FALSE)</f>
        <v>18.894837209302327</v>
      </c>
      <c r="P1026" s="17">
        <f t="shared" ref="P1026:P1089" si="192">O1026*0.7457</f>
        <v>14.089880106976747</v>
      </c>
      <c r="Q1026" s="16" cm="1">
        <f t="array" ref="Q1026">_xlfn.XLOOKUP(O1026,BSFC!$A$2:$A$24,_xlfn.XLOOKUP(K1026,BSFC!$B$1:$O$1,BSFC!$B$2:$O$24,,-1),,-1)</f>
        <v>480</v>
      </c>
      <c r="R1026" s="17">
        <f t="shared" ref="R1026:R1089" si="193">Q1026*P1026/3600</f>
        <v>1.8786506809302328</v>
      </c>
      <c r="S1026" s="16">
        <f t="shared" si="182"/>
        <v>2.9183485335175871E-4</v>
      </c>
      <c r="T1026" s="17">
        <f t="shared" si="185"/>
        <v>0.14008072960884418</v>
      </c>
      <c r="U1026" s="16">
        <f t="shared" si="186"/>
        <v>136.30193305512609</v>
      </c>
      <c r="V1026" s="17">
        <f t="shared" si="187"/>
        <v>0.28328758977324708</v>
      </c>
      <c r="W1026" s="16">
        <f t="shared" si="183"/>
        <v>1019835.3231836895</v>
      </c>
      <c r="X1026">
        <f>('Hybrid Info'!$A$2-Track!P1026)*(L1026-L1025)*1000+X1025</f>
        <v>-46733.576119305944</v>
      </c>
    </row>
    <row r="1027" spans="1:24">
      <c r="A1027" s="16">
        <f t="shared" si="184"/>
        <v>1026</v>
      </c>
      <c r="B1027" s="17">
        <f t="shared" si="190"/>
        <v>13.411199999999999</v>
      </c>
      <c r="C1027" s="16">
        <f>Specification!$G$29</f>
        <v>164.943378</v>
      </c>
      <c r="D1027" s="17">
        <f>0.5*Specification!$K$4*Track!B1027^2*Specification!$K$3*Specification!$K$2</f>
        <v>93.159842569492653</v>
      </c>
      <c r="E1027" s="16">
        <v>0</v>
      </c>
      <c r="F1027" s="17">
        <f>Specification!$C$23*9.81*SIN((E1027*PI()/180))</f>
        <v>0</v>
      </c>
      <c r="G1027" s="18">
        <f>IF(J1027=1,VLOOKUP(K1027,RPM!$E$2:$H$62,3,FALSE)-F1027-E1027-D1027,IF(J1027=2,VLOOKUP(K1027,RPM!$H$2:$K$62,3,FALSE)-F1027-E1027-D1027,IF(J1027=3,VLOOKUP(K1027,RPM!$K$2:$N$62,3,FALSE)-F1027-E1027-D1027)))</f>
        <v>549.56217903827155</v>
      </c>
      <c r="H1027" s="19">
        <f>IF(J1027=1,Specification!$I$14,IF(J1027=2,Specification!$I$15,IF(J1027=3,Specification!$I$16)))</f>
        <v>578.93404261974786</v>
      </c>
      <c r="I1027" s="16">
        <f t="shared" si="189"/>
        <v>0</v>
      </c>
      <c r="J1027" s="17">
        <v>3</v>
      </c>
      <c r="K1027" s="16">
        <f>IF(J1027=1,VLOOKUP(B1027,RPM!$F$2:$H$62,3,TRUE),IF(J1027=2,VLOOKUP(B1027,RPM!$I$2:$K$62,3,TRUE),IF(J1027=3,VLOOKUP(B1027,RPM!$L$2:$N$62,3,TRUE))))</f>
        <v>4300</v>
      </c>
      <c r="L1027" s="17">
        <f t="shared" si="188"/>
        <v>80.778561566739768</v>
      </c>
      <c r="M1027" s="16">
        <f t="shared" si="191"/>
        <v>2.5261249524083507</v>
      </c>
      <c r="N1027" s="17">
        <f>VLOOKUP(K1027,RPM!$A$2:$D$62,3,FALSE)</f>
        <v>11.4</v>
      </c>
      <c r="O1027" s="16">
        <f>VLOOKUP(K1027,RPM!$A$2:$D$62,4,FALSE)</f>
        <v>18.894837209302327</v>
      </c>
      <c r="P1027" s="17">
        <f t="shared" si="192"/>
        <v>14.089880106976747</v>
      </c>
      <c r="Q1027" s="16" cm="1">
        <f t="array" ref="Q1027">_xlfn.XLOOKUP(O1027,BSFC!$A$2:$A$24,_xlfn.XLOOKUP(K1027,BSFC!$B$1:$O$1,BSFC!$B$2:$O$24,,-1),,-1)</f>
        <v>480</v>
      </c>
      <c r="R1027" s="17">
        <f t="shared" si="193"/>
        <v>1.8786506809302328</v>
      </c>
      <c r="S1027" s="16">
        <f t="shared" ref="S1027:S1090" si="194">(L1027-L1026)/3600*P1027</f>
        <v>2.9183485335175871E-4</v>
      </c>
      <c r="T1027" s="17">
        <f t="shared" si="185"/>
        <v>0.14008072960884418</v>
      </c>
      <c r="U1027" s="16">
        <f t="shared" si="186"/>
        <v>136.44201378473494</v>
      </c>
      <c r="V1027" s="17">
        <f t="shared" si="187"/>
        <v>0.28357942462659885</v>
      </c>
      <c r="W1027" s="16">
        <f t="shared" ref="W1027:W1090" si="195">V1027*1000*3600</f>
        <v>1020885.9286557558</v>
      </c>
      <c r="X1027">
        <f>('Hybrid Info'!$A$2-Track!P1027)*(L1027-L1026)*1000+X1026</f>
        <v>-46880.425432655349</v>
      </c>
    </row>
    <row r="1028" spans="1:24">
      <c r="A1028" s="16">
        <f t="shared" ref="A1028:A1091" si="196">A1027+1</f>
        <v>1027</v>
      </c>
      <c r="B1028" s="17">
        <f t="shared" si="190"/>
        <v>13.411199999999999</v>
      </c>
      <c r="C1028" s="16">
        <f>Specification!$G$29</f>
        <v>164.943378</v>
      </c>
      <c r="D1028" s="17">
        <f>0.5*Specification!$K$4*Track!B1028^2*Specification!$K$3*Specification!$K$2</f>
        <v>93.159842569492653</v>
      </c>
      <c r="E1028" s="16">
        <v>-1</v>
      </c>
      <c r="F1028" s="17">
        <f>Specification!$C$23*9.81*SIN((E1028*PI()/180))</f>
        <v>-95.955295733149597</v>
      </c>
      <c r="G1028" s="18">
        <f>IF(J1028=1,VLOOKUP(K1028,RPM!$E$2:$H$62,3,FALSE)-F1028-E1028-D1028,IF(J1028=2,VLOOKUP(K1028,RPM!$H$2:$K$62,3,FALSE)-F1028-E1028-D1028,IF(J1028=3,VLOOKUP(K1028,RPM!$K$2:$N$62,3,FALSE)-F1028-E1028-D1028)))</f>
        <v>646.51747477142112</v>
      </c>
      <c r="H1028" s="19">
        <f>IF(J1028=1,Specification!$I$14,IF(J1028=2,Specification!$I$15,IF(J1028=3,Specification!$I$16)))</f>
        <v>578.93404261974786</v>
      </c>
      <c r="I1028" s="16">
        <f t="shared" si="189"/>
        <v>0</v>
      </c>
      <c r="J1028" s="17">
        <v>3</v>
      </c>
      <c r="K1028" s="16">
        <f>IF(J1028=1,VLOOKUP(B1028,RPM!$F$2:$H$62,3,TRUE),IF(J1028=2,VLOOKUP(B1028,RPM!$I$2:$K$62,3,TRUE),IF(J1028=3,VLOOKUP(B1028,RPM!$L$2:$N$62,3,TRUE))))</f>
        <v>4300</v>
      </c>
      <c r="L1028" s="17">
        <f t="shared" si="188"/>
        <v>80.853126109808244</v>
      </c>
      <c r="M1028" s="16">
        <f t="shared" si="191"/>
        <v>2.5086698874801332</v>
      </c>
      <c r="N1028" s="17">
        <f>VLOOKUP(K1028,RPM!$A$2:$D$62,3,FALSE)</f>
        <v>11.4</v>
      </c>
      <c r="O1028" s="16">
        <f>VLOOKUP(K1028,RPM!$A$2:$D$62,4,FALSE)</f>
        <v>18.894837209302327</v>
      </c>
      <c r="P1028" s="17">
        <f t="shared" si="192"/>
        <v>14.089880106976747</v>
      </c>
      <c r="Q1028" s="16" cm="1">
        <f t="array" ref="Q1028">_xlfn.XLOOKUP(O1028,BSFC!$A$2:$A$24,_xlfn.XLOOKUP(K1028,BSFC!$B$1:$O$1,BSFC!$B$2:$O$24,,-1),,-1)</f>
        <v>480</v>
      </c>
      <c r="R1028" s="17">
        <f t="shared" si="193"/>
        <v>1.8786506809302328</v>
      </c>
      <c r="S1028" s="16">
        <f t="shared" si="194"/>
        <v>2.9183485335175871E-4</v>
      </c>
      <c r="T1028" s="17">
        <f t="shared" ref="T1028:T1091" si="197">S1028*Q1028</f>
        <v>0.14008072960884418</v>
      </c>
      <c r="U1028" s="16">
        <f t="shared" ref="U1028:U1091" si="198">U1027+T1028</f>
        <v>136.58209451434379</v>
      </c>
      <c r="V1028" s="17">
        <f t="shared" si="187"/>
        <v>0.28387125947995062</v>
      </c>
      <c r="W1028" s="16">
        <f t="shared" si="195"/>
        <v>1021936.5341278221</v>
      </c>
      <c r="X1028">
        <f>('Hybrid Info'!$A$2-Track!P1028)*(L1028-L1027)*1000+X1027</f>
        <v>-47027.274746004754</v>
      </c>
    </row>
    <row r="1029" spans="1:24">
      <c r="A1029" s="16">
        <f t="shared" si="196"/>
        <v>1028</v>
      </c>
      <c r="B1029" s="17">
        <f t="shared" si="190"/>
        <v>13.411199999999999</v>
      </c>
      <c r="C1029" s="16">
        <f>Specification!$G$29</f>
        <v>164.943378</v>
      </c>
      <c r="D1029" s="17">
        <f>0.5*Specification!$K$4*Track!B1029^2*Specification!$K$3*Specification!$K$2</f>
        <v>93.159842569492653</v>
      </c>
      <c r="E1029" s="16">
        <v>-2</v>
      </c>
      <c r="F1029" s="17">
        <f>Specification!$C$23*9.81*SIN((E1029*PI()/180))</f>
        <v>-191.88136255367905</v>
      </c>
      <c r="G1029" s="18">
        <f>IF(J1029=1,VLOOKUP(K1029,RPM!$E$2:$H$62,3,FALSE)-F1029-E1029-D1029,IF(J1029=2,VLOOKUP(K1029,RPM!$H$2:$K$62,3,FALSE)-F1029-E1029-D1029,IF(J1029=3,VLOOKUP(K1029,RPM!$K$2:$N$62,3,FALSE)-F1029-E1029-D1029)))</f>
        <v>743.44354159195063</v>
      </c>
      <c r="H1029" s="19">
        <f>IF(J1029=1,Specification!$I$14,IF(J1029=2,Specification!$I$15,IF(J1029=3,Specification!$I$16)))</f>
        <v>578.93404261974786</v>
      </c>
      <c r="I1029" s="16">
        <f t="shared" si="189"/>
        <v>0</v>
      </c>
      <c r="J1029" s="17">
        <v>3</v>
      </c>
      <c r="K1029" s="16">
        <f>IF(J1029=1,VLOOKUP(B1029,RPM!$F$2:$H$62,3,TRUE),IF(J1029=2,VLOOKUP(B1029,RPM!$I$2:$K$62,3,TRUE),IF(J1029=3,VLOOKUP(B1029,RPM!$L$2:$N$62,3,TRUE))))</f>
        <v>4300</v>
      </c>
      <c r="L1029" s="17">
        <f t="shared" si="188"/>
        <v>80.92769065287672</v>
      </c>
      <c r="M1029" s="16">
        <f t="shared" si="191"/>
        <v>2.4737491179883855</v>
      </c>
      <c r="N1029" s="17">
        <f>VLOOKUP(K1029,RPM!$A$2:$D$62,3,FALSE)</f>
        <v>11.4</v>
      </c>
      <c r="O1029" s="16">
        <f>VLOOKUP(K1029,RPM!$A$2:$D$62,4,FALSE)</f>
        <v>18.894837209302327</v>
      </c>
      <c r="P1029" s="17">
        <f t="shared" si="192"/>
        <v>14.089880106976747</v>
      </c>
      <c r="Q1029" s="16" cm="1">
        <f t="array" ref="Q1029">_xlfn.XLOOKUP(O1029,BSFC!$A$2:$A$24,_xlfn.XLOOKUP(K1029,BSFC!$B$1:$O$1,BSFC!$B$2:$O$24,,-1),,-1)</f>
        <v>480</v>
      </c>
      <c r="R1029" s="17">
        <f t="shared" si="193"/>
        <v>1.8786506809302328</v>
      </c>
      <c r="S1029" s="16">
        <f t="shared" si="194"/>
        <v>2.9183485335175871E-4</v>
      </c>
      <c r="T1029" s="17">
        <f t="shared" si="197"/>
        <v>0.14008072960884418</v>
      </c>
      <c r="U1029" s="16">
        <f t="shared" si="198"/>
        <v>136.72217524395265</v>
      </c>
      <c r="V1029" s="17">
        <f t="shared" ref="V1029:V1092" si="199">V1028+S1029</f>
        <v>0.28416309433330239</v>
      </c>
      <c r="W1029" s="16">
        <f t="shared" si="195"/>
        <v>1022987.1395998887</v>
      </c>
      <c r="X1029">
        <f>('Hybrid Info'!$A$2-Track!P1029)*(L1029-L1028)*1000+X1028</f>
        <v>-47174.124059354159</v>
      </c>
    </row>
    <row r="1030" spans="1:24">
      <c r="A1030" s="16">
        <f t="shared" si="196"/>
        <v>1029</v>
      </c>
      <c r="B1030" s="17">
        <f t="shared" si="190"/>
        <v>13.411199999999999</v>
      </c>
      <c r="C1030" s="16">
        <f>Specification!$G$29</f>
        <v>164.943378</v>
      </c>
      <c r="D1030" s="17">
        <f>0.5*Specification!$K$4*Track!B1030^2*Specification!$K$3*Specification!$K$2</f>
        <v>93.159842569492653</v>
      </c>
      <c r="E1030" s="16">
        <v>-3</v>
      </c>
      <c r="F1030" s="17">
        <f>Specification!$C$23*9.81*SIN((E1030*PI()/180))</f>
        <v>-287.74898045237813</v>
      </c>
      <c r="G1030" s="18">
        <f>IF(J1030=1,VLOOKUP(K1030,RPM!$E$2:$H$62,3,FALSE)-F1030-E1030-D1030,IF(J1030=2,VLOOKUP(K1030,RPM!$H$2:$K$62,3,FALSE)-F1030-E1030-D1030,IF(J1030=3,VLOOKUP(K1030,RPM!$K$2:$N$62,3,FALSE)-F1030-E1030-D1030)))</f>
        <v>840.31115949064974</v>
      </c>
      <c r="H1030" s="19">
        <f>IF(J1030=1,Specification!$I$14,IF(J1030=2,Specification!$I$15,IF(J1030=3,Specification!$I$16)))</f>
        <v>578.93404261974786</v>
      </c>
      <c r="I1030" s="16">
        <f t="shared" si="189"/>
        <v>0</v>
      </c>
      <c r="J1030" s="17">
        <v>3</v>
      </c>
      <c r="K1030" s="16">
        <f>IF(J1030=1,VLOOKUP(B1030,RPM!$F$2:$H$62,3,TRUE),IF(J1030=2,VLOOKUP(B1030,RPM!$I$2:$K$62,3,TRUE),IF(J1030=3,VLOOKUP(B1030,RPM!$L$2:$N$62,3,TRUE))))</f>
        <v>4300</v>
      </c>
      <c r="L1030" s="17">
        <f t="shared" si="188"/>
        <v>81.002255195945196</v>
      </c>
      <c r="M1030" s="16">
        <f t="shared" si="191"/>
        <v>2.4213413387053442</v>
      </c>
      <c r="N1030" s="17">
        <f>VLOOKUP(K1030,RPM!$A$2:$D$62,3,FALSE)</f>
        <v>11.4</v>
      </c>
      <c r="O1030" s="16">
        <f>VLOOKUP(K1030,RPM!$A$2:$D$62,4,FALSE)</f>
        <v>18.894837209302327</v>
      </c>
      <c r="P1030" s="17">
        <f t="shared" si="192"/>
        <v>14.089880106976747</v>
      </c>
      <c r="Q1030" s="16" cm="1">
        <f t="array" ref="Q1030">_xlfn.XLOOKUP(O1030,BSFC!$A$2:$A$24,_xlfn.XLOOKUP(K1030,BSFC!$B$1:$O$1,BSFC!$B$2:$O$24,,-1),,-1)</f>
        <v>480</v>
      </c>
      <c r="R1030" s="17">
        <f t="shared" si="193"/>
        <v>1.8786506809302328</v>
      </c>
      <c r="S1030" s="16">
        <f t="shared" si="194"/>
        <v>2.9183485335175871E-4</v>
      </c>
      <c r="T1030" s="17">
        <f t="shared" si="197"/>
        <v>0.14008072960884418</v>
      </c>
      <c r="U1030" s="16">
        <f t="shared" si="198"/>
        <v>136.8622559735615</v>
      </c>
      <c r="V1030" s="17">
        <f t="shared" si="199"/>
        <v>0.28445492918665416</v>
      </c>
      <c r="W1030" s="16">
        <f t="shared" si="195"/>
        <v>1024037.745071955</v>
      </c>
      <c r="X1030">
        <f>('Hybrid Info'!$A$2-Track!P1030)*(L1030-L1029)*1000+X1029</f>
        <v>-47320.973372703564</v>
      </c>
    </row>
    <row r="1031" spans="1:24">
      <c r="A1031" s="16">
        <f t="shared" si="196"/>
        <v>1030</v>
      </c>
      <c r="B1031" s="17">
        <f t="shared" si="190"/>
        <v>13.411199999999999</v>
      </c>
      <c r="C1031" s="16">
        <f>Specification!$G$29</f>
        <v>164.943378</v>
      </c>
      <c r="D1031" s="17">
        <f>0.5*Specification!$K$4*Track!B1031^2*Specification!$K$3*Specification!$K$2</f>
        <v>93.159842569492653</v>
      </c>
      <c r="E1031" s="16">
        <v>-4</v>
      </c>
      <c r="F1031" s="17">
        <f>Specification!$C$23*9.81*SIN((E1031*PI()/180))</f>
        <v>-383.52894722414453</v>
      </c>
      <c r="G1031" s="18">
        <f>IF(J1031=1,VLOOKUP(K1031,RPM!$E$2:$H$62,3,FALSE)-F1031-E1031-D1031,IF(J1031=2,VLOOKUP(K1031,RPM!$H$2:$K$62,3,FALSE)-F1031-E1031-D1031,IF(J1031=3,VLOOKUP(K1031,RPM!$K$2:$N$62,3,FALSE)-F1031-E1031-D1031)))</f>
        <v>937.09112626241608</v>
      </c>
      <c r="H1031" s="19">
        <f>IF(J1031=1,Specification!$I$14,IF(J1031=2,Specification!$I$15,IF(J1031=3,Specification!$I$16)))</f>
        <v>578.93404261974786</v>
      </c>
      <c r="I1031" s="16">
        <f t="shared" si="189"/>
        <v>0</v>
      </c>
      <c r="J1031" s="17">
        <v>3</v>
      </c>
      <c r="K1031" s="16">
        <f>IF(J1031=1,VLOOKUP(B1031,RPM!$F$2:$H$62,3,TRUE),IF(J1031=2,VLOOKUP(B1031,RPM!$I$2:$K$62,3,TRUE),IF(J1031=3,VLOOKUP(B1031,RPM!$L$2:$N$62,3,TRUE))))</f>
        <v>4300</v>
      </c>
      <c r="L1031" s="17">
        <f t="shared" si="188"/>
        <v>81.076819739013672</v>
      </c>
      <c r="M1031" s="16">
        <f t="shared" si="191"/>
        <v>2.3514145267618338</v>
      </c>
      <c r="N1031" s="17">
        <f>VLOOKUP(K1031,RPM!$A$2:$D$62,3,FALSE)</f>
        <v>11.4</v>
      </c>
      <c r="O1031" s="16">
        <f>VLOOKUP(K1031,RPM!$A$2:$D$62,4,FALSE)</f>
        <v>18.894837209302327</v>
      </c>
      <c r="P1031" s="17">
        <f t="shared" si="192"/>
        <v>14.089880106976747</v>
      </c>
      <c r="Q1031" s="16" cm="1">
        <f t="array" ref="Q1031">_xlfn.XLOOKUP(O1031,BSFC!$A$2:$A$24,_xlfn.XLOOKUP(K1031,BSFC!$B$1:$O$1,BSFC!$B$2:$O$24,,-1),,-1)</f>
        <v>480</v>
      </c>
      <c r="R1031" s="17">
        <f t="shared" si="193"/>
        <v>1.8786506809302328</v>
      </c>
      <c r="S1031" s="16">
        <f t="shared" si="194"/>
        <v>2.9183485335175871E-4</v>
      </c>
      <c r="T1031" s="17">
        <f t="shared" si="197"/>
        <v>0.14008072960884418</v>
      </c>
      <c r="U1031" s="16">
        <f t="shared" si="198"/>
        <v>137.00233670317036</v>
      </c>
      <c r="V1031" s="17">
        <f t="shared" si="199"/>
        <v>0.28474676404000593</v>
      </c>
      <c r="W1031" s="16">
        <f t="shared" si="195"/>
        <v>1025088.3505440213</v>
      </c>
      <c r="X1031">
        <f>('Hybrid Info'!$A$2-Track!P1031)*(L1031-L1030)*1000+X1030</f>
        <v>-47467.822686052968</v>
      </c>
    </row>
    <row r="1032" spans="1:24">
      <c r="A1032" s="16">
        <f t="shared" si="196"/>
        <v>1031</v>
      </c>
      <c r="B1032" s="17">
        <f t="shared" si="190"/>
        <v>13.411199999999999</v>
      </c>
      <c r="C1032" s="16">
        <f>Specification!$G$29</f>
        <v>164.943378</v>
      </c>
      <c r="D1032" s="17">
        <f>0.5*Specification!$K$4*Track!B1032^2*Specification!$K$3*Specification!$K$2</f>
        <v>93.159842569492653</v>
      </c>
      <c r="E1032" s="16">
        <v>-5</v>
      </c>
      <c r="F1032" s="17">
        <f>Specification!$C$23*9.81*SIN((E1032*PI()/180))</f>
        <v>-479.192087363258</v>
      </c>
      <c r="G1032" s="18">
        <f>IF(J1032=1,VLOOKUP(K1032,RPM!$E$2:$H$62,3,FALSE)-F1032-E1032-D1032,IF(J1032=2,VLOOKUP(K1032,RPM!$H$2:$K$62,3,FALSE)-F1032-E1032-D1032,IF(J1032=3,VLOOKUP(K1032,RPM!$K$2:$N$62,3,FALSE)-F1032-E1032-D1032)))</f>
        <v>1033.7542664015295</v>
      </c>
      <c r="H1032" s="19">
        <f>IF(J1032=1,Specification!$I$14,IF(J1032=2,Specification!$I$15,IF(J1032=3,Specification!$I$16)))</f>
        <v>578.93404261974786</v>
      </c>
      <c r="I1032" s="16">
        <f t="shared" si="189"/>
        <v>0</v>
      </c>
      <c r="J1032" s="17">
        <v>3</v>
      </c>
      <c r="K1032" s="16">
        <f>IF(J1032=1,VLOOKUP(B1032,RPM!$F$2:$H$62,3,TRUE),IF(J1032=2,VLOOKUP(B1032,RPM!$I$2:$K$62,3,TRUE),IF(J1032=3,VLOOKUP(B1032,RPM!$L$2:$N$62,3,TRUE))))</f>
        <v>4300</v>
      </c>
      <c r="L1032" s="17">
        <f t="shared" si="188"/>
        <v>81.151384282082148</v>
      </c>
      <c r="M1032" s="16">
        <f t="shared" si="191"/>
        <v>2.2639258632359098</v>
      </c>
      <c r="N1032" s="17">
        <f>VLOOKUP(K1032,RPM!$A$2:$D$62,3,FALSE)</f>
        <v>11.4</v>
      </c>
      <c r="O1032" s="16">
        <f>VLOOKUP(K1032,RPM!$A$2:$D$62,4,FALSE)</f>
        <v>18.894837209302327</v>
      </c>
      <c r="P1032" s="17">
        <f t="shared" si="192"/>
        <v>14.089880106976747</v>
      </c>
      <c r="Q1032" s="16" cm="1">
        <f t="array" ref="Q1032">_xlfn.XLOOKUP(O1032,BSFC!$A$2:$A$24,_xlfn.XLOOKUP(K1032,BSFC!$B$1:$O$1,BSFC!$B$2:$O$24,,-1),,-1)</f>
        <v>480</v>
      </c>
      <c r="R1032" s="17">
        <f t="shared" si="193"/>
        <v>1.8786506809302328</v>
      </c>
      <c r="S1032" s="16">
        <f t="shared" si="194"/>
        <v>2.9183485335175871E-4</v>
      </c>
      <c r="T1032" s="17">
        <f t="shared" si="197"/>
        <v>0.14008072960884418</v>
      </c>
      <c r="U1032" s="16">
        <f t="shared" si="198"/>
        <v>137.14241743277921</v>
      </c>
      <c r="V1032" s="17">
        <f t="shared" si="199"/>
        <v>0.2850385988933577</v>
      </c>
      <c r="W1032" s="16">
        <f t="shared" si="195"/>
        <v>1026138.9560160877</v>
      </c>
      <c r="X1032">
        <f>('Hybrid Info'!$A$2-Track!P1032)*(L1032-L1031)*1000+X1031</f>
        <v>-47614.671999402373</v>
      </c>
    </row>
    <row r="1033" spans="1:24">
      <c r="A1033" s="16">
        <f t="shared" si="196"/>
        <v>1032</v>
      </c>
      <c r="B1033" s="17">
        <f t="shared" si="190"/>
        <v>13.411199999999999</v>
      </c>
      <c r="C1033" s="16">
        <f>Specification!$G$29</f>
        <v>164.943378</v>
      </c>
      <c r="D1033" s="17">
        <f>0.5*Specification!$K$4*Track!B1033^2*Specification!$K$3*Specification!$K$2</f>
        <v>93.159842569492653</v>
      </c>
      <c r="E1033" s="16">
        <v>-6</v>
      </c>
      <c r="F1033" s="17">
        <f>Specification!$C$23*9.81*SIN((E1033*PI()/180))</f>
        <v>-574.70926095052266</v>
      </c>
      <c r="G1033" s="18">
        <f>IF(J1033=1,VLOOKUP(K1033,RPM!$E$2:$H$62,3,FALSE)-F1033-E1033-D1033,IF(J1033=2,VLOOKUP(K1033,RPM!$H$2:$K$62,3,FALSE)-F1033-E1033-D1033,IF(J1033=3,VLOOKUP(K1033,RPM!$K$2:$N$62,3,FALSE)-F1033-E1033-D1033)))</f>
        <v>1130.2714399887943</v>
      </c>
      <c r="H1033" s="19">
        <f>IF(J1033=1,Specification!$I$14,IF(J1033=2,Specification!$I$15,IF(J1033=3,Specification!$I$16)))</f>
        <v>578.93404261974786</v>
      </c>
      <c r="I1033" s="16">
        <f t="shared" si="189"/>
        <v>0</v>
      </c>
      <c r="J1033" s="17">
        <v>3</v>
      </c>
      <c r="K1033" s="16">
        <f>IF(J1033=1,VLOOKUP(B1033,RPM!$F$2:$H$62,3,TRUE),IF(J1033=2,VLOOKUP(B1033,RPM!$I$2:$K$62,3,TRUE),IF(J1033=3,VLOOKUP(B1033,RPM!$L$2:$N$62,3,TRUE))))</f>
        <v>4300</v>
      </c>
      <c r="L1033" s="17">
        <f t="shared" si="188"/>
        <v>81.225948825150624</v>
      </c>
      <c r="M1033" s="16">
        <f t="shared" si="191"/>
        <v>2.1588216279702332</v>
      </c>
      <c r="N1033" s="17">
        <f>VLOOKUP(K1033,RPM!$A$2:$D$62,3,FALSE)</f>
        <v>11.4</v>
      </c>
      <c r="O1033" s="16">
        <f>VLOOKUP(K1033,RPM!$A$2:$D$62,4,FALSE)</f>
        <v>18.894837209302327</v>
      </c>
      <c r="P1033" s="17">
        <f t="shared" si="192"/>
        <v>14.089880106976747</v>
      </c>
      <c r="Q1033" s="16" cm="1">
        <f t="array" ref="Q1033">_xlfn.XLOOKUP(O1033,BSFC!$A$2:$A$24,_xlfn.XLOOKUP(K1033,BSFC!$B$1:$O$1,BSFC!$B$2:$O$24,,-1),,-1)</f>
        <v>480</v>
      </c>
      <c r="R1033" s="17">
        <f t="shared" si="193"/>
        <v>1.8786506809302328</v>
      </c>
      <c r="S1033" s="16">
        <f t="shared" si="194"/>
        <v>2.9183485335175871E-4</v>
      </c>
      <c r="T1033" s="17">
        <f t="shared" si="197"/>
        <v>0.14008072960884418</v>
      </c>
      <c r="U1033" s="16">
        <f t="shared" si="198"/>
        <v>137.28249816238807</v>
      </c>
      <c r="V1033" s="17">
        <f t="shared" si="199"/>
        <v>0.28533043374670947</v>
      </c>
      <c r="W1033" s="16">
        <f t="shared" si="195"/>
        <v>1027189.561488154</v>
      </c>
      <c r="X1033">
        <f>('Hybrid Info'!$A$2-Track!P1033)*(L1033-L1032)*1000+X1032</f>
        <v>-47761.521312751778</v>
      </c>
    </row>
    <row r="1034" spans="1:24">
      <c r="A1034" s="16">
        <f t="shared" si="196"/>
        <v>1033</v>
      </c>
      <c r="B1034" s="17">
        <f t="shared" si="190"/>
        <v>13.411199999999999</v>
      </c>
      <c r="C1034" s="16">
        <f>Specification!$G$29</f>
        <v>164.943378</v>
      </c>
      <c r="D1034" s="17">
        <f>0.5*Specification!$K$4*Track!B1034^2*Specification!$K$3*Specification!$K$2</f>
        <v>93.159842569492653</v>
      </c>
      <c r="E1034" s="16">
        <v>-7</v>
      </c>
      <c r="F1034" s="17">
        <f>Specification!$C$23*9.81*SIN((E1034*PI()/180))</f>
        <v>-670.05137252956831</v>
      </c>
      <c r="G1034" s="18">
        <f>IF(J1034=1,VLOOKUP(K1034,RPM!$E$2:$H$62,3,FALSE)-F1034-E1034-D1034,IF(J1034=2,VLOOKUP(K1034,RPM!$H$2:$K$62,3,FALSE)-F1034-E1034-D1034,IF(J1034=3,VLOOKUP(K1034,RPM!$K$2:$N$62,3,FALSE)-F1034-E1034-D1034)))</f>
        <v>1226.61355156784</v>
      </c>
      <c r="H1034" s="19">
        <f>IF(J1034=1,Specification!$I$14,IF(J1034=2,Specification!$I$15,IF(J1034=3,Specification!$I$16)))</f>
        <v>578.93404261974786</v>
      </c>
      <c r="I1034" s="16">
        <f t="shared" si="189"/>
        <v>0</v>
      </c>
      <c r="J1034" s="17">
        <v>3</v>
      </c>
      <c r="K1034" s="16">
        <f>IF(J1034=1,VLOOKUP(B1034,RPM!$F$2:$H$62,3,TRUE),IF(J1034=2,VLOOKUP(B1034,RPM!$I$2:$K$62,3,TRUE),IF(J1034=3,VLOOKUP(B1034,RPM!$L$2:$N$62,3,TRUE))))</f>
        <v>4300</v>
      </c>
      <c r="L1034" s="17">
        <f t="shared" si="188"/>
        <v>81.3005133682191</v>
      </c>
      <c r="M1034" s="16">
        <f t="shared" si="191"/>
        <v>2.0360370670673285</v>
      </c>
      <c r="N1034" s="17">
        <f>VLOOKUP(K1034,RPM!$A$2:$D$62,3,FALSE)</f>
        <v>11.4</v>
      </c>
      <c r="O1034" s="16">
        <f>VLOOKUP(K1034,RPM!$A$2:$D$62,4,FALSE)</f>
        <v>18.894837209302327</v>
      </c>
      <c r="P1034" s="17">
        <f t="shared" si="192"/>
        <v>14.089880106976747</v>
      </c>
      <c r="Q1034" s="16" cm="1">
        <f t="array" ref="Q1034">_xlfn.XLOOKUP(O1034,BSFC!$A$2:$A$24,_xlfn.XLOOKUP(K1034,BSFC!$B$1:$O$1,BSFC!$B$2:$O$24,,-1),,-1)</f>
        <v>480</v>
      </c>
      <c r="R1034" s="17">
        <f t="shared" si="193"/>
        <v>1.8786506809302328</v>
      </c>
      <c r="S1034" s="16">
        <f t="shared" si="194"/>
        <v>2.9183485335175871E-4</v>
      </c>
      <c r="T1034" s="17">
        <f t="shared" si="197"/>
        <v>0.14008072960884418</v>
      </c>
      <c r="U1034" s="16">
        <f t="shared" si="198"/>
        <v>137.42257889199692</v>
      </c>
      <c r="V1034" s="17">
        <f t="shared" si="199"/>
        <v>0.28562226860006124</v>
      </c>
      <c r="W1034" s="16">
        <f t="shared" si="195"/>
        <v>1028240.1669602206</v>
      </c>
      <c r="X1034">
        <f>('Hybrid Info'!$A$2-Track!P1034)*(L1034-L1033)*1000+X1033</f>
        <v>-47908.370626101183</v>
      </c>
    </row>
    <row r="1035" spans="1:24">
      <c r="A1035" s="16">
        <f t="shared" si="196"/>
        <v>1034</v>
      </c>
      <c r="B1035" s="17">
        <f t="shared" si="190"/>
        <v>13.411199999999999</v>
      </c>
      <c r="C1035" s="16">
        <f>Specification!$G$29</f>
        <v>164.943378</v>
      </c>
      <c r="D1035" s="17">
        <f>0.5*Specification!$K$4*Track!B1035^2*Specification!$K$3*Specification!$K$2</f>
        <v>93.159842569492653</v>
      </c>
      <c r="E1035" s="16">
        <v>-8</v>
      </c>
      <c r="F1035" s="17">
        <f>Specification!$C$23*9.81*SIN((E1035*PI()/180))</f>
        <v>-765.1893799696079</v>
      </c>
      <c r="G1035" s="18">
        <f>IF(J1035=1,VLOOKUP(K1035,RPM!$E$2:$H$62,3,FALSE)-F1035-E1035-D1035,IF(J1035=2,VLOOKUP(K1035,RPM!$H$2:$K$62,3,FALSE)-F1035-E1035-D1035,IF(J1035=3,VLOOKUP(K1035,RPM!$K$2:$N$62,3,FALSE)-F1035-E1035-D1035)))</f>
        <v>1322.7515590078795</v>
      </c>
      <c r="H1035" s="19">
        <f>IF(J1035=1,Specification!$I$14,IF(J1035=2,Specification!$I$15,IF(J1035=3,Specification!$I$16)))</f>
        <v>578.93404261974786</v>
      </c>
      <c r="I1035" s="16">
        <f t="shared" si="189"/>
        <v>0</v>
      </c>
      <c r="J1035" s="17">
        <v>3</v>
      </c>
      <c r="K1035" s="16">
        <f>IF(J1035=1,VLOOKUP(B1035,RPM!$F$2:$H$62,3,TRUE),IF(J1035=2,VLOOKUP(B1035,RPM!$I$2:$K$62,3,TRUE),IF(J1035=3,VLOOKUP(B1035,RPM!$L$2:$N$62,3,TRUE))))</f>
        <v>4300</v>
      </c>
      <c r="L1035" s="17">
        <f t="shared" si="188"/>
        <v>81.375077911287576</v>
      </c>
      <c r="M1035" s="16">
        <f t="shared" si="191"/>
        <v>1.8954962323649369</v>
      </c>
      <c r="N1035" s="17">
        <f>VLOOKUP(K1035,RPM!$A$2:$D$62,3,FALSE)</f>
        <v>11.4</v>
      </c>
      <c r="O1035" s="16">
        <f>VLOOKUP(K1035,RPM!$A$2:$D$62,4,FALSE)</f>
        <v>18.894837209302327</v>
      </c>
      <c r="P1035" s="17">
        <f t="shared" si="192"/>
        <v>14.089880106976747</v>
      </c>
      <c r="Q1035" s="16" cm="1">
        <f t="array" ref="Q1035">_xlfn.XLOOKUP(O1035,BSFC!$A$2:$A$24,_xlfn.XLOOKUP(K1035,BSFC!$B$1:$O$1,BSFC!$B$2:$O$24,,-1),,-1)</f>
        <v>480</v>
      </c>
      <c r="R1035" s="17">
        <f t="shared" si="193"/>
        <v>1.8786506809302328</v>
      </c>
      <c r="S1035" s="16">
        <f t="shared" si="194"/>
        <v>2.9183485335175871E-4</v>
      </c>
      <c r="T1035" s="17">
        <f t="shared" si="197"/>
        <v>0.14008072960884418</v>
      </c>
      <c r="U1035" s="16">
        <f t="shared" si="198"/>
        <v>137.56265962160577</v>
      </c>
      <c r="V1035" s="17">
        <f t="shared" si="199"/>
        <v>0.285914103453413</v>
      </c>
      <c r="W1035" s="16">
        <f t="shared" si="195"/>
        <v>1029290.7724322869</v>
      </c>
      <c r="X1035">
        <f>('Hybrid Info'!$A$2-Track!P1035)*(L1035-L1034)*1000+X1034</f>
        <v>-48055.219939450588</v>
      </c>
    </row>
    <row r="1036" spans="1:24">
      <c r="A1036" s="16">
        <f t="shared" si="196"/>
        <v>1035</v>
      </c>
      <c r="B1036" s="17">
        <f t="shared" si="190"/>
        <v>13.411199999999999</v>
      </c>
      <c r="C1036" s="16">
        <f>Specification!$G$29</f>
        <v>164.943378</v>
      </c>
      <c r="D1036" s="17">
        <f>0.5*Specification!$K$4*Track!B1036^2*Specification!$K$3*Specification!$K$2</f>
        <v>93.159842569492653</v>
      </c>
      <c r="E1036" s="16">
        <v>-8</v>
      </c>
      <c r="F1036" s="17">
        <f>Specification!$C$23*9.81*SIN((E1036*PI()/180))</f>
        <v>-765.1893799696079</v>
      </c>
      <c r="G1036" s="18">
        <f>IF(J1036=1,VLOOKUP(K1036,RPM!$E$2:$H$62,3,FALSE)-F1036-E1036-D1036,IF(J1036=2,VLOOKUP(K1036,RPM!$H$2:$K$62,3,FALSE)-F1036-E1036-D1036,IF(J1036=3,VLOOKUP(K1036,RPM!$K$2:$N$62,3,FALSE)-F1036-E1036-D1036)))</f>
        <v>1322.7515590078795</v>
      </c>
      <c r="H1036" s="19">
        <f>IF(J1036=1,Specification!$I$14,IF(J1036=2,Specification!$I$15,IF(J1036=3,Specification!$I$16)))</f>
        <v>578.93404261974786</v>
      </c>
      <c r="I1036" s="16">
        <f t="shared" si="189"/>
        <v>0</v>
      </c>
      <c r="J1036" s="17">
        <v>3</v>
      </c>
      <c r="K1036" s="16">
        <f>IF(J1036=1,VLOOKUP(B1036,RPM!$F$2:$H$62,3,TRUE),IF(J1036=2,VLOOKUP(B1036,RPM!$I$2:$K$62,3,TRUE),IF(J1036=3,VLOOKUP(B1036,RPM!$L$2:$N$62,3,TRUE))))</f>
        <v>4300</v>
      </c>
      <c r="L1036" s="17">
        <f t="shared" si="188"/>
        <v>81.449642454356052</v>
      </c>
      <c r="M1036" s="16">
        <f t="shared" si="191"/>
        <v>1.7549553976625454</v>
      </c>
      <c r="N1036" s="17">
        <f>VLOOKUP(K1036,RPM!$A$2:$D$62,3,FALSE)</f>
        <v>11.4</v>
      </c>
      <c r="O1036" s="16">
        <f>VLOOKUP(K1036,RPM!$A$2:$D$62,4,FALSE)</f>
        <v>18.894837209302327</v>
      </c>
      <c r="P1036" s="17">
        <f t="shared" si="192"/>
        <v>14.089880106976747</v>
      </c>
      <c r="Q1036" s="16" cm="1">
        <f t="array" ref="Q1036">_xlfn.XLOOKUP(O1036,BSFC!$A$2:$A$24,_xlfn.XLOOKUP(K1036,BSFC!$B$1:$O$1,BSFC!$B$2:$O$24,,-1),,-1)</f>
        <v>480</v>
      </c>
      <c r="R1036" s="17">
        <f t="shared" si="193"/>
        <v>1.8786506809302328</v>
      </c>
      <c r="S1036" s="16">
        <f t="shared" si="194"/>
        <v>2.9183485335175871E-4</v>
      </c>
      <c r="T1036" s="17">
        <f t="shared" si="197"/>
        <v>0.14008072960884418</v>
      </c>
      <c r="U1036" s="16">
        <f t="shared" si="198"/>
        <v>137.70274035121463</v>
      </c>
      <c r="V1036" s="17">
        <f t="shared" si="199"/>
        <v>0.28620593830676477</v>
      </c>
      <c r="W1036" s="16">
        <f t="shared" si="195"/>
        <v>1030341.3779043532</v>
      </c>
      <c r="X1036">
        <f>('Hybrid Info'!$A$2-Track!P1036)*(L1036-L1035)*1000+X1035</f>
        <v>-48202.069252799993</v>
      </c>
    </row>
    <row r="1037" spans="1:24">
      <c r="A1037" s="16">
        <f t="shared" si="196"/>
        <v>1036</v>
      </c>
      <c r="B1037" s="17">
        <f t="shared" si="190"/>
        <v>13.411199999999999</v>
      </c>
      <c r="C1037" s="16">
        <f>Specification!$G$29</f>
        <v>164.943378</v>
      </c>
      <c r="D1037" s="17">
        <f>0.5*Specification!$K$4*Track!B1037^2*Specification!$K$3*Specification!$K$2</f>
        <v>93.159842569492653</v>
      </c>
      <c r="E1037" s="16">
        <v>-8</v>
      </c>
      <c r="F1037" s="17">
        <f>Specification!$C$23*9.81*SIN((E1037*PI()/180))</f>
        <v>-765.1893799696079</v>
      </c>
      <c r="G1037" s="18">
        <f>IF(J1037=1,VLOOKUP(K1037,RPM!$E$2:$H$62,3,FALSE)-F1037-E1037-D1037,IF(J1037=2,VLOOKUP(K1037,RPM!$H$2:$K$62,3,FALSE)-F1037-E1037-D1037,IF(J1037=3,VLOOKUP(K1037,RPM!$K$2:$N$62,3,FALSE)-F1037-E1037-D1037)))</f>
        <v>1322.7515590078795</v>
      </c>
      <c r="H1037" s="19">
        <f>IF(J1037=1,Specification!$I$14,IF(J1037=2,Specification!$I$15,IF(J1037=3,Specification!$I$16)))</f>
        <v>578.93404261974786</v>
      </c>
      <c r="I1037" s="16">
        <f t="shared" si="189"/>
        <v>0</v>
      </c>
      <c r="J1037" s="17">
        <v>3</v>
      </c>
      <c r="K1037" s="16">
        <f>IF(J1037=1,VLOOKUP(B1037,RPM!$F$2:$H$62,3,TRUE),IF(J1037=2,VLOOKUP(B1037,RPM!$I$2:$K$62,3,TRUE),IF(J1037=3,VLOOKUP(B1037,RPM!$L$2:$N$62,3,TRUE))))</f>
        <v>4300</v>
      </c>
      <c r="L1037" s="17">
        <f t="shared" ref="L1037:L1100" si="200">IF(I1037=0,ABS(1/B1037)+L1036,IF(ABS(B1038-B1037)=0,1/B1037+L1036,ABS((B1038-B1037)/I1037)+L1036))</f>
        <v>81.524206997424528</v>
      </c>
      <c r="M1037" s="16">
        <f t="shared" si="191"/>
        <v>1.6144145629601538</v>
      </c>
      <c r="N1037" s="17">
        <f>VLOOKUP(K1037,RPM!$A$2:$D$62,3,FALSE)</f>
        <v>11.4</v>
      </c>
      <c r="O1037" s="16">
        <f>VLOOKUP(K1037,RPM!$A$2:$D$62,4,FALSE)</f>
        <v>18.894837209302327</v>
      </c>
      <c r="P1037" s="17">
        <f t="shared" si="192"/>
        <v>14.089880106976747</v>
      </c>
      <c r="Q1037" s="16" cm="1">
        <f t="array" ref="Q1037">_xlfn.XLOOKUP(O1037,BSFC!$A$2:$A$24,_xlfn.XLOOKUP(K1037,BSFC!$B$1:$O$1,BSFC!$B$2:$O$24,,-1),,-1)</f>
        <v>480</v>
      </c>
      <c r="R1037" s="17">
        <f t="shared" si="193"/>
        <v>1.8786506809302328</v>
      </c>
      <c r="S1037" s="16">
        <f t="shared" si="194"/>
        <v>2.9183485335175871E-4</v>
      </c>
      <c r="T1037" s="17">
        <f t="shared" si="197"/>
        <v>0.14008072960884418</v>
      </c>
      <c r="U1037" s="16">
        <f t="shared" si="198"/>
        <v>137.84282108082348</v>
      </c>
      <c r="V1037" s="17">
        <f t="shared" si="199"/>
        <v>0.28649777316011654</v>
      </c>
      <c r="W1037" s="16">
        <f t="shared" si="195"/>
        <v>1031391.9833764195</v>
      </c>
      <c r="X1037">
        <f>('Hybrid Info'!$A$2-Track!P1037)*(L1037-L1036)*1000+X1036</f>
        <v>-48348.918566149398</v>
      </c>
    </row>
    <row r="1038" spans="1:24">
      <c r="A1038" s="16">
        <f t="shared" si="196"/>
        <v>1037</v>
      </c>
      <c r="B1038" s="17">
        <f t="shared" si="190"/>
        <v>13.411199999999999</v>
      </c>
      <c r="C1038" s="16">
        <f>Specification!$G$29</f>
        <v>164.943378</v>
      </c>
      <c r="D1038" s="17">
        <f>0.5*Specification!$K$4*Track!B1038^2*Specification!$K$3*Specification!$K$2</f>
        <v>93.159842569492653</v>
      </c>
      <c r="E1038" s="16">
        <v>-8</v>
      </c>
      <c r="F1038" s="17">
        <f>Specification!$C$23*9.81*SIN((E1038*PI()/180))</f>
        <v>-765.1893799696079</v>
      </c>
      <c r="G1038" s="18">
        <f>IF(J1038=1,VLOOKUP(K1038,RPM!$E$2:$H$62,3,FALSE)-F1038-E1038-D1038,IF(J1038=2,VLOOKUP(K1038,RPM!$H$2:$K$62,3,FALSE)-F1038-E1038-D1038,IF(J1038=3,VLOOKUP(K1038,RPM!$K$2:$N$62,3,FALSE)-F1038-E1038-D1038)))</f>
        <v>1322.7515590078795</v>
      </c>
      <c r="H1038" s="19">
        <f>IF(J1038=1,Specification!$I$14,IF(J1038=2,Specification!$I$15,IF(J1038=3,Specification!$I$16)))</f>
        <v>578.93404261974786</v>
      </c>
      <c r="I1038" s="16">
        <f t="shared" si="189"/>
        <v>0</v>
      </c>
      <c r="J1038" s="17">
        <v>3</v>
      </c>
      <c r="K1038" s="16">
        <f>IF(J1038=1,VLOOKUP(B1038,RPM!$F$2:$H$62,3,TRUE),IF(J1038=2,VLOOKUP(B1038,RPM!$I$2:$K$62,3,TRUE),IF(J1038=3,VLOOKUP(B1038,RPM!$L$2:$N$62,3,TRUE))))</f>
        <v>4300</v>
      </c>
      <c r="L1038" s="17">
        <f t="shared" si="200"/>
        <v>81.598771540493004</v>
      </c>
      <c r="M1038" s="16">
        <f t="shared" si="191"/>
        <v>1.4738737282577623</v>
      </c>
      <c r="N1038" s="17">
        <f>VLOOKUP(K1038,RPM!$A$2:$D$62,3,FALSE)</f>
        <v>11.4</v>
      </c>
      <c r="O1038" s="16">
        <f>VLOOKUP(K1038,RPM!$A$2:$D$62,4,FALSE)</f>
        <v>18.894837209302327</v>
      </c>
      <c r="P1038" s="17">
        <f t="shared" si="192"/>
        <v>14.089880106976747</v>
      </c>
      <c r="Q1038" s="16" cm="1">
        <f t="array" ref="Q1038">_xlfn.XLOOKUP(O1038,BSFC!$A$2:$A$24,_xlfn.XLOOKUP(K1038,BSFC!$B$1:$O$1,BSFC!$B$2:$O$24,,-1),,-1)</f>
        <v>480</v>
      </c>
      <c r="R1038" s="17">
        <f t="shared" si="193"/>
        <v>1.8786506809302328</v>
      </c>
      <c r="S1038" s="16">
        <f t="shared" si="194"/>
        <v>2.9183485335175871E-4</v>
      </c>
      <c r="T1038" s="17">
        <f t="shared" si="197"/>
        <v>0.14008072960884418</v>
      </c>
      <c r="U1038" s="16">
        <f t="shared" si="198"/>
        <v>137.98290181043234</v>
      </c>
      <c r="V1038" s="17">
        <f t="shared" si="199"/>
        <v>0.28678960801346831</v>
      </c>
      <c r="W1038" s="16">
        <f t="shared" si="195"/>
        <v>1032442.5888484858</v>
      </c>
      <c r="X1038">
        <f>('Hybrid Info'!$A$2-Track!P1038)*(L1038-L1037)*1000+X1037</f>
        <v>-48495.767879498802</v>
      </c>
    </row>
    <row r="1039" spans="1:24">
      <c r="A1039" s="16">
        <f t="shared" si="196"/>
        <v>1038</v>
      </c>
      <c r="B1039" s="17">
        <f t="shared" si="190"/>
        <v>13.411199999999999</v>
      </c>
      <c r="C1039" s="16">
        <f>Specification!$G$29</f>
        <v>164.943378</v>
      </c>
      <c r="D1039" s="17">
        <f>0.5*Specification!$K$4*Track!B1039^2*Specification!$K$3*Specification!$K$2</f>
        <v>93.159842569492653</v>
      </c>
      <c r="E1039" s="16">
        <v>-8</v>
      </c>
      <c r="F1039" s="17">
        <f>Specification!$C$23*9.81*SIN((E1039*PI()/180))</f>
        <v>-765.1893799696079</v>
      </c>
      <c r="G1039" s="18">
        <f>IF(J1039=1,VLOOKUP(K1039,RPM!$E$2:$H$62,3,FALSE)-F1039-E1039-D1039,IF(J1039=2,VLOOKUP(K1039,RPM!$H$2:$K$62,3,FALSE)-F1039-E1039-D1039,IF(J1039=3,VLOOKUP(K1039,RPM!$K$2:$N$62,3,FALSE)-F1039-E1039-D1039)))</f>
        <v>1322.7515590078795</v>
      </c>
      <c r="H1039" s="19">
        <f>IF(J1039=1,Specification!$I$14,IF(J1039=2,Specification!$I$15,IF(J1039=3,Specification!$I$16)))</f>
        <v>578.93404261974786</v>
      </c>
      <c r="I1039" s="16">
        <f t="shared" si="189"/>
        <v>0</v>
      </c>
      <c r="J1039" s="17">
        <v>3</v>
      </c>
      <c r="K1039" s="16">
        <f>IF(J1039=1,VLOOKUP(B1039,RPM!$F$2:$H$62,3,TRUE),IF(J1039=2,VLOOKUP(B1039,RPM!$I$2:$K$62,3,TRUE),IF(J1039=3,VLOOKUP(B1039,RPM!$L$2:$N$62,3,TRUE))))</f>
        <v>4300</v>
      </c>
      <c r="L1039" s="17">
        <f t="shared" si="200"/>
        <v>81.67333608356148</v>
      </c>
      <c r="M1039" s="16">
        <f t="shared" si="191"/>
        <v>1.3333328935553708</v>
      </c>
      <c r="N1039" s="17">
        <f>VLOOKUP(K1039,RPM!$A$2:$D$62,3,FALSE)</f>
        <v>11.4</v>
      </c>
      <c r="O1039" s="16">
        <f>VLOOKUP(K1039,RPM!$A$2:$D$62,4,FALSE)</f>
        <v>18.894837209302327</v>
      </c>
      <c r="P1039" s="17">
        <f t="shared" si="192"/>
        <v>14.089880106976747</v>
      </c>
      <c r="Q1039" s="16" cm="1">
        <f t="array" ref="Q1039">_xlfn.XLOOKUP(O1039,BSFC!$A$2:$A$24,_xlfn.XLOOKUP(K1039,BSFC!$B$1:$O$1,BSFC!$B$2:$O$24,,-1),,-1)</f>
        <v>480</v>
      </c>
      <c r="R1039" s="17">
        <f t="shared" si="193"/>
        <v>1.8786506809302328</v>
      </c>
      <c r="S1039" s="16">
        <f t="shared" si="194"/>
        <v>2.9183485335175871E-4</v>
      </c>
      <c r="T1039" s="17">
        <f t="shared" si="197"/>
        <v>0.14008072960884418</v>
      </c>
      <c r="U1039" s="16">
        <f t="shared" si="198"/>
        <v>138.12298254004119</v>
      </c>
      <c r="V1039" s="17">
        <f t="shared" si="199"/>
        <v>0.28708144286682008</v>
      </c>
      <c r="W1039" s="16">
        <f t="shared" si="195"/>
        <v>1033493.1943205522</v>
      </c>
      <c r="X1039">
        <f>('Hybrid Info'!$A$2-Track!P1039)*(L1039-L1038)*1000+X1038</f>
        <v>-48642.617192848207</v>
      </c>
    </row>
    <row r="1040" spans="1:24">
      <c r="A1040" s="16">
        <f t="shared" si="196"/>
        <v>1039</v>
      </c>
      <c r="B1040" s="17">
        <f t="shared" si="190"/>
        <v>13.411199999999999</v>
      </c>
      <c r="C1040" s="16">
        <f>Specification!$G$29</f>
        <v>164.943378</v>
      </c>
      <c r="D1040" s="17">
        <f>0.5*Specification!$K$4*Track!B1040^2*Specification!$K$3*Specification!$K$2</f>
        <v>93.159842569492653</v>
      </c>
      <c r="E1040" s="16">
        <v>-8</v>
      </c>
      <c r="F1040" s="17">
        <f>Specification!$C$23*9.81*SIN((E1040*PI()/180))</f>
        <v>-765.1893799696079</v>
      </c>
      <c r="G1040" s="18">
        <f>IF(J1040=1,VLOOKUP(K1040,RPM!$E$2:$H$62,3,FALSE)-F1040-E1040-D1040,IF(J1040=2,VLOOKUP(K1040,RPM!$H$2:$K$62,3,FALSE)-F1040-E1040-D1040,IF(J1040=3,VLOOKUP(K1040,RPM!$K$2:$N$62,3,FALSE)-F1040-E1040-D1040)))</f>
        <v>1322.7515590078795</v>
      </c>
      <c r="H1040" s="19">
        <f>IF(J1040=1,Specification!$I$14,IF(J1040=2,Specification!$I$15,IF(J1040=3,Specification!$I$16)))</f>
        <v>578.93404261974786</v>
      </c>
      <c r="I1040" s="16">
        <f t="shared" si="189"/>
        <v>0</v>
      </c>
      <c r="J1040" s="17">
        <v>3</v>
      </c>
      <c r="K1040" s="16">
        <f>IF(J1040=1,VLOOKUP(B1040,RPM!$F$2:$H$62,3,TRUE),IF(J1040=2,VLOOKUP(B1040,RPM!$I$2:$K$62,3,TRUE),IF(J1040=3,VLOOKUP(B1040,RPM!$L$2:$N$62,3,TRUE))))</f>
        <v>4300</v>
      </c>
      <c r="L1040" s="17">
        <f t="shared" si="200"/>
        <v>81.747900626629956</v>
      </c>
      <c r="M1040" s="16">
        <f t="shared" si="191"/>
        <v>1.1927920588529792</v>
      </c>
      <c r="N1040" s="17">
        <f>VLOOKUP(K1040,RPM!$A$2:$D$62,3,FALSE)</f>
        <v>11.4</v>
      </c>
      <c r="O1040" s="16">
        <f>VLOOKUP(K1040,RPM!$A$2:$D$62,4,FALSE)</f>
        <v>18.894837209302327</v>
      </c>
      <c r="P1040" s="17">
        <f t="shared" si="192"/>
        <v>14.089880106976747</v>
      </c>
      <c r="Q1040" s="16" cm="1">
        <f t="array" ref="Q1040">_xlfn.XLOOKUP(O1040,BSFC!$A$2:$A$24,_xlfn.XLOOKUP(K1040,BSFC!$B$1:$O$1,BSFC!$B$2:$O$24,,-1),,-1)</f>
        <v>480</v>
      </c>
      <c r="R1040" s="17">
        <f t="shared" si="193"/>
        <v>1.8786506809302328</v>
      </c>
      <c r="S1040" s="16">
        <f t="shared" si="194"/>
        <v>2.9183485335175871E-4</v>
      </c>
      <c r="T1040" s="17">
        <f t="shared" si="197"/>
        <v>0.14008072960884418</v>
      </c>
      <c r="U1040" s="16">
        <f t="shared" si="198"/>
        <v>138.26306326965005</v>
      </c>
      <c r="V1040" s="17">
        <f t="shared" si="199"/>
        <v>0.28737327772017185</v>
      </c>
      <c r="W1040" s="16">
        <f t="shared" si="195"/>
        <v>1034543.7997926187</v>
      </c>
      <c r="X1040">
        <f>('Hybrid Info'!$A$2-Track!P1040)*(L1040-L1039)*1000+X1039</f>
        <v>-48789.466506197612</v>
      </c>
    </row>
    <row r="1041" spans="1:24">
      <c r="A1041" s="16">
        <f t="shared" si="196"/>
        <v>1040</v>
      </c>
      <c r="B1041" s="17">
        <f t="shared" si="190"/>
        <v>13.411199999999999</v>
      </c>
      <c r="C1041" s="16">
        <f>Specification!$G$29</f>
        <v>164.943378</v>
      </c>
      <c r="D1041" s="17">
        <f>0.5*Specification!$K$4*Track!B1041^2*Specification!$K$3*Specification!$K$2</f>
        <v>93.159842569492653</v>
      </c>
      <c r="E1041" s="16">
        <v>-8</v>
      </c>
      <c r="F1041" s="17">
        <f>Specification!$C$23*9.81*SIN((E1041*PI()/180))</f>
        <v>-765.1893799696079</v>
      </c>
      <c r="G1041" s="18">
        <f>IF(J1041=1,VLOOKUP(K1041,RPM!$E$2:$H$62,3,FALSE)-F1041-E1041-D1041,IF(J1041=2,VLOOKUP(K1041,RPM!$H$2:$K$62,3,FALSE)-F1041-E1041-D1041,IF(J1041=3,VLOOKUP(K1041,RPM!$K$2:$N$62,3,FALSE)-F1041-E1041-D1041)))</f>
        <v>1322.7515590078795</v>
      </c>
      <c r="H1041" s="19">
        <f>IF(J1041=1,Specification!$I$14,IF(J1041=2,Specification!$I$15,IF(J1041=3,Specification!$I$16)))</f>
        <v>578.93404261974786</v>
      </c>
      <c r="I1041" s="16">
        <f t="shared" si="189"/>
        <v>0</v>
      </c>
      <c r="J1041" s="17">
        <v>3</v>
      </c>
      <c r="K1041" s="16">
        <f>IF(J1041=1,VLOOKUP(B1041,RPM!$F$2:$H$62,3,TRUE),IF(J1041=2,VLOOKUP(B1041,RPM!$I$2:$K$62,3,TRUE),IF(J1041=3,VLOOKUP(B1041,RPM!$L$2:$N$62,3,TRUE))))</f>
        <v>4300</v>
      </c>
      <c r="L1041" s="17">
        <f t="shared" si="200"/>
        <v>81.822465169698432</v>
      </c>
      <c r="M1041" s="16">
        <f t="shared" si="191"/>
        <v>1.0522512241505877</v>
      </c>
      <c r="N1041" s="17">
        <f>VLOOKUP(K1041,RPM!$A$2:$D$62,3,FALSE)</f>
        <v>11.4</v>
      </c>
      <c r="O1041" s="16">
        <f>VLOOKUP(K1041,RPM!$A$2:$D$62,4,FALSE)</f>
        <v>18.894837209302327</v>
      </c>
      <c r="P1041" s="17">
        <f t="shared" si="192"/>
        <v>14.089880106976747</v>
      </c>
      <c r="Q1041" s="16" cm="1">
        <f t="array" ref="Q1041">_xlfn.XLOOKUP(O1041,BSFC!$A$2:$A$24,_xlfn.XLOOKUP(K1041,BSFC!$B$1:$O$1,BSFC!$B$2:$O$24,,-1),,-1)</f>
        <v>480</v>
      </c>
      <c r="R1041" s="17">
        <f t="shared" si="193"/>
        <v>1.8786506809302328</v>
      </c>
      <c r="S1041" s="16">
        <f t="shared" si="194"/>
        <v>2.9183485335175871E-4</v>
      </c>
      <c r="T1041" s="17">
        <f t="shared" si="197"/>
        <v>0.14008072960884418</v>
      </c>
      <c r="U1041" s="16">
        <f t="shared" si="198"/>
        <v>138.4031439992589</v>
      </c>
      <c r="V1041" s="17">
        <f t="shared" si="199"/>
        <v>0.28766511257352362</v>
      </c>
      <c r="W1041" s="16">
        <f t="shared" si="195"/>
        <v>1035594.405264685</v>
      </c>
      <c r="X1041">
        <f>('Hybrid Info'!$A$2-Track!P1041)*(L1041-L1040)*1000+X1040</f>
        <v>-48936.315819547017</v>
      </c>
    </row>
    <row r="1042" spans="1:24">
      <c r="A1042" s="16">
        <f t="shared" si="196"/>
        <v>1041</v>
      </c>
      <c r="B1042" s="17">
        <f t="shared" si="190"/>
        <v>13.411199999999999</v>
      </c>
      <c r="C1042" s="16">
        <f>Specification!$G$29</f>
        <v>164.943378</v>
      </c>
      <c r="D1042" s="17">
        <f>0.5*Specification!$K$4*Track!B1042^2*Specification!$K$3*Specification!$K$2</f>
        <v>93.159842569492653</v>
      </c>
      <c r="E1042" s="16">
        <v>-8</v>
      </c>
      <c r="F1042" s="17">
        <f>Specification!$C$23*9.81*SIN((E1042*PI()/180))</f>
        <v>-765.1893799696079</v>
      </c>
      <c r="G1042" s="18">
        <f>IF(J1042=1,VLOOKUP(K1042,RPM!$E$2:$H$62,3,FALSE)-F1042-E1042-D1042,IF(J1042=2,VLOOKUP(K1042,RPM!$H$2:$K$62,3,FALSE)-F1042-E1042-D1042,IF(J1042=3,VLOOKUP(K1042,RPM!$K$2:$N$62,3,FALSE)-F1042-E1042-D1042)))</f>
        <v>1322.7515590078795</v>
      </c>
      <c r="H1042" s="19">
        <f>IF(J1042=1,Specification!$I$14,IF(J1042=2,Specification!$I$15,IF(J1042=3,Specification!$I$16)))</f>
        <v>578.93404261974786</v>
      </c>
      <c r="I1042" s="16">
        <f t="shared" si="189"/>
        <v>0</v>
      </c>
      <c r="J1042" s="17">
        <v>3</v>
      </c>
      <c r="K1042" s="16">
        <f>IF(J1042=1,VLOOKUP(B1042,RPM!$F$2:$H$62,3,TRUE),IF(J1042=2,VLOOKUP(B1042,RPM!$I$2:$K$62,3,TRUE),IF(J1042=3,VLOOKUP(B1042,RPM!$L$2:$N$62,3,TRUE))))</f>
        <v>4300</v>
      </c>
      <c r="L1042" s="17">
        <f t="shared" si="200"/>
        <v>81.897029712766908</v>
      </c>
      <c r="M1042" s="16">
        <f t="shared" si="191"/>
        <v>0.91171038944819627</v>
      </c>
      <c r="N1042" s="17">
        <f>VLOOKUP(K1042,RPM!$A$2:$D$62,3,FALSE)</f>
        <v>11.4</v>
      </c>
      <c r="O1042" s="16">
        <f>VLOOKUP(K1042,RPM!$A$2:$D$62,4,FALSE)</f>
        <v>18.894837209302327</v>
      </c>
      <c r="P1042" s="17">
        <f t="shared" si="192"/>
        <v>14.089880106976747</v>
      </c>
      <c r="Q1042" s="16" cm="1">
        <f t="array" ref="Q1042">_xlfn.XLOOKUP(O1042,BSFC!$A$2:$A$24,_xlfn.XLOOKUP(K1042,BSFC!$B$1:$O$1,BSFC!$B$2:$O$24,,-1),,-1)</f>
        <v>480</v>
      </c>
      <c r="R1042" s="17">
        <f t="shared" si="193"/>
        <v>1.8786506809302328</v>
      </c>
      <c r="S1042" s="16">
        <f t="shared" si="194"/>
        <v>2.9183485335175871E-4</v>
      </c>
      <c r="T1042" s="17">
        <f t="shared" si="197"/>
        <v>0.14008072960884418</v>
      </c>
      <c r="U1042" s="16">
        <f t="shared" si="198"/>
        <v>138.54322472886776</v>
      </c>
      <c r="V1042" s="17">
        <f t="shared" si="199"/>
        <v>0.28795694742687539</v>
      </c>
      <c r="W1042" s="16">
        <f t="shared" si="195"/>
        <v>1036645.0107367514</v>
      </c>
      <c r="X1042">
        <f>('Hybrid Info'!$A$2-Track!P1042)*(L1042-L1041)*1000+X1041</f>
        <v>-49083.165132896422</v>
      </c>
    </row>
    <row r="1043" spans="1:24">
      <c r="A1043" s="16">
        <f t="shared" si="196"/>
        <v>1042</v>
      </c>
      <c r="B1043" s="17">
        <f t="shared" si="190"/>
        <v>13.411199999999999</v>
      </c>
      <c r="C1043" s="16">
        <f>Specification!$G$29</f>
        <v>164.943378</v>
      </c>
      <c r="D1043" s="17">
        <f>0.5*Specification!$K$4*Track!B1043^2*Specification!$K$3*Specification!$K$2</f>
        <v>93.159842569492653</v>
      </c>
      <c r="E1043" s="16">
        <v>-8</v>
      </c>
      <c r="F1043" s="17">
        <f>Specification!$C$23*9.81*SIN((E1043*PI()/180))</f>
        <v>-765.1893799696079</v>
      </c>
      <c r="G1043" s="18">
        <f>IF(J1043=1,VLOOKUP(K1043,RPM!$E$2:$H$62,3,FALSE)-F1043-E1043-D1043,IF(J1043=2,VLOOKUP(K1043,RPM!$H$2:$K$62,3,FALSE)-F1043-E1043-D1043,IF(J1043=3,VLOOKUP(K1043,RPM!$K$2:$N$62,3,FALSE)-F1043-E1043-D1043)))</f>
        <v>1322.7515590078795</v>
      </c>
      <c r="H1043" s="19">
        <f>IF(J1043=1,Specification!$I$14,IF(J1043=2,Specification!$I$15,IF(J1043=3,Specification!$I$16)))</f>
        <v>578.93404261974786</v>
      </c>
      <c r="I1043" s="16">
        <f t="shared" si="189"/>
        <v>0</v>
      </c>
      <c r="J1043" s="17">
        <v>3</v>
      </c>
      <c r="K1043" s="16">
        <f>IF(J1043=1,VLOOKUP(B1043,RPM!$F$2:$H$62,3,TRUE),IF(J1043=2,VLOOKUP(B1043,RPM!$I$2:$K$62,3,TRUE),IF(J1043=3,VLOOKUP(B1043,RPM!$L$2:$N$62,3,TRUE))))</f>
        <v>4300</v>
      </c>
      <c r="L1043" s="17">
        <f t="shared" si="200"/>
        <v>81.971594255835385</v>
      </c>
      <c r="M1043" s="16">
        <f t="shared" si="191"/>
        <v>0.77116955474580484</v>
      </c>
      <c r="N1043" s="17">
        <f>VLOOKUP(K1043,RPM!$A$2:$D$62,3,FALSE)</f>
        <v>11.4</v>
      </c>
      <c r="O1043" s="16">
        <f>VLOOKUP(K1043,RPM!$A$2:$D$62,4,FALSE)</f>
        <v>18.894837209302327</v>
      </c>
      <c r="P1043" s="17">
        <f t="shared" si="192"/>
        <v>14.089880106976747</v>
      </c>
      <c r="Q1043" s="16" cm="1">
        <f t="array" ref="Q1043">_xlfn.XLOOKUP(O1043,BSFC!$A$2:$A$24,_xlfn.XLOOKUP(K1043,BSFC!$B$1:$O$1,BSFC!$B$2:$O$24,,-1),,-1)</f>
        <v>480</v>
      </c>
      <c r="R1043" s="17">
        <f t="shared" si="193"/>
        <v>1.8786506809302328</v>
      </c>
      <c r="S1043" s="16">
        <f t="shared" si="194"/>
        <v>2.9183485335175871E-4</v>
      </c>
      <c r="T1043" s="17">
        <f t="shared" si="197"/>
        <v>0.14008072960884418</v>
      </c>
      <c r="U1043" s="16">
        <f t="shared" si="198"/>
        <v>138.68330545847661</v>
      </c>
      <c r="V1043" s="17">
        <f t="shared" si="199"/>
        <v>0.28824878228022716</v>
      </c>
      <c r="W1043" s="16">
        <f t="shared" si="195"/>
        <v>1037695.6162088177</v>
      </c>
      <c r="X1043">
        <f>('Hybrid Info'!$A$2-Track!P1043)*(L1043-L1042)*1000+X1042</f>
        <v>-49230.014446245827</v>
      </c>
    </row>
    <row r="1044" spans="1:24">
      <c r="A1044" s="16">
        <f t="shared" si="196"/>
        <v>1043</v>
      </c>
      <c r="B1044" s="17">
        <f t="shared" si="190"/>
        <v>13.411199999999999</v>
      </c>
      <c r="C1044" s="16">
        <f>Specification!$G$29</f>
        <v>164.943378</v>
      </c>
      <c r="D1044" s="17">
        <f>0.5*Specification!$K$4*Track!B1044^2*Specification!$K$3*Specification!$K$2</f>
        <v>93.159842569492653</v>
      </c>
      <c r="E1044" s="16">
        <v>-8</v>
      </c>
      <c r="F1044" s="17">
        <f>Specification!$C$23*9.81*SIN((E1044*PI()/180))</f>
        <v>-765.1893799696079</v>
      </c>
      <c r="G1044" s="18">
        <f>IF(J1044=1,VLOOKUP(K1044,RPM!$E$2:$H$62,3,FALSE)-F1044-E1044-D1044,IF(J1044=2,VLOOKUP(K1044,RPM!$H$2:$K$62,3,FALSE)-F1044-E1044-D1044,IF(J1044=3,VLOOKUP(K1044,RPM!$K$2:$N$62,3,FALSE)-F1044-E1044-D1044)))</f>
        <v>1322.7515590078795</v>
      </c>
      <c r="H1044" s="19">
        <f>IF(J1044=1,Specification!$I$14,IF(J1044=2,Specification!$I$15,IF(J1044=3,Specification!$I$16)))</f>
        <v>578.93404261974786</v>
      </c>
      <c r="I1044" s="16">
        <f t="shared" si="189"/>
        <v>0</v>
      </c>
      <c r="J1044" s="17">
        <v>3</v>
      </c>
      <c r="K1044" s="16">
        <f>IF(J1044=1,VLOOKUP(B1044,RPM!$F$2:$H$62,3,TRUE),IF(J1044=2,VLOOKUP(B1044,RPM!$I$2:$K$62,3,TRUE),IF(J1044=3,VLOOKUP(B1044,RPM!$L$2:$N$62,3,TRUE))))</f>
        <v>4300</v>
      </c>
      <c r="L1044" s="17">
        <f t="shared" si="200"/>
        <v>82.046158798903861</v>
      </c>
      <c r="M1044" s="16">
        <f t="shared" si="191"/>
        <v>0.63062872004341342</v>
      </c>
      <c r="N1044" s="17">
        <f>VLOOKUP(K1044,RPM!$A$2:$D$62,3,FALSE)</f>
        <v>11.4</v>
      </c>
      <c r="O1044" s="16">
        <f>VLOOKUP(K1044,RPM!$A$2:$D$62,4,FALSE)</f>
        <v>18.894837209302327</v>
      </c>
      <c r="P1044" s="17">
        <f t="shared" si="192"/>
        <v>14.089880106976747</v>
      </c>
      <c r="Q1044" s="16" cm="1">
        <f t="array" ref="Q1044">_xlfn.XLOOKUP(O1044,BSFC!$A$2:$A$24,_xlfn.XLOOKUP(K1044,BSFC!$B$1:$O$1,BSFC!$B$2:$O$24,,-1),,-1)</f>
        <v>480</v>
      </c>
      <c r="R1044" s="17">
        <f t="shared" si="193"/>
        <v>1.8786506809302328</v>
      </c>
      <c r="S1044" s="16">
        <f t="shared" si="194"/>
        <v>2.9183485335175871E-4</v>
      </c>
      <c r="T1044" s="17">
        <f t="shared" si="197"/>
        <v>0.14008072960884418</v>
      </c>
      <c r="U1044" s="16">
        <f t="shared" si="198"/>
        <v>138.82338618808546</v>
      </c>
      <c r="V1044" s="17">
        <f t="shared" si="199"/>
        <v>0.28854061713357892</v>
      </c>
      <c r="W1044" s="16">
        <f t="shared" si="195"/>
        <v>1038746.221680884</v>
      </c>
      <c r="X1044">
        <f>('Hybrid Info'!$A$2-Track!P1044)*(L1044-L1043)*1000+X1043</f>
        <v>-49376.863759595231</v>
      </c>
    </row>
    <row r="1045" spans="1:24">
      <c r="A1045" s="16">
        <f t="shared" si="196"/>
        <v>1044</v>
      </c>
      <c r="B1045" s="17">
        <f t="shared" si="190"/>
        <v>13.411199999999999</v>
      </c>
      <c r="C1045" s="16">
        <f>Specification!$G$29</f>
        <v>164.943378</v>
      </c>
      <c r="D1045" s="17">
        <f>0.5*Specification!$K$4*Track!B1045^2*Specification!$K$3*Specification!$K$2</f>
        <v>93.159842569492653</v>
      </c>
      <c r="E1045" s="16">
        <v>-8</v>
      </c>
      <c r="F1045" s="17">
        <f>Specification!$C$23*9.81*SIN((E1045*PI()/180))</f>
        <v>-765.1893799696079</v>
      </c>
      <c r="G1045" s="18">
        <f>IF(J1045=1,VLOOKUP(K1045,RPM!$E$2:$H$62,3,FALSE)-F1045-E1045-D1045,IF(J1045=2,VLOOKUP(K1045,RPM!$H$2:$K$62,3,FALSE)-F1045-E1045-D1045,IF(J1045=3,VLOOKUP(K1045,RPM!$K$2:$N$62,3,FALSE)-F1045-E1045-D1045)))</f>
        <v>1322.7515590078795</v>
      </c>
      <c r="H1045" s="19">
        <f>IF(J1045=1,Specification!$I$14,IF(J1045=2,Specification!$I$15,IF(J1045=3,Specification!$I$16)))</f>
        <v>578.93404261974786</v>
      </c>
      <c r="I1045" s="16">
        <f t="shared" si="189"/>
        <v>0</v>
      </c>
      <c r="J1045" s="17">
        <v>3</v>
      </c>
      <c r="K1045" s="16">
        <f>IF(J1045=1,VLOOKUP(B1045,RPM!$F$2:$H$62,3,TRUE),IF(J1045=2,VLOOKUP(B1045,RPM!$I$2:$K$62,3,TRUE),IF(J1045=3,VLOOKUP(B1045,RPM!$L$2:$N$62,3,TRUE))))</f>
        <v>4300</v>
      </c>
      <c r="L1045" s="17">
        <f t="shared" si="200"/>
        <v>82.120723341972337</v>
      </c>
      <c r="M1045" s="16">
        <f t="shared" si="191"/>
        <v>0.49008788534102199</v>
      </c>
      <c r="N1045" s="17">
        <f>VLOOKUP(K1045,RPM!$A$2:$D$62,3,FALSE)</f>
        <v>11.4</v>
      </c>
      <c r="O1045" s="16">
        <f>VLOOKUP(K1045,RPM!$A$2:$D$62,4,FALSE)</f>
        <v>18.894837209302327</v>
      </c>
      <c r="P1045" s="17">
        <f t="shared" si="192"/>
        <v>14.089880106976747</v>
      </c>
      <c r="Q1045" s="16" cm="1">
        <f t="array" ref="Q1045">_xlfn.XLOOKUP(O1045,BSFC!$A$2:$A$24,_xlfn.XLOOKUP(K1045,BSFC!$B$1:$O$1,BSFC!$B$2:$O$24,,-1),,-1)</f>
        <v>480</v>
      </c>
      <c r="R1045" s="17">
        <f t="shared" si="193"/>
        <v>1.8786506809302328</v>
      </c>
      <c r="S1045" s="16">
        <f t="shared" si="194"/>
        <v>2.9183485335175871E-4</v>
      </c>
      <c r="T1045" s="17">
        <f t="shared" si="197"/>
        <v>0.14008072960884418</v>
      </c>
      <c r="U1045" s="16">
        <f t="shared" si="198"/>
        <v>138.96346691769432</v>
      </c>
      <c r="V1045" s="17">
        <f t="shared" si="199"/>
        <v>0.28883245198693069</v>
      </c>
      <c r="W1045" s="16">
        <f t="shared" si="195"/>
        <v>1039796.8271529506</v>
      </c>
      <c r="X1045">
        <f>('Hybrid Info'!$A$2-Track!P1045)*(L1045-L1044)*1000+X1044</f>
        <v>-49523.713072944636</v>
      </c>
    </row>
    <row r="1046" spans="1:24">
      <c r="A1046" s="16">
        <f t="shared" si="196"/>
        <v>1045</v>
      </c>
      <c r="B1046" s="17">
        <f t="shared" si="190"/>
        <v>13.411199999999999</v>
      </c>
      <c r="C1046" s="16">
        <f>Specification!$G$29</f>
        <v>164.943378</v>
      </c>
      <c r="D1046" s="17">
        <f>0.5*Specification!$K$4*Track!B1046^2*Specification!$K$3*Specification!$K$2</f>
        <v>93.159842569492653</v>
      </c>
      <c r="E1046" s="16">
        <v>-7</v>
      </c>
      <c r="F1046" s="17">
        <f>Specification!$C$23*9.81*SIN((E1046*PI()/180))</f>
        <v>-670.05137252956831</v>
      </c>
      <c r="G1046" s="18">
        <f>IF(J1046=1,VLOOKUP(K1046,RPM!$E$2:$H$62,3,FALSE)-F1046-E1046-D1046,IF(J1046=2,VLOOKUP(K1046,RPM!$H$2:$K$62,3,FALSE)-F1046-E1046-D1046,IF(J1046=3,VLOOKUP(K1046,RPM!$K$2:$N$62,3,FALSE)-F1046-E1046-D1046)))</f>
        <v>1226.61355156784</v>
      </c>
      <c r="H1046" s="19">
        <f>IF(J1046=1,Specification!$I$14,IF(J1046=2,Specification!$I$15,IF(J1046=3,Specification!$I$16)))</f>
        <v>578.93404261974786</v>
      </c>
      <c r="I1046" s="16">
        <f t="shared" si="189"/>
        <v>0</v>
      </c>
      <c r="J1046" s="17">
        <v>3</v>
      </c>
      <c r="K1046" s="16">
        <f>IF(J1046=1,VLOOKUP(B1046,RPM!$F$2:$H$62,3,TRUE),IF(J1046=2,VLOOKUP(B1046,RPM!$I$2:$K$62,3,TRUE),IF(J1046=3,VLOOKUP(B1046,RPM!$L$2:$N$62,3,TRUE))))</f>
        <v>4300</v>
      </c>
      <c r="L1046" s="17">
        <f t="shared" si="200"/>
        <v>82.195287885040813</v>
      </c>
      <c r="M1046" s="16">
        <f t="shared" si="191"/>
        <v>0.36730332443811742</v>
      </c>
      <c r="N1046" s="17">
        <f>VLOOKUP(K1046,RPM!$A$2:$D$62,3,FALSE)</f>
        <v>11.4</v>
      </c>
      <c r="O1046" s="16">
        <f>VLOOKUP(K1046,RPM!$A$2:$D$62,4,FALSE)</f>
        <v>18.894837209302327</v>
      </c>
      <c r="P1046" s="17">
        <f t="shared" si="192"/>
        <v>14.089880106976747</v>
      </c>
      <c r="Q1046" s="16" cm="1">
        <f t="array" ref="Q1046">_xlfn.XLOOKUP(O1046,BSFC!$A$2:$A$24,_xlfn.XLOOKUP(K1046,BSFC!$B$1:$O$1,BSFC!$B$2:$O$24,,-1),,-1)</f>
        <v>480</v>
      </c>
      <c r="R1046" s="17">
        <f t="shared" si="193"/>
        <v>1.8786506809302328</v>
      </c>
      <c r="S1046" s="16">
        <f t="shared" si="194"/>
        <v>2.9183485335175871E-4</v>
      </c>
      <c r="T1046" s="17">
        <f t="shared" si="197"/>
        <v>0.14008072960884418</v>
      </c>
      <c r="U1046" s="16">
        <f t="shared" si="198"/>
        <v>139.10354764730317</v>
      </c>
      <c r="V1046" s="17">
        <f t="shared" si="199"/>
        <v>0.28912428684028246</v>
      </c>
      <c r="W1046" s="16">
        <f t="shared" si="195"/>
        <v>1040847.4326250169</v>
      </c>
      <c r="X1046">
        <f>('Hybrid Info'!$A$2-Track!P1046)*(L1046-L1045)*1000+X1045</f>
        <v>-49670.562386294041</v>
      </c>
    </row>
    <row r="1047" spans="1:24">
      <c r="A1047" s="16">
        <f t="shared" si="196"/>
        <v>1046</v>
      </c>
      <c r="B1047" s="17">
        <f t="shared" si="190"/>
        <v>13.411199999999999</v>
      </c>
      <c r="C1047" s="16">
        <f>Specification!$G$29</f>
        <v>164.943378</v>
      </c>
      <c r="D1047" s="17">
        <f>0.5*Specification!$K$4*Track!B1047^2*Specification!$K$3*Specification!$K$2</f>
        <v>93.159842569492653</v>
      </c>
      <c r="E1047" s="16">
        <v>-6</v>
      </c>
      <c r="F1047" s="17">
        <f>Specification!$C$23*9.81*SIN((E1047*PI()/180))</f>
        <v>-574.70926095052266</v>
      </c>
      <c r="G1047" s="18">
        <f>IF(J1047=1,VLOOKUP(K1047,RPM!$E$2:$H$62,3,FALSE)-F1047-E1047-D1047,IF(J1047=2,VLOOKUP(K1047,RPM!$H$2:$K$62,3,FALSE)-F1047-E1047-D1047,IF(J1047=3,VLOOKUP(K1047,RPM!$K$2:$N$62,3,FALSE)-F1047-E1047-D1047)))</f>
        <v>1130.2714399887943</v>
      </c>
      <c r="H1047" s="19">
        <f>IF(J1047=1,Specification!$I$14,IF(J1047=2,Specification!$I$15,IF(J1047=3,Specification!$I$16)))</f>
        <v>578.93404261974786</v>
      </c>
      <c r="I1047" s="16">
        <f t="shared" si="189"/>
        <v>0</v>
      </c>
      <c r="J1047" s="17">
        <v>3</v>
      </c>
      <c r="K1047" s="16">
        <f>IF(J1047=1,VLOOKUP(B1047,RPM!$F$2:$H$62,3,TRUE),IF(J1047=2,VLOOKUP(B1047,RPM!$I$2:$K$62,3,TRUE),IF(J1047=3,VLOOKUP(B1047,RPM!$L$2:$N$62,3,TRUE))))</f>
        <v>4300</v>
      </c>
      <c r="L1047" s="17">
        <f t="shared" si="200"/>
        <v>82.269852428109289</v>
      </c>
      <c r="M1047" s="16">
        <f t="shared" si="191"/>
        <v>0.26219908917244095</v>
      </c>
      <c r="N1047" s="17">
        <f>VLOOKUP(K1047,RPM!$A$2:$D$62,3,FALSE)</f>
        <v>11.4</v>
      </c>
      <c r="O1047" s="16">
        <f>VLOOKUP(K1047,RPM!$A$2:$D$62,4,FALSE)</f>
        <v>18.894837209302327</v>
      </c>
      <c r="P1047" s="17">
        <f t="shared" si="192"/>
        <v>14.089880106976747</v>
      </c>
      <c r="Q1047" s="16" cm="1">
        <f t="array" ref="Q1047">_xlfn.XLOOKUP(O1047,BSFC!$A$2:$A$24,_xlfn.XLOOKUP(K1047,BSFC!$B$1:$O$1,BSFC!$B$2:$O$24,,-1),,-1)</f>
        <v>480</v>
      </c>
      <c r="R1047" s="17">
        <f t="shared" si="193"/>
        <v>1.8786506809302328</v>
      </c>
      <c r="S1047" s="16">
        <f t="shared" si="194"/>
        <v>2.9183485335175871E-4</v>
      </c>
      <c r="T1047" s="17">
        <f t="shared" si="197"/>
        <v>0.14008072960884418</v>
      </c>
      <c r="U1047" s="16">
        <f t="shared" si="198"/>
        <v>139.24362837691203</v>
      </c>
      <c r="V1047" s="17">
        <f t="shared" si="199"/>
        <v>0.28941612169363423</v>
      </c>
      <c r="W1047" s="16">
        <f t="shared" si="195"/>
        <v>1041898.0380970832</v>
      </c>
      <c r="X1047">
        <f>('Hybrid Info'!$A$2-Track!P1047)*(L1047-L1046)*1000+X1046</f>
        <v>-49817.411699643446</v>
      </c>
    </row>
    <row r="1048" spans="1:24">
      <c r="A1048" s="16">
        <f t="shared" si="196"/>
        <v>1047</v>
      </c>
      <c r="B1048" s="17">
        <f t="shared" si="190"/>
        <v>13.411199999999999</v>
      </c>
      <c r="C1048" s="16">
        <f>Specification!$G$29</f>
        <v>164.943378</v>
      </c>
      <c r="D1048" s="17">
        <f>0.5*Specification!$K$4*Track!B1048^2*Specification!$K$3*Specification!$K$2</f>
        <v>93.159842569492653</v>
      </c>
      <c r="E1048" s="16">
        <v>-5</v>
      </c>
      <c r="F1048" s="17">
        <f>Specification!$C$23*9.81*SIN((E1048*PI()/180))</f>
        <v>-479.192087363258</v>
      </c>
      <c r="G1048" s="18">
        <f>IF(J1048=1,VLOOKUP(K1048,RPM!$E$2:$H$62,3,FALSE)-F1048-E1048-D1048,IF(J1048=2,VLOOKUP(K1048,RPM!$H$2:$K$62,3,FALSE)-F1048-E1048-D1048,IF(J1048=3,VLOOKUP(K1048,RPM!$K$2:$N$62,3,FALSE)-F1048-E1048-D1048)))</f>
        <v>1033.7542664015295</v>
      </c>
      <c r="H1048" s="19">
        <f>IF(J1048=1,Specification!$I$14,IF(J1048=2,Specification!$I$15,IF(J1048=3,Specification!$I$16)))</f>
        <v>578.93404261974786</v>
      </c>
      <c r="I1048" s="16">
        <f t="shared" si="189"/>
        <v>0</v>
      </c>
      <c r="J1048" s="17">
        <v>3</v>
      </c>
      <c r="K1048" s="16">
        <f>IF(J1048=1,VLOOKUP(B1048,RPM!$F$2:$H$62,3,TRUE),IF(J1048=2,VLOOKUP(B1048,RPM!$I$2:$K$62,3,TRUE),IF(J1048=3,VLOOKUP(B1048,RPM!$L$2:$N$62,3,TRUE))))</f>
        <v>4300</v>
      </c>
      <c r="L1048" s="17">
        <f t="shared" si="200"/>
        <v>82.344416971177765</v>
      </c>
      <c r="M1048" s="16">
        <f t="shared" si="191"/>
        <v>0.17471042564651695</v>
      </c>
      <c r="N1048" s="17">
        <f>VLOOKUP(K1048,RPM!$A$2:$D$62,3,FALSE)</f>
        <v>11.4</v>
      </c>
      <c r="O1048" s="16">
        <f>VLOOKUP(K1048,RPM!$A$2:$D$62,4,FALSE)</f>
        <v>18.894837209302327</v>
      </c>
      <c r="P1048" s="17">
        <f t="shared" si="192"/>
        <v>14.089880106976747</v>
      </c>
      <c r="Q1048" s="16" cm="1">
        <f t="array" ref="Q1048">_xlfn.XLOOKUP(O1048,BSFC!$A$2:$A$24,_xlfn.XLOOKUP(K1048,BSFC!$B$1:$O$1,BSFC!$B$2:$O$24,,-1),,-1)</f>
        <v>480</v>
      </c>
      <c r="R1048" s="17">
        <f t="shared" si="193"/>
        <v>1.8786506809302328</v>
      </c>
      <c r="S1048" s="16">
        <f t="shared" si="194"/>
        <v>2.9183485335175871E-4</v>
      </c>
      <c r="T1048" s="17">
        <f t="shared" si="197"/>
        <v>0.14008072960884418</v>
      </c>
      <c r="U1048" s="16">
        <f t="shared" si="198"/>
        <v>139.38370910652088</v>
      </c>
      <c r="V1048" s="17">
        <f t="shared" si="199"/>
        <v>0.289707956546986</v>
      </c>
      <c r="W1048" s="16">
        <f t="shared" si="195"/>
        <v>1042948.6435691495</v>
      </c>
      <c r="X1048">
        <f>('Hybrid Info'!$A$2-Track!P1048)*(L1048-L1047)*1000+X1047</f>
        <v>-49964.261012992851</v>
      </c>
    </row>
    <row r="1049" spans="1:24">
      <c r="A1049" s="16">
        <f t="shared" si="196"/>
        <v>1048</v>
      </c>
      <c r="B1049" s="17">
        <f t="shared" si="190"/>
        <v>13.411199999999999</v>
      </c>
      <c r="C1049" s="16">
        <f>Specification!$G$29</f>
        <v>164.943378</v>
      </c>
      <c r="D1049" s="17">
        <f>0.5*Specification!$K$4*Track!B1049^2*Specification!$K$3*Specification!$K$2</f>
        <v>93.159842569492653</v>
      </c>
      <c r="E1049" s="16">
        <v>-4</v>
      </c>
      <c r="F1049" s="17">
        <f>Specification!$C$23*9.81*SIN((E1049*PI()/180))</f>
        <v>-383.52894722414453</v>
      </c>
      <c r="G1049" s="18">
        <f>IF(J1049=1,VLOOKUP(K1049,RPM!$E$2:$H$62,3,FALSE)-F1049-E1049-D1049,IF(J1049=2,VLOOKUP(K1049,RPM!$H$2:$K$62,3,FALSE)-F1049-E1049-D1049,IF(J1049=3,VLOOKUP(K1049,RPM!$K$2:$N$62,3,FALSE)-F1049-E1049-D1049)))</f>
        <v>937.09112626241608</v>
      </c>
      <c r="H1049" s="19">
        <f>IF(J1049=1,Specification!$I$14,IF(J1049=2,Specification!$I$15,IF(J1049=3,Specification!$I$16)))</f>
        <v>578.93404261974786</v>
      </c>
      <c r="I1049" s="16">
        <f t="shared" si="189"/>
        <v>0</v>
      </c>
      <c r="J1049" s="17">
        <v>3</v>
      </c>
      <c r="K1049" s="16">
        <f>IF(J1049=1,VLOOKUP(B1049,RPM!$F$2:$H$62,3,TRUE),IF(J1049=2,VLOOKUP(B1049,RPM!$I$2:$K$62,3,TRUE),IF(J1049=3,VLOOKUP(B1049,RPM!$L$2:$N$62,3,TRUE))))</f>
        <v>4300</v>
      </c>
      <c r="L1049" s="17">
        <f t="shared" si="200"/>
        <v>82.418981514246241</v>
      </c>
      <c r="M1049" s="16">
        <f t="shared" si="191"/>
        <v>0.10478361370300654</v>
      </c>
      <c r="N1049" s="17">
        <f>VLOOKUP(K1049,RPM!$A$2:$D$62,3,FALSE)</f>
        <v>11.4</v>
      </c>
      <c r="O1049" s="16">
        <f>VLOOKUP(K1049,RPM!$A$2:$D$62,4,FALSE)</f>
        <v>18.894837209302327</v>
      </c>
      <c r="P1049" s="17">
        <f t="shared" si="192"/>
        <v>14.089880106976747</v>
      </c>
      <c r="Q1049" s="16" cm="1">
        <f t="array" ref="Q1049">_xlfn.XLOOKUP(O1049,BSFC!$A$2:$A$24,_xlfn.XLOOKUP(K1049,BSFC!$B$1:$O$1,BSFC!$B$2:$O$24,,-1),,-1)</f>
        <v>480</v>
      </c>
      <c r="R1049" s="17">
        <f t="shared" si="193"/>
        <v>1.8786506809302328</v>
      </c>
      <c r="S1049" s="16">
        <f t="shared" si="194"/>
        <v>2.9183485335175871E-4</v>
      </c>
      <c r="T1049" s="17">
        <f t="shared" si="197"/>
        <v>0.14008072960884418</v>
      </c>
      <c r="U1049" s="16">
        <f t="shared" si="198"/>
        <v>139.52378983612974</v>
      </c>
      <c r="V1049" s="17">
        <f t="shared" si="199"/>
        <v>0.28999979140033777</v>
      </c>
      <c r="W1049" s="16">
        <f t="shared" si="195"/>
        <v>1043999.2490412159</v>
      </c>
      <c r="X1049">
        <f>('Hybrid Info'!$A$2-Track!P1049)*(L1049-L1048)*1000+X1048</f>
        <v>-50111.110326342256</v>
      </c>
    </row>
    <row r="1050" spans="1:24">
      <c r="A1050" s="16">
        <f t="shared" si="196"/>
        <v>1049</v>
      </c>
      <c r="B1050" s="17">
        <f t="shared" si="190"/>
        <v>13.411199999999999</v>
      </c>
      <c r="C1050" s="16">
        <f>Specification!$G$29</f>
        <v>164.943378</v>
      </c>
      <c r="D1050" s="17">
        <f>0.5*Specification!$K$4*Track!B1050^2*Specification!$K$3*Specification!$K$2</f>
        <v>93.159842569492653</v>
      </c>
      <c r="E1050" s="16">
        <v>-3</v>
      </c>
      <c r="F1050" s="17">
        <f>Specification!$C$23*9.81*SIN((E1050*PI()/180))</f>
        <v>-287.74898045237813</v>
      </c>
      <c r="G1050" s="18">
        <f>IF(J1050=1,VLOOKUP(K1050,RPM!$E$2:$H$62,3,FALSE)-F1050-E1050-D1050,IF(J1050=2,VLOOKUP(K1050,RPM!$H$2:$K$62,3,FALSE)-F1050-E1050-D1050,IF(J1050=3,VLOOKUP(K1050,RPM!$K$2:$N$62,3,FALSE)-F1050-E1050-D1050)))</f>
        <v>840.31115949064974</v>
      </c>
      <c r="H1050" s="19">
        <f>IF(J1050=1,Specification!$I$14,IF(J1050=2,Specification!$I$15,IF(J1050=3,Specification!$I$16)))</f>
        <v>578.93404261974786</v>
      </c>
      <c r="I1050" s="16">
        <f t="shared" si="189"/>
        <v>0</v>
      </c>
      <c r="J1050" s="17">
        <v>3</v>
      </c>
      <c r="K1050" s="16">
        <f>IF(J1050=1,VLOOKUP(B1050,RPM!$F$2:$H$62,3,TRUE),IF(J1050=2,VLOOKUP(B1050,RPM!$I$2:$K$62,3,TRUE),IF(J1050=3,VLOOKUP(B1050,RPM!$L$2:$N$62,3,TRUE))))</f>
        <v>4300</v>
      </c>
      <c r="L1050" s="17">
        <f t="shared" si="200"/>
        <v>82.493546057314717</v>
      </c>
      <c r="M1050" s="16">
        <f t="shared" si="191"/>
        <v>5.2375834419965343E-2</v>
      </c>
      <c r="N1050" s="17">
        <f>VLOOKUP(K1050,RPM!$A$2:$D$62,3,FALSE)</f>
        <v>11.4</v>
      </c>
      <c r="O1050" s="16">
        <f>VLOOKUP(K1050,RPM!$A$2:$D$62,4,FALSE)</f>
        <v>18.894837209302327</v>
      </c>
      <c r="P1050" s="17">
        <f t="shared" si="192"/>
        <v>14.089880106976747</v>
      </c>
      <c r="Q1050" s="16" cm="1">
        <f t="array" ref="Q1050">_xlfn.XLOOKUP(O1050,BSFC!$A$2:$A$24,_xlfn.XLOOKUP(K1050,BSFC!$B$1:$O$1,BSFC!$B$2:$O$24,,-1),,-1)</f>
        <v>480</v>
      </c>
      <c r="R1050" s="17">
        <f t="shared" si="193"/>
        <v>1.8786506809302328</v>
      </c>
      <c r="S1050" s="16">
        <f t="shared" si="194"/>
        <v>2.9183485335175871E-4</v>
      </c>
      <c r="T1050" s="17">
        <f t="shared" si="197"/>
        <v>0.14008072960884418</v>
      </c>
      <c r="U1050" s="16">
        <f t="shared" si="198"/>
        <v>139.66387056573859</v>
      </c>
      <c r="V1050" s="17">
        <f t="shared" si="199"/>
        <v>0.29029162625368954</v>
      </c>
      <c r="W1050" s="16">
        <f t="shared" si="195"/>
        <v>1045049.8545132823</v>
      </c>
      <c r="X1050">
        <f>('Hybrid Info'!$A$2-Track!P1050)*(L1050-L1049)*1000+X1049</f>
        <v>-50257.95963969166</v>
      </c>
    </row>
    <row r="1051" spans="1:24">
      <c r="A1051" s="16">
        <f t="shared" si="196"/>
        <v>1050</v>
      </c>
      <c r="B1051" s="17">
        <f t="shared" si="190"/>
        <v>13.411199999999999</v>
      </c>
      <c r="C1051" s="16">
        <f>Specification!$G$29</f>
        <v>164.943378</v>
      </c>
      <c r="D1051" s="17">
        <f>0.5*Specification!$K$4*Track!B1051^2*Specification!$K$3*Specification!$K$2</f>
        <v>93.159842569492653</v>
      </c>
      <c r="E1051" s="16">
        <v>-2</v>
      </c>
      <c r="F1051" s="17">
        <f>Specification!$C$23*9.81*SIN((E1051*PI()/180))</f>
        <v>-191.88136255367905</v>
      </c>
      <c r="G1051" s="18">
        <f>IF(J1051=1,VLOOKUP(K1051,RPM!$E$2:$H$62,3,FALSE)-F1051-E1051-D1051,IF(J1051=2,VLOOKUP(K1051,RPM!$H$2:$K$62,3,FALSE)-F1051-E1051-D1051,IF(J1051=3,VLOOKUP(K1051,RPM!$K$2:$N$62,3,FALSE)-F1051-E1051-D1051)))</f>
        <v>743.44354159195063</v>
      </c>
      <c r="H1051" s="19">
        <f>IF(J1051=1,Specification!$I$14,IF(J1051=2,Specification!$I$15,IF(J1051=3,Specification!$I$16)))</f>
        <v>578.93404261974786</v>
      </c>
      <c r="I1051" s="16">
        <f t="shared" si="189"/>
        <v>0</v>
      </c>
      <c r="J1051" s="17">
        <v>3</v>
      </c>
      <c r="K1051" s="16">
        <f>IF(J1051=1,VLOOKUP(B1051,RPM!$F$2:$H$62,3,TRUE),IF(J1051=2,VLOOKUP(B1051,RPM!$I$2:$K$62,3,TRUE),IF(J1051=3,VLOOKUP(B1051,RPM!$L$2:$N$62,3,TRUE))))</f>
        <v>4300</v>
      </c>
      <c r="L1051" s="17">
        <f t="shared" si="200"/>
        <v>82.568110600383193</v>
      </c>
      <c r="M1051" s="16">
        <f t="shared" si="191"/>
        <v>1.7455064928217613E-2</v>
      </c>
      <c r="N1051" s="17">
        <f>VLOOKUP(K1051,RPM!$A$2:$D$62,3,FALSE)</f>
        <v>11.4</v>
      </c>
      <c r="O1051" s="16">
        <f>VLOOKUP(K1051,RPM!$A$2:$D$62,4,FALSE)</f>
        <v>18.894837209302327</v>
      </c>
      <c r="P1051" s="17">
        <f t="shared" si="192"/>
        <v>14.089880106976747</v>
      </c>
      <c r="Q1051" s="16" cm="1">
        <f t="array" ref="Q1051">_xlfn.XLOOKUP(O1051,BSFC!$A$2:$A$24,_xlfn.XLOOKUP(K1051,BSFC!$B$1:$O$1,BSFC!$B$2:$O$24,,-1),,-1)</f>
        <v>480</v>
      </c>
      <c r="R1051" s="17">
        <f t="shared" si="193"/>
        <v>1.8786506809302328</v>
      </c>
      <c r="S1051" s="16">
        <f t="shared" si="194"/>
        <v>2.9183485335175871E-4</v>
      </c>
      <c r="T1051" s="17">
        <f t="shared" si="197"/>
        <v>0.14008072960884418</v>
      </c>
      <c r="U1051" s="16">
        <f t="shared" si="198"/>
        <v>139.80395129534745</v>
      </c>
      <c r="V1051" s="17">
        <f t="shared" si="199"/>
        <v>0.29058346110704131</v>
      </c>
      <c r="W1051" s="16">
        <f t="shared" si="195"/>
        <v>1046100.4599853487</v>
      </c>
      <c r="X1051">
        <f>('Hybrid Info'!$A$2-Track!P1051)*(L1051-L1050)*1000+X1050</f>
        <v>-50404.808953041065</v>
      </c>
    </row>
    <row r="1052" spans="1:24">
      <c r="A1052" s="16">
        <f t="shared" si="196"/>
        <v>1051</v>
      </c>
      <c r="B1052" s="17">
        <f t="shared" si="190"/>
        <v>13.411199999999999</v>
      </c>
      <c r="C1052" s="16">
        <f>Specification!$G$29</f>
        <v>164.943378</v>
      </c>
      <c r="D1052" s="17">
        <f>0.5*Specification!$K$4*Track!B1052^2*Specification!$K$3*Specification!$K$2</f>
        <v>93.159842569492653</v>
      </c>
      <c r="E1052" s="16">
        <v>-1</v>
      </c>
      <c r="F1052" s="17">
        <f>Specification!$C$23*9.81*SIN((E1052*PI()/180))</f>
        <v>-95.955295733149597</v>
      </c>
      <c r="G1052" s="18">
        <f>IF(J1052=1,VLOOKUP(K1052,RPM!$E$2:$H$62,3,FALSE)-F1052-E1052-D1052,IF(J1052=2,VLOOKUP(K1052,RPM!$H$2:$K$62,3,FALSE)-F1052-E1052-D1052,IF(J1052=3,VLOOKUP(K1052,RPM!$K$2:$N$62,3,FALSE)-F1052-E1052-D1052)))</f>
        <v>646.51747477142112</v>
      </c>
      <c r="H1052" s="19">
        <f>IF(J1052=1,Specification!$I$14,IF(J1052=2,Specification!$I$15,IF(J1052=3,Specification!$I$16)))</f>
        <v>578.93404261974786</v>
      </c>
      <c r="I1052" s="16">
        <f t="shared" si="189"/>
        <v>0</v>
      </c>
      <c r="J1052" s="17">
        <v>3</v>
      </c>
      <c r="K1052" s="16">
        <f>IF(J1052=1,VLOOKUP(B1052,RPM!$F$2:$H$62,3,TRUE),IF(J1052=2,VLOOKUP(B1052,RPM!$I$2:$K$62,3,TRUE),IF(J1052=3,VLOOKUP(B1052,RPM!$L$2:$N$62,3,TRUE))))</f>
        <v>4300</v>
      </c>
      <c r="L1052" s="17">
        <f t="shared" si="200"/>
        <v>82.642675143451669</v>
      </c>
      <c r="M1052" s="16">
        <v>0</v>
      </c>
      <c r="N1052" s="17">
        <f>VLOOKUP(K1052,RPM!$A$2:$D$62,3,FALSE)</f>
        <v>11.4</v>
      </c>
      <c r="O1052" s="16">
        <f>VLOOKUP(K1052,RPM!$A$2:$D$62,4,FALSE)</f>
        <v>18.894837209302327</v>
      </c>
      <c r="P1052" s="17">
        <f t="shared" si="192"/>
        <v>14.089880106976747</v>
      </c>
      <c r="Q1052" s="16" cm="1">
        <f t="array" ref="Q1052">_xlfn.XLOOKUP(O1052,BSFC!$A$2:$A$24,_xlfn.XLOOKUP(K1052,BSFC!$B$1:$O$1,BSFC!$B$2:$O$24,,-1),,-1)</f>
        <v>480</v>
      </c>
      <c r="R1052" s="17">
        <f t="shared" si="193"/>
        <v>1.8786506809302328</v>
      </c>
      <c r="S1052" s="16">
        <f t="shared" si="194"/>
        <v>2.9183485335175871E-4</v>
      </c>
      <c r="T1052" s="17">
        <f t="shared" si="197"/>
        <v>0.14008072960884418</v>
      </c>
      <c r="U1052" s="16">
        <f t="shared" si="198"/>
        <v>139.9440320249563</v>
      </c>
      <c r="V1052" s="17">
        <f t="shared" si="199"/>
        <v>0.29087529596039308</v>
      </c>
      <c r="W1052" s="16">
        <f t="shared" si="195"/>
        <v>1047151.0654574151</v>
      </c>
      <c r="X1052">
        <f>('Hybrid Info'!$A$2-Track!P1052)*(L1052-L1051)*1000+X1051</f>
        <v>-50551.65826639047</v>
      </c>
    </row>
    <row r="1053" spans="1:24">
      <c r="A1053" s="16">
        <f t="shared" si="196"/>
        <v>1052</v>
      </c>
      <c r="B1053" s="17">
        <f t="shared" si="190"/>
        <v>13.411199999999999</v>
      </c>
      <c r="C1053" s="16">
        <f>Specification!$G$29</f>
        <v>164.943378</v>
      </c>
      <c r="D1053" s="17">
        <f>0.5*Specification!$K$4*Track!B1053^2*Specification!$K$3*Specification!$K$2</f>
        <v>93.159842569492653</v>
      </c>
      <c r="E1053" s="16">
        <v>0</v>
      </c>
      <c r="F1053" s="17">
        <f>Specification!$C$23*9.81*SIN((E1053*PI()/180))</f>
        <v>0</v>
      </c>
      <c r="G1053" s="18">
        <f>IF(J1053=1,VLOOKUP(K1053,RPM!$E$2:$H$62,3,FALSE)-F1053-E1053-D1053,IF(J1053=2,VLOOKUP(K1053,RPM!$H$2:$K$62,3,FALSE)-F1053-E1053-D1053,IF(J1053=3,VLOOKUP(K1053,RPM!$K$2:$N$62,3,FALSE)-F1053-E1053-D1053)))</f>
        <v>549.56217903827155</v>
      </c>
      <c r="H1053" s="19">
        <f>IF(J1053=1,Specification!$I$14,IF(J1053=2,Specification!$I$15,IF(J1053=3,Specification!$I$16)))</f>
        <v>578.93404261974786</v>
      </c>
      <c r="I1053" s="16">
        <f t="shared" si="189"/>
        <v>0</v>
      </c>
      <c r="J1053" s="17">
        <v>3</v>
      </c>
      <c r="K1053" s="16">
        <f>IF(J1053=1,VLOOKUP(B1053,RPM!$F$2:$H$62,3,TRUE),IF(J1053=2,VLOOKUP(B1053,RPM!$I$2:$K$62,3,TRUE),IF(J1053=3,VLOOKUP(B1053,RPM!$L$2:$N$62,3,TRUE))))</f>
        <v>4300</v>
      </c>
      <c r="L1053" s="17">
        <f t="shared" si="200"/>
        <v>82.717239686520145</v>
      </c>
      <c r="M1053" s="16">
        <f t="shared" si="191"/>
        <v>0</v>
      </c>
      <c r="N1053" s="17">
        <f>VLOOKUP(K1053,RPM!$A$2:$D$62,3,FALSE)</f>
        <v>11.4</v>
      </c>
      <c r="O1053" s="16">
        <f>VLOOKUP(K1053,RPM!$A$2:$D$62,4,FALSE)</f>
        <v>18.894837209302327</v>
      </c>
      <c r="P1053" s="17">
        <f t="shared" si="192"/>
        <v>14.089880106976747</v>
      </c>
      <c r="Q1053" s="16" cm="1">
        <f t="array" ref="Q1053">_xlfn.XLOOKUP(O1053,BSFC!$A$2:$A$24,_xlfn.XLOOKUP(K1053,BSFC!$B$1:$O$1,BSFC!$B$2:$O$24,,-1),,-1)</f>
        <v>480</v>
      </c>
      <c r="R1053" s="17">
        <f t="shared" si="193"/>
        <v>1.8786506809302328</v>
      </c>
      <c r="S1053" s="16">
        <f t="shared" si="194"/>
        <v>2.9183485335175871E-4</v>
      </c>
      <c r="T1053" s="17">
        <f t="shared" si="197"/>
        <v>0.14008072960884418</v>
      </c>
      <c r="U1053" s="16">
        <f t="shared" si="198"/>
        <v>140.08411275456515</v>
      </c>
      <c r="V1053" s="17">
        <f t="shared" si="199"/>
        <v>0.29116713081374485</v>
      </c>
      <c r="W1053" s="16">
        <f t="shared" si="195"/>
        <v>1048201.6709294815</v>
      </c>
      <c r="X1053">
        <f>('Hybrid Info'!$A$2-Track!P1053)*(L1053-L1052)*1000+X1052</f>
        <v>-50698.507579739875</v>
      </c>
    </row>
    <row r="1054" spans="1:24">
      <c r="A1054" s="16">
        <f t="shared" si="196"/>
        <v>1053</v>
      </c>
      <c r="B1054" s="17">
        <f t="shared" si="190"/>
        <v>13.411199999999999</v>
      </c>
      <c r="C1054" s="16">
        <f>Specification!$G$29</f>
        <v>164.943378</v>
      </c>
      <c r="D1054" s="17">
        <f>0.5*Specification!$K$4*Track!B1054^2*Specification!$K$3*Specification!$K$2</f>
        <v>93.159842569492653</v>
      </c>
      <c r="E1054" s="16">
        <v>0</v>
      </c>
      <c r="F1054" s="17">
        <f>Specification!$C$23*9.81*SIN((E1054*PI()/180))</f>
        <v>0</v>
      </c>
      <c r="G1054" s="18">
        <f>IF(J1054=1,VLOOKUP(K1054,RPM!$E$2:$H$62,3,FALSE)-F1054-E1054-D1054,IF(J1054=2,VLOOKUP(K1054,RPM!$H$2:$K$62,3,FALSE)-F1054-E1054-D1054,IF(J1054=3,VLOOKUP(K1054,RPM!$K$2:$N$62,3,FALSE)-F1054-E1054-D1054)))</f>
        <v>549.56217903827155</v>
      </c>
      <c r="H1054" s="19">
        <f>IF(J1054=1,Specification!$I$14,IF(J1054=2,Specification!$I$15,IF(J1054=3,Specification!$I$16)))</f>
        <v>578.93404261974786</v>
      </c>
      <c r="I1054" s="16">
        <f t="shared" si="189"/>
        <v>0</v>
      </c>
      <c r="J1054" s="17">
        <v>3</v>
      </c>
      <c r="K1054" s="16">
        <f>IF(J1054=1,VLOOKUP(B1054,RPM!$F$2:$H$62,3,TRUE),IF(J1054=2,VLOOKUP(B1054,RPM!$I$2:$K$62,3,TRUE),IF(J1054=3,VLOOKUP(B1054,RPM!$L$2:$N$62,3,TRUE))))</f>
        <v>4300</v>
      </c>
      <c r="L1054" s="17">
        <f t="shared" si="200"/>
        <v>82.791804229588621</v>
      </c>
      <c r="M1054" s="16">
        <f t="shared" si="191"/>
        <v>0</v>
      </c>
      <c r="N1054" s="17">
        <f>VLOOKUP(K1054,RPM!$A$2:$D$62,3,FALSE)</f>
        <v>11.4</v>
      </c>
      <c r="O1054" s="16">
        <f>VLOOKUP(K1054,RPM!$A$2:$D$62,4,FALSE)</f>
        <v>18.894837209302327</v>
      </c>
      <c r="P1054" s="17">
        <f t="shared" si="192"/>
        <v>14.089880106976747</v>
      </c>
      <c r="Q1054" s="16" cm="1">
        <f t="array" ref="Q1054">_xlfn.XLOOKUP(O1054,BSFC!$A$2:$A$24,_xlfn.XLOOKUP(K1054,BSFC!$B$1:$O$1,BSFC!$B$2:$O$24,,-1),,-1)</f>
        <v>480</v>
      </c>
      <c r="R1054" s="17">
        <f t="shared" si="193"/>
        <v>1.8786506809302328</v>
      </c>
      <c r="S1054" s="16">
        <f t="shared" si="194"/>
        <v>2.9183485335175871E-4</v>
      </c>
      <c r="T1054" s="17">
        <f t="shared" si="197"/>
        <v>0.14008072960884418</v>
      </c>
      <c r="U1054" s="16">
        <f t="shared" si="198"/>
        <v>140.22419348417401</v>
      </c>
      <c r="V1054" s="17">
        <f t="shared" si="199"/>
        <v>0.29145896566709661</v>
      </c>
      <c r="W1054" s="16">
        <f t="shared" si="195"/>
        <v>1049252.2764015477</v>
      </c>
      <c r="X1054">
        <f>('Hybrid Info'!$A$2-Track!P1054)*(L1054-L1053)*1000+X1053</f>
        <v>-50845.35689308928</v>
      </c>
    </row>
    <row r="1055" spans="1:24">
      <c r="A1055" s="16">
        <f t="shared" si="196"/>
        <v>1054</v>
      </c>
      <c r="B1055" s="17">
        <f t="shared" si="190"/>
        <v>13.411199999999999</v>
      </c>
      <c r="C1055" s="16">
        <f>Specification!$G$29</f>
        <v>164.943378</v>
      </c>
      <c r="D1055" s="17">
        <f>0.5*Specification!$K$4*Track!B1055^2*Specification!$K$3*Specification!$K$2</f>
        <v>93.159842569492653</v>
      </c>
      <c r="E1055" s="16">
        <v>0</v>
      </c>
      <c r="F1055" s="17">
        <f>Specification!$C$23*9.81*SIN((E1055*PI()/180))</f>
        <v>0</v>
      </c>
      <c r="G1055" s="18">
        <f>IF(J1055=1,VLOOKUP(K1055,RPM!$E$2:$H$62,3,FALSE)-F1055-E1055-D1055,IF(J1055=2,VLOOKUP(K1055,RPM!$H$2:$K$62,3,FALSE)-F1055-E1055-D1055,IF(J1055=3,VLOOKUP(K1055,RPM!$K$2:$N$62,3,FALSE)-F1055-E1055-D1055)))</f>
        <v>549.56217903827155</v>
      </c>
      <c r="H1055" s="19">
        <f>IF(J1055=1,Specification!$I$14,IF(J1055=2,Specification!$I$15,IF(J1055=3,Specification!$I$16)))</f>
        <v>578.93404261974786</v>
      </c>
      <c r="I1055" s="16">
        <f t="shared" si="189"/>
        <v>0</v>
      </c>
      <c r="J1055" s="17">
        <v>3</v>
      </c>
      <c r="K1055" s="16">
        <f>IF(J1055=1,VLOOKUP(B1055,RPM!$F$2:$H$62,3,TRUE),IF(J1055=2,VLOOKUP(B1055,RPM!$I$2:$K$62,3,TRUE),IF(J1055=3,VLOOKUP(B1055,RPM!$L$2:$N$62,3,TRUE))))</f>
        <v>4300</v>
      </c>
      <c r="L1055" s="17">
        <f t="shared" si="200"/>
        <v>82.866368772657097</v>
      </c>
      <c r="M1055" s="16">
        <f t="shared" si="191"/>
        <v>0</v>
      </c>
      <c r="N1055" s="17">
        <f>VLOOKUP(K1055,RPM!$A$2:$D$62,3,FALSE)</f>
        <v>11.4</v>
      </c>
      <c r="O1055" s="16">
        <f>VLOOKUP(K1055,RPM!$A$2:$D$62,4,FALSE)</f>
        <v>18.894837209302327</v>
      </c>
      <c r="P1055" s="17">
        <f t="shared" si="192"/>
        <v>14.089880106976747</v>
      </c>
      <c r="Q1055" s="16" cm="1">
        <f t="array" ref="Q1055">_xlfn.XLOOKUP(O1055,BSFC!$A$2:$A$24,_xlfn.XLOOKUP(K1055,BSFC!$B$1:$O$1,BSFC!$B$2:$O$24,,-1),,-1)</f>
        <v>480</v>
      </c>
      <c r="R1055" s="17">
        <f t="shared" si="193"/>
        <v>1.8786506809302328</v>
      </c>
      <c r="S1055" s="16">
        <f t="shared" si="194"/>
        <v>2.9183485335175871E-4</v>
      </c>
      <c r="T1055" s="17">
        <f t="shared" si="197"/>
        <v>0.14008072960884418</v>
      </c>
      <c r="U1055" s="16">
        <f t="shared" si="198"/>
        <v>140.36427421378286</v>
      </c>
      <c r="V1055" s="17">
        <f t="shared" si="199"/>
        <v>0.29175080052044838</v>
      </c>
      <c r="W1055" s="16">
        <f t="shared" si="195"/>
        <v>1050302.8818736142</v>
      </c>
      <c r="X1055">
        <f>('Hybrid Info'!$A$2-Track!P1055)*(L1055-L1054)*1000+X1054</f>
        <v>-50992.206206438685</v>
      </c>
    </row>
    <row r="1056" spans="1:24">
      <c r="A1056" s="16">
        <f t="shared" si="196"/>
        <v>1055</v>
      </c>
      <c r="B1056" s="17">
        <f t="shared" si="190"/>
        <v>13.411199999999999</v>
      </c>
      <c r="C1056" s="16">
        <f>Specification!$G$29</f>
        <v>164.943378</v>
      </c>
      <c r="D1056" s="17">
        <f>0.5*Specification!$K$4*Track!B1056^2*Specification!$K$3*Specification!$K$2</f>
        <v>93.159842569492653</v>
      </c>
      <c r="E1056" s="16">
        <v>0</v>
      </c>
      <c r="F1056" s="17">
        <f>Specification!$C$23*9.81*SIN((E1056*PI()/180))</f>
        <v>0</v>
      </c>
      <c r="G1056" s="18">
        <f>IF(J1056=1,VLOOKUP(K1056,RPM!$E$2:$H$62,3,FALSE)-F1056-E1056-D1056,IF(J1056=2,VLOOKUP(K1056,RPM!$H$2:$K$62,3,FALSE)-F1056-E1056-D1056,IF(J1056=3,VLOOKUP(K1056,RPM!$K$2:$N$62,3,FALSE)-F1056-E1056-D1056)))</f>
        <v>549.56217903827155</v>
      </c>
      <c r="H1056" s="19">
        <f>IF(J1056=1,Specification!$I$14,IF(J1056=2,Specification!$I$15,IF(J1056=3,Specification!$I$16)))</f>
        <v>578.93404261974786</v>
      </c>
      <c r="I1056" s="16">
        <f t="shared" si="189"/>
        <v>0</v>
      </c>
      <c r="J1056" s="17">
        <v>3</v>
      </c>
      <c r="K1056" s="16">
        <f>IF(J1056=1,VLOOKUP(B1056,RPM!$F$2:$H$62,3,TRUE),IF(J1056=2,VLOOKUP(B1056,RPM!$I$2:$K$62,3,TRUE),IF(J1056=3,VLOOKUP(B1056,RPM!$L$2:$N$62,3,TRUE))))</f>
        <v>4300</v>
      </c>
      <c r="L1056" s="17">
        <f t="shared" si="200"/>
        <v>82.940933315725573</v>
      </c>
      <c r="M1056" s="16">
        <f t="shared" si="191"/>
        <v>0</v>
      </c>
      <c r="N1056" s="17">
        <f>VLOOKUP(K1056,RPM!$A$2:$D$62,3,FALSE)</f>
        <v>11.4</v>
      </c>
      <c r="O1056" s="16">
        <f>VLOOKUP(K1056,RPM!$A$2:$D$62,4,FALSE)</f>
        <v>18.894837209302327</v>
      </c>
      <c r="P1056" s="17">
        <f t="shared" si="192"/>
        <v>14.089880106976747</v>
      </c>
      <c r="Q1056" s="16" cm="1">
        <f t="array" ref="Q1056">_xlfn.XLOOKUP(O1056,BSFC!$A$2:$A$24,_xlfn.XLOOKUP(K1056,BSFC!$B$1:$O$1,BSFC!$B$2:$O$24,,-1),,-1)</f>
        <v>480</v>
      </c>
      <c r="R1056" s="17">
        <f t="shared" si="193"/>
        <v>1.8786506809302328</v>
      </c>
      <c r="S1056" s="16">
        <f t="shared" si="194"/>
        <v>2.9183485335175871E-4</v>
      </c>
      <c r="T1056" s="17">
        <f t="shared" si="197"/>
        <v>0.14008072960884418</v>
      </c>
      <c r="U1056" s="16">
        <f t="shared" si="198"/>
        <v>140.50435494339172</v>
      </c>
      <c r="V1056" s="17">
        <f t="shared" si="199"/>
        <v>0.29204263537380015</v>
      </c>
      <c r="W1056" s="16">
        <f t="shared" si="195"/>
        <v>1051353.4873456806</v>
      </c>
      <c r="X1056">
        <f>('Hybrid Info'!$A$2-Track!P1056)*(L1056-L1055)*1000+X1055</f>
        <v>-51139.055519788089</v>
      </c>
    </row>
    <row r="1057" spans="1:24">
      <c r="A1057" s="16">
        <f t="shared" si="196"/>
        <v>1056</v>
      </c>
      <c r="B1057" s="17">
        <f t="shared" si="190"/>
        <v>13.411199999999999</v>
      </c>
      <c r="C1057" s="16">
        <f>Specification!$G$29</f>
        <v>164.943378</v>
      </c>
      <c r="D1057" s="17">
        <f>0.5*Specification!$K$4*Track!B1057^2*Specification!$K$3*Specification!$K$2</f>
        <v>93.159842569492653</v>
      </c>
      <c r="E1057" s="16">
        <v>0</v>
      </c>
      <c r="F1057" s="17">
        <f>Specification!$C$23*9.81*SIN((E1057*PI()/180))</f>
        <v>0</v>
      </c>
      <c r="G1057" s="18">
        <f>IF(J1057=1,VLOOKUP(K1057,RPM!$E$2:$H$62,3,FALSE)-F1057-E1057-D1057,IF(J1057=2,VLOOKUP(K1057,RPM!$H$2:$K$62,3,FALSE)-F1057-E1057-D1057,IF(J1057=3,VLOOKUP(K1057,RPM!$K$2:$N$62,3,FALSE)-F1057-E1057-D1057)))</f>
        <v>549.56217903827155</v>
      </c>
      <c r="H1057" s="19">
        <f>IF(J1057=1,Specification!$I$14,IF(J1057=2,Specification!$I$15,IF(J1057=3,Specification!$I$16)))</f>
        <v>578.93404261974786</v>
      </c>
      <c r="I1057" s="16">
        <f t="shared" si="189"/>
        <v>0</v>
      </c>
      <c r="J1057" s="17">
        <v>3</v>
      </c>
      <c r="K1057" s="16">
        <f>IF(J1057=1,VLOOKUP(B1057,RPM!$F$2:$H$62,3,TRUE),IF(J1057=2,VLOOKUP(B1057,RPM!$I$2:$K$62,3,TRUE),IF(J1057=3,VLOOKUP(B1057,RPM!$L$2:$N$62,3,TRUE))))</f>
        <v>4300</v>
      </c>
      <c r="L1057" s="17">
        <f t="shared" si="200"/>
        <v>83.015497858794049</v>
      </c>
      <c r="M1057" s="16">
        <f t="shared" si="191"/>
        <v>0</v>
      </c>
      <c r="N1057" s="17">
        <f>VLOOKUP(K1057,RPM!$A$2:$D$62,3,FALSE)</f>
        <v>11.4</v>
      </c>
      <c r="O1057" s="16">
        <f>VLOOKUP(K1057,RPM!$A$2:$D$62,4,FALSE)</f>
        <v>18.894837209302327</v>
      </c>
      <c r="P1057" s="17">
        <f t="shared" si="192"/>
        <v>14.089880106976747</v>
      </c>
      <c r="Q1057" s="16" cm="1">
        <f t="array" ref="Q1057">_xlfn.XLOOKUP(O1057,BSFC!$A$2:$A$24,_xlfn.XLOOKUP(K1057,BSFC!$B$1:$O$1,BSFC!$B$2:$O$24,,-1),,-1)</f>
        <v>480</v>
      </c>
      <c r="R1057" s="17">
        <f t="shared" si="193"/>
        <v>1.8786506809302328</v>
      </c>
      <c r="S1057" s="16">
        <f t="shared" si="194"/>
        <v>2.9183485335175871E-4</v>
      </c>
      <c r="T1057" s="17">
        <f t="shared" si="197"/>
        <v>0.14008072960884418</v>
      </c>
      <c r="U1057" s="16">
        <f t="shared" si="198"/>
        <v>140.64443567300057</v>
      </c>
      <c r="V1057" s="17">
        <f t="shared" si="199"/>
        <v>0.29233447022715192</v>
      </c>
      <c r="W1057" s="16">
        <f t="shared" si="195"/>
        <v>1052404.092817747</v>
      </c>
      <c r="X1057">
        <f>('Hybrid Info'!$A$2-Track!P1057)*(L1057-L1056)*1000+X1056</f>
        <v>-51285.904833137494</v>
      </c>
    </row>
    <row r="1058" spans="1:24">
      <c r="A1058" s="16">
        <f t="shared" si="196"/>
        <v>1057</v>
      </c>
      <c r="B1058" s="17">
        <f t="shared" si="190"/>
        <v>13.411199999999999</v>
      </c>
      <c r="C1058" s="16">
        <f>Specification!$G$29</f>
        <v>164.943378</v>
      </c>
      <c r="D1058" s="17">
        <f>0.5*Specification!$K$4*Track!B1058^2*Specification!$K$3*Specification!$K$2</f>
        <v>93.159842569492653</v>
      </c>
      <c r="E1058" s="16">
        <v>0</v>
      </c>
      <c r="F1058" s="17">
        <f>Specification!$C$23*9.81*SIN((E1058*PI()/180))</f>
        <v>0</v>
      </c>
      <c r="G1058" s="18">
        <f>IF(J1058=1,VLOOKUP(K1058,RPM!$E$2:$H$62,3,FALSE)-F1058-E1058-D1058,IF(J1058=2,VLOOKUP(K1058,RPM!$H$2:$K$62,3,FALSE)-F1058-E1058-D1058,IF(J1058=3,VLOOKUP(K1058,RPM!$K$2:$N$62,3,FALSE)-F1058-E1058-D1058)))</f>
        <v>549.56217903827155</v>
      </c>
      <c r="H1058" s="19">
        <f>IF(J1058=1,Specification!$I$14,IF(J1058=2,Specification!$I$15,IF(J1058=3,Specification!$I$16)))</f>
        <v>578.93404261974786</v>
      </c>
      <c r="I1058" s="16">
        <f t="shared" si="189"/>
        <v>0</v>
      </c>
      <c r="J1058" s="17">
        <v>3</v>
      </c>
      <c r="K1058" s="16">
        <f>IF(J1058=1,VLOOKUP(B1058,RPM!$F$2:$H$62,3,TRUE),IF(J1058=2,VLOOKUP(B1058,RPM!$I$2:$K$62,3,TRUE),IF(J1058=3,VLOOKUP(B1058,RPM!$L$2:$N$62,3,TRUE))))</f>
        <v>4300</v>
      </c>
      <c r="L1058" s="17">
        <f t="shared" si="200"/>
        <v>83.090062401862525</v>
      </c>
      <c r="M1058" s="16">
        <f t="shared" si="191"/>
        <v>0</v>
      </c>
      <c r="N1058" s="17">
        <f>VLOOKUP(K1058,RPM!$A$2:$D$62,3,FALSE)</f>
        <v>11.4</v>
      </c>
      <c r="O1058" s="16">
        <f>VLOOKUP(K1058,RPM!$A$2:$D$62,4,FALSE)</f>
        <v>18.894837209302327</v>
      </c>
      <c r="P1058" s="17">
        <f t="shared" si="192"/>
        <v>14.089880106976747</v>
      </c>
      <c r="Q1058" s="16" cm="1">
        <f t="array" ref="Q1058">_xlfn.XLOOKUP(O1058,BSFC!$A$2:$A$24,_xlfn.XLOOKUP(K1058,BSFC!$B$1:$O$1,BSFC!$B$2:$O$24,,-1),,-1)</f>
        <v>480</v>
      </c>
      <c r="R1058" s="17">
        <f t="shared" si="193"/>
        <v>1.8786506809302328</v>
      </c>
      <c r="S1058" s="16">
        <f t="shared" si="194"/>
        <v>2.9183485335175871E-4</v>
      </c>
      <c r="T1058" s="17">
        <f t="shared" si="197"/>
        <v>0.14008072960884418</v>
      </c>
      <c r="U1058" s="16">
        <f t="shared" si="198"/>
        <v>140.78451640260943</v>
      </c>
      <c r="V1058" s="17">
        <f t="shared" si="199"/>
        <v>0.29262630508050369</v>
      </c>
      <c r="W1058" s="16">
        <f t="shared" si="195"/>
        <v>1053454.6982898132</v>
      </c>
      <c r="X1058">
        <f>('Hybrid Info'!$A$2-Track!P1058)*(L1058-L1057)*1000+X1057</f>
        <v>-51432.754146486899</v>
      </c>
    </row>
    <row r="1059" spans="1:24">
      <c r="A1059" s="16">
        <f t="shared" si="196"/>
        <v>1058</v>
      </c>
      <c r="B1059" s="17">
        <f t="shared" si="190"/>
        <v>13.411199999999999</v>
      </c>
      <c r="C1059" s="16">
        <f>Specification!$G$29</f>
        <v>164.943378</v>
      </c>
      <c r="D1059" s="17">
        <f>0.5*Specification!$K$4*Track!B1059^2*Specification!$K$3*Specification!$K$2</f>
        <v>93.159842569492653</v>
      </c>
      <c r="E1059" s="16">
        <v>0</v>
      </c>
      <c r="F1059" s="17">
        <f>Specification!$C$23*9.81*SIN((E1059*PI()/180))</f>
        <v>0</v>
      </c>
      <c r="G1059" s="18">
        <f>IF(J1059=1,VLOOKUP(K1059,RPM!$E$2:$H$62,3,FALSE)-F1059-E1059-D1059,IF(J1059=2,VLOOKUP(K1059,RPM!$H$2:$K$62,3,FALSE)-F1059-E1059-D1059,IF(J1059=3,VLOOKUP(K1059,RPM!$K$2:$N$62,3,FALSE)-F1059-E1059-D1059)))</f>
        <v>549.56217903827155</v>
      </c>
      <c r="H1059" s="19">
        <f>IF(J1059=1,Specification!$I$14,IF(J1059=2,Specification!$I$15,IF(J1059=3,Specification!$I$16)))</f>
        <v>578.93404261974786</v>
      </c>
      <c r="I1059" s="16">
        <f t="shared" si="189"/>
        <v>0</v>
      </c>
      <c r="J1059" s="17">
        <v>3</v>
      </c>
      <c r="K1059" s="16">
        <f>IF(J1059=1,VLOOKUP(B1059,RPM!$F$2:$H$62,3,TRUE),IF(J1059=2,VLOOKUP(B1059,RPM!$I$2:$K$62,3,TRUE),IF(J1059=3,VLOOKUP(B1059,RPM!$L$2:$N$62,3,TRUE))))</f>
        <v>4300</v>
      </c>
      <c r="L1059" s="17">
        <f t="shared" si="200"/>
        <v>83.164626944931001</v>
      </c>
      <c r="M1059" s="16">
        <f t="shared" si="191"/>
        <v>0</v>
      </c>
      <c r="N1059" s="17">
        <f>VLOOKUP(K1059,RPM!$A$2:$D$62,3,FALSE)</f>
        <v>11.4</v>
      </c>
      <c r="O1059" s="16">
        <f>VLOOKUP(K1059,RPM!$A$2:$D$62,4,FALSE)</f>
        <v>18.894837209302327</v>
      </c>
      <c r="P1059" s="17">
        <f t="shared" si="192"/>
        <v>14.089880106976747</v>
      </c>
      <c r="Q1059" s="16" cm="1">
        <f t="array" ref="Q1059">_xlfn.XLOOKUP(O1059,BSFC!$A$2:$A$24,_xlfn.XLOOKUP(K1059,BSFC!$B$1:$O$1,BSFC!$B$2:$O$24,,-1),,-1)</f>
        <v>480</v>
      </c>
      <c r="R1059" s="17">
        <f t="shared" si="193"/>
        <v>1.8786506809302328</v>
      </c>
      <c r="S1059" s="16">
        <f t="shared" si="194"/>
        <v>2.9183485335175871E-4</v>
      </c>
      <c r="T1059" s="17">
        <f t="shared" si="197"/>
        <v>0.14008072960884418</v>
      </c>
      <c r="U1059" s="16">
        <f t="shared" si="198"/>
        <v>140.92459713221828</v>
      </c>
      <c r="V1059" s="17">
        <f t="shared" si="199"/>
        <v>0.29291813993385546</v>
      </c>
      <c r="W1059" s="16">
        <f t="shared" si="195"/>
        <v>1054505.3037618797</v>
      </c>
      <c r="X1059">
        <f>('Hybrid Info'!$A$2-Track!P1059)*(L1059-L1058)*1000+X1058</f>
        <v>-51579.603459836304</v>
      </c>
    </row>
    <row r="1060" spans="1:24">
      <c r="A1060" s="16">
        <f t="shared" si="196"/>
        <v>1059</v>
      </c>
      <c r="B1060" s="17">
        <f t="shared" si="190"/>
        <v>13.411199999999999</v>
      </c>
      <c r="C1060" s="16">
        <f>Specification!$G$29</f>
        <v>164.943378</v>
      </c>
      <c r="D1060" s="17">
        <f>0.5*Specification!$K$4*Track!B1060^2*Specification!$K$3*Specification!$K$2</f>
        <v>93.159842569492653</v>
      </c>
      <c r="E1060" s="16">
        <v>0</v>
      </c>
      <c r="F1060" s="17">
        <f>Specification!$C$23*9.81*SIN((E1060*PI()/180))</f>
        <v>0</v>
      </c>
      <c r="G1060" s="18">
        <f>IF(J1060=1,VLOOKUP(K1060,RPM!$E$2:$H$62,3,FALSE)-F1060-E1060-D1060,IF(J1060=2,VLOOKUP(K1060,RPM!$H$2:$K$62,3,FALSE)-F1060-E1060-D1060,IF(J1060=3,VLOOKUP(K1060,RPM!$K$2:$N$62,3,FALSE)-F1060-E1060-D1060)))</f>
        <v>549.56217903827155</v>
      </c>
      <c r="H1060" s="19">
        <f>IF(J1060=1,Specification!$I$14,IF(J1060=2,Specification!$I$15,IF(J1060=3,Specification!$I$16)))</f>
        <v>578.93404261974786</v>
      </c>
      <c r="I1060" s="16">
        <f t="shared" ref="I1060:I1123" si="201">IF(B1060=13.4112,0,G1060/H1060)</f>
        <v>0</v>
      </c>
      <c r="J1060" s="17">
        <v>3</v>
      </c>
      <c r="K1060" s="16">
        <f>IF(J1060=1,VLOOKUP(B1060,RPM!$F$2:$H$62,3,TRUE),IF(J1060=2,VLOOKUP(B1060,RPM!$I$2:$K$62,3,TRUE),IF(J1060=3,VLOOKUP(B1060,RPM!$L$2:$N$62,3,TRUE))))</f>
        <v>4300</v>
      </c>
      <c r="L1060" s="17">
        <f t="shared" si="200"/>
        <v>83.239191487999477</v>
      </c>
      <c r="M1060" s="16">
        <f t="shared" si="191"/>
        <v>0</v>
      </c>
      <c r="N1060" s="17">
        <f>VLOOKUP(K1060,RPM!$A$2:$D$62,3,FALSE)</f>
        <v>11.4</v>
      </c>
      <c r="O1060" s="16">
        <f>VLOOKUP(K1060,RPM!$A$2:$D$62,4,FALSE)</f>
        <v>18.894837209302327</v>
      </c>
      <c r="P1060" s="17">
        <f t="shared" si="192"/>
        <v>14.089880106976747</v>
      </c>
      <c r="Q1060" s="16" cm="1">
        <f t="array" ref="Q1060">_xlfn.XLOOKUP(O1060,BSFC!$A$2:$A$24,_xlfn.XLOOKUP(K1060,BSFC!$B$1:$O$1,BSFC!$B$2:$O$24,,-1),,-1)</f>
        <v>480</v>
      </c>
      <c r="R1060" s="17">
        <f t="shared" si="193"/>
        <v>1.8786506809302328</v>
      </c>
      <c r="S1060" s="16">
        <f t="shared" si="194"/>
        <v>2.9183485335175871E-4</v>
      </c>
      <c r="T1060" s="17">
        <f t="shared" si="197"/>
        <v>0.14008072960884418</v>
      </c>
      <c r="U1060" s="16">
        <f t="shared" si="198"/>
        <v>141.06467786182714</v>
      </c>
      <c r="V1060" s="17">
        <f t="shared" si="199"/>
        <v>0.29320997478720723</v>
      </c>
      <c r="W1060" s="16">
        <f t="shared" si="195"/>
        <v>1055555.9092339459</v>
      </c>
      <c r="X1060">
        <f>('Hybrid Info'!$A$2-Track!P1060)*(L1060-L1059)*1000+X1059</f>
        <v>-51726.452773185709</v>
      </c>
    </row>
    <row r="1061" spans="1:24">
      <c r="A1061" s="16">
        <f t="shared" si="196"/>
        <v>1060</v>
      </c>
      <c r="B1061" s="17">
        <f t="shared" si="190"/>
        <v>13.411199999999999</v>
      </c>
      <c r="C1061" s="16">
        <f>Specification!$G$29</f>
        <v>164.943378</v>
      </c>
      <c r="D1061" s="17">
        <f>0.5*Specification!$K$4*Track!B1061^2*Specification!$K$3*Specification!$K$2</f>
        <v>93.159842569492653</v>
      </c>
      <c r="E1061" s="16">
        <v>0</v>
      </c>
      <c r="F1061" s="17">
        <f>Specification!$C$23*9.81*SIN((E1061*PI()/180))</f>
        <v>0</v>
      </c>
      <c r="G1061" s="18">
        <f>IF(J1061=1,VLOOKUP(K1061,RPM!$E$2:$H$62,3,FALSE)-F1061-E1061-D1061,IF(J1061=2,VLOOKUP(K1061,RPM!$H$2:$K$62,3,FALSE)-F1061-E1061-D1061,IF(J1061=3,VLOOKUP(K1061,RPM!$K$2:$N$62,3,FALSE)-F1061-E1061-D1061)))</f>
        <v>688.48526429214962</v>
      </c>
      <c r="H1061" s="19">
        <f>IF(J1061=1,Specification!$I$14,IF(J1061=2,Specification!$I$15,IF(J1061=3,Specification!$I$16)))</f>
        <v>582.50936296077191</v>
      </c>
      <c r="I1061" s="16">
        <f t="shared" si="201"/>
        <v>0</v>
      </c>
      <c r="J1061" s="17">
        <v>2</v>
      </c>
      <c r="K1061" s="16">
        <f>IF(J1061=1,VLOOKUP(B1061,RPM!$F$2:$H$62,3,TRUE),IF(J1061=2,VLOOKUP(B1061,RPM!$I$2:$K$62,3,TRUE),IF(J1061=3,VLOOKUP(B1061,RPM!$L$2:$N$62,3,TRUE))))</f>
        <v>7000</v>
      </c>
      <c r="L1061" s="17">
        <f t="shared" si="200"/>
        <v>83.313756031067953</v>
      </c>
      <c r="M1061" s="16">
        <f t="shared" si="191"/>
        <v>0</v>
      </c>
      <c r="N1061" s="17">
        <f>VLOOKUP(K1061,RPM!$A$2:$D$62,3,FALSE)</f>
        <v>13</v>
      </c>
      <c r="O1061" s="16">
        <f>VLOOKUP(K1061,RPM!$A$2:$D$62,4,FALSE)</f>
        <v>13.235857142857142</v>
      </c>
      <c r="P1061" s="17">
        <f t="shared" si="192"/>
        <v>9.8699786714285711</v>
      </c>
      <c r="Q1061" s="16" cm="1">
        <f t="array" ref="Q1061">_xlfn.XLOOKUP(O1061,BSFC!$A$2:$A$24,_xlfn.XLOOKUP(K1061,BSFC!$B$1:$O$1,BSFC!$B$2:$O$24,,-1),,-1)</f>
        <v>520</v>
      </c>
      <c r="R1061" s="17">
        <f t="shared" si="193"/>
        <v>1.425663585873016</v>
      </c>
      <c r="S1061" s="16">
        <f t="shared" si="194"/>
        <v>2.0443068048074323E-4</v>
      </c>
      <c r="T1061" s="17">
        <f t="shared" si="197"/>
        <v>0.10630395384998648</v>
      </c>
      <c r="U1061" s="16">
        <f t="shared" si="198"/>
        <v>141.17098181567712</v>
      </c>
      <c r="V1061" s="17">
        <f t="shared" si="199"/>
        <v>0.29341440546768799</v>
      </c>
      <c r="W1061" s="16">
        <f t="shared" si="195"/>
        <v>1056291.8596836766</v>
      </c>
      <c r="X1061">
        <f>('Hybrid Info'!$A$2-Track!P1061)*(L1061-L1060)*1000+X1060</f>
        <v>-51558.647064199453</v>
      </c>
    </row>
    <row r="1062" spans="1:24">
      <c r="A1062" s="16">
        <f t="shared" si="196"/>
        <v>1061</v>
      </c>
      <c r="B1062" s="17">
        <f t="shared" si="190"/>
        <v>13.411199999999999</v>
      </c>
      <c r="C1062" s="16">
        <f>Specification!$G$29</f>
        <v>164.943378</v>
      </c>
      <c r="D1062" s="17">
        <f>0.5*Specification!$K$4*Track!B1062^2*Specification!$K$3*Specification!$K$2</f>
        <v>93.159842569492653</v>
      </c>
      <c r="E1062" s="16">
        <v>0</v>
      </c>
      <c r="F1062" s="17">
        <f>Specification!$C$23*9.81*SIN((E1062*PI()/180))</f>
        <v>0</v>
      </c>
      <c r="G1062" s="18">
        <f>IF(J1062=1,VLOOKUP(K1062,RPM!$E$2:$H$62,3,FALSE)-F1062-E1062-D1062,IF(J1062=2,VLOOKUP(K1062,RPM!$H$2:$K$62,3,FALSE)-F1062-E1062-D1062,IF(J1062=3,VLOOKUP(K1062,RPM!$K$2:$N$62,3,FALSE)-F1062-E1062-D1062)))</f>
        <v>688.48526429214962</v>
      </c>
      <c r="H1062" s="19">
        <f>IF(J1062=1,Specification!$I$14,IF(J1062=2,Specification!$I$15,IF(J1062=3,Specification!$I$16)))</f>
        <v>582.50936296077191</v>
      </c>
      <c r="I1062" s="16">
        <f t="shared" si="201"/>
        <v>0</v>
      </c>
      <c r="J1062" s="17">
        <v>2</v>
      </c>
      <c r="K1062" s="16">
        <f>IF(J1062=1,VLOOKUP(B1062,RPM!$F$2:$H$62,3,TRUE),IF(J1062=2,VLOOKUP(B1062,RPM!$I$2:$K$62,3,TRUE),IF(J1062=3,VLOOKUP(B1062,RPM!$L$2:$N$62,3,TRUE))))</f>
        <v>7000</v>
      </c>
      <c r="L1062" s="17">
        <f t="shared" si="200"/>
        <v>83.388320574136429</v>
      </c>
      <c r="M1062" s="16">
        <f t="shared" si="191"/>
        <v>0</v>
      </c>
      <c r="N1062" s="17">
        <f>VLOOKUP(K1062,RPM!$A$2:$D$62,3,FALSE)</f>
        <v>13</v>
      </c>
      <c r="O1062" s="16">
        <f>VLOOKUP(K1062,RPM!$A$2:$D$62,4,FALSE)</f>
        <v>13.235857142857142</v>
      </c>
      <c r="P1062" s="17">
        <f t="shared" si="192"/>
        <v>9.8699786714285711</v>
      </c>
      <c r="Q1062" s="16" cm="1">
        <f t="array" ref="Q1062">_xlfn.XLOOKUP(O1062,BSFC!$A$2:$A$24,_xlfn.XLOOKUP(K1062,BSFC!$B$1:$O$1,BSFC!$B$2:$O$24,,-1),,-1)</f>
        <v>520</v>
      </c>
      <c r="R1062" s="17">
        <f t="shared" si="193"/>
        <v>1.425663585873016</v>
      </c>
      <c r="S1062" s="16">
        <f t="shared" si="194"/>
        <v>2.0443068048074323E-4</v>
      </c>
      <c r="T1062" s="17">
        <f t="shared" si="197"/>
        <v>0.10630395384998648</v>
      </c>
      <c r="U1062" s="16">
        <f t="shared" si="198"/>
        <v>141.27728576952711</v>
      </c>
      <c r="V1062" s="17">
        <f t="shared" si="199"/>
        <v>0.29361883614816875</v>
      </c>
      <c r="W1062" s="16">
        <f t="shared" si="195"/>
        <v>1057027.8101334074</v>
      </c>
      <c r="X1062">
        <f>('Hybrid Info'!$A$2-Track!P1062)*(L1062-L1061)*1000+X1061</f>
        <v>-51390.841355213197</v>
      </c>
    </row>
    <row r="1063" spans="1:24">
      <c r="A1063" s="16">
        <f t="shared" si="196"/>
        <v>1062</v>
      </c>
      <c r="B1063" s="17">
        <f t="shared" si="190"/>
        <v>13.411199999999999</v>
      </c>
      <c r="C1063" s="16">
        <f>Specification!$G$29</f>
        <v>164.943378</v>
      </c>
      <c r="D1063" s="17">
        <f>0.5*Specification!$K$4*Track!B1063^2*Specification!$K$3*Specification!$K$2</f>
        <v>93.159842569492653</v>
      </c>
      <c r="E1063" s="16">
        <v>0</v>
      </c>
      <c r="F1063" s="17">
        <f>Specification!$C$23*9.81*SIN((E1063*PI()/180))</f>
        <v>0</v>
      </c>
      <c r="G1063" s="18">
        <f>IF(J1063=1,VLOOKUP(K1063,RPM!$E$2:$H$62,3,FALSE)-F1063-E1063-D1063,IF(J1063=2,VLOOKUP(K1063,RPM!$H$2:$K$62,3,FALSE)-F1063-E1063-D1063,IF(J1063=3,VLOOKUP(K1063,RPM!$K$2:$N$62,3,FALSE)-F1063-E1063-D1063)))</f>
        <v>688.48526429214962</v>
      </c>
      <c r="H1063" s="19">
        <f>IF(J1063=1,Specification!$I$14,IF(J1063=2,Specification!$I$15,IF(J1063=3,Specification!$I$16)))</f>
        <v>582.50936296077191</v>
      </c>
      <c r="I1063" s="16">
        <f t="shared" si="201"/>
        <v>0</v>
      </c>
      <c r="J1063" s="17">
        <v>2</v>
      </c>
      <c r="K1063" s="16">
        <f>IF(J1063=1,VLOOKUP(B1063,RPM!$F$2:$H$62,3,TRUE),IF(J1063=2,VLOOKUP(B1063,RPM!$I$2:$K$62,3,TRUE),IF(J1063=3,VLOOKUP(B1063,RPM!$L$2:$N$62,3,TRUE))))</f>
        <v>7000</v>
      </c>
      <c r="L1063" s="17">
        <f t="shared" si="200"/>
        <v>83.462885117204905</v>
      </c>
      <c r="M1063" s="16">
        <f t="shared" si="191"/>
        <v>0</v>
      </c>
      <c r="N1063" s="17">
        <f>VLOOKUP(K1063,RPM!$A$2:$D$62,3,FALSE)</f>
        <v>13</v>
      </c>
      <c r="O1063" s="16">
        <f>VLOOKUP(K1063,RPM!$A$2:$D$62,4,FALSE)</f>
        <v>13.235857142857142</v>
      </c>
      <c r="P1063" s="17">
        <f t="shared" si="192"/>
        <v>9.8699786714285711</v>
      </c>
      <c r="Q1063" s="16" cm="1">
        <f t="array" ref="Q1063">_xlfn.XLOOKUP(O1063,BSFC!$A$2:$A$24,_xlfn.XLOOKUP(K1063,BSFC!$B$1:$O$1,BSFC!$B$2:$O$24,,-1),,-1)</f>
        <v>520</v>
      </c>
      <c r="R1063" s="17">
        <f t="shared" si="193"/>
        <v>1.425663585873016</v>
      </c>
      <c r="S1063" s="16">
        <f t="shared" si="194"/>
        <v>2.0443068048074323E-4</v>
      </c>
      <c r="T1063" s="17">
        <f t="shared" si="197"/>
        <v>0.10630395384998648</v>
      </c>
      <c r="U1063" s="16">
        <f t="shared" si="198"/>
        <v>141.3835897233771</v>
      </c>
      <c r="V1063" s="17">
        <f t="shared" si="199"/>
        <v>0.29382326682864951</v>
      </c>
      <c r="W1063" s="16">
        <f t="shared" si="195"/>
        <v>1057763.7605831383</v>
      </c>
      <c r="X1063">
        <f>('Hybrid Info'!$A$2-Track!P1063)*(L1063-L1062)*1000+X1062</f>
        <v>-51223.035646226941</v>
      </c>
    </row>
    <row r="1064" spans="1:24">
      <c r="A1064" s="16">
        <f t="shared" si="196"/>
        <v>1063</v>
      </c>
      <c r="B1064" s="17">
        <f t="shared" si="190"/>
        <v>13.411199999999999</v>
      </c>
      <c r="C1064" s="16">
        <f>Specification!$G$29</f>
        <v>164.943378</v>
      </c>
      <c r="D1064" s="17">
        <f>0.5*Specification!$K$4*Track!B1064^2*Specification!$K$3*Specification!$K$2</f>
        <v>93.159842569492653</v>
      </c>
      <c r="E1064" s="16">
        <v>0</v>
      </c>
      <c r="F1064" s="17">
        <f>Specification!$C$23*9.81*SIN((E1064*PI()/180))</f>
        <v>0</v>
      </c>
      <c r="G1064" s="18">
        <f>IF(J1064=1,VLOOKUP(K1064,RPM!$E$2:$H$62,3,FALSE)-F1064-E1064-D1064,IF(J1064=2,VLOOKUP(K1064,RPM!$H$2:$K$62,3,FALSE)-F1064-E1064-D1064,IF(J1064=3,VLOOKUP(K1064,RPM!$K$2:$N$62,3,FALSE)-F1064-E1064-D1064)))</f>
        <v>688.48526429214962</v>
      </c>
      <c r="H1064" s="19">
        <f>IF(J1064=1,Specification!$I$14,IF(J1064=2,Specification!$I$15,IF(J1064=3,Specification!$I$16)))</f>
        <v>582.50936296077191</v>
      </c>
      <c r="I1064" s="16">
        <f t="shared" si="201"/>
        <v>0</v>
      </c>
      <c r="J1064" s="17">
        <v>2</v>
      </c>
      <c r="K1064" s="16">
        <f>IF(J1064=1,VLOOKUP(B1064,RPM!$F$2:$H$62,3,TRUE),IF(J1064=2,VLOOKUP(B1064,RPM!$I$2:$K$62,3,TRUE),IF(J1064=3,VLOOKUP(B1064,RPM!$L$2:$N$62,3,TRUE))))</f>
        <v>7000</v>
      </c>
      <c r="L1064" s="17">
        <f t="shared" si="200"/>
        <v>83.537449660273381</v>
      </c>
      <c r="M1064" s="16">
        <f t="shared" si="191"/>
        <v>0</v>
      </c>
      <c r="N1064" s="17">
        <f>VLOOKUP(K1064,RPM!$A$2:$D$62,3,FALSE)</f>
        <v>13</v>
      </c>
      <c r="O1064" s="16">
        <f>VLOOKUP(K1064,RPM!$A$2:$D$62,4,FALSE)</f>
        <v>13.235857142857142</v>
      </c>
      <c r="P1064" s="17">
        <f t="shared" si="192"/>
        <v>9.8699786714285711</v>
      </c>
      <c r="Q1064" s="16" cm="1">
        <f t="array" ref="Q1064">_xlfn.XLOOKUP(O1064,BSFC!$A$2:$A$24,_xlfn.XLOOKUP(K1064,BSFC!$B$1:$O$1,BSFC!$B$2:$O$24,,-1),,-1)</f>
        <v>520</v>
      </c>
      <c r="R1064" s="17">
        <f t="shared" si="193"/>
        <v>1.425663585873016</v>
      </c>
      <c r="S1064" s="16">
        <f t="shared" si="194"/>
        <v>2.0443068048074323E-4</v>
      </c>
      <c r="T1064" s="17">
        <f t="shared" si="197"/>
        <v>0.10630395384998648</v>
      </c>
      <c r="U1064" s="16">
        <f t="shared" si="198"/>
        <v>141.48989367722709</v>
      </c>
      <c r="V1064" s="17">
        <f t="shared" si="199"/>
        <v>0.29402769750913027</v>
      </c>
      <c r="W1064" s="16">
        <f t="shared" si="195"/>
        <v>1058499.7110328691</v>
      </c>
      <c r="X1064">
        <f>('Hybrid Info'!$A$2-Track!P1064)*(L1064-L1063)*1000+X1063</f>
        <v>-51055.229937240685</v>
      </c>
    </row>
    <row r="1065" spans="1:24">
      <c r="A1065" s="16">
        <f t="shared" si="196"/>
        <v>1064</v>
      </c>
      <c r="B1065" s="17">
        <f t="shared" si="190"/>
        <v>13.411199999999999</v>
      </c>
      <c r="C1065" s="16">
        <f>Specification!$G$29</f>
        <v>164.943378</v>
      </c>
      <c r="D1065" s="17">
        <f>0.5*Specification!$K$4*Track!B1065^2*Specification!$K$3*Specification!$K$2</f>
        <v>93.159842569492653</v>
      </c>
      <c r="E1065" s="16">
        <v>0</v>
      </c>
      <c r="F1065" s="17">
        <f>Specification!$C$23*9.81*SIN((E1065*PI()/180))</f>
        <v>0</v>
      </c>
      <c r="G1065" s="18">
        <f>IF(J1065=1,VLOOKUP(K1065,RPM!$E$2:$H$62,3,FALSE)-F1065-E1065-D1065,IF(J1065=2,VLOOKUP(K1065,RPM!$H$2:$K$62,3,FALSE)-F1065-E1065-D1065,IF(J1065=3,VLOOKUP(K1065,RPM!$K$2:$N$62,3,FALSE)-F1065-E1065-D1065)))</f>
        <v>688.48526429214962</v>
      </c>
      <c r="H1065" s="19">
        <f>IF(J1065=1,Specification!$I$14,IF(J1065=2,Specification!$I$15,IF(J1065=3,Specification!$I$16)))</f>
        <v>582.50936296077191</v>
      </c>
      <c r="I1065" s="16">
        <f t="shared" si="201"/>
        <v>0</v>
      </c>
      <c r="J1065" s="17">
        <v>2</v>
      </c>
      <c r="K1065" s="16">
        <f>IF(J1065=1,VLOOKUP(B1065,RPM!$F$2:$H$62,3,TRUE),IF(J1065=2,VLOOKUP(B1065,RPM!$I$2:$K$62,3,TRUE),IF(J1065=3,VLOOKUP(B1065,RPM!$L$2:$N$62,3,TRUE))))</f>
        <v>7000</v>
      </c>
      <c r="L1065" s="17">
        <f t="shared" si="200"/>
        <v>83.612014203341857</v>
      </c>
      <c r="M1065" s="16">
        <f t="shared" si="191"/>
        <v>0</v>
      </c>
      <c r="N1065" s="17">
        <f>VLOOKUP(K1065,RPM!$A$2:$D$62,3,FALSE)</f>
        <v>13</v>
      </c>
      <c r="O1065" s="16">
        <f>VLOOKUP(K1065,RPM!$A$2:$D$62,4,FALSE)</f>
        <v>13.235857142857142</v>
      </c>
      <c r="P1065" s="17">
        <f t="shared" si="192"/>
        <v>9.8699786714285711</v>
      </c>
      <c r="Q1065" s="16" cm="1">
        <f t="array" ref="Q1065">_xlfn.XLOOKUP(O1065,BSFC!$A$2:$A$24,_xlfn.XLOOKUP(K1065,BSFC!$B$1:$O$1,BSFC!$B$2:$O$24,,-1),,-1)</f>
        <v>520</v>
      </c>
      <c r="R1065" s="17">
        <f t="shared" si="193"/>
        <v>1.425663585873016</v>
      </c>
      <c r="S1065" s="16">
        <f t="shared" si="194"/>
        <v>2.0443068048074323E-4</v>
      </c>
      <c r="T1065" s="17">
        <f t="shared" si="197"/>
        <v>0.10630395384998648</v>
      </c>
      <c r="U1065" s="16">
        <f t="shared" si="198"/>
        <v>141.59619763107708</v>
      </c>
      <c r="V1065" s="17">
        <f t="shared" si="199"/>
        <v>0.29423212818961103</v>
      </c>
      <c r="W1065" s="16">
        <f t="shared" si="195"/>
        <v>1059235.6614825998</v>
      </c>
      <c r="X1065">
        <f>('Hybrid Info'!$A$2-Track!P1065)*(L1065-L1064)*1000+X1064</f>
        <v>-50887.424228254429</v>
      </c>
    </row>
    <row r="1066" spans="1:24">
      <c r="A1066" s="16">
        <f t="shared" si="196"/>
        <v>1065</v>
      </c>
      <c r="B1066" s="17">
        <f t="shared" si="190"/>
        <v>13.411199999999999</v>
      </c>
      <c r="C1066" s="16">
        <f>Specification!$G$29</f>
        <v>164.943378</v>
      </c>
      <c r="D1066" s="17">
        <f>0.5*Specification!$K$4*Track!B1066^2*Specification!$K$3*Specification!$K$2</f>
        <v>93.159842569492653</v>
      </c>
      <c r="E1066" s="16">
        <v>0</v>
      </c>
      <c r="F1066" s="17">
        <f>Specification!$C$23*9.81*SIN((E1066*PI()/180))</f>
        <v>0</v>
      </c>
      <c r="G1066" s="18">
        <f>IF(J1066=1,VLOOKUP(K1066,RPM!$E$2:$H$62,3,FALSE)-F1066-E1066-D1066,IF(J1066=2,VLOOKUP(K1066,RPM!$H$2:$K$62,3,FALSE)-F1066-E1066-D1066,IF(J1066=3,VLOOKUP(K1066,RPM!$K$2:$N$62,3,FALSE)-F1066-E1066-D1066)))</f>
        <v>688.48526429214962</v>
      </c>
      <c r="H1066" s="19">
        <f>IF(J1066=1,Specification!$I$14,IF(J1066=2,Specification!$I$15,IF(J1066=3,Specification!$I$16)))</f>
        <v>582.50936296077191</v>
      </c>
      <c r="I1066" s="16">
        <f t="shared" si="201"/>
        <v>0</v>
      </c>
      <c r="J1066" s="17">
        <v>2</v>
      </c>
      <c r="K1066" s="16">
        <f>IF(J1066=1,VLOOKUP(B1066,RPM!$F$2:$H$62,3,TRUE),IF(J1066=2,VLOOKUP(B1066,RPM!$I$2:$K$62,3,TRUE),IF(J1066=3,VLOOKUP(B1066,RPM!$L$2:$N$62,3,TRUE))))</f>
        <v>7000</v>
      </c>
      <c r="L1066" s="17">
        <f t="shared" si="200"/>
        <v>83.686578746410333</v>
      </c>
      <c r="M1066" s="16">
        <f t="shared" si="191"/>
        <v>0</v>
      </c>
      <c r="N1066" s="17">
        <f>VLOOKUP(K1066,RPM!$A$2:$D$62,3,FALSE)</f>
        <v>13</v>
      </c>
      <c r="O1066" s="16">
        <f>VLOOKUP(K1066,RPM!$A$2:$D$62,4,FALSE)</f>
        <v>13.235857142857142</v>
      </c>
      <c r="P1066" s="17">
        <f t="shared" si="192"/>
        <v>9.8699786714285711</v>
      </c>
      <c r="Q1066" s="16" cm="1">
        <f t="array" ref="Q1066">_xlfn.XLOOKUP(O1066,BSFC!$A$2:$A$24,_xlfn.XLOOKUP(K1066,BSFC!$B$1:$O$1,BSFC!$B$2:$O$24,,-1),,-1)</f>
        <v>520</v>
      </c>
      <c r="R1066" s="17">
        <f t="shared" si="193"/>
        <v>1.425663585873016</v>
      </c>
      <c r="S1066" s="16">
        <f t="shared" si="194"/>
        <v>2.0443068048074323E-4</v>
      </c>
      <c r="T1066" s="17">
        <f t="shared" si="197"/>
        <v>0.10630395384998648</v>
      </c>
      <c r="U1066" s="16">
        <f t="shared" si="198"/>
        <v>141.70250158492706</v>
      </c>
      <c r="V1066" s="17">
        <f t="shared" si="199"/>
        <v>0.29443655887009179</v>
      </c>
      <c r="W1066" s="16">
        <f t="shared" si="195"/>
        <v>1059971.6119323305</v>
      </c>
      <c r="X1066">
        <f>('Hybrid Info'!$A$2-Track!P1066)*(L1066-L1065)*1000+X1065</f>
        <v>-50719.618519268173</v>
      </c>
    </row>
    <row r="1067" spans="1:24">
      <c r="A1067" s="16">
        <f t="shared" si="196"/>
        <v>1066</v>
      </c>
      <c r="B1067" s="17">
        <f t="shared" si="190"/>
        <v>13.411199999999999</v>
      </c>
      <c r="C1067" s="16">
        <f>Specification!$G$29</f>
        <v>164.943378</v>
      </c>
      <c r="D1067" s="17">
        <f>0.5*Specification!$K$4*Track!B1067^2*Specification!$K$3*Specification!$K$2</f>
        <v>93.159842569492653</v>
      </c>
      <c r="E1067" s="16">
        <v>0</v>
      </c>
      <c r="F1067" s="17">
        <f>Specification!$C$23*9.81*SIN((E1067*PI()/180))</f>
        <v>0</v>
      </c>
      <c r="G1067" s="18">
        <f>IF(J1067=1,VLOOKUP(K1067,RPM!$E$2:$H$62,3,FALSE)-F1067-E1067-D1067,IF(J1067=2,VLOOKUP(K1067,RPM!$H$2:$K$62,3,FALSE)-F1067-E1067-D1067,IF(J1067=3,VLOOKUP(K1067,RPM!$K$2:$N$62,3,FALSE)-F1067-E1067-D1067)))</f>
        <v>688.48526429214962</v>
      </c>
      <c r="H1067" s="19">
        <f>IF(J1067=1,Specification!$I$14,IF(J1067=2,Specification!$I$15,IF(J1067=3,Specification!$I$16)))</f>
        <v>582.50936296077191</v>
      </c>
      <c r="I1067" s="16">
        <f t="shared" si="201"/>
        <v>0</v>
      </c>
      <c r="J1067" s="17">
        <v>2</v>
      </c>
      <c r="K1067" s="16">
        <f>IF(J1067=1,VLOOKUP(B1067,RPM!$F$2:$H$62,3,TRUE),IF(J1067=2,VLOOKUP(B1067,RPM!$I$2:$K$62,3,TRUE),IF(J1067=3,VLOOKUP(B1067,RPM!$L$2:$N$62,3,TRUE))))</f>
        <v>7000</v>
      </c>
      <c r="L1067" s="17">
        <f t="shared" si="200"/>
        <v>83.761143289478809</v>
      </c>
      <c r="M1067" s="16">
        <f t="shared" si="191"/>
        <v>0</v>
      </c>
      <c r="N1067" s="17">
        <f>VLOOKUP(K1067,RPM!$A$2:$D$62,3,FALSE)</f>
        <v>13</v>
      </c>
      <c r="O1067" s="16">
        <f>VLOOKUP(K1067,RPM!$A$2:$D$62,4,FALSE)</f>
        <v>13.235857142857142</v>
      </c>
      <c r="P1067" s="17">
        <f t="shared" si="192"/>
        <v>9.8699786714285711</v>
      </c>
      <c r="Q1067" s="16" cm="1">
        <f t="array" ref="Q1067">_xlfn.XLOOKUP(O1067,BSFC!$A$2:$A$24,_xlfn.XLOOKUP(K1067,BSFC!$B$1:$O$1,BSFC!$B$2:$O$24,,-1),,-1)</f>
        <v>520</v>
      </c>
      <c r="R1067" s="17">
        <f t="shared" si="193"/>
        <v>1.425663585873016</v>
      </c>
      <c r="S1067" s="16">
        <f t="shared" si="194"/>
        <v>2.0443068048074323E-4</v>
      </c>
      <c r="T1067" s="17">
        <f t="shared" si="197"/>
        <v>0.10630395384998648</v>
      </c>
      <c r="U1067" s="16">
        <f t="shared" si="198"/>
        <v>141.80880553877705</v>
      </c>
      <c r="V1067" s="17">
        <f t="shared" si="199"/>
        <v>0.29464098955057255</v>
      </c>
      <c r="W1067" s="16">
        <f t="shared" si="195"/>
        <v>1060707.5623820613</v>
      </c>
      <c r="X1067">
        <f>('Hybrid Info'!$A$2-Track!P1067)*(L1067-L1066)*1000+X1066</f>
        <v>-50551.812810281917</v>
      </c>
    </row>
    <row r="1068" spans="1:24">
      <c r="A1068" s="16">
        <f t="shared" si="196"/>
        <v>1067</v>
      </c>
      <c r="B1068" s="17">
        <f t="shared" si="190"/>
        <v>13.411199999999999</v>
      </c>
      <c r="C1068" s="16">
        <f>Specification!$G$29</f>
        <v>164.943378</v>
      </c>
      <c r="D1068" s="17">
        <f>0.5*Specification!$K$4*Track!B1068^2*Specification!$K$3*Specification!$K$2</f>
        <v>93.159842569492653</v>
      </c>
      <c r="E1068" s="16">
        <v>0</v>
      </c>
      <c r="F1068" s="17">
        <f>Specification!$C$23*9.81*SIN((E1068*PI()/180))</f>
        <v>0</v>
      </c>
      <c r="G1068" s="18">
        <f>IF(J1068=1,VLOOKUP(K1068,RPM!$E$2:$H$62,3,FALSE)-F1068-E1068-D1068,IF(J1068=2,VLOOKUP(K1068,RPM!$H$2:$K$62,3,FALSE)-F1068-E1068-D1068,IF(J1068=3,VLOOKUP(K1068,RPM!$K$2:$N$62,3,FALSE)-F1068-E1068-D1068)))</f>
        <v>688.48526429214962</v>
      </c>
      <c r="H1068" s="19">
        <f>IF(J1068=1,Specification!$I$14,IF(J1068=2,Specification!$I$15,IF(J1068=3,Specification!$I$16)))</f>
        <v>582.50936296077191</v>
      </c>
      <c r="I1068" s="16">
        <f t="shared" si="201"/>
        <v>0</v>
      </c>
      <c r="J1068" s="17">
        <v>2</v>
      </c>
      <c r="K1068" s="16">
        <f>IF(J1068=1,VLOOKUP(B1068,RPM!$F$2:$H$62,3,TRUE),IF(J1068=2,VLOOKUP(B1068,RPM!$I$2:$K$62,3,TRUE),IF(J1068=3,VLOOKUP(B1068,RPM!$L$2:$N$62,3,TRUE))))</f>
        <v>7000</v>
      </c>
      <c r="L1068" s="17">
        <f t="shared" si="200"/>
        <v>83.835707832547286</v>
      </c>
      <c r="M1068" s="16">
        <f t="shared" si="191"/>
        <v>0</v>
      </c>
      <c r="N1068" s="17">
        <f>VLOOKUP(K1068,RPM!$A$2:$D$62,3,FALSE)</f>
        <v>13</v>
      </c>
      <c r="O1068" s="16">
        <f>VLOOKUP(K1068,RPM!$A$2:$D$62,4,FALSE)</f>
        <v>13.235857142857142</v>
      </c>
      <c r="P1068" s="17">
        <f t="shared" si="192"/>
        <v>9.8699786714285711</v>
      </c>
      <c r="Q1068" s="16" cm="1">
        <f t="array" ref="Q1068">_xlfn.XLOOKUP(O1068,BSFC!$A$2:$A$24,_xlfn.XLOOKUP(K1068,BSFC!$B$1:$O$1,BSFC!$B$2:$O$24,,-1),,-1)</f>
        <v>520</v>
      </c>
      <c r="R1068" s="17">
        <f t="shared" si="193"/>
        <v>1.425663585873016</v>
      </c>
      <c r="S1068" s="16">
        <f t="shared" si="194"/>
        <v>2.0443068048074323E-4</v>
      </c>
      <c r="T1068" s="17">
        <f t="shared" si="197"/>
        <v>0.10630395384998648</v>
      </c>
      <c r="U1068" s="16">
        <f t="shared" si="198"/>
        <v>141.91510949262704</v>
      </c>
      <c r="V1068" s="17">
        <f t="shared" si="199"/>
        <v>0.29484542023105331</v>
      </c>
      <c r="W1068" s="16">
        <f t="shared" si="195"/>
        <v>1061443.512831792</v>
      </c>
      <c r="X1068">
        <f>('Hybrid Info'!$A$2-Track!P1068)*(L1068-L1067)*1000+X1067</f>
        <v>-50384.007101295661</v>
      </c>
    </row>
    <row r="1069" spans="1:24">
      <c r="A1069" s="16">
        <f t="shared" si="196"/>
        <v>1068</v>
      </c>
      <c r="B1069" s="17">
        <f t="shared" si="190"/>
        <v>13.411199999999999</v>
      </c>
      <c r="C1069" s="16">
        <f>Specification!$G$29</f>
        <v>164.943378</v>
      </c>
      <c r="D1069" s="17">
        <f>0.5*Specification!$K$4*Track!B1069^2*Specification!$K$3*Specification!$K$2</f>
        <v>93.159842569492653</v>
      </c>
      <c r="E1069" s="16">
        <v>0</v>
      </c>
      <c r="F1069" s="17">
        <f>Specification!$C$23*9.81*SIN((E1069*PI()/180))</f>
        <v>0</v>
      </c>
      <c r="G1069" s="18">
        <f>IF(J1069=1,VLOOKUP(K1069,RPM!$E$2:$H$62,3,FALSE)-F1069-E1069-D1069,IF(J1069=2,VLOOKUP(K1069,RPM!$H$2:$K$62,3,FALSE)-F1069-E1069-D1069,IF(J1069=3,VLOOKUP(K1069,RPM!$K$2:$N$62,3,FALSE)-F1069-E1069-D1069)))</f>
        <v>688.48526429214962</v>
      </c>
      <c r="H1069" s="19">
        <f>IF(J1069=1,Specification!$I$14,IF(J1069=2,Specification!$I$15,IF(J1069=3,Specification!$I$16)))</f>
        <v>582.50936296077191</v>
      </c>
      <c r="I1069" s="16">
        <f t="shared" si="201"/>
        <v>0</v>
      </c>
      <c r="J1069" s="17">
        <v>2</v>
      </c>
      <c r="K1069" s="16">
        <f>IF(J1069=1,VLOOKUP(B1069,RPM!$F$2:$H$62,3,TRUE),IF(J1069=2,VLOOKUP(B1069,RPM!$I$2:$K$62,3,TRUE),IF(J1069=3,VLOOKUP(B1069,RPM!$L$2:$N$62,3,TRUE))))</f>
        <v>7000</v>
      </c>
      <c r="L1069" s="17">
        <f t="shared" si="200"/>
        <v>83.910272375615762</v>
      </c>
      <c r="M1069" s="16">
        <f t="shared" si="191"/>
        <v>0</v>
      </c>
      <c r="N1069" s="17">
        <f>VLOOKUP(K1069,RPM!$A$2:$D$62,3,FALSE)</f>
        <v>13</v>
      </c>
      <c r="O1069" s="16">
        <f>VLOOKUP(K1069,RPM!$A$2:$D$62,4,FALSE)</f>
        <v>13.235857142857142</v>
      </c>
      <c r="P1069" s="17">
        <f t="shared" si="192"/>
        <v>9.8699786714285711</v>
      </c>
      <c r="Q1069" s="16" cm="1">
        <f t="array" ref="Q1069">_xlfn.XLOOKUP(O1069,BSFC!$A$2:$A$24,_xlfn.XLOOKUP(K1069,BSFC!$B$1:$O$1,BSFC!$B$2:$O$24,,-1),,-1)</f>
        <v>520</v>
      </c>
      <c r="R1069" s="17">
        <f t="shared" si="193"/>
        <v>1.425663585873016</v>
      </c>
      <c r="S1069" s="16">
        <f t="shared" si="194"/>
        <v>2.0443068048074323E-4</v>
      </c>
      <c r="T1069" s="17">
        <f t="shared" si="197"/>
        <v>0.10630395384998648</v>
      </c>
      <c r="U1069" s="16">
        <f t="shared" si="198"/>
        <v>142.02141344647703</v>
      </c>
      <c r="V1069" s="17">
        <f t="shared" si="199"/>
        <v>0.29504985091153407</v>
      </c>
      <c r="W1069" s="16">
        <f t="shared" si="195"/>
        <v>1062179.4632815227</v>
      </c>
      <c r="X1069">
        <f>('Hybrid Info'!$A$2-Track!P1069)*(L1069-L1068)*1000+X1068</f>
        <v>-50216.201392309405</v>
      </c>
    </row>
    <row r="1070" spans="1:24">
      <c r="A1070" s="16">
        <f t="shared" si="196"/>
        <v>1069</v>
      </c>
      <c r="B1070" s="17">
        <f t="shared" si="190"/>
        <v>13.411199999999999</v>
      </c>
      <c r="C1070" s="16">
        <f>Specification!$G$29</f>
        <v>164.943378</v>
      </c>
      <c r="D1070" s="17">
        <f>0.5*Specification!$K$4*Track!B1070^2*Specification!$K$3*Specification!$K$2</f>
        <v>93.159842569492653</v>
      </c>
      <c r="E1070" s="16">
        <v>0</v>
      </c>
      <c r="F1070" s="17">
        <f>Specification!$C$23*9.81*SIN((E1070*PI()/180))</f>
        <v>0</v>
      </c>
      <c r="G1070" s="18">
        <f>IF(J1070=1,VLOOKUP(K1070,RPM!$E$2:$H$62,3,FALSE)-F1070-E1070-D1070,IF(J1070=2,VLOOKUP(K1070,RPM!$H$2:$K$62,3,FALSE)-F1070-E1070-D1070,IF(J1070=3,VLOOKUP(K1070,RPM!$K$2:$N$62,3,FALSE)-F1070-E1070-D1070)))</f>
        <v>688.48526429214962</v>
      </c>
      <c r="H1070" s="19">
        <f>IF(J1070=1,Specification!$I$14,IF(J1070=2,Specification!$I$15,IF(J1070=3,Specification!$I$16)))</f>
        <v>582.50936296077191</v>
      </c>
      <c r="I1070" s="16">
        <f t="shared" si="201"/>
        <v>0</v>
      </c>
      <c r="J1070" s="17">
        <v>2</v>
      </c>
      <c r="K1070" s="16">
        <f>IF(J1070=1,VLOOKUP(B1070,RPM!$F$2:$H$62,3,TRUE),IF(J1070=2,VLOOKUP(B1070,RPM!$I$2:$K$62,3,TRUE),IF(J1070=3,VLOOKUP(B1070,RPM!$L$2:$N$62,3,TRUE))))</f>
        <v>7000</v>
      </c>
      <c r="L1070" s="17">
        <f t="shared" si="200"/>
        <v>83.984836918684238</v>
      </c>
      <c r="M1070" s="16">
        <f t="shared" si="191"/>
        <v>0</v>
      </c>
      <c r="N1070" s="17">
        <f>VLOOKUP(K1070,RPM!$A$2:$D$62,3,FALSE)</f>
        <v>13</v>
      </c>
      <c r="O1070" s="16">
        <f>VLOOKUP(K1070,RPM!$A$2:$D$62,4,FALSE)</f>
        <v>13.235857142857142</v>
      </c>
      <c r="P1070" s="17">
        <f t="shared" si="192"/>
        <v>9.8699786714285711</v>
      </c>
      <c r="Q1070" s="16" cm="1">
        <f t="array" ref="Q1070">_xlfn.XLOOKUP(O1070,BSFC!$A$2:$A$24,_xlfn.XLOOKUP(K1070,BSFC!$B$1:$O$1,BSFC!$B$2:$O$24,,-1),,-1)</f>
        <v>520</v>
      </c>
      <c r="R1070" s="17">
        <f t="shared" si="193"/>
        <v>1.425663585873016</v>
      </c>
      <c r="S1070" s="16">
        <f t="shared" si="194"/>
        <v>2.0443068048074323E-4</v>
      </c>
      <c r="T1070" s="17">
        <f t="shared" si="197"/>
        <v>0.10630395384998648</v>
      </c>
      <c r="U1070" s="16">
        <f t="shared" si="198"/>
        <v>142.12771740032701</v>
      </c>
      <c r="V1070" s="17">
        <f t="shared" si="199"/>
        <v>0.29525428159201483</v>
      </c>
      <c r="W1070" s="16">
        <f t="shared" si="195"/>
        <v>1062915.4137312532</v>
      </c>
      <c r="X1070">
        <f>('Hybrid Info'!$A$2-Track!P1070)*(L1070-L1069)*1000+X1069</f>
        <v>-50048.39568332315</v>
      </c>
    </row>
    <row r="1071" spans="1:24">
      <c r="A1071" s="16">
        <f t="shared" si="196"/>
        <v>1070</v>
      </c>
      <c r="B1071" s="17">
        <f t="shared" si="190"/>
        <v>13.411199999999999</v>
      </c>
      <c r="C1071" s="16">
        <f>Specification!$G$29</f>
        <v>164.943378</v>
      </c>
      <c r="D1071" s="17">
        <f>0.5*Specification!$K$4*Track!B1071^2*Specification!$K$3*Specification!$K$2</f>
        <v>93.159842569492653</v>
      </c>
      <c r="E1071" s="16">
        <v>0</v>
      </c>
      <c r="F1071" s="17">
        <f>Specification!$C$23*9.81*SIN((E1071*PI()/180))</f>
        <v>0</v>
      </c>
      <c r="G1071" s="18">
        <f>IF(J1071=1,VLOOKUP(K1071,RPM!$E$2:$H$62,3,FALSE)-F1071-E1071-D1071,IF(J1071=2,VLOOKUP(K1071,RPM!$H$2:$K$62,3,FALSE)-F1071-E1071-D1071,IF(J1071=3,VLOOKUP(K1071,RPM!$K$2:$N$62,3,FALSE)-F1071-E1071-D1071)))</f>
        <v>688.48526429214962</v>
      </c>
      <c r="H1071" s="19">
        <f>IF(J1071=1,Specification!$I$14,IF(J1071=2,Specification!$I$15,IF(J1071=3,Specification!$I$16)))</f>
        <v>582.50936296077191</v>
      </c>
      <c r="I1071" s="16">
        <f t="shared" si="201"/>
        <v>0</v>
      </c>
      <c r="J1071" s="17">
        <v>2</v>
      </c>
      <c r="K1071" s="16">
        <f>IF(J1071=1,VLOOKUP(B1071,RPM!$F$2:$H$62,3,TRUE),IF(J1071=2,VLOOKUP(B1071,RPM!$I$2:$K$62,3,TRUE),IF(J1071=3,VLOOKUP(B1071,RPM!$L$2:$N$62,3,TRUE))))</f>
        <v>7000</v>
      </c>
      <c r="L1071" s="17">
        <f t="shared" si="200"/>
        <v>84.059401461752714</v>
      </c>
      <c r="M1071" s="16">
        <f t="shared" si="191"/>
        <v>0</v>
      </c>
      <c r="N1071" s="17">
        <f>VLOOKUP(K1071,RPM!$A$2:$D$62,3,FALSE)</f>
        <v>13</v>
      </c>
      <c r="O1071" s="16">
        <f>VLOOKUP(K1071,RPM!$A$2:$D$62,4,FALSE)</f>
        <v>13.235857142857142</v>
      </c>
      <c r="P1071" s="17">
        <f t="shared" si="192"/>
        <v>9.8699786714285711</v>
      </c>
      <c r="Q1071" s="16" cm="1">
        <f t="array" ref="Q1071">_xlfn.XLOOKUP(O1071,BSFC!$A$2:$A$24,_xlfn.XLOOKUP(K1071,BSFC!$B$1:$O$1,BSFC!$B$2:$O$24,,-1),,-1)</f>
        <v>520</v>
      </c>
      <c r="R1071" s="17">
        <f t="shared" si="193"/>
        <v>1.425663585873016</v>
      </c>
      <c r="S1071" s="16">
        <f t="shared" si="194"/>
        <v>2.0443068048074323E-4</v>
      </c>
      <c r="T1071" s="17">
        <f t="shared" si="197"/>
        <v>0.10630395384998648</v>
      </c>
      <c r="U1071" s="16">
        <f t="shared" si="198"/>
        <v>142.234021354177</v>
      </c>
      <c r="V1071" s="17">
        <f t="shared" si="199"/>
        <v>0.29545871227249559</v>
      </c>
      <c r="W1071" s="16">
        <f t="shared" si="195"/>
        <v>1063651.364180984</v>
      </c>
      <c r="X1071">
        <f>('Hybrid Info'!$A$2-Track!P1071)*(L1071-L1070)*1000+X1070</f>
        <v>-49880.589974336894</v>
      </c>
    </row>
    <row r="1072" spans="1:24">
      <c r="A1072" s="16">
        <f t="shared" si="196"/>
        <v>1071</v>
      </c>
      <c r="B1072" s="17">
        <f t="shared" si="190"/>
        <v>13.411199999999999</v>
      </c>
      <c r="C1072" s="16">
        <f>Specification!$G$29</f>
        <v>164.943378</v>
      </c>
      <c r="D1072" s="17">
        <f>0.5*Specification!$K$4*Track!B1072^2*Specification!$K$3*Specification!$K$2</f>
        <v>93.159842569492653</v>
      </c>
      <c r="E1072" s="16">
        <v>0</v>
      </c>
      <c r="F1072" s="17">
        <f>Specification!$C$23*9.81*SIN((E1072*PI()/180))</f>
        <v>0</v>
      </c>
      <c r="G1072" s="18">
        <f>IF(J1072=1,VLOOKUP(K1072,RPM!$E$2:$H$62,3,FALSE)-F1072-E1072-D1072,IF(J1072=2,VLOOKUP(K1072,RPM!$H$2:$K$62,3,FALSE)-F1072-E1072-D1072,IF(J1072=3,VLOOKUP(K1072,RPM!$K$2:$N$62,3,FALSE)-F1072-E1072-D1072)))</f>
        <v>688.48526429214962</v>
      </c>
      <c r="H1072" s="19">
        <f>IF(J1072=1,Specification!$I$14,IF(J1072=2,Specification!$I$15,IF(J1072=3,Specification!$I$16)))</f>
        <v>582.50936296077191</v>
      </c>
      <c r="I1072" s="16">
        <f t="shared" si="201"/>
        <v>0</v>
      </c>
      <c r="J1072" s="17">
        <v>2</v>
      </c>
      <c r="K1072" s="16">
        <f>IF(J1072=1,VLOOKUP(B1072,RPM!$F$2:$H$62,3,TRUE),IF(J1072=2,VLOOKUP(B1072,RPM!$I$2:$K$62,3,TRUE),IF(J1072=3,VLOOKUP(B1072,RPM!$L$2:$N$62,3,TRUE))))</f>
        <v>7000</v>
      </c>
      <c r="L1072" s="17">
        <f t="shared" si="200"/>
        <v>84.13396600482119</v>
      </c>
      <c r="M1072" s="16">
        <f t="shared" si="191"/>
        <v>0</v>
      </c>
      <c r="N1072" s="17">
        <f>VLOOKUP(K1072,RPM!$A$2:$D$62,3,FALSE)</f>
        <v>13</v>
      </c>
      <c r="O1072" s="16">
        <f>VLOOKUP(K1072,RPM!$A$2:$D$62,4,FALSE)</f>
        <v>13.235857142857142</v>
      </c>
      <c r="P1072" s="17">
        <f t="shared" si="192"/>
        <v>9.8699786714285711</v>
      </c>
      <c r="Q1072" s="16" cm="1">
        <f t="array" ref="Q1072">_xlfn.XLOOKUP(O1072,BSFC!$A$2:$A$24,_xlfn.XLOOKUP(K1072,BSFC!$B$1:$O$1,BSFC!$B$2:$O$24,,-1),,-1)</f>
        <v>520</v>
      </c>
      <c r="R1072" s="17">
        <f t="shared" si="193"/>
        <v>1.425663585873016</v>
      </c>
      <c r="S1072" s="16">
        <f t="shared" si="194"/>
        <v>2.0443068048074323E-4</v>
      </c>
      <c r="T1072" s="17">
        <f t="shared" si="197"/>
        <v>0.10630395384998648</v>
      </c>
      <c r="U1072" s="16">
        <f t="shared" si="198"/>
        <v>142.34032530802699</v>
      </c>
      <c r="V1072" s="17">
        <f t="shared" si="199"/>
        <v>0.29566314295297635</v>
      </c>
      <c r="W1072" s="16">
        <f t="shared" si="195"/>
        <v>1064387.3146307147</v>
      </c>
      <c r="X1072">
        <f>('Hybrid Info'!$A$2-Track!P1072)*(L1072-L1071)*1000+X1071</f>
        <v>-49712.784265350638</v>
      </c>
    </row>
    <row r="1073" spans="1:24">
      <c r="A1073" s="16">
        <f t="shared" si="196"/>
        <v>1072</v>
      </c>
      <c r="B1073" s="17">
        <f t="shared" ref="B1073:B1136" si="202">IF(SQRT(B1072^2+2*I1072)&gt;13.4112,13.4112,SQRT(B1072^2+2*I1072))</f>
        <v>13.411199999999999</v>
      </c>
      <c r="C1073" s="16">
        <f>Specification!$G$29</f>
        <v>164.943378</v>
      </c>
      <c r="D1073" s="17">
        <f>0.5*Specification!$K$4*Track!B1073^2*Specification!$K$3*Specification!$K$2</f>
        <v>93.159842569492653</v>
      </c>
      <c r="E1073" s="16">
        <v>0</v>
      </c>
      <c r="F1073" s="17">
        <f>Specification!$C$23*9.81*SIN((E1073*PI()/180))</f>
        <v>0</v>
      </c>
      <c r="G1073" s="18">
        <f>IF(J1073=1,VLOOKUP(K1073,RPM!$E$2:$H$62,3,FALSE)-F1073-E1073-D1073,IF(J1073=2,VLOOKUP(K1073,RPM!$H$2:$K$62,3,FALSE)-F1073-E1073-D1073,IF(J1073=3,VLOOKUP(K1073,RPM!$K$2:$N$62,3,FALSE)-F1073-E1073-D1073)))</f>
        <v>688.48526429214962</v>
      </c>
      <c r="H1073" s="19">
        <f>IF(J1073=1,Specification!$I$14,IF(J1073=2,Specification!$I$15,IF(J1073=3,Specification!$I$16)))</f>
        <v>582.50936296077191</v>
      </c>
      <c r="I1073" s="16">
        <f t="shared" si="201"/>
        <v>0</v>
      </c>
      <c r="J1073" s="17">
        <v>2</v>
      </c>
      <c r="K1073" s="16">
        <f>IF(J1073=1,VLOOKUP(B1073,RPM!$F$2:$H$62,3,TRUE),IF(J1073=2,VLOOKUP(B1073,RPM!$I$2:$K$62,3,TRUE),IF(J1073=3,VLOOKUP(B1073,RPM!$L$2:$N$62,3,TRUE))))</f>
        <v>7000</v>
      </c>
      <c r="L1073" s="17">
        <f t="shared" si="200"/>
        <v>84.208530547889666</v>
      </c>
      <c r="M1073" s="16">
        <f t="shared" ref="M1073:M1136" si="203">TAN(E1073*PI()/180)+M1072</f>
        <v>0</v>
      </c>
      <c r="N1073" s="17">
        <f>VLOOKUP(K1073,RPM!$A$2:$D$62,3,FALSE)</f>
        <v>13</v>
      </c>
      <c r="O1073" s="16">
        <f>VLOOKUP(K1073,RPM!$A$2:$D$62,4,FALSE)</f>
        <v>13.235857142857142</v>
      </c>
      <c r="P1073" s="17">
        <f t="shared" si="192"/>
        <v>9.8699786714285711</v>
      </c>
      <c r="Q1073" s="16" cm="1">
        <f t="array" ref="Q1073">_xlfn.XLOOKUP(O1073,BSFC!$A$2:$A$24,_xlfn.XLOOKUP(K1073,BSFC!$B$1:$O$1,BSFC!$B$2:$O$24,,-1),,-1)</f>
        <v>520</v>
      </c>
      <c r="R1073" s="17">
        <f t="shared" si="193"/>
        <v>1.425663585873016</v>
      </c>
      <c r="S1073" s="16">
        <f t="shared" si="194"/>
        <v>2.0443068048074323E-4</v>
      </c>
      <c r="T1073" s="17">
        <f t="shared" si="197"/>
        <v>0.10630395384998648</v>
      </c>
      <c r="U1073" s="16">
        <f t="shared" si="198"/>
        <v>142.44662926187698</v>
      </c>
      <c r="V1073" s="17">
        <f t="shared" si="199"/>
        <v>0.29586757363345711</v>
      </c>
      <c r="W1073" s="16">
        <f t="shared" si="195"/>
        <v>1065123.2650804457</v>
      </c>
      <c r="X1073">
        <f>('Hybrid Info'!$A$2-Track!P1073)*(L1073-L1072)*1000+X1072</f>
        <v>-49544.978556364382</v>
      </c>
    </row>
    <row r="1074" spans="1:24">
      <c r="A1074" s="16">
        <f t="shared" si="196"/>
        <v>1073</v>
      </c>
      <c r="B1074" s="17">
        <f t="shared" si="202"/>
        <v>13.411199999999999</v>
      </c>
      <c r="C1074" s="16">
        <f>Specification!$G$29</f>
        <v>164.943378</v>
      </c>
      <c r="D1074" s="17">
        <f>0.5*Specification!$K$4*Track!B1074^2*Specification!$K$3*Specification!$K$2</f>
        <v>93.159842569492653</v>
      </c>
      <c r="E1074" s="16">
        <v>0</v>
      </c>
      <c r="F1074" s="17">
        <f>Specification!$C$23*9.81*SIN((E1074*PI()/180))</f>
        <v>0</v>
      </c>
      <c r="G1074" s="18">
        <f>IF(J1074=1,VLOOKUP(K1074,RPM!$E$2:$H$62,3,FALSE)-F1074-E1074-D1074,IF(J1074=2,VLOOKUP(K1074,RPM!$H$2:$K$62,3,FALSE)-F1074-E1074-D1074,IF(J1074=3,VLOOKUP(K1074,RPM!$K$2:$N$62,3,FALSE)-F1074-E1074-D1074)))</f>
        <v>688.48526429214962</v>
      </c>
      <c r="H1074" s="19">
        <f>IF(J1074=1,Specification!$I$14,IF(J1074=2,Specification!$I$15,IF(J1074=3,Specification!$I$16)))</f>
        <v>582.50936296077191</v>
      </c>
      <c r="I1074" s="16">
        <f t="shared" si="201"/>
        <v>0</v>
      </c>
      <c r="J1074" s="17">
        <v>2</v>
      </c>
      <c r="K1074" s="16">
        <f>IF(J1074=1,VLOOKUP(B1074,RPM!$F$2:$H$62,3,TRUE),IF(J1074=2,VLOOKUP(B1074,RPM!$I$2:$K$62,3,TRUE),IF(J1074=3,VLOOKUP(B1074,RPM!$L$2:$N$62,3,TRUE))))</f>
        <v>7000</v>
      </c>
      <c r="L1074" s="17">
        <f t="shared" si="200"/>
        <v>84.283095090958142</v>
      </c>
      <c r="M1074" s="16">
        <f t="shared" si="203"/>
        <v>0</v>
      </c>
      <c r="N1074" s="17">
        <f>VLOOKUP(K1074,RPM!$A$2:$D$62,3,FALSE)</f>
        <v>13</v>
      </c>
      <c r="O1074" s="16">
        <f>VLOOKUP(K1074,RPM!$A$2:$D$62,4,FALSE)</f>
        <v>13.235857142857142</v>
      </c>
      <c r="P1074" s="17">
        <f t="shared" si="192"/>
        <v>9.8699786714285711</v>
      </c>
      <c r="Q1074" s="16" cm="1">
        <f t="array" ref="Q1074">_xlfn.XLOOKUP(O1074,BSFC!$A$2:$A$24,_xlfn.XLOOKUP(K1074,BSFC!$B$1:$O$1,BSFC!$B$2:$O$24,,-1),,-1)</f>
        <v>520</v>
      </c>
      <c r="R1074" s="17">
        <f t="shared" si="193"/>
        <v>1.425663585873016</v>
      </c>
      <c r="S1074" s="16">
        <f t="shared" si="194"/>
        <v>2.0443068048074323E-4</v>
      </c>
      <c r="T1074" s="17">
        <f t="shared" si="197"/>
        <v>0.10630395384998648</v>
      </c>
      <c r="U1074" s="16">
        <f t="shared" si="198"/>
        <v>142.55293321572697</v>
      </c>
      <c r="V1074" s="17">
        <f t="shared" si="199"/>
        <v>0.29607200431393788</v>
      </c>
      <c r="W1074" s="16">
        <f t="shared" si="195"/>
        <v>1065859.2155301764</v>
      </c>
      <c r="X1074">
        <f>('Hybrid Info'!$A$2-Track!P1074)*(L1074-L1073)*1000+X1073</f>
        <v>-49377.172847378126</v>
      </c>
    </row>
    <row r="1075" spans="1:24">
      <c r="A1075" s="16">
        <f t="shared" si="196"/>
        <v>1074</v>
      </c>
      <c r="B1075" s="17">
        <f t="shared" si="202"/>
        <v>13.411199999999999</v>
      </c>
      <c r="C1075" s="16">
        <f>Specification!$G$29</f>
        <v>164.943378</v>
      </c>
      <c r="D1075" s="17">
        <f>0.5*Specification!$K$4*Track!B1075^2*Specification!$K$3*Specification!$K$2</f>
        <v>93.159842569492653</v>
      </c>
      <c r="E1075" s="16">
        <v>0</v>
      </c>
      <c r="F1075" s="17">
        <f>Specification!$C$23*9.81*SIN((E1075*PI()/180))</f>
        <v>0</v>
      </c>
      <c r="G1075" s="18">
        <f>IF(J1075=1,VLOOKUP(K1075,RPM!$E$2:$H$62,3,FALSE)-F1075-E1075-D1075,IF(J1075=2,VLOOKUP(K1075,RPM!$H$2:$K$62,3,FALSE)-F1075-E1075-D1075,IF(J1075=3,VLOOKUP(K1075,RPM!$K$2:$N$62,3,FALSE)-F1075-E1075-D1075)))</f>
        <v>688.48526429214962</v>
      </c>
      <c r="H1075" s="19">
        <f>IF(J1075=1,Specification!$I$14,IF(J1075=2,Specification!$I$15,IF(J1075=3,Specification!$I$16)))</f>
        <v>582.50936296077191</v>
      </c>
      <c r="I1075" s="16">
        <f t="shared" si="201"/>
        <v>0</v>
      </c>
      <c r="J1075" s="17">
        <v>2</v>
      </c>
      <c r="K1075" s="16">
        <f>IF(J1075=1,VLOOKUP(B1075,RPM!$F$2:$H$62,3,TRUE),IF(J1075=2,VLOOKUP(B1075,RPM!$I$2:$K$62,3,TRUE),IF(J1075=3,VLOOKUP(B1075,RPM!$L$2:$N$62,3,TRUE))))</f>
        <v>7000</v>
      </c>
      <c r="L1075" s="17">
        <f t="shared" si="200"/>
        <v>84.357659634026618</v>
      </c>
      <c r="M1075" s="16">
        <f t="shared" si="203"/>
        <v>0</v>
      </c>
      <c r="N1075" s="17">
        <f>VLOOKUP(K1075,RPM!$A$2:$D$62,3,FALSE)</f>
        <v>13</v>
      </c>
      <c r="O1075" s="16">
        <f>VLOOKUP(K1075,RPM!$A$2:$D$62,4,FALSE)</f>
        <v>13.235857142857142</v>
      </c>
      <c r="P1075" s="17">
        <f t="shared" si="192"/>
        <v>9.8699786714285711</v>
      </c>
      <c r="Q1075" s="16" cm="1">
        <f t="array" ref="Q1075">_xlfn.XLOOKUP(O1075,BSFC!$A$2:$A$24,_xlfn.XLOOKUP(K1075,BSFC!$B$1:$O$1,BSFC!$B$2:$O$24,,-1),,-1)</f>
        <v>520</v>
      </c>
      <c r="R1075" s="17">
        <f t="shared" si="193"/>
        <v>1.425663585873016</v>
      </c>
      <c r="S1075" s="16">
        <f t="shared" si="194"/>
        <v>2.0443068048074323E-4</v>
      </c>
      <c r="T1075" s="17">
        <f t="shared" si="197"/>
        <v>0.10630395384998648</v>
      </c>
      <c r="U1075" s="16">
        <f t="shared" si="198"/>
        <v>142.65923716957695</v>
      </c>
      <c r="V1075" s="17">
        <f t="shared" si="199"/>
        <v>0.29627643499441864</v>
      </c>
      <c r="W1075" s="16">
        <f t="shared" si="195"/>
        <v>1066595.1659799071</v>
      </c>
      <c r="X1075">
        <f>('Hybrid Info'!$A$2-Track!P1075)*(L1075-L1074)*1000+X1074</f>
        <v>-49209.36713839187</v>
      </c>
    </row>
    <row r="1076" spans="1:24">
      <c r="A1076" s="16">
        <f t="shared" si="196"/>
        <v>1075</v>
      </c>
      <c r="B1076" s="17">
        <f t="shared" si="202"/>
        <v>13.411199999999999</v>
      </c>
      <c r="C1076" s="16">
        <f>Specification!$G$29</f>
        <v>164.943378</v>
      </c>
      <c r="D1076" s="17">
        <f>0.5*Specification!$K$4*Track!B1076^2*Specification!$K$3*Specification!$K$2</f>
        <v>93.159842569492653</v>
      </c>
      <c r="E1076" s="16">
        <v>0</v>
      </c>
      <c r="F1076" s="17">
        <f>Specification!$C$23*9.81*SIN((E1076*PI()/180))</f>
        <v>0</v>
      </c>
      <c r="G1076" s="18">
        <f>IF(J1076=1,VLOOKUP(K1076,RPM!$E$2:$H$62,3,FALSE)-F1076-E1076-D1076,IF(J1076=2,VLOOKUP(K1076,RPM!$H$2:$K$62,3,FALSE)-F1076-E1076-D1076,IF(J1076=3,VLOOKUP(K1076,RPM!$K$2:$N$62,3,FALSE)-F1076-E1076-D1076)))</f>
        <v>688.48526429214962</v>
      </c>
      <c r="H1076" s="19">
        <f>IF(J1076=1,Specification!$I$14,IF(J1076=2,Specification!$I$15,IF(J1076=3,Specification!$I$16)))</f>
        <v>582.50936296077191</v>
      </c>
      <c r="I1076" s="16">
        <f t="shared" si="201"/>
        <v>0</v>
      </c>
      <c r="J1076" s="17">
        <v>2</v>
      </c>
      <c r="K1076" s="16">
        <f>IF(J1076=1,VLOOKUP(B1076,RPM!$F$2:$H$62,3,TRUE),IF(J1076=2,VLOOKUP(B1076,RPM!$I$2:$K$62,3,TRUE),IF(J1076=3,VLOOKUP(B1076,RPM!$L$2:$N$62,3,TRUE))))</f>
        <v>7000</v>
      </c>
      <c r="L1076" s="17">
        <f t="shared" si="200"/>
        <v>84.432224177095094</v>
      </c>
      <c r="M1076" s="16">
        <f t="shared" si="203"/>
        <v>0</v>
      </c>
      <c r="N1076" s="17">
        <f>VLOOKUP(K1076,RPM!$A$2:$D$62,3,FALSE)</f>
        <v>13</v>
      </c>
      <c r="O1076" s="16">
        <f>VLOOKUP(K1076,RPM!$A$2:$D$62,4,FALSE)</f>
        <v>13.235857142857142</v>
      </c>
      <c r="P1076" s="17">
        <f t="shared" si="192"/>
        <v>9.8699786714285711</v>
      </c>
      <c r="Q1076" s="16" cm="1">
        <f t="array" ref="Q1076">_xlfn.XLOOKUP(O1076,BSFC!$A$2:$A$24,_xlfn.XLOOKUP(K1076,BSFC!$B$1:$O$1,BSFC!$B$2:$O$24,,-1),,-1)</f>
        <v>520</v>
      </c>
      <c r="R1076" s="17">
        <f t="shared" si="193"/>
        <v>1.425663585873016</v>
      </c>
      <c r="S1076" s="16">
        <f t="shared" si="194"/>
        <v>2.0443068048074323E-4</v>
      </c>
      <c r="T1076" s="17">
        <f t="shared" si="197"/>
        <v>0.10630395384998648</v>
      </c>
      <c r="U1076" s="16">
        <f t="shared" si="198"/>
        <v>142.76554112342694</v>
      </c>
      <c r="V1076" s="17">
        <f t="shared" si="199"/>
        <v>0.2964808656748994</v>
      </c>
      <c r="W1076" s="16">
        <f t="shared" si="195"/>
        <v>1067331.1164296379</v>
      </c>
      <c r="X1076">
        <f>('Hybrid Info'!$A$2-Track!P1076)*(L1076-L1075)*1000+X1075</f>
        <v>-49041.561429405614</v>
      </c>
    </row>
    <row r="1077" spans="1:24">
      <c r="A1077" s="16">
        <f t="shared" si="196"/>
        <v>1076</v>
      </c>
      <c r="B1077" s="17">
        <f t="shared" si="202"/>
        <v>13.411199999999999</v>
      </c>
      <c r="C1077" s="16">
        <f>Specification!$G$29</f>
        <v>164.943378</v>
      </c>
      <c r="D1077" s="17">
        <f>0.5*Specification!$K$4*Track!B1077^2*Specification!$K$3*Specification!$K$2</f>
        <v>93.159842569492653</v>
      </c>
      <c r="E1077" s="16">
        <v>0</v>
      </c>
      <c r="F1077" s="17">
        <f>Specification!$C$23*9.81*SIN((E1077*PI()/180))</f>
        <v>0</v>
      </c>
      <c r="G1077" s="18">
        <f>IF(J1077=1,VLOOKUP(K1077,RPM!$E$2:$H$62,3,FALSE)-F1077-E1077-D1077,IF(J1077=2,VLOOKUP(K1077,RPM!$H$2:$K$62,3,FALSE)-F1077-E1077-D1077,IF(J1077=3,VLOOKUP(K1077,RPM!$K$2:$N$62,3,FALSE)-F1077-E1077-D1077)))</f>
        <v>688.48526429214962</v>
      </c>
      <c r="H1077" s="19">
        <f>IF(J1077=1,Specification!$I$14,IF(J1077=2,Specification!$I$15,IF(J1077=3,Specification!$I$16)))</f>
        <v>582.50936296077191</v>
      </c>
      <c r="I1077" s="16">
        <f t="shared" si="201"/>
        <v>0</v>
      </c>
      <c r="J1077" s="17">
        <v>2</v>
      </c>
      <c r="K1077" s="16">
        <f>IF(J1077=1,VLOOKUP(B1077,RPM!$F$2:$H$62,3,TRUE),IF(J1077=2,VLOOKUP(B1077,RPM!$I$2:$K$62,3,TRUE),IF(J1077=3,VLOOKUP(B1077,RPM!$L$2:$N$62,3,TRUE))))</f>
        <v>7000</v>
      </c>
      <c r="L1077" s="17">
        <f t="shared" si="200"/>
        <v>84.50678872016357</v>
      </c>
      <c r="M1077" s="16">
        <f t="shared" si="203"/>
        <v>0</v>
      </c>
      <c r="N1077" s="17">
        <f>VLOOKUP(K1077,RPM!$A$2:$D$62,3,FALSE)</f>
        <v>13</v>
      </c>
      <c r="O1077" s="16">
        <f>VLOOKUP(K1077,RPM!$A$2:$D$62,4,FALSE)</f>
        <v>13.235857142857142</v>
      </c>
      <c r="P1077" s="17">
        <f t="shared" si="192"/>
        <v>9.8699786714285711</v>
      </c>
      <c r="Q1077" s="16" cm="1">
        <f t="array" ref="Q1077">_xlfn.XLOOKUP(O1077,BSFC!$A$2:$A$24,_xlfn.XLOOKUP(K1077,BSFC!$B$1:$O$1,BSFC!$B$2:$O$24,,-1),,-1)</f>
        <v>520</v>
      </c>
      <c r="R1077" s="17">
        <f t="shared" si="193"/>
        <v>1.425663585873016</v>
      </c>
      <c r="S1077" s="16">
        <f t="shared" si="194"/>
        <v>2.0443068048074323E-4</v>
      </c>
      <c r="T1077" s="17">
        <f t="shared" si="197"/>
        <v>0.10630395384998648</v>
      </c>
      <c r="U1077" s="16">
        <f t="shared" si="198"/>
        <v>142.87184507727693</v>
      </c>
      <c r="V1077" s="17">
        <f t="shared" si="199"/>
        <v>0.29668529635538016</v>
      </c>
      <c r="W1077" s="16">
        <f t="shared" si="195"/>
        <v>1068067.0668793686</v>
      </c>
      <c r="X1077">
        <f>('Hybrid Info'!$A$2-Track!P1077)*(L1077-L1076)*1000+X1076</f>
        <v>-48873.755720419358</v>
      </c>
    </row>
    <row r="1078" spans="1:24">
      <c r="A1078" s="16">
        <f t="shared" si="196"/>
        <v>1077</v>
      </c>
      <c r="B1078" s="17">
        <f t="shared" si="202"/>
        <v>13.411199999999999</v>
      </c>
      <c r="C1078" s="16">
        <f>Specification!$G$29</f>
        <v>164.943378</v>
      </c>
      <c r="D1078" s="17">
        <f>0.5*Specification!$K$4*Track!B1078^2*Specification!$K$3*Specification!$K$2</f>
        <v>93.159842569492653</v>
      </c>
      <c r="E1078" s="16">
        <v>0</v>
      </c>
      <c r="F1078" s="17">
        <f>Specification!$C$23*9.81*SIN((E1078*PI()/180))</f>
        <v>0</v>
      </c>
      <c r="G1078" s="18">
        <f>IF(J1078=1,VLOOKUP(K1078,RPM!$E$2:$H$62,3,FALSE)-F1078-E1078-D1078,IF(J1078=2,VLOOKUP(K1078,RPM!$H$2:$K$62,3,FALSE)-F1078-E1078-D1078,IF(J1078=3,VLOOKUP(K1078,RPM!$K$2:$N$62,3,FALSE)-F1078-E1078-D1078)))</f>
        <v>688.48526429214962</v>
      </c>
      <c r="H1078" s="19">
        <f>IF(J1078=1,Specification!$I$14,IF(J1078=2,Specification!$I$15,IF(J1078=3,Specification!$I$16)))</f>
        <v>582.50936296077191</v>
      </c>
      <c r="I1078" s="16">
        <f t="shared" si="201"/>
        <v>0</v>
      </c>
      <c r="J1078" s="17">
        <v>2</v>
      </c>
      <c r="K1078" s="16">
        <f>IF(J1078=1,VLOOKUP(B1078,RPM!$F$2:$H$62,3,TRUE),IF(J1078=2,VLOOKUP(B1078,RPM!$I$2:$K$62,3,TRUE),IF(J1078=3,VLOOKUP(B1078,RPM!$L$2:$N$62,3,TRUE))))</f>
        <v>7000</v>
      </c>
      <c r="L1078" s="17">
        <f t="shared" si="200"/>
        <v>84.581353263232046</v>
      </c>
      <c r="M1078" s="16">
        <f t="shared" si="203"/>
        <v>0</v>
      </c>
      <c r="N1078" s="17">
        <f>VLOOKUP(K1078,RPM!$A$2:$D$62,3,FALSE)</f>
        <v>13</v>
      </c>
      <c r="O1078" s="16">
        <f>VLOOKUP(K1078,RPM!$A$2:$D$62,4,FALSE)</f>
        <v>13.235857142857142</v>
      </c>
      <c r="P1078" s="17">
        <f t="shared" si="192"/>
        <v>9.8699786714285711</v>
      </c>
      <c r="Q1078" s="16" cm="1">
        <f t="array" ref="Q1078">_xlfn.XLOOKUP(O1078,BSFC!$A$2:$A$24,_xlfn.XLOOKUP(K1078,BSFC!$B$1:$O$1,BSFC!$B$2:$O$24,,-1),,-1)</f>
        <v>520</v>
      </c>
      <c r="R1078" s="17">
        <f t="shared" si="193"/>
        <v>1.425663585873016</v>
      </c>
      <c r="S1078" s="16">
        <f t="shared" si="194"/>
        <v>2.0443068048074323E-4</v>
      </c>
      <c r="T1078" s="17">
        <f t="shared" si="197"/>
        <v>0.10630395384998648</v>
      </c>
      <c r="U1078" s="16">
        <f t="shared" si="198"/>
        <v>142.97814903112692</v>
      </c>
      <c r="V1078" s="17">
        <f t="shared" si="199"/>
        <v>0.29688972703586092</v>
      </c>
      <c r="W1078" s="16">
        <f t="shared" si="195"/>
        <v>1068803.0173290994</v>
      </c>
      <c r="X1078">
        <f>('Hybrid Info'!$A$2-Track!P1078)*(L1078-L1077)*1000+X1077</f>
        <v>-48705.950011433102</v>
      </c>
    </row>
    <row r="1079" spans="1:24">
      <c r="A1079" s="16">
        <f t="shared" si="196"/>
        <v>1078</v>
      </c>
      <c r="B1079" s="17">
        <f t="shared" si="202"/>
        <v>13.411199999999999</v>
      </c>
      <c r="C1079" s="16">
        <f>Specification!$G$29</f>
        <v>164.943378</v>
      </c>
      <c r="D1079" s="17">
        <f>0.5*Specification!$K$4*Track!B1079^2*Specification!$K$3*Specification!$K$2</f>
        <v>93.159842569492653</v>
      </c>
      <c r="E1079" s="16">
        <v>0</v>
      </c>
      <c r="F1079" s="17">
        <f>Specification!$C$23*9.81*SIN((E1079*PI()/180))</f>
        <v>0</v>
      </c>
      <c r="G1079" s="18">
        <f>IF(J1079=1,VLOOKUP(K1079,RPM!$E$2:$H$62,3,FALSE)-F1079-E1079-D1079,IF(J1079=2,VLOOKUP(K1079,RPM!$H$2:$K$62,3,FALSE)-F1079-E1079-D1079,IF(J1079=3,VLOOKUP(K1079,RPM!$K$2:$N$62,3,FALSE)-F1079-E1079-D1079)))</f>
        <v>688.48526429214962</v>
      </c>
      <c r="H1079" s="19">
        <f>IF(J1079=1,Specification!$I$14,IF(J1079=2,Specification!$I$15,IF(J1079=3,Specification!$I$16)))</f>
        <v>582.50936296077191</v>
      </c>
      <c r="I1079" s="16">
        <f t="shared" si="201"/>
        <v>0</v>
      </c>
      <c r="J1079" s="17">
        <v>2</v>
      </c>
      <c r="K1079" s="16">
        <f>IF(J1079=1,VLOOKUP(B1079,RPM!$F$2:$H$62,3,TRUE),IF(J1079=2,VLOOKUP(B1079,RPM!$I$2:$K$62,3,TRUE),IF(J1079=3,VLOOKUP(B1079,RPM!$L$2:$N$62,3,TRUE))))</f>
        <v>7000</v>
      </c>
      <c r="L1079" s="17">
        <f t="shared" si="200"/>
        <v>84.655917806300522</v>
      </c>
      <c r="M1079" s="16">
        <f t="shared" si="203"/>
        <v>0</v>
      </c>
      <c r="N1079" s="17">
        <f>VLOOKUP(K1079,RPM!$A$2:$D$62,3,FALSE)</f>
        <v>13</v>
      </c>
      <c r="O1079" s="16">
        <f>VLOOKUP(K1079,RPM!$A$2:$D$62,4,FALSE)</f>
        <v>13.235857142857142</v>
      </c>
      <c r="P1079" s="17">
        <f t="shared" si="192"/>
        <v>9.8699786714285711</v>
      </c>
      <c r="Q1079" s="16" cm="1">
        <f t="array" ref="Q1079">_xlfn.XLOOKUP(O1079,BSFC!$A$2:$A$24,_xlfn.XLOOKUP(K1079,BSFC!$B$1:$O$1,BSFC!$B$2:$O$24,,-1),,-1)</f>
        <v>520</v>
      </c>
      <c r="R1079" s="17">
        <f t="shared" si="193"/>
        <v>1.425663585873016</v>
      </c>
      <c r="S1079" s="16">
        <f t="shared" si="194"/>
        <v>2.0443068048074323E-4</v>
      </c>
      <c r="T1079" s="17">
        <f t="shared" si="197"/>
        <v>0.10630395384998648</v>
      </c>
      <c r="U1079" s="16">
        <f t="shared" si="198"/>
        <v>143.08445298497691</v>
      </c>
      <c r="V1079" s="17">
        <f t="shared" si="199"/>
        <v>0.29709415771634168</v>
      </c>
      <c r="W1079" s="16">
        <f t="shared" si="195"/>
        <v>1069538.9677788301</v>
      </c>
      <c r="X1079">
        <f>('Hybrid Info'!$A$2-Track!P1079)*(L1079-L1078)*1000+X1078</f>
        <v>-48538.144302446846</v>
      </c>
    </row>
    <row r="1080" spans="1:24">
      <c r="A1080" s="16">
        <f t="shared" si="196"/>
        <v>1079</v>
      </c>
      <c r="B1080" s="17">
        <f t="shared" si="202"/>
        <v>13.411199999999999</v>
      </c>
      <c r="C1080" s="16">
        <f>Specification!$G$29</f>
        <v>164.943378</v>
      </c>
      <c r="D1080" s="17">
        <f>0.5*Specification!$K$4*Track!B1080^2*Specification!$K$3*Specification!$K$2</f>
        <v>93.159842569492653</v>
      </c>
      <c r="E1080" s="16">
        <v>0</v>
      </c>
      <c r="F1080" s="17">
        <f>Specification!$C$23*9.81*SIN((E1080*PI()/180))</f>
        <v>0</v>
      </c>
      <c r="G1080" s="18">
        <f>IF(J1080=1,VLOOKUP(K1080,RPM!$E$2:$H$62,3,FALSE)-F1080-E1080-D1080,IF(J1080=2,VLOOKUP(K1080,RPM!$H$2:$K$62,3,FALSE)-F1080-E1080-D1080,IF(J1080=3,VLOOKUP(K1080,RPM!$K$2:$N$62,3,FALSE)-F1080-E1080-D1080)))</f>
        <v>688.48526429214962</v>
      </c>
      <c r="H1080" s="19">
        <f>IF(J1080=1,Specification!$I$14,IF(J1080=2,Specification!$I$15,IF(J1080=3,Specification!$I$16)))</f>
        <v>582.50936296077191</v>
      </c>
      <c r="I1080" s="16">
        <f t="shared" si="201"/>
        <v>0</v>
      </c>
      <c r="J1080" s="17">
        <v>2</v>
      </c>
      <c r="K1080" s="16">
        <f>IF(J1080=1,VLOOKUP(B1080,RPM!$F$2:$H$62,3,TRUE),IF(J1080=2,VLOOKUP(B1080,RPM!$I$2:$K$62,3,TRUE),IF(J1080=3,VLOOKUP(B1080,RPM!$L$2:$N$62,3,TRUE))))</f>
        <v>7000</v>
      </c>
      <c r="L1080" s="17">
        <f t="shared" si="200"/>
        <v>84.730482349368998</v>
      </c>
      <c r="M1080" s="16">
        <f t="shared" si="203"/>
        <v>0</v>
      </c>
      <c r="N1080" s="17">
        <f>VLOOKUP(K1080,RPM!$A$2:$D$62,3,FALSE)</f>
        <v>13</v>
      </c>
      <c r="O1080" s="16">
        <f>VLOOKUP(K1080,RPM!$A$2:$D$62,4,FALSE)</f>
        <v>13.235857142857142</v>
      </c>
      <c r="P1080" s="17">
        <f t="shared" si="192"/>
        <v>9.8699786714285711</v>
      </c>
      <c r="Q1080" s="16" cm="1">
        <f t="array" ref="Q1080">_xlfn.XLOOKUP(O1080,BSFC!$A$2:$A$24,_xlfn.XLOOKUP(K1080,BSFC!$B$1:$O$1,BSFC!$B$2:$O$24,,-1),,-1)</f>
        <v>520</v>
      </c>
      <c r="R1080" s="17">
        <f t="shared" si="193"/>
        <v>1.425663585873016</v>
      </c>
      <c r="S1080" s="16">
        <f t="shared" si="194"/>
        <v>2.0443068048074323E-4</v>
      </c>
      <c r="T1080" s="17">
        <f t="shared" si="197"/>
        <v>0.10630395384998648</v>
      </c>
      <c r="U1080" s="16">
        <f t="shared" si="198"/>
        <v>143.19075693882689</v>
      </c>
      <c r="V1080" s="17">
        <f t="shared" si="199"/>
        <v>0.29729858839682244</v>
      </c>
      <c r="W1080" s="16">
        <f t="shared" si="195"/>
        <v>1070274.9182285608</v>
      </c>
      <c r="X1080">
        <f>('Hybrid Info'!$A$2-Track!P1080)*(L1080-L1079)*1000+X1079</f>
        <v>-48370.33859346059</v>
      </c>
    </row>
    <row r="1081" spans="1:24">
      <c r="A1081" s="16">
        <f t="shared" si="196"/>
        <v>1080</v>
      </c>
      <c r="B1081" s="17">
        <f t="shared" si="202"/>
        <v>13.411199999999999</v>
      </c>
      <c r="C1081" s="16">
        <f>Specification!$G$29</f>
        <v>164.943378</v>
      </c>
      <c r="D1081" s="17">
        <f>0.5*Specification!$K$4*Track!B1081^2*Specification!$K$3*Specification!$K$2</f>
        <v>93.159842569492653</v>
      </c>
      <c r="E1081" s="16">
        <v>0</v>
      </c>
      <c r="F1081" s="17">
        <f>Specification!$C$23*9.81*SIN((E1081*PI()/180))</f>
        <v>0</v>
      </c>
      <c r="G1081" s="18">
        <f>IF(J1081=1,VLOOKUP(K1081,RPM!$E$2:$H$62,3,FALSE)-F1081-E1081-D1081,IF(J1081=2,VLOOKUP(K1081,RPM!$H$2:$K$62,3,FALSE)-F1081-E1081-D1081,IF(J1081=3,VLOOKUP(K1081,RPM!$K$2:$N$62,3,FALSE)-F1081-E1081-D1081)))</f>
        <v>688.48526429214962</v>
      </c>
      <c r="H1081" s="19">
        <f>IF(J1081=1,Specification!$I$14,IF(J1081=2,Specification!$I$15,IF(J1081=3,Specification!$I$16)))</f>
        <v>582.50936296077191</v>
      </c>
      <c r="I1081" s="16">
        <f t="shared" si="201"/>
        <v>0</v>
      </c>
      <c r="J1081" s="17">
        <v>2</v>
      </c>
      <c r="K1081" s="16">
        <f>IF(J1081=1,VLOOKUP(B1081,RPM!$F$2:$H$62,3,TRUE),IF(J1081=2,VLOOKUP(B1081,RPM!$I$2:$K$62,3,TRUE),IF(J1081=3,VLOOKUP(B1081,RPM!$L$2:$N$62,3,TRUE))))</f>
        <v>7000</v>
      </c>
      <c r="L1081" s="17">
        <f t="shared" si="200"/>
        <v>84.805046892437474</v>
      </c>
      <c r="M1081" s="16">
        <f t="shared" si="203"/>
        <v>0</v>
      </c>
      <c r="N1081" s="17">
        <f>VLOOKUP(K1081,RPM!$A$2:$D$62,3,FALSE)</f>
        <v>13</v>
      </c>
      <c r="O1081" s="16">
        <f>VLOOKUP(K1081,RPM!$A$2:$D$62,4,FALSE)</f>
        <v>13.235857142857142</v>
      </c>
      <c r="P1081" s="17">
        <f t="shared" si="192"/>
        <v>9.8699786714285711</v>
      </c>
      <c r="Q1081" s="16" cm="1">
        <f t="array" ref="Q1081">_xlfn.XLOOKUP(O1081,BSFC!$A$2:$A$24,_xlfn.XLOOKUP(K1081,BSFC!$B$1:$O$1,BSFC!$B$2:$O$24,,-1),,-1)</f>
        <v>520</v>
      </c>
      <c r="R1081" s="17">
        <f t="shared" si="193"/>
        <v>1.425663585873016</v>
      </c>
      <c r="S1081" s="16">
        <f t="shared" si="194"/>
        <v>2.0443068048074323E-4</v>
      </c>
      <c r="T1081" s="17">
        <f t="shared" si="197"/>
        <v>0.10630395384998648</v>
      </c>
      <c r="U1081" s="16">
        <f t="shared" si="198"/>
        <v>143.29706089267688</v>
      </c>
      <c r="V1081" s="17">
        <f t="shared" si="199"/>
        <v>0.2975030190773032</v>
      </c>
      <c r="W1081" s="16">
        <f t="shared" si="195"/>
        <v>1071010.8686782913</v>
      </c>
      <c r="X1081">
        <f>('Hybrid Info'!$A$2-Track!P1081)*(L1081-L1080)*1000+X1080</f>
        <v>-48202.532884474334</v>
      </c>
    </row>
    <row r="1082" spans="1:24">
      <c r="A1082" s="16">
        <f t="shared" si="196"/>
        <v>1081</v>
      </c>
      <c r="B1082" s="17">
        <f t="shared" si="202"/>
        <v>13.411199999999999</v>
      </c>
      <c r="C1082" s="16">
        <f>Specification!$G$29</f>
        <v>164.943378</v>
      </c>
      <c r="D1082" s="17">
        <f>0.5*Specification!$K$4*Track!B1082^2*Specification!$K$3*Specification!$K$2</f>
        <v>93.159842569492653</v>
      </c>
      <c r="E1082" s="16">
        <v>0</v>
      </c>
      <c r="F1082" s="17">
        <f>Specification!$C$23*9.81*SIN((E1082*PI()/180))</f>
        <v>0</v>
      </c>
      <c r="G1082" s="18">
        <f>IF(J1082=1,VLOOKUP(K1082,RPM!$E$2:$H$62,3,FALSE)-F1082-E1082-D1082,IF(J1082=2,VLOOKUP(K1082,RPM!$H$2:$K$62,3,FALSE)-F1082-E1082-D1082,IF(J1082=3,VLOOKUP(K1082,RPM!$K$2:$N$62,3,FALSE)-F1082-E1082-D1082)))</f>
        <v>688.48526429214962</v>
      </c>
      <c r="H1082" s="19">
        <f>IF(J1082=1,Specification!$I$14,IF(J1082=2,Specification!$I$15,IF(J1082=3,Specification!$I$16)))</f>
        <v>582.50936296077191</v>
      </c>
      <c r="I1082" s="16">
        <f t="shared" si="201"/>
        <v>0</v>
      </c>
      <c r="J1082" s="17">
        <v>2</v>
      </c>
      <c r="K1082" s="16">
        <f>IF(J1082=1,VLOOKUP(B1082,RPM!$F$2:$H$62,3,TRUE),IF(J1082=2,VLOOKUP(B1082,RPM!$I$2:$K$62,3,TRUE),IF(J1082=3,VLOOKUP(B1082,RPM!$L$2:$N$62,3,TRUE))))</f>
        <v>7000</v>
      </c>
      <c r="L1082" s="17">
        <f t="shared" si="200"/>
        <v>84.87961143550595</v>
      </c>
      <c r="M1082" s="16">
        <f t="shared" si="203"/>
        <v>0</v>
      </c>
      <c r="N1082" s="17">
        <f>VLOOKUP(K1082,RPM!$A$2:$D$62,3,FALSE)</f>
        <v>13</v>
      </c>
      <c r="O1082" s="16">
        <f>VLOOKUP(K1082,RPM!$A$2:$D$62,4,FALSE)</f>
        <v>13.235857142857142</v>
      </c>
      <c r="P1082" s="17">
        <f t="shared" si="192"/>
        <v>9.8699786714285711</v>
      </c>
      <c r="Q1082" s="16" cm="1">
        <f t="array" ref="Q1082">_xlfn.XLOOKUP(O1082,BSFC!$A$2:$A$24,_xlfn.XLOOKUP(K1082,BSFC!$B$1:$O$1,BSFC!$B$2:$O$24,,-1),,-1)</f>
        <v>520</v>
      </c>
      <c r="R1082" s="17">
        <f t="shared" si="193"/>
        <v>1.425663585873016</v>
      </c>
      <c r="S1082" s="16">
        <f t="shared" si="194"/>
        <v>2.0443068048074323E-4</v>
      </c>
      <c r="T1082" s="17">
        <f t="shared" si="197"/>
        <v>0.10630395384998648</v>
      </c>
      <c r="U1082" s="16">
        <f t="shared" si="198"/>
        <v>143.40336484652687</v>
      </c>
      <c r="V1082" s="17">
        <f t="shared" si="199"/>
        <v>0.29770744975778396</v>
      </c>
      <c r="W1082" s="16">
        <f t="shared" si="195"/>
        <v>1071746.8191280221</v>
      </c>
      <c r="X1082">
        <f>('Hybrid Info'!$A$2-Track!P1082)*(L1082-L1081)*1000+X1081</f>
        <v>-48034.727175488079</v>
      </c>
    </row>
    <row r="1083" spans="1:24">
      <c r="A1083" s="16">
        <f t="shared" si="196"/>
        <v>1082</v>
      </c>
      <c r="B1083" s="17">
        <f t="shared" si="202"/>
        <v>13.411199999999999</v>
      </c>
      <c r="C1083" s="16">
        <f>Specification!$G$29</f>
        <v>164.943378</v>
      </c>
      <c r="D1083" s="17">
        <f>0.5*Specification!$K$4*Track!B1083^2*Specification!$K$3*Specification!$K$2</f>
        <v>93.159842569492653</v>
      </c>
      <c r="E1083" s="16">
        <v>0</v>
      </c>
      <c r="F1083" s="17">
        <f>Specification!$C$23*9.81*SIN((E1083*PI()/180))</f>
        <v>0</v>
      </c>
      <c r="G1083" s="18">
        <f>IF(J1083=1,VLOOKUP(K1083,RPM!$E$2:$H$62,3,FALSE)-F1083-E1083-D1083,IF(J1083=2,VLOOKUP(K1083,RPM!$H$2:$K$62,3,FALSE)-F1083-E1083-D1083,IF(J1083=3,VLOOKUP(K1083,RPM!$K$2:$N$62,3,FALSE)-F1083-E1083-D1083)))</f>
        <v>688.48526429214962</v>
      </c>
      <c r="H1083" s="19">
        <f>IF(J1083=1,Specification!$I$14,IF(J1083=2,Specification!$I$15,IF(J1083=3,Specification!$I$16)))</f>
        <v>582.50936296077191</v>
      </c>
      <c r="I1083" s="16">
        <f t="shared" si="201"/>
        <v>0</v>
      </c>
      <c r="J1083" s="17">
        <v>2</v>
      </c>
      <c r="K1083" s="16">
        <f>IF(J1083=1,VLOOKUP(B1083,RPM!$F$2:$H$62,3,TRUE),IF(J1083=2,VLOOKUP(B1083,RPM!$I$2:$K$62,3,TRUE),IF(J1083=3,VLOOKUP(B1083,RPM!$L$2:$N$62,3,TRUE))))</f>
        <v>7000</v>
      </c>
      <c r="L1083" s="17">
        <f t="shared" si="200"/>
        <v>84.954175978574426</v>
      </c>
      <c r="M1083" s="16">
        <f t="shared" si="203"/>
        <v>0</v>
      </c>
      <c r="N1083" s="17">
        <f>VLOOKUP(K1083,RPM!$A$2:$D$62,3,FALSE)</f>
        <v>13</v>
      </c>
      <c r="O1083" s="16">
        <f>VLOOKUP(K1083,RPM!$A$2:$D$62,4,FALSE)</f>
        <v>13.235857142857142</v>
      </c>
      <c r="P1083" s="17">
        <f t="shared" si="192"/>
        <v>9.8699786714285711</v>
      </c>
      <c r="Q1083" s="16" cm="1">
        <f t="array" ref="Q1083">_xlfn.XLOOKUP(O1083,BSFC!$A$2:$A$24,_xlfn.XLOOKUP(K1083,BSFC!$B$1:$O$1,BSFC!$B$2:$O$24,,-1),,-1)</f>
        <v>520</v>
      </c>
      <c r="R1083" s="17">
        <f t="shared" si="193"/>
        <v>1.425663585873016</v>
      </c>
      <c r="S1083" s="16">
        <f t="shared" si="194"/>
        <v>2.0443068048074323E-4</v>
      </c>
      <c r="T1083" s="17">
        <f t="shared" si="197"/>
        <v>0.10630395384998648</v>
      </c>
      <c r="U1083" s="16">
        <f t="shared" si="198"/>
        <v>143.50966880037686</v>
      </c>
      <c r="V1083" s="17">
        <f t="shared" si="199"/>
        <v>0.29791188043826472</v>
      </c>
      <c r="W1083" s="16">
        <f t="shared" si="195"/>
        <v>1072482.769577753</v>
      </c>
      <c r="X1083">
        <f>('Hybrid Info'!$A$2-Track!P1083)*(L1083-L1082)*1000+X1082</f>
        <v>-47866.921466501823</v>
      </c>
    </row>
    <row r="1084" spans="1:24">
      <c r="A1084" s="16">
        <f t="shared" si="196"/>
        <v>1083</v>
      </c>
      <c r="B1084" s="17">
        <f t="shared" si="202"/>
        <v>13.411199999999999</v>
      </c>
      <c r="C1084" s="16">
        <f>Specification!$G$29</f>
        <v>164.943378</v>
      </c>
      <c r="D1084" s="17">
        <f>0.5*Specification!$K$4*Track!B1084^2*Specification!$K$3*Specification!$K$2</f>
        <v>93.159842569492653</v>
      </c>
      <c r="E1084" s="16">
        <v>0</v>
      </c>
      <c r="F1084" s="17">
        <f>Specification!$C$23*9.81*SIN((E1084*PI()/180))</f>
        <v>0</v>
      </c>
      <c r="G1084" s="18">
        <f>IF(J1084=1,VLOOKUP(K1084,RPM!$E$2:$H$62,3,FALSE)-F1084-E1084-D1084,IF(J1084=2,VLOOKUP(K1084,RPM!$H$2:$K$62,3,FALSE)-F1084-E1084-D1084,IF(J1084=3,VLOOKUP(K1084,RPM!$K$2:$N$62,3,FALSE)-F1084-E1084-D1084)))</f>
        <v>688.48526429214962</v>
      </c>
      <c r="H1084" s="19">
        <f>IF(J1084=1,Specification!$I$14,IF(J1084=2,Specification!$I$15,IF(J1084=3,Specification!$I$16)))</f>
        <v>582.50936296077191</v>
      </c>
      <c r="I1084" s="16">
        <f t="shared" si="201"/>
        <v>0</v>
      </c>
      <c r="J1084" s="17">
        <v>2</v>
      </c>
      <c r="K1084" s="16">
        <f>IF(J1084=1,VLOOKUP(B1084,RPM!$F$2:$H$62,3,TRUE),IF(J1084=2,VLOOKUP(B1084,RPM!$I$2:$K$62,3,TRUE),IF(J1084=3,VLOOKUP(B1084,RPM!$L$2:$N$62,3,TRUE))))</f>
        <v>7000</v>
      </c>
      <c r="L1084" s="17">
        <f t="shared" si="200"/>
        <v>85.028740521642902</v>
      </c>
      <c r="M1084" s="16">
        <f t="shared" si="203"/>
        <v>0</v>
      </c>
      <c r="N1084" s="17">
        <f>VLOOKUP(K1084,RPM!$A$2:$D$62,3,FALSE)</f>
        <v>13</v>
      </c>
      <c r="O1084" s="16">
        <f>VLOOKUP(K1084,RPM!$A$2:$D$62,4,FALSE)</f>
        <v>13.235857142857142</v>
      </c>
      <c r="P1084" s="17">
        <f t="shared" si="192"/>
        <v>9.8699786714285711</v>
      </c>
      <c r="Q1084" s="16" cm="1">
        <f t="array" ref="Q1084">_xlfn.XLOOKUP(O1084,BSFC!$A$2:$A$24,_xlfn.XLOOKUP(K1084,BSFC!$B$1:$O$1,BSFC!$B$2:$O$24,,-1),,-1)</f>
        <v>520</v>
      </c>
      <c r="R1084" s="17">
        <f t="shared" si="193"/>
        <v>1.425663585873016</v>
      </c>
      <c r="S1084" s="16">
        <f t="shared" si="194"/>
        <v>2.0443068048074323E-4</v>
      </c>
      <c r="T1084" s="17">
        <f t="shared" si="197"/>
        <v>0.10630395384998648</v>
      </c>
      <c r="U1084" s="16">
        <f t="shared" si="198"/>
        <v>143.61597275422685</v>
      </c>
      <c r="V1084" s="17">
        <f t="shared" si="199"/>
        <v>0.29811631111874548</v>
      </c>
      <c r="W1084" s="16">
        <f t="shared" si="195"/>
        <v>1073218.7200274838</v>
      </c>
      <c r="X1084">
        <f>('Hybrid Info'!$A$2-Track!P1084)*(L1084-L1083)*1000+X1083</f>
        <v>-47699.115757515567</v>
      </c>
    </row>
    <row r="1085" spans="1:24">
      <c r="A1085" s="16">
        <f t="shared" si="196"/>
        <v>1084</v>
      </c>
      <c r="B1085" s="17">
        <f t="shared" si="202"/>
        <v>13.411199999999999</v>
      </c>
      <c r="C1085" s="16">
        <f>Specification!$G$29</f>
        <v>164.943378</v>
      </c>
      <c r="D1085" s="17">
        <f>0.5*Specification!$K$4*Track!B1085^2*Specification!$K$3*Specification!$K$2</f>
        <v>93.159842569492653</v>
      </c>
      <c r="E1085" s="16">
        <v>0</v>
      </c>
      <c r="F1085" s="17">
        <f>Specification!$C$23*9.81*SIN((E1085*PI()/180))</f>
        <v>0</v>
      </c>
      <c r="G1085" s="18">
        <f>IF(J1085=1,VLOOKUP(K1085,RPM!$E$2:$H$62,3,FALSE)-F1085-E1085-D1085,IF(J1085=2,VLOOKUP(K1085,RPM!$H$2:$K$62,3,FALSE)-F1085-E1085-D1085,IF(J1085=3,VLOOKUP(K1085,RPM!$K$2:$N$62,3,FALSE)-F1085-E1085-D1085)))</f>
        <v>688.48526429214962</v>
      </c>
      <c r="H1085" s="19">
        <f>IF(J1085=1,Specification!$I$14,IF(J1085=2,Specification!$I$15,IF(J1085=3,Specification!$I$16)))</f>
        <v>582.50936296077191</v>
      </c>
      <c r="I1085" s="16">
        <f t="shared" si="201"/>
        <v>0</v>
      </c>
      <c r="J1085" s="17">
        <v>2</v>
      </c>
      <c r="K1085" s="16">
        <f>IF(J1085=1,VLOOKUP(B1085,RPM!$F$2:$H$62,3,TRUE),IF(J1085=2,VLOOKUP(B1085,RPM!$I$2:$K$62,3,TRUE),IF(J1085=3,VLOOKUP(B1085,RPM!$L$2:$N$62,3,TRUE))))</f>
        <v>7000</v>
      </c>
      <c r="L1085" s="17">
        <f t="shared" si="200"/>
        <v>85.103305064711378</v>
      </c>
      <c r="M1085" s="16">
        <f t="shared" si="203"/>
        <v>0</v>
      </c>
      <c r="N1085" s="17">
        <f>VLOOKUP(K1085,RPM!$A$2:$D$62,3,FALSE)</f>
        <v>13</v>
      </c>
      <c r="O1085" s="16">
        <f>VLOOKUP(K1085,RPM!$A$2:$D$62,4,FALSE)</f>
        <v>13.235857142857142</v>
      </c>
      <c r="P1085" s="17">
        <f t="shared" si="192"/>
        <v>9.8699786714285711</v>
      </c>
      <c r="Q1085" s="16" cm="1">
        <f t="array" ref="Q1085">_xlfn.XLOOKUP(O1085,BSFC!$A$2:$A$24,_xlfn.XLOOKUP(K1085,BSFC!$B$1:$O$1,BSFC!$B$2:$O$24,,-1),,-1)</f>
        <v>520</v>
      </c>
      <c r="R1085" s="17">
        <f t="shared" si="193"/>
        <v>1.425663585873016</v>
      </c>
      <c r="S1085" s="16">
        <f t="shared" si="194"/>
        <v>2.0443068048074323E-4</v>
      </c>
      <c r="T1085" s="17">
        <f t="shared" si="197"/>
        <v>0.10630395384998648</v>
      </c>
      <c r="U1085" s="16">
        <f t="shared" si="198"/>
        <v>143.72227670807683</v>
      </c>
      <c r="V1085" s="17">
        <f t="shared" si="199"/>
        <v>0.29832074179922624</v>
      </c>
      <c r="W1085" s="16">
        <f t="shared" si="195"/>
        <v>1073954.6704772145</v>
      </c>
      <c r="X1085">
        <f>('Hybrid Info'!$A$2-Track!P1085)*(L1085-L1084)*1000+X1084</f>
        <v>-47531.310048529311</v>
      </c>
    </row>
    <row r="1086" spans="1:24">
      <c r="A1086" s="16">
        <f t="shared" si="196"/>
        <v>1085</v>
      </c>
      <c r="B1086" s="17">
        <f t="shared" si="202"/>
        <v>13.411199999999999</v>
      </c>
      <c r="C1086" s="16">
        <f>Specification!$G$29</f>
        <v>164.943378</v>
      </c>
      <c r="D1086" s="17">
        <f>0.5*Specification!$K$4*Track!B1086^2*Specification!$K$3*Specification!$K$2</f>
        <v>93.159842569492653</v>
      </c>
      <c r="E1086" s="16">
        <v>0</v>
      </c>
      <c r="F1086" s="17">
        <f>Specification!$C$23*9.81*SIN((E1086*PI()/180))</f>
        <v>0</v>
      </c>
      <c r="G1086" s="18">
        <f>IF(J1086=1,VLOOKUP(K1086,RPM!$E$2:$H$62,3,FALSE)-F1086-E1086-D1086,IF(J1086=2,VLOOKUP(K1086,RPM!$H$2:$K$62,3,FALSE)-F1086-E1086-D1086,IF(J1086=3,VLOOKUP(K1086,RPM!$K$2:$N$62,3,FALSE)-F1086-E1086-D1086)))</f>
        <v>688.48526429214962</v>
      </c>
      <c r="H1086" s="19">
        <f>IF(J1086=1,Specification!$I$14,IF(J1086=2,Specification!$I$15,IF(J1086=3,Specification!$I$16)))</f>
        <v>582.50936296077191</v>
      </c>
      <c r="I1086" s="16">
        <f t="shared" si="201"/>
        <v>0</v>
      </c>
      <c r="J1086" s="17">
        <v>2</v>
      </c>
      <c r="K1086" s="16">
        <f>IF(J1086=1,VLOOKUP(B1086,RPM!$F$2:$H$62,3,TRUE),IF(J1086=2,VLOOKUP(B1086,RPM!$I$2:$K$62,3,TRUE),IF(J1086=3,VLOOKUP(B1086,RPM!$L$2:$N$62,3,TRUE))))</f>
        <v>7000</v>
      </c>
      <c r="L1086" s="17">
        <f t="shared" si="200"/>
        <v>85.177869607779854</v>
      </c>
      <c r="M1086" s="16">
        <f t="shared" si="203"/>
        <v>0</v>
      </c>
      <c r="N1086" s="17">
        <f>VLOOKUP(K1086,RPM!$A$2:$D$62,3,FALSE)</f>
        <v>13</v>
      </c>
      <c r="O1086" s="16">
        <f>VLOOKUP(K1086,RPM!$A$2:$D$62,4,FALSE)</f>
        <v>13.235857142857142</v>
      </c>
      <c r="P1086" s="17">
        <f t="shared" si="192"/>
        <v>9.8699786714285711</v>
      </c>
      <c r="Q1086" s="16" cm="1">
        <f t="array" ref="Q1086">_xlfn.XLOOKUP(O1086,BSFC!$A$2:$A$24,_xlfn.XLOOKUP(K1086,BSFC!$B$1:$O$1,BSFC!$B$2:$O$24,,-1),,-1)</f>
        <v>520</v>
      </c>
      <c r="R1086" s="17">
        <f t="shared" si="193"/>
        <v>1.425663585873016</v>
      </c>
      <c r="S1086" s="16">
        <f t="shared" si="194"/>
        <v>2.0443068048074323E-4</v>
      </c>
      <c r="T1086" s="17">
        <f t="shared" si="197"/>
        <v>0.10630395384998648</v>
      </c>
      <c r="U1086" s="16">
        <f t="shared" si="198"/>
        <v>143.82858066192682</v>
      </c>
      <c r="V1086" s="17">
        <f t="shared" si="199"/>
        <v>0.298525172479707</v>
      </c>
      <c r="W1086" s="16">
        <f t="shared" si="195"/>
        <v>1074690.6209269452</v>
      </c>
      <c r="X1086">
        <f>('Hybrid Info'!$A$2-Track!P1086)*(L1086-L1085)*1000+X1085</f>
        <v>-47363.504339543055</v>
      </c>
    </row>
    <row r="1087" spans="1:24">
      <c r="A1087" s="16">
        <f t="shared" si="196"/>
        <v>1086</v>
      </c>
      <c r="B1087" s="17">
        <f t="shared" si="202"/>
        <v>13.411199999999999</v>
      </c>
      <c r="C1087" s="16">
        <f>Specification!$G$29</f>
        <v>164.943378</v>
      </c>
      <c r="D1087" s="17">
        <f>0.5*Specification!$K$4*Track!B1087^2*Specification!$K$3*Specification!$K$2</f>
        <v>93.159842569492653</v>
      </c>
      <c r="E1087" s="16">
        <v>0</v>
      </c>
      <c r="F1087" s="17">
        <f>Specification!$C$23*9.81*SIN((E1087*PI()/180))</f>
        <v>0</v>
      </c>
      <c r="G1087" s="18">
        <f>IF(J1087=1,VLOOKUP(K1087,RPM!$E$2:$H$62,3,FALSE)-F1087-E1087-D1087,IF(J1087=2,VLOOKUP(K1087,RPM!$H$2:$K$62,3,FALSE)-F1087-E1087-D1087,IF(J1087=3,VLOOKUP(K1087,RPM!$K$2:$N$62,3,FALSE)-F1087-E1087-D1087)))</f>
        <v>688.48526429214962</v>
      </c>
      <c r="H1087" s="19">
        <f>IF(J1087=1,Specification!$I$14,IF(J1087=2,Specification!$I$15,IF(J1087=3,Specification!$I$16)))</f>
        <v>582.50936296077191</v>
      </c>
      <c r="I1087" s="16">
        <f t="shared" si="201"/>
        <v>0</v>
      </c>
      <c r="J1087" s="17">
        <v>2</v>
      </c>
      <c r="K1087" s="16">
        <f>IF(J1087=1,VLOOKUP(B1087,RPM!$F$2:$H$62,3,TRUE),IF(J1087=2,VLOOKUP(B1087,RPM!$I$2:$K$62,3,TRUE),IF(J1087=3,VLOOKUP(B1087,RPM!$L$2:$N$62,3,TRUE))))</f>
        <v>7000</v>
      </c>
      <c r="L1087" s="17">
        <f t="shared" si="200"/>
        <v>85.25243415084833</v>
      </c>
      <c r="M1087" s="16">
        <f t="shared" si="203"/>
        <v>0</v>
      </c>
      <c r="N1087" s="17">
        <f>VLOOKUP(K1087,RPM!$A$2:$D$62,3,FALSE)</f>
        <v>13</v>
      </c>
      <c r="O1087" s="16">
        <f>VLOOKUP(K1087,RPM!$A$2:$D$62,4,FALSE)</f>
        <v>13.235857142857142</v>
      </c>
      <c r="P1087" s="17">
        <f t="shared" si="192"/>
        <v>9.8699786714285711</v>
      </c>
      <c r="Q1087" s="16" cm="1">
        <f t="array" ref="Q1087">_xlfn.XLOOKUP(O1087,BSFC!$A$2:$A$24,_xlfn.XLOOKUP(K1087,BSFC!$B$1:$O$1,BSFC!$B$2:$O$24,,-1),,-1)</f>
        <v>520</v>
      </c>
      <c r="R1087" s="17">
        <f t="shared" si="193"/>
        <v>1.425663585873016</v>
      </c>
      <c r="S1087" s="16">
        <f t="shared" si="194"/>
        <v>2.0443068048074323E-4</v>
      </c>
      <c r="T1087" s="17">
        <f t="shared" si="197"/>
        <v>0.10630395384998648</v>
      </c>
      <c r="U1087" s="16">
        <f t="shared" si="198"/>
        <v>143.93488461577681</v>
      </c>
      <c r="V1087" s="17">
        <f t="shared" si="199"/>
        <v>0.29872960316018776</v>
      </c>
      <c r="W1087" s="16">
        <f t="shared" si="195"/>
        <v>1075426.571376676</v>
      </c>
      <c r="X1087">
        <f>('Hybrid Info'!$A$2-Track!P1087)*(L1087-L1086)*1000+X1086</f>
        <v>-47195.698630556799</v>
      </c>
    </row>
    <row r="1088" spans="1:24">
      <c r="A1088" s="16">
        <f t="shared" si="196"/>
        <v>1087</v>
      </c>
      <c r="B1088" s="17">
        <f t="shared" si="202"/>
        <v>13.411199999999999</v>
      </c>
      <c r="C1088" s="16">
        <f>Specification!$G$29</f>
        <v>164.943378</v>
      </c>
      <c r="D1088" s="17">
        <f>0.5*Specification!$K$4*Track!B1088^2*Specification!$K$3*Specification!$K$2</f>
        <v>93.159842569492653</v>
      </c>
      <c r="E1088" s="16">
        <v>0</v>
      </c>
      <c r="F1088" s="17">
        <f>Specification!$C$23*9.81*SIN((E1088*PI()/180))</f>
        <v>0</v>
      </c>
      <c r="G1088" s="18">
        <f>IF(J1088=1,VLOOKUP(K1088,RPM!$E$2:$H$62,3,FALSE)-F1088-E1088-D1088,IF(J1088=2,VLOOKUP(K1088,RPM!$H$2:$K$62,3,FALSE)-F1088-E1088-D1088,IF(J1088=3,VLOOKUP(K1088,RPM!$K$2:$N$62,3,FALSE)-F1088-E1088-D1088)))</f>
        <v>688.48526429214962</v>
      </c>
      <c r="H1088" s="19">
        <f>IF(J1088=1,Specification!$I$14,IF(J1088=2,Specification!$I$15,IF(J1088=3,Specification!$I$16)))</f>
        <v>582.50936296077191</v>
      </c>
      <c r="I1088" s="16">
        <f t="shared" si="201"/>
        <v>0</v>
      </c>
      <c r="J1088" s="17">
        <v>2</v>
      </c>
      <c r="K1088" s="16">
        <f>IF(J1088=1,VLOOKUP(B1088,RPM!$F$2:$H$62,3,TRUE),IF(J1088=2,VLOOKUP(B1088,RPM!$I$2:$K$62,3,TRUE),IF(J1088=3,VLOOKUP(B1088,RPM!$L$2:$N$62,3,TRUE))))</f>
        <v>7000</v>
      </c>
      <c r="L1088" s="17">
        <f t="shared" si="200"/>
        <v>85.326998693916806</v>
      </c>
      <c r="M1088" s="16">
        <f t="shared" si="203"/>
        <v>0</v>
      </c>
      <c r="N1088" s="17">
        <f>VLOOKUP(K1088,RPM!$A$2:$D$62,3,FALSE)</f>
        <v>13</v>
      </c>
      <c r="O1088" s="16">
        <f>VLOOKUP(K1088,RPM!$A$2:$D$62,4,FALSE)</f>
        <v>13.235857142857142</v>
      </c>
      <c r="P1088" s="17">
        <f t="shared" si="192"/>
        <v>9.8699786714285711</v>
      </c>
      <c r="Q1088" s="16" cm="1">
        <f t="array" ref="Q1088">_xlfn.XLOOKUP(O1088,BSFC!$A$2:$A$24,_xlfn.XLOOKUP(K1088,BSFC!$B$1:$O$1,BSFC!$B$2:$O$24,,-1),,-1)</f>
        <v>520</v>
      </c>
      <c r="R1088" s="17">
        <f t="shared" si="193"/>
        <v>1.425663585873016</v>
      </c>
      <c r="S1088" s="16">
        <f t="shared" si="194"/>
        <v>2.0443068048074323E-4</v>
      </c>
      <c r="T1088" s="17">
        <f t="shared" si="197"/>
        <v>0.10630395384998648</v>
      </c>
      <c r="U1088" s="16">
        <f t="shared" si="198"/>
        <v>144.0411885696268</v>
      </c>
      <c r="V1088" s="17">
        <f t="shared" si="199"/>
        <v>0.29893403384066852</v>
      </c>
      <c r="W1088" s="16">
        <f t="shared" si="195"/>
        <v>1076162.5218264067</v>
      </c>
      <c r="X1088">
        <f>('Hybrid Info'!$A$2-Track!P1088)*(L1088-L1087)*1000+X1087</f>
        <v>-47027.892921570543</v>
      </c>
    </row>
    <row r="1089" spans="1:24">
      <c r="A1089" s="16">
        <f t="shared" si="196"/>
        <v>1088</v>
      </c>
      <c r="B1089" s="17">
        <f t="shared" si="202"/>
        <v>13.411199999999999</v>
      </c>
      <c r="C1089" s="16">
        <f>Specification!$G$29</f>
        <v>164.943378</v>
      </c>
      <c r="D1089" s="17">
        <f>0.5*Specification!$K$4*Track!B1089^2*Specification!$K$3*Specification!$K$2</f>
        <v>93.159842569492653</v>
      </c>
      <c r="E1089" s="16">
        <v>0</v>
      </c>
      <c r="F1089" s="17">
        <f>Specification!$C$23*9.81*SIN((E1089*PI()/180))</f>
        <v>0</v>
      </c>
      <c r="G1089" s="18">
        <f>IF(J1089=1,VLOOKUP(K1089,RPM!$E$2:$H$62,3,FALSE)-F1089-E1089-D1089,IF(J1089=2,VLOOKUP(K1089,RPM!$H$2:$K$62,3,FALSE)-F1089-E1089-D1089,IF(J1089=3,VLOOKUP(K1089,RPM!$K$2:$N$62,3,FALSE)-F1089-E1089-D1089)))</f>
        <v>688.48526429214962</v>
      </c>
      <c r="H1089" s="19">
        <f>IF(J1089=1,Specification!$I$14,IF(J1089=2,Specification!$I$15,IF(J1089=3,Specification!$I$16)))</f>
        <v>582.50936296077191</v>
      </c>
      <c r="I1089" s="16">
        <f t="shared" si="201"/>
        <v>0</v>
      </c>
      <c r="J1089" s="17">
        <v>2</v>
      </c>
      <c r="K1089" s="16">
        <f>IF(J1089=1,VLOOKUP(B1089,RPM!$F$2:$H$62,3,TRUE),IF(J1089=2,VLOOKUP(B1089,RPM!$I$2:$K$62,3,TRUE),IF(J1089=3,VLOOKUP(B1089,RPM!$L$2:$N$62,3,TRUE))))</f>
        <v>7000</v>
      </c>
      <c r="L1089" s="17">
        <f t="shared" si="200"/>
        <v>85.401563236985282</v>
      </c>
      <c r="M1089" s="16">
        <f t="shared" si="203"/>
        <v>0</v>
      </c>
      <c r="N1089" s="17">
        <f>VLOOKUP(K1089,RPM!$A$2:$D$62,3,FALSE)</f>
        <v>13</v>
      </c>
      <c r="O1089" s="16">
        <f>VLOOKUP(K1089,RPM!$A$2:$D$62,4,FALSE)</f>
        <v>13.235857142857142</v>
      </c>
      <c r="P1089" s="17">
        <f t="shared" si="192"/>
        <v>9.8699786714285711</v>
      </c>
      <c r="Q1089" s="16" cm="1">
        <f t="array" ref="Q1089">_xlfn.XLOOKUP(O1089,BSFC!$A$2:$A$24,_xlfn.XLOOKUP(K1089,BSFC!$B$1:$O$1,BSFC!$B$2:$O$24,,-1),,-1)</f>
        <v>520</v>
      </c>
      <c r="R1089" s="17">
        <f t="shared" si="193"/>
        <v>1.425663585873016</v>
      </c>
      <c r="S1089" s="16">
        <f t="shared" si="194"/>
        <v>2.0443068048074323E-4</v>
      </c>
      <c r="T1089" s="17">
        <f t="shared" si="197"/>
        <v>0.10630395384998648</v>
      </c>
      <c r="U1089" s="16">
        <f t="shared" si="198"/>
        <v>144.14749252347679</v>
      </c>
      <c r="V1089" s="17">
        <f t="shared" si="199"/>
        <v>0.29913846452114928</v>
      </c>
      <c r="W1089" s="16">
        <f t="shared" si="195"/>
        <v>1076898.4722761374</v>
      </c>
      <c r="X1089">
        <f>('Hybrid Info'!$A$2-Track!P1089)*(L1089-L1088)*1000+X1088</f>
        <v>-46860.087212584287</v>
      </c>
    </row>
    <row r="1090" spans="1:24">
      <c r="A1090" s="16">
        <f t="shared" si="196"/>
        <v>1089</v>
      </c>
      <c r="B1090" s="17">
        <f t="shared" si="202"/>
        <v>13.411199999999999</v>
      </c>
      <c r="C1090" s="16">
        <f>Specification!$G$29</f>
        <v>164.943378</v>
      </c>
      <c r="D1090" s="17">
        <f>0.5*Specification!$K$4*Track!B1090^2*Specification!$K$3*Specification!$K$2</f>
        <v>93.159842569492653</v>
      </c>
      <c r="E1090" s="16">
        <v>0</v>
      </c>
      <c r="F1090" s="17">
        <f>Specification!$C$23*9.81*SIN((E1090*PI()/180))</f>
        <v>0</v>
      </c>
      <c r="G1090" s="18">
        <f>IF(J1090=1,VLOOKUP(K1090,RPM!$E$2:$H$62,3,FALSE)-F1090-E1090-D1090,IF(J1090=2,VLOOKUP(K1090,RPM!$H$2:$K$62,3,FALSE)-F1090-E1090-D1090,IF(J1090=3,VLOOKUP(K1090,RPM!$K$2:$N$62,3,FALSE)-F1090-E1090-D1090)))</f>
        <v>688.48526429214962</v>
      </c>
      <c r="H1090" s="19">
        <f>IF(J1090=1,Specification!$I$14,IF(J1090=2,Specification!$I$15,IF(J1090=3,Specification!$I$16)))</f>
        <v>582.50936296077191</v>
      </c>
      <c r="I1090" s="16">
        <f t="shared" si="201"/>
        <v>0</v>
      </c>
      <c r="J1090" s="17">
        <v>2</v>
      </c>
      <c r="K1090" s="16">
        <f>IF(J1090=1,VLOOKUP(B1090,RPM!$F$2:$H$62,3,TRUE),IF(J1090=2,VLOOKUP(B1090,RPM!$I$2:$K$62,3,TRUE),IF(J1090=3,VLOOKUP(B1090,RPM!$L$2:$N$62,3,TRUE))))</f>
        <v>7000</v>
      </c>
      <c r="L1090" s="17">
        <f t="shared" si="200"/>
        <v>85.476127780053758</v>
      </c>
      <c r="M1090" s="16">
        <f t="shared" si="203"/>
        <v>0</v>
      </c>
      <c r="N1090" s="17">
        <f>VLOOKUP(K1090,RPM!$A$2:$D$62,3,FALSE)</f>
        <v>13</v>
      </c>
      <c r="O1090" s="16">
        <f>VLOOKUP(K1090,RPM!$A$2:$D$62,4,FALSE)</f>
        <v>13.235857142857142</v>
      </c>
      <c r="P1090" s="17">
        <f t="shared" ref="P1090:P1153" si="204">O1090*0.7457</f>
        <v>9.8699786714285711</v>
      </c>
      <c r="Q1090" s="16" cm="1">
        <f t="array" ref="Q1090">_xlfn.XLOOKUP(O1090,BSFC!$A$2:$A$24,_xlfn.XLOOKUP(K1090,BSFC!$B$1:$O$1,BSFC!$B$2:$O$24,,-1),,-1)</f>
        <v>520</v>
      </c>
      <c r="R1090" s="17">
        <f t="shared" ref="R1090:R1153" si="205">Q1090*P1090/3600</f>
        <v>1.425663585873016</v>
      </c>
      <c r="S1090" s="16">
        <f t="shared" si="194"/>
        <v>2.0443068048074323E-4</v>
      </c>
      <c r="T1090" s="17">
        <f t="shared" si="197"/>
        <v>0.10630395384998648</v>
      </c>
      <c r="U1090" s="16">
        <f t="shared" si="198"/>
        <v>144.25379647732677</v>
      </c>
      <c r="V1090" s="17">
        <f t="shared" si="199"/>
        <v>0.29934289520163004</v>
      </c>
      <c r="W1090" s="16">
        <f t="shared" si="195"/>
        <v>1077634.4227258682</v>
      </c>
      <c r="X1090">
        <f>('Hybrid Info'!$A$2-Track!P1090)*(L1090-L1089)*1000+X1089</f>
        <v>-46692.281503598031</v>
      </c>
    </row>
    <row r="1091" spans="1:24">
      <c r="A1091" s="16">
        <f t="shared" si="196"/>
        <v>1090</v>
      </c>
      <c r="B1091" s="17">
        <f t="shared" si="202"/>
        <v>13.411199999999999</v>
      </c>
      <c r="C1091" s="16">
        <f>Specification!$G$29</f>
        <v>164.943378</v>
      </c>
      <c r="D1091" s="17">
        <f>0.5*Specification!$K$4*Track!B1091^2*Specification!$K$3*Specification!$K$2</f>
        <v>93.159842569492653</v>
      </c>
      <c r="E1091" s="16">
        <v>0</v>
      </c>
      <c r="F1091" s="17">
        <f>Specification!$C$23*9.81*SIN((E1091*PI()/180))</f>
        <v>0</v>
      </c>
      <c r="G1091" s="18">
        <f>IF(J1091=1,VLOOKUP(K1091,RPM!$E$2:$H$62,3,FALSE)-F1091-E1091-D1091,IF(J1091=2,VLOOKUP(K1091,RPM!$H$2:$K$62,3,FALSE)-F1091-E1091-D1091,IF(J1091=3,VLOOKUP(K1091,RPM!$K$2:$N$62,3,FALSE)-F1091-E1091-D1091)))</f>
        <v>688.48526429214962</v>
      </c>
      <c r="H1091" s="19">
        <f>IF(J1091=1,Specification!$I$14,IF(J1091=2,Specification!$I$15,IF(J1091=3,Specification!$I$16)))</f>
        <v>582.50936296077191</v>
      </c>
      <c r="I1091" s="16">
        <f t="shared" si="201"/>
        <v>0</v>
      </c>
      <c r="J1091" s="17">
        <v>2</v>
      </c>
      <c r="K1091" s="16">
        <f>IF(J1091=1,VLOOKUP(B1091,RPM!$F$2:$H$62,3,TRUE),IF(J1091=2,VLOOKUP(B1091,RPM!$I$2:$K$62,3,TRUE),IF(J1091=3,VLOOKUP(B1091,RPM!$L$2:$N$62,3,TRUE))))</f>
        <v>7000</v>
      </c>
      <c r="L1091" s="17">
        <f t="shared" si="200"/>
        <v>85.550692323122234</v>
      </c>
      <c r="M1091" s="16">
        <f t="shared" si="203"/>
        <v>0</v>
      </c>
      <c r="N1091" s="17">
        <f>VLOOKUP(K1091,RPM!$A$2:$D$62,3,FALSE)</f>
        <v>13</v>
      </c>
      <c r="O1091" s="16">
        <f>VLOOKUP(K1091,RPM!$A$2:$D$62,4,FALSE)</f>
        <v>13.235857142857142</v>
      </c>
      <c r="P1091" s="17">
        <f t="shared" si="204"/>
        <v>9.8699786714285711</v>
      </c>
      <c r="Q1091" s="16" cm="1">
        <f t="array" ref="Q1091">_xlfn.XLOOKUP(O1091,BSFC!$A$2:$A$24,_xlfn.XLOOKUP(K1091,BSFC!$B$1:$O$1,BSFC!$B$2:$O$24,,-1),,-1)</f>
        <v>520</v>
      </c>
      <c r="R1091" s="17">
        <f t="shared" si="205"/>
        <v>1.425663585873016</v>
      </c>
      <c r="S1091" s="16">
        <f t="shared" ref="S1091:S1154" si="206">(L1091-L1090)/3600*P1091</f>
        <v>2.0443068048074323E-4</v>
      </c>
      <c r="T1091" s="17">
        <f t="shared" si="197"/>
        <v>0.10630395384998648</v>
      </c>
      <c r="U1091" s="16">
        <f t="shared" si="198"/>
        <v>144.36010043117676</v>
      </c>
      <c r="V1091" s="17">
        <f t="shared" si="199"/>
        <v>0.2995473258821108</v>
      </c>
      <c r="W1091" s="16">
        <f t="shared" ref="W1091:W1154" si="207">V1091*1000*3600</f>
        <v>1078370.3731755989</v>
      </c>
      <c r="X1091">
        <f>('Hybrid Info'!$A$2-Track!P1091)*(L1091-L1090)*1000+X1090</f>
        <v>-46524.475794611775</v>
      </c>
    </row>
    <row r="1092" spans="1:24">
      <c r="A1092" s="16">
        <f t="shared" ref="A1092:A1155" si="208">A1091+1</f>
        <v>1091</v>
      </c>
      <c r="B1092" s="17">
        <f t="shared" si="202"/>
        <v>13.411199999999999</v>
      </c>
      <c r="C1092" s="16">
        <f>Specification!$G$29</f>
        <v>164.943378</v>
      </c>
      <c r="D1092" s="17">
        <f>0.5*Specification!$K$4*Track!B1092^2*Specification!$K$3*Specification!$K$2</f>
        <v>93.159842569492653</v>
      </c>
      <c r="E1092" s="16">
        <v>0</v>
      </c>
      <c r="F1092" s="17">
        <f>Specification!$C$23*9.81*SIN((E1092*PI()/180))</f>
        <v>0</v>
      </c>
      <c r="G1092" s="18">
        <f>IF(J1092=1,VLOOKUP(K1092,RPM!$E$2:$H$62,3,FALSE)-F1092-E1092-D1092,IF(J1092=2,VLOOKUP(K1092,RPM!$H$2:$K$62,3,FALSE)-F1092-E1092-D1092,IF(J1092=3,VLOOKUP(K1092,RPM!$K$2:$N$62,3,FALSE)-F1092-E1092-D1092)))</f>
        <v>688.48526429214962</v>
      </c>
      <c r="H1092" s="19">
        <f>IF(J1092=1,Specification!$I$14,IF(J1092=2,Specification!$I$15,IF(J1092=3,Specification!$I$16)))</f>
        <v>582.50936296077191</v>
      </c>
      <c r="I1092" s="16">
        <f t="shared" si="201"/>
        <v>0</v>
      </c>
      <c r="J1092" s="17">
        <v>2</v>
      </c>
      <c r="K1092" s="16">
        <f>IF(J1092=1,VLOOKUP(B1092,RPM!$F$2:$H$62,3,TRUE),IF(J1092=2,VLOOKUP(B1092,RPM!$I$2:$K$62,3,TRUE),IF(J1092=3,VLOOKUP(B1092,RPM!$L$2:$N$62,3,TRUE))))</f>
        <v>7000</v>
      </c>
      <c r="L1092" s="17">
        <f t="shared" si="200"/>
        <v>85.625256866190711</v>
      </c>
      <c r="M1092" s="16">
        <f t="shared" si="203"/>
        <v>0</v>
      </c>
      <c r="N1092" s="17">
        <f>VLOOKUP(K1092,RPM!$A$2:$D$62,3,FALSE)</f>
        <v>13</v>
      </c>
      <c r="O1092" s="16">
        <f>VLOOKUP(K1092,RPM!$A$2:$D$62,4,FALSE)</f>
        <v>13.235857142857142</v>
      </c>
      <c r="P1092" s="17">
        <f t="shared" si="204"/>
        <v>9.8699786714285711</v>
      </c>
      <c r="Q1092" s="16" cm="1">
        <f t="array" ref="Q1092">_xlfn.XLOOKUP(O1092,BSFC!$A$2:$A$24,_xlfn.XLOOKUP(K1092,BSFC!$B$1:$O$1,BSFC!$B$2:$O$24,,-1),,-1)</f>
        <v>520</v>
      </c>
      <c r="R1092" s="17">
        <f t="shared" si="205"/>
        <v>1.425663585873016</v>
      </c>
      <c r="S1092" s="16">
        <f t="shared" si="206"/>
        <v>2.0443068048074323E-4</v>
      </c>
      <c r="T1092" s="17">
        <f t="shared" ref="T1092:T1155" si="209">S1092*Q1092</f>
        <v>0.10630395384998648</v>
      </c>
      <c r="U1092" s="16">
        <f t="shared" ref="U1092:U1155" si="210">U1091+T1092</f>
        <v>144.46640438502675</v>
      </c>
      <c r="V1092" s="17">
        <f t="shared" si="199"/>
        <v>0.29975175656259156</v>
      </c>
      <c r="W1092" s="16">
        <f t="shared" si="207"/>
        <v>1079106.3236253296</v>
      </c>
      <c r="X1092">
        <f>('Hybrid Info'!$A$2-Track!P1092)*(L1092-L1091)*1000+X1091</f>
        <v>-46356.670085625519</v>
      </c>
    </row>
    <row r="1093" spans="1:24">
      <c r="A1093" s="16">
        <f t="shared" si="208"/>
        <v>1092</v>
      </c>
      <c r="B1093" s="17">
        <f t="shared" si="202"/>
        <v>13.411199999999999</v>
      </c>
      <c r="C1093" s="16">
        <f>Specification!$G$29</f>
        <v>164.943378</v>
      </c>
      <c r="D1093" s="17">
        <f>0.5*Specification!$K$4*Track!B1093^2*Specification!$K$3*Specification!$K$2</f>
        <v>93.159842569492653</v>
      </c>
      <c r="E1093" s="16">
        <v>0</v>
      </c>
      <c r="F1093" s="17">
        <f>Specification!$C$23*9.81*SIN((E1093*PI()/180))</f>
        <v>0</v>
      </c>
      <c r="G1093" s="18">
        <f>IF(J1093=1,VLOOKUP(K1093,RPM!$E$2:$H$62,3,FALSE)-F1093-E1093-D1093,IF(J1093=2,VLOOKUP(K1093,RPM!$H$2:$K$62,3,FALSE)-F1093-E1093-D1093,IF(J1093=3,VLOOKUP(K1093,RPM!$K$2:$N$62,3,FALSE)-F1093-E1093-D1093)))</f>
        <v>688.48526429214962</v>
      </c>
      <c r="H1093" s="19">
        <f>IF(J1093=1,Specification!$I$14,IF(J1093=2,Specification!$I$15,IF(J1093=3,Specification!$I$16)))</f>
        <v>582.50936296077191</v>
      </c>
      <c r="I1093" s="16">
        <f t="shared" si="201"/>
        <v>0</v>
      </c>
      <c r="J1093" s="17">
        <v>2</v>
      </c>
      <c r="K1093" s="16">
        <f>IF(J1093=1,VLOOKUP(B1093,RPM!$F$2:$H$62,3,TRUE),IF(J1093=2,VLOOKUP(B1093,RPM!$I$2:$K$62,3,TRUE),IF(J1093=3,VLOOKUP(B1093,RPM!$L$2:$N$62,3,TRUE))))</f>
        <v>7000</v>
      </c>
      <c r="L1093" s="17">
        <f t="shared" si="200"/>
        <v>85.699821409259187</v>
      </c>
      <c r="M1093" s="16">
        <f t="shared" si="203"/>
        <v>0</v>
      </c>
      <c r="N1093" s="17">
        <f>VLOOKUP(K1093,RPM!$A$2:$D$62,3,FALSE)</f>
        <v>13</v>
      </c>
      <c r="O1093" s="16">
        <f>VLOOKUP(K1093,RPM!$A$2:$D$62,4,FALSE)</f>
        <v>13.235857142857142</v>
      </c>
      <c r="P1093" s="17">
        <f t="shared" si="204"/>
        <v>9.8699786714285711</v>
      </c>
      <c r="Q1093" s="16" cm="1">
        <f t="array" ref="Q1093">_xlfn.XLOOKUP(O1093,BSFC!$A$2:$A$24,_xlfn.XLOOKUP(K1093,BSFC!$B$1:$O$1,BSFC!$B$2:$O$24,,-1),,-1)</f>
        <v>520</v>
      </c>
      <c r="R1093" s="17">
        <f t="shared" si="205"/>
        <v>1.425663585873016</v>
      </c>
      <c r="S1093" s="16">
        <f t="shared" si="206"/>
        <v>2.0443068048074323E-4</v>
      </c>
      <c r="T1093" s="17">
        <f t="shared" si="209"/>
        <v>0.10630395384998648</v>
      </c>
      <c r="U1093" s="16">
        <f t="shared" si="210"/>
        <v>144.57270833887674</v>
      </c>
      <c r="V1093" s="17">
        <f t="shared" ref="V1093:V1156" si="211">V1092+S1093</f>
        <v>0.29995618724307233</v>
      </c>
      <c r="W1093" s="16">
        <f t="shared" si="207"/>
        <v>1079842.2740750604</v>
      </c>
      <c r="X1093">
        <f>('Hybrid Info'!$A$2-Track!P1093)*(L1093-L1092)*1000+X1092</f>
        <v>-46188.864376639263</v>
      </c>
    </row>
    <row r="1094" spans="1:24">
      <c r="A1094" s="16">
        <f t="shared" si="208"/>
        <v>1093</v>
      </c>
      <c r="B1094" s="17">
        <f t="shared" si="202"/>
        <v>13.411199999999999</v>
      </c>
      <c r="C1094" s="16">
        <f>Specification!$G$29</f>
        <v>164.943378</v>
      </c>
      <c r="D1094" s="17">
        <f>0.5*Specification!$K$4*Track!B1094^2*Specification!$K$3*Specification!$K$2</f>
        <v>93.159842569492653</v>
      </c>
      <c r="E1094" s="16">
        <v>0</v>
      </c>
      <c r="F1094" s="17">
        <f>Specification!$C$23*9.81*SIN((E1094*PI()/180))</f>
        <v>0</v>
      </c>
      <c r="G1094" s="18">
        <f>IF(J1094=1,VLOOKUP(K1094,RPM!$E$2:$H$62,3,FALSE)-F1094-E1094-D1094,IF(J1094=2,VLOOKUP(K1094,RPM!$H$2:$K$62,3,FALSE)-F1094-E1094-D1094,IF(J1094=3,VLOOKUP(K1094,RPM!$K$2:$N$62,3,FALSE)-F1094-E1094-D1094)))</f>
        <v>688.48526429214962</v>
      </c>
      <c r="H1094" s="19">
        <f>IF(J1094=1,Specification!$I$14,IF(J1094=2,Specification!$I$15,IF(J1094=3,Specification!$I$16)))</f>
        <v>582.50936296077191</v>
      </c>
      <c r="I1094" s="16">
        <f t="shared" si="201"/>
        <v>0</v>
      </c>
      <c r="J1094" s="17">
        <v>2</v>
      </c>
      <c r="K1094" s="16">
        <f>IF(J1094=1,VLOOKUP(B1094,RPM!$F$2:$H$62,3,TRUE),IF(J1094=2,VLOOKUP(B1094,RPM!$I$2:$K$62,3,TRUE),IF(J1094=3,VLOOKUP(B1094,RPM!$L$2:$N$62,3,TRUE))))</f>
        <v>7000</v>
      </c>
      <c r="L1094" s="17">
        <f t="shared" si="200"/>
        <v>85.774385952327663</v>
      </c>
      <c r="M1094" s="16">
        <f t="shared" si="203"/>
        <v>0</v>
      </c>
      <c r="N1094" s="17">
        <f>VLOOKUP(K1094,RPM!$A$2:$D$62,3,FALSE)</f>
        <v>13</v>
      </c>
      <c r="O1094" s="16">
        <f>VLOOKUP(K1094,RPM!$A$2:$D$62,4,FALSE)</f>
        <v>13.235857142857142</v>
      </c>
      <c r="P1094" s="17">
        <f t="shared" si="204"/>
        <v>9.8699786714285711</v>
      </c>
      <c r="Q1094" s="16" cm="1">
        <f t="array" ref="Q1094">_xlfn.XLOOKUP(O1094,BSFC!$A$2:$A$24,_xlfn.XLOOKUP(K1094,BSFC!$B$1:$O$1,BSFC!$B$2:$O$24,,-1),,-1)</f>
        <v>520</v>
      </c>
      <c r="R1094" s="17">
        <f t="shared" si="205"/>
        <v>1.425663585873016</v>
      </c>
      <c r="S1094" s="16">
        <f t="shared" si="206"/>
        <v>2.0443068048074323E-4</v>
      </c>
      <c r="T1094" s="17">
        <f t="shared" si="209"/>
        <v>0.10630395384998648</v>
      </c>
      <c r="U1094" s="16">
        <f t="shared" si="210"/>
        <v>144.67901229272672</v>
      </c>
      <c r="V1094" s="17">
        <f t="shared" si="211"/>
        <v>0.30016061792355309</v>
      </c>
      <c r="W1094" s="16">
        <f t="shared" si="207"/>
        <v>1080578.2245247911</v>
      </c>
      <c r="X1094">
        <f>('Hybrid Info'!$A$2-Track!P1094)*(L1094-L1093)*1000+X1093</f>
        <v>-46021.058667653007</v>
      </c>
    </row>
    <row r="1095" spans="1:24">
      <c r="A1095" s="16">
        <f t="shared" si="208"/>
        <v>1094</v>
      </c>
      <c r="B1095" s="17">
        <f t="shared" si="202"/>
        <v>13.411199999999999</v>
      </c>
      <c r="C1095" s="16">
        <f>Specification!$G$29</f>
        <v>164.943378</v>
      </c>
      <c r="D1095" s="17">
        <f>0.5*Specification!$K$4*Track!B1095^2*Specification!$K$3*Specification!$K$2</f>
        <v>93.159842569492653</v>
      </c>
      <c r="E1095" s="16">
        <v>0</v>
      </c>
      <c r="F1095" s="17">
        <f>Specification!$C$23*9.81*SIN((E1095*PI()/180))</f>
        <v>0</v>
      </c>
      <c r="G1095" s="18">
        <f>IF(J1095=1,VLOOKUP(K1095,RPM!$E$2:$H$62,3,FALSE)-F1095-E1095-D1095,IF(J1095=2,VLOOKUP(K1095,RPM!$H$2:$K$62,3,FALSE)-F1095-E1095-D1095,IF(J1095=3,VLOOKUP(K1095,RPM!$K$2:$N$62,3,FALSE)-F1095-E1095-D1095)))</f>
        <v>688.48526429214962</v>
      </c>
      <c r="H1095" s="19">
        <f>IF(J1095=1,Specification!$I$14,IF(J1095=2,Specification!$I$15,IF(J1095=3,Specification!$I$16)))</f>
        <v>582.50936296077191</v>
      </c>
      <c r="I1095" s="16">
        <f t="shared" si="201"/>
        <v>0</v>
      </c>
      <c r="J1095" s="17">
        <v>2</v>
      </c>
      <c r="K1095" s="16">
        <f>IF(J1095=1,VLOOKUP(B1095,RPM!$F$2:$H$62,3,TRUE),IF(J1095=2,VLOOKUP(B1095,RPM!$I$2:$K$62,3,TRUE),IF(J1095=3,VLOOKUP(B1095,RPM!$L$2:$N$62,3,TRUE))))</f>
        <v>7000</v>
      </c>
      <c r="L1095" s="17">
        <f t="shared" si="200"/>
        <v>85.848950495396139</v>
      </c>
      <c r="M1095" s="16">
        <f t="shared" si="203"/>
        <v>0</v>
      </c>
      <c r="N1095" s="17">
        <f>VLOOKUP(K1095,RPM!$A$2:$D$62,3,FALSE)</f>
        <v>13</v>
      </c>
      <c r="O1095" s="16">
        <f>VLOOKUP(K1095,RPM!$A$2:$D$62,4,FALSE)</f>
        <v>13.235857142857142</v>
      </c>
      <c r="P1095" s="17">
        <f t="shared" si="204"/>
        <v>9.8699786714285711</v>
      </c>
      <c r="Q1095" s="16" cm="1">
        <f t="array" ref="Q1095">_xlfn.XLOOKUP(O1095,BSFC!$A$2:$A$24,_xlfn.XLOOKUP(K1095,BSFC!$B$1:$O$1,BSFC!$B$2:$O$24,,-1),,-1)</f>
        <v>520</v>
      </c>
      <c r="R1095" s="17">
        <f t="shared" si="205"/>
        <v>1.425663585873016</v>
      </c>
      <c r="S1095" s="16">
        <f t="shared" si="206"/>
        <v>2.0443068048074323E-4</v>
      </c>
      <c r="T1095" s="17">
        <f t="shared" si="209"/>
        <v>0.10630395384998648</v>
      </c>
      <c r="U1095" s="16">
        <f t="shared" si="210"/>
        <v>144.78531624657671</v>
      </c>
      <c r="V1095" s="17">
        <f t="shared" si="211"/>
        <v>0.30036504860403385</v>
      </c>
      <c r="W1095" s="16">
        <f t="shared" si="207"/>
        <v>1081314.1749745219</v>
      </c>
      <c r="X1095">
        <f>('Hybrid Info'!$A$2-Track!P1095)*(L1095-L1094)*1000+X1094</f>
        <v>-45853.252958666752</v>
      </c>
    </row>
    <row r="1096" spans="1:24">
      <c r="A1096" s="16">
        <f t="shared" si="208"/>
        <v>1095</v>
      </c>
      <c r="B1096" s="17">
        <f t="shared" si="202"/>
        <v>13.411199999999999</v>
      </c>
      <c r="C1096" s="16">
        <f>Specification!$G$29</f>
        <v>164.943378</v>
      </c>
      <c r="D1096" s="17">
        <f>0.5*Specification!$K$4*Track!B1096^2*Specification!$K$3*Specification!$K$2</f>
        <v>93.159842569492653</v>
      </c>
      <c r="E1096" s="16">
        <v>0</v>
      </c>
      <c r="F1096" s="17">
        <f>Specification!$C$23*9.81*SIN((E1096*PI()/180))</f>
        <v>0</v>
      </c>
      <c r="G1096" s="18">
        <f>IF(J1096=1,VLOOKUP(K1096,RPM!$E$2:$H$62,3,FALSE)-F1096-E1096-D1096,IF(J1096=2,VLOOKUP(K1096,RPM!$H$2:$K$62,3,FALSE)-F1096-E1096-D1096,IF(J1096=3,VLOOKUP(K1096,RPM!$K$2:$N$62,3,FALSE)-F1096-E1096-D1096)))</f>
        <v>688.48526429214962</v>
      </c>
      <c r="H1096" s="19">
        <f>IF(J1096=1,Specification!$I$14,IF(J1096=2,Specification!$I$15,IF(J1096=3,Specification!$I$16)))</f>
        <v>582.50936296077191</v>
      </c>
      <c r="I1096" s="16">
        <f t="shared" si="201"/>
        <v>0</v>
      </c>
      <c r="J1096" s="17">
        <v>2</v>
      </c>
      <c r="K1096" s="16">
        <f>IF(J1096=1,VLOOKUP(B1096,RPM!$F$2:$H$62,3,TRUE),IF(J1096=2,VLOOKUP(B1096,RPM!$I$2:$K$62,3,TRUE),IF(J1096=3,VLOOKUP(B1096,RPM!$L$2:$N$62,3,TRUE))))</f>
        <v>7000</v>
      </c>
      <c r="L1096" s="17">
        <f t="shared" si="200"/>
        <v>85.923515038464615</v>
      </c>
      <c r="M1096" s="16">
        <f t="shared" si="203"/>
        <v>0</v>
      </c>
      <c r="N1096" s="17">
        <f>VLOOKUP(K1096,RPM!$A$2:$D$62,3,FALSE)</f>
        <v>13</v>
      </c>
      <c r="O1096" s="16">
        <f>VLOOKUP(K1096,RPM!$A$2:$D$62,4,FALSE)</f>
        <v>13.235857142857142</v>
      </c>
      <c r="P1096" s="17">
        <f t="shared" si="204"/>
        <v>9.8699786714285711</v>
      </c>
      <c r="Q1096" s="16" cm="1">
        <f t="array" ref="Q1096">_xlfn.XLOOKUP(O1096,BSFC!$A$2:$A$24,_xlfn.XLOOKUP(K1096,BSFC!$B$1:$O$1,BSFC!$B$2:$O$24,,-1),,-1)</f>
        <v>520</v>
      </c>
      <c r="R1096" s="17">
        <f t="shared" si="205"/>
        <v>1.425663585873016</v>
      </c>
      <c r="S1096" s="16">
        <f t="shared" si="206"/>
        <v>2.0443068048074323E-4</v>
      </c>
      <c r="T1096" s="17">
        <f t="shared" si="209"/>
        <v>0.10630395384998648</v>
      </c>
      <c r="U1096" s="16">
        <f t="shared" si="210"/>
        <v>144.8916202004267</v>
      </c>
      <c r="V1096" s="17">
        <f t="shared" si="211"/>
        <v>0.30056947928451461</v>
      </c>
      <c r="W1096" s="16">
        <f t="shared" si="207"/>
        <v>1082050.1254242526</v>
      </c>
      <c r="X1096">
        <f>('Hybrid Info'!$A$2-Track!P1096)*(L1096-L1095)*1000+X1095</f>
        <v>-45685.447249680496</v>
      </c>
    </row>
    <row r="1097" spans="1:24">
      <c r="A1097" s="16">
        <f t="shared" si="208"/>
        <v>1096</v>
      </c>
      <c r="B1097" s="17">
        <f t="shared" si="202"/>
        <v>13.411199999999999</v>
      </c>
      <c r="C1097" s="16">
        <f>Specification!$G$29</f>
        <v>164.943378</v>
      </c>
      <c r="D1097" s="17">
        <f>0.5*Specification!$K$4*Track!B1097^2*Specification!$K$3*Specification!$K$2</f>
        <v>93.159842569492653</v>
      </c>
      <c r="E1097" s="16">
        <v>0</v>
      </c>
      <c r="F1097" s="17">
        <f>Specification!$C$23*9.81*SIN((E1097*PI()/180))</f>
        <v>0</v>
      </c>
      <c r="G1097" s="18">
        <f>IF(J1097=1,VLOOKUP(K1097,RPM!$E$2:$H$62,3,FALSE)-F1097-E1097-D1097,IF(J1097=2,VLOOKUP(K1097,RPM!$H$2:$K$62,3,FALSE)-F1097-E1097-D1097,IF(J1097=3,VLOOKUP(K1097,RPM!$K$2:$N$62,3,FALSE)-F1097-E1097-D1097)))</f>
        <v>688.48526429214962</v>
      </c>
      <c r="H1097" s="19">
        <f>IF(J1097=1,Specification!$I$14,IF(J1097=2,Specification!$I$15,IF(J1097=3,Specification!$I$16)))</f>
        <v>582.50936296077191</v>
      </c>
      <c r="I1097" s="16">
        <f t="shared" si="201"/>
        <v>0</v>
      </c>
      <c r="J1097" s="17">
        <v>2</v>
      </c>
      <c r="K1097" s="16">
        <f>IF(J1097=1,VLOOKUP(B1097,RPM!$F$2:$H$62,3,TRUE),IF(J1097=2,VLOOKUP(B1097,RPM!$I$2:$K$62,3,TRUE),IF(J1097=3,VLOOKUP(B1097,RPM!$L$2:$N$62,3,TRUE))))</f>
        <v>7000</v>
      </c>
      <c r="L1097" s="17">
        <f t="shared" si="200"/>
        <v>85.998079581533091</v>
      </c>
      <c r="M1097" s="16">
        <f t="shared" si="203"/>
        <v>0</v>
      </c>
      <c r="N1097" s="17">
        <f>VLOOKUP(K1097,RPM!$A$2:$D$62,3,FALSE)</f>
        <v>13</v>
      </c>
      <c r="O1097" s="16">
        <f>VLOOKUP(K1097,RPM!$A$2:$D$62,4,FALSE)</f>
        <v>13.235857142857142</v>
      </c>
      <c r="P1097" s="17">
        <f t="shared" si="204"/>
        <v>9.8699786714285711</v>
      </c>
      <c r="Q1097" s="16" cm="1">
        <f t="array" ref="Q1097">_xlfn.XLOOKUP(O1097,BSFC!$A$2:$A$24,_xlfn.XLOOKUP(K1097,BSFC!$B$1:$O$1,BSFC!$B$2:$O$24,,-1),,-1)</f>
        <v>520</v>
      </c>
      <c r="R1097" s="17">
        <f t="shared" si="205"/>
        <v>1.425663585873016</v>
      </c>
      <c r="S1097" s="16">
        <f t="shared" si="206"/>
        <v>2.0443068048074323E-4</v>
      </c>
      <c r="T1097" s="17">
        <f t="shared" si="209"/>
        <v>0.10630395384998648</v>
      </c>
      <c r="U1097" s="16">
        <f t="shared" si="210"/>
        <v>144.99792415427669</v>
      </c>
      <c r="V1097" s="17">
        <f t="shared" si="211"/>
        <v>0.30077390996499537</v>
      </c>
      <c r="W1097" s="16">
        <f t="shared" si="207"/>
        <v>1082786.0758739833</v>
      </c>
      <c r="X1097">
        <f>('Hybrid Info'!$A$2-Track!P1097)*(L1097-L1096)*1000+X1096</f>
        <v>-45517.64154069424</v>
      </c>
    </row>
    <row r="1098" spans="1:24">
      <c r="A1098" s="16">
        <f t="shared" si="208"/>
        <v>1097</v>
      </c>
      <c r="B1098" s="17">
        <f t="shared" si="202"/>
        <v>13.411199999999999</v>
      </c>
      <c r="C1098" s="16">
        <f>Specification!$G$29</f>
        <v>164.943378</v>
      </c>
      <c r="D1098" s="17">
        <f>0.5*Specification!$K$4*Track!B1098^2*Specification!$K$3*Specification!$K$2</f>
        <v>93.159842569492653</v>
      </c>
      <c r="E1098" s="16">
        <v>0</v>
      </c>
      <c r="F1098" s="17">
        <f>Specification!$C$23*9.81*SIN((E1098*PI()/180))</f>
        <v>0</v>
      </c>
      <c r="G1098" s="18">
        <f>IF(J1098=1,VLOOKUP(K1098,RPM!$E$2:$H$62,3,FALSE)-F1098-E1098-D1098,IF(J1098=2,VLOOKUP(K1098,RPM!$H$2:$K$62,3,FALSE)-F1098-E1098-D1098,IF(J1098=3,VLOOKUP(K1098,RPM!$K$2:$N$62,3,FALSE)-F1098-E1098-D1098)))</f>
        <v>688.48526429214962</v>
      </c>
      <c r="H1098" s="19">
        <f>IF(J1098=1,Specification!$I$14,IF(J1098=2,Specification!$I$15,IF(J1098=3,Specification!$I$16)))</f>
        <v>582.50936296077191</v>
      </c>
      <c r="I1098" s="16">
        <f t="shared" si="201"/>
        <v>0</v>
      </c>
      <c r="J1098" s="17">
        <v>2</v>
      </c>
      <c r="K1098" s="16">
        <f>IF(J1098=1,VLOOKUP(B1098,RPM!$F$2:$H$62,3,TRUE),IF(J1098=2,VLOOKUP(B1098,RPM!$I$2:$K$62,3,TRUE),IF(J1098=3,VLOOKUP(B1098,RPM!$L$2:$N$62,3,TRUE))))</f>
        <v>7000</v>
      </c>
      <c r="L1098" s="17">
        <f t="shared" si="200"/>
        <v>86.072644124601567</v>
      </c>
      <c r="M1098" s="16">
        <f t="shared" si="203"/>
        <v>0</v>
      </c>
      <c r="N1098" s="17">
        <f>VLOOKUP(K1098,RPM!$A$2:$D$62,3,FALSE)</f>
        <v>13</v>
      </c>
      <c r="O1098" s="16">
        <f>VLOOKUP(K1098,RPM!$A$2:$D$62,4,FALSE)</f>
        <v>13.235857142857142</v>
      </c>
      <c r="P1098" s="17">
        <f t="shared" si="204"/>
        <v>9.8699786714285711</v>
      </c>
      <c r="Q1098" s="16" cm="1">
        <f t="array" ref="Q1098">_xlfn.XLOOKUP(O1098,BSFC!$A$2:$A$24,_xlfn.XLOOKUP(K1098,BSFC!$B$1:$O$1,BSFC!$B$2:$O$24,,-1),,-1)</f>
        <v>520</v>
      </c>
      <c r="R1098" s="17">
        <f t="shared" si="205"/>
        <v>1.425663585873016</v>
      </c>
      <c r="S1098" s="16">
        <f t="shared" si="206"/>
        <v>2.0443068048074323E-4</v>
      </c>
      <c r="T1098" s="17">
        <f t="shared" si="209"/>
        <v>0.10630395384998648</v>
      </c>
      <c r="U1098" s="16">
        <f t="shared" si="210"/>
        <v>145.10422810812668</v>
      </c>
      <c r="V1098" s="17">
        <f t="shared" si="211"/>
        <v>0.30097834064547613</v>
      </c>
      <c r="W1098" s="16">
        <f t="shared" si="207"/>
        <v>1083522.0263237141</v>
      </c>
      <c r="X1098">
        <f>('Hybrid Info'!$A$2-Track!P1098)*(L1098-L1097)*1000+X1097</f>
        <v>-45349.835831707984</v>
      </c>
    </row>
    <row r="1099" spans="1:24">
      <c r="A1099" s="16">
        <f t="shared" si="208"/>
        <v>1098</v>
      </c>
      <c r="B1099" s="17">
        <f t="shared" si="202"/>
        <v>13.411199999999999</v>
      </c>
      <c r="C1099" s="16">
        <f>Specification!$G$29</f>
        <v>164.943378</v>
      </c>
      <c r="D1099" s="17">
        <f>0.5*Specification!$K$4*Track!B1099^2*Specification!$K$3*Specification!$K$2</f>
        <v>93.159842569492653</v>
      </c>
      <c r="E1099" s="16">
        <v>0</v>
      </c>
      <c r="F1099" s="17">
        <f>Specification!$C$23*9.81*SIN((E1099*PI()/180))</f>
        <v>0</v>
      </c>
      <c r="G1099" s="18">
        <f>IF(J1099=1,VLOOKUP(K1099,RPM!$E$2:$H$62,3,FALSE)-F1099-E1099-D1099,IF(J1099=2,VLOOKUP(K1099,RPM!$H$2:$K$62,3,FALSE)-F1099-E1099-D1099,IF(J1099=3,VLOOKUP(K1099,RPM!$K$2:$N$62,3,FALSE)-F1099-E1099-D1099)))</f>
        <v>688.48526429214962</v>
      </c>
      <c r="H1099" s="19">
        <f>IF(J1099=1,Specification!$I$14,IF(J1099=2,Specification!$I$15,IF(J1099=3,Specification!$I$16)))</f>
        <v>582.50936296077191</v>
      </c>
      <c r="I1099" s="16">
        <f t="shared" si="201"/>
        <v>0</v>
      </c>
      <c r="J1099" s="17">
        <v>2</v>
      </c>
      <c r="K1099" s="16">
        <f>IF(J1099=1,VLOOKUP(B1099,RPM!$F$2:$H$62,3,TRUE),IF(J1099=2,VLOOKUP(B1099,RPM!$I$2:$K$62,3,TRUE),IF(J1099=3,VLOOKUP(B1099,RPM!$L$2:$N$62,3,TRUE))))</f>
        <v>7000</v>
      </c>
      <c r="L1099" s="17">
        <f t="shared" si="200"/>
        <v>86.147208667670043</v>
      </c>
      <c r="M1099" s="16">
        <f t="shared" si="203"/>
        <v>0</v>
      </c>
      <c r="N1099" s="17">
        <f>VLOOKUP(K1099,RPM!$A$2:$D$62,3,FALSE)</f>
        <v>13</v>
      </c>
      <c r="O1099" s="16">
        <f>VLOOKUP(K1099,RPM!$A$2:$D$62,4,FALSE)</f>
        <v>13.235857142857142</v>
      </c>
      <c r="P1099" s="17">
        <f t="shared" si="204"/>
        <v>9.8699786714285711</v>
      </c>
      <c r="Q1099" s="16" cm="1">
        <f t="array" ref="Q1099">_xlfn.XLOOKUP(O1099,BSFC!$A$2:$A$24,_xlfn.XLOOKUP(K1099,BSFC!$B$1:$O$1,BSFC!$B$2:$O$24,,-1),,-1)</f>
        <v>520</v>
      </c>
      <c r="R1099" s="17">
        <f t="shared" si="205"/>
        <v>1.425663585873016</v>
      </c>
      <c r="S1099" s="16">
        <f t="shared" si="206"/>
        <v>2.0443068048074323E-4</v>
      </c>
      <c r="T1099" s="17">
        <f t="shared" si="209"/>
        <v>0.10630395384998648</v>
      </c>
      <c r="U1099" s="16">
        <f t="shared" si="210"/>
        <v>145.21053206197666</v>
      </c>
      <c r="V1099" s="17">
        <f t="shared" si="211"/>
        <v>0.30118277132595689</v>
      </c>
      <c r="W1099" s="16">
        <f t="shared" si="207"/>
        <v>1084257.9767734448</v>
      </c>
      <c r="X1099">
        <f>('Hybrid Info'!$A$2-Track!P1099)*(L1099-L1098)*1000+X1098</f>
        <v>-45182.030122721728</v>
      </c>
    </row>
    <row r="1100" spans="1:24">
      <c r="A1100" s="16">
        <f t="shared" si="208"/>
        <v>1099</v>
      </c>
      <c r="B1100" s="17">
        <f t="shared" si="202"/>
        <v>13.411199999999999</v>
      </c>
      <c r="C1100" s="16">
        <f>Specification!$G$29</f>
        <v>164.943378</v>
      </c>
      <c r="D1100" s="17">
        <f>0.5*Specification!$K$4*Track!B1100^2*Specification!$K$3*Specification!$K$2</f>
        <v>93.159842569492653</v>
      </c>
      <c r="E1100" s="16">
        <v>0</v>
      </c>
      <c r="F1100" s="17">
        <f>Specification!$C$23*9.81*SIN((E1100*PI()/180))</f>
        <v>0</v>
      </c>
      <c r="G1100" s="18">
        <f>IF(J1100=1,VLOOKUP(K1100,RPM!$E$2:$H$62,3,FALSE)-F1100-E1100-D1100,IF(J1100=2,VLOOKUP(K1100,RPM!$H$2:$K$62,3,FALSE)-F1100-E1100-D1100,IF(J1100=3,VLOOKUP(K1100,RPM!$K$2:$N$62,3,FALSE)-F1100-E1100-D1100)))</f>
        <v>688.48526429214962</v>
      </c>
      <c r="H1100" s="19">
        <f>IF(J1100=1,Specification!$I$14,IF(J1100=2,Specification!$I$15,IF(J1100=3,Specification!$I$16)))</f>
        <v>582.50936296077191</v>
      </c>
      <c r="I1100" s="16">
        <f t="shared" si="201"/>
        <v>0</v>
      </c>
      <c r="J1100" s="17">
        <v>2</v>
      </c>
      <c r="K1100" s="16">
        <f>IF(J1100=1,VLOOKUP(B1100,RPM!$F$2:$H$62,3,TRUE),IF(J1100=2,VLOOKUP(B1100,RPM!$I$2:$K$62,3,TRUE),IF(J1100=3,VLOOKUP(B1100,RPM!$L$2:$N$62,3,TRUE))))</f>
        <v>7000</v>
      </c>
      <c r="L1100" s="17">
        <f t="shared" si="200"/>
        <v>86.221773210738519</v>
      </c>
      <c r="M1100" s="16">
        <f t="shared" si="203"/>
        <v>0</v>
      </c>
      <c r="N1100" s="17">
        <f>VLOOKUP(K1100,RPM!$A$2:$D$62,3,FALSE)</f>
        <v>13</v>
      </c>
      <c r="O1100" s="16">
        <f>VLOOKUP(K1100,RPM!$A$2:$D$62,4,FALSE)</f>
        <v>13.235857142857142</v>
      </c>
      <c r="P1100" s="17">
        <f t="shared" si="204"/>
        <v>9.8699786714285711</v>
      </c>
      <c r="Q1100" s="16" cm="1">
        <f t="array" ref="Q1100">_xlfn.XLOOKUP(O1100,BSFC!$A$2:$A$24,_xlfn.XLOOKUP(K1100,BSFC!$B$1:$O$1,BSFC!$B$2:$O$24,,-1),,-1)</f>
        <v>520</v>
      </c>
      <c r="R1100" s="17">
        <f t="shared" si="205"/>
        <v>1.425663585873016</v>
      </c>
      <c r="S1100" s="16">
        <f t="shared" si="206"/>
        <v>2.0443068048074323E-4</v>
      </c>
      <c r="T1100" s="17">
        <f t="shared" si="209"/>
        <v>0.10630395384998648</v>
      </c>
      <c r="U1100" s="16">
        <f t="shared" si="210"/>
        <v>145.31683601582665</v>
      </c>
      <c r="V1100" s="17">
        <f t="shared" si="211"/>
        <v>0.30138720200643765</v>
      </c>
      <c r="W1100" s="16">
        <f t="shared" si="207"/>
        <v>1084993.9272231755</v>
      </c>
      <c r="X1100">
        <f>('Hybrid Info'!$A$2-Track!P1100)*(L1100-L1099)*1000+X1099</f>
        <v>-45014.224413735472</v>
      </c>
    </row>
    <row r="1101" spans="1:24">
      <c r="A1101" s="16">
        <f t="shared" si="208"/>
        <v>1100</v>
      </c>
      <c r="B1101" s="17">
        <f t="shared" si="202"/>
        <v>13.411199999999999</v>
      </c>
      <c r="C1101" s="16">
        <f>Specification!$G$29</f>
        <v>164.943378</v>
      </c>
      <c r="D1101" s="17">
        <f>0.5*Specification!$K$4*Track!B1101^2*Specification!$K$3*Specification!$K$2</f>
        <v>93.159842569492653</v>
      </c>
      <c r="E1101" s="16">
        <v>0</v>
      </c>
      <c r="F1101" s="17">
        <f>Specification!$C$23*9.81*SIN((E1101*PI()/180))</f>
        <v>0</v>
      </c>
      <c r="G1101" s="18">
        <f>IF(J1101=1,VLOOKUP(K1101,RPM!$E$2:$H$62,3,FALSE)-F1101-E1101-D1101,IF(J1101=2,VLOOKUP(K1101,RPM!$H$2:$K$62,3,FALSE)-F1101-E1101-D1101,IF(J1101=3,VLOOKUP(K1101,RPM!$K$2:$N$62,3,FALSE)-F1101-E1101-D1101)))</f>
        <v>688.48526429214962</v>
      </c>
      <c r="H1101" s="19">
        <f>IF(J1101=1,Specification!$I$14,IF(J1101=2,Specification!$I$15,IF(J1101=3,Specification!$I$16)))</f>
        <v>582.50936296077191</v>
      </c>
      <c r="I1101" s="16">
        <f t="shared" si="201"/>
        <v>0</v>
      </c>
      <c r="J1101" s="17">
        <v>2</v>
      </c>
      <c r="K1101" s="16">
        <f>IF(J1101=1,VLOOKUP(B1101,RPM!$F$2:$H$62,3,TRUE),IF(J1101=2,VLOOKUP(B1101,RPM!$I$2:$K$62,3,TRUE),IF(J1101=3,VLOOKUP(B1101,RPM!$L$2:$N$62,3,TRUE))))</f>
        <v>7000</v>
      </c>
      <c r="L1101" s="17">
        <f t="shared" ref="L1101:L1164" si="212">IF(I1101=0,ABS(1/B1101)+L1100,IF(ABS(B1102-B1101)=0,1/B1101+L1100,ABS((B1102-B1101)/I1101)+L1100))</f>
        <v>86.296337753806995</v>
      </c>
      <c r="M1101" s="16">
        <f t="shared" si="203"/>
        <v>0</v>
      </c>
      <c r="N1101" s="17">
        <f>VLOOKUP(K1101,RPM!$A$2:$D$62,3,FALSE)</f>
        <v>13</v>
      </c>
      <c r="O1101" s="16">
        <f>VLOOKUP(K1101,RPM!$A$2:$D$62,4,FALSE)</f>
        <v>13.235857142857142</v>
      </c>
      <c r="P1101" s="17">
        <f t="shared" si="204"/>
        <v>9.8699786714285711</v>
      </c>
      <c r="Q1101" s="16" cm="1">
        <f t="array" ref="Q1101">_xlfn.XLOOKUP(O1101,BSFC!$A$2:$A$24,_xlfn.XLOOKUP(K1101,BSFC!$B$1:$O$1,BSFC!$B$2:$O$24,,-1),,-1)</f>
        <v>520</v>
      </c>
      <c r="R1101" s="17">
        <f t="shared" si="205"/>
        <v>1.425663585873016</v>
      </c>
      <c r="S1101" s="16">
        <f t="shared" si="206"/>
        <v>2.0443068048074323E-4</v>
      </c>
      <c r="T1101" s="17">
        <f t="shared" si="209"/>
        <v>0.10630395384998648</v>
      </c>
      <c r="U1101" s="16">
        <f t="shared" si="210"/>
        <v>145.42313996967664</v>
      </c>
      <c r="V1101" s="17">
        <f t="shared" si="211"/>
        <v>0.30159163268691841</v>
      </c>
      <c r="W1101" s="16">
        <f t="shared" si="207"/>
        <v>1085729.8776729063</v>
      </c>
      <c r="X1101">
        <f>('Hybrid Info'!$A$2-Track!P1101)*(L1101-L1100)*1000+X1100</f>
        <v>-44846.418704749216</v>
      </c>
    </row>
    <row r="1102" spans="1:24">
      <c r="A1102" s="16">
        <f t="shared" si="208"/>
        <v>1101</v>
      </c>
      <c r="B1102" s="17">
        <f t="shared" si="202"/>
        <v>13.411199999999999</v>
      </c>
      <c r="C1102" s="16">
        <f>Specification!$G$29</f>
        <v>164.943378</v>
      </c>
      <c r="D1102" s="17">
        <f>0.5*Specification!$K$4*Track!B1102^2*Specification!$K$3*Specification!$K$2</f>
        <v>93.159842569492653</v>
      </c>
      <c r="E1102" s="16">
        <v>0</v>
      </c>
      <c r="F1102" s="17">
        <f>Specification!$C$23*9.81*SIN((E1102*PI()/180))</f>
        <v>0</v>
      </c>
      <c r="G1102" s="18">
        <f>IF(J1102=1,VLOOKUP(K1102,RPM!$E$2:$H$62,3,FALSE)-F1102-E1102-D1102,IF(J1102=2,VLOOKUP(K1102,RPM!$H$2:$K$62,3,FALSE)-F1102-E1102-D1102,IF(J1102=3,VLOOKUP(K1102,RPM!$K$2:$N$62,3,FALSE)-F1102-E1102-D1102)))</f>
        <v>688.48526429214962</v>
      </c>
      <c r="H1102" s="19">
        <f>IF(J1102=1,Specification!$I$14,IF(J1102=2,Specification!$I$15,IF(J1102=3,Specification!$I$16)))</f>
        <v>582.50936296077191</v>
      </c>
      <c r="I1102" s="16">
        <f t="shared" si="201"/>
        <v>0</v>
      </c>
      <c r="J1102" s="17">
        <v>2</v>
      </c>
      <c r="K1102" s="16">
        <f>IF(J1102=1,VLOOKUP(B1102,RPM!$F$2:$H$62,3,TRUE),IF(J1102=2,VLOOKUP(B1102,RPM!$I$2:$K$62,3,TRUE),IF(J1102=3,VLOOKUP(B1102,RPM!$L$2:$N$62,3,TRUE))))</f>
        <v>7000</v>
      </c>
      <c r="L1102" s="17">
        <f t="shared" si="212"/>
        <v>86.370902296875471</v>
      </c>
      <c r="M1102" s="16">
        <f t="shared" si="203"/>
        <v>0</v>
      </c>
      <c r="N1102" s="17">
        <f>VLOOKUP(K1102,RPM!$A$2:$D$62,3,FALSE)</f>
        <v>13</v>
      </c>
      <c r="O1102" s="16">
        <f>VLOOKUP(K1102,RPM!$A$2:$D$62,4,FALSE)</f>
        <v>13.235857142857142</v>
      </c>
      <c r="P1102" s="17">
        <f t="shared" si="204"/>
        <v>9.8699786714285711</v>
      </c>
      <c r="Q1102" s="16" cm="1">
        <f t="array" ref="Q1102">_xlfn.XLOOKUP(O1102,BSFC!$A$2:$A$24,_xlfn.XLOOKUP(K1102,BSFC!$B$1:$O$1,BSFC!$B$2:$O$24,,-1),,-1)</f>
        <v>520</v>
      </c>
      <c r="R1102" s="17">
        <f t="shared" si="205"/>
        <v>1.425663585873016</v>
      </c>
      <c r="S1102" s="16">
        <f t="shared" si="206"/>
        <v>2.0443068048074323E-4</v>
      </c>
      <c r="T1102" s="17">
        <f t="shared" si="209"/>
        <v>0.10630395384998648</v>
      </c>
      <c r="U1102" s="16">
        <f t="shared" si="210"/>
        <v>145.52944392352663</v>
      </c>
      <c r="V1102" s="17">
        <f t="shared" si="211"/>
        <v>0.30179606336739917</v>
      </c>
      <c r="W1102" s="16">
        <f t="shared" si="207"/>
        <v>1086465.828122637</v>
      </c>
      <c r="X1102">
        <f>('Hybrid Info'!$A$2-Track!P1102)*(L1102-L1101)*1000+X1101</f>
        <v>-44678.61299576296</v>
      </c>
    </row>
    <row r="1103" spans="1:24">
      <c r="A1103" s="16">
        <f t="shared" si="208"/>
        <v>1102</v>
      </c>
      <c r="B1103" s="17">
        <f t="shared" si="202"/>
        <v>13.411199999999999</v>
      </c>
      <c r="C1103" s="16">
        <f>Specification!$G$29</f>
        <v>164.943378</v>
      </c>
      <c r="D1103" s="17">
        <f>0.5*Specification!$K$4*Track!B1103^2*Specification!$K$3*Specification!$K$2</f>
        <v>93.159842569492653</v>
      </c>
      <c r="E1103" s="16">
        <v>0</v>
      </c>
      <c r="F1103" s="17">
        <f>Specification!$C$23*9.81*SIN((E1103*PI()/180))</f>
        <v>0</v>
      </c>
      <c r="G1103" s="18">
        <f>IF(J1103=1,VLOOKUP(K1103,RPM!$E$2:$H$62,3,FALSE)-F1103-E1103-D1103,IF(J1103=2,VLOOKUP(K1103,RPM!$H$2:$K$62,3,FALSE)-F1103-E1103-D1103,IF(J1103=3,VLOOKUP(K1103,RPM!$K$2:$N$62,3,FALSE)-F1103-E1103-D1103)))</f>
        <v>688.48526429214962</v>
      </c>
      <c r="H1103" s="19">
        <f>IF(J1103=1,Specification!$I$14,IF(J1103=2,Specification!$I$15,IF(J1103=3,Specification!$I$16)))</f>
        <v>582.50936296077191</v>
      </c>
      <c r="I1103" s="16">
        <f t="shared" si="201"/>
        <v>0</v>
      </c>
      <c r="J1103" s="17">
        <v>2</v>
      </c>
      <c r="K1103" s="16">
        <f>IF(J1103=1,VLOOKUP(B1103,RPM!$F$2:$H$62,3,TRUE),IF(J1103=2,VLOOKUP(B1103,RPM!$I$2:$K$62,3,TRUE),IF(J1103=3,VLOOKUP(B1103,RPM!$L$2:$N$62,3,TRUE))))</f>
        <v>7000</v>
      </c>
      <c r="L1103" s="17">
        <f t="shared" si="212"/>
        <v>86.445466839943947</v>
      </c>
      <c r="M1103" s="16">
        <f t="shared" si="203"/>
        <v>0</v>
      </c>
      <c r="N1103" s="17">
        <f>VLOOKUP(K1103,RPM!$A$2:$D$62,3,FALSE)</f>
        <v>13</v>
      </c>
      <c r="O1103" s="16">
        <f>VLOOKUP(K1103,RPM!$A$2:$D$62,4,FALSE)</f>
        <v>13.235857142857142</v>
      </c>
      <c r="P1103" s="17">
        <f t="shared" si="204"/>
        <v>9.8699786714285711</v>
      </c>
      <c r="Q1103" s="16" cm="1">
        <f t="array" ref="Q1103">_xlfn.XLOOKUP(O1103,BSFC!$A$2:$A$24,_xlfn.XLOOKUP(K1103,BSFC!$B$1:$O$1,BSFC!$B$2:$O$24,,-1),,-1)</f>
        <v>520</v>
      </c>
      <c r="R1103" s="17">
        <f t="shared" si="205"/>
        <v>1.425663585873016</v>
      </c>
      <c r="S1103" s="16">
        <f t="shared" si="206"/>
        <v>2.0443068048074323E-4</v>
      </c>
      <c r="T1103" s="17">
        <f t="shared" si="209"/>
        <v>0.10630395384998648</v>
      </c>
      <c r="U1103" s="16">
        <f t="shared" si="210"/>
        <v>145.63574787737662</v>
      </c>
      <c r="V1103" s="17">
        <f t="shared" si="211"/>
        <v>0.30200049404787993</v>
      </c>
      <c r="W1103" s="16">
        <f t="shared" si="207"/>
        <v>1087201.7785723677</v>
      </c>
      <c r="X1103">
        <f>('Hybrid Info'!$A$2-Track!P1103)*(L1103-L1102)*1000+X1102</f>
        <v>-44510.807286776704</v>
      </c>
    </row>
    <row r="1104" spans="1:24">
      <c r="A1104" s="16">
        <f t="shared" si="208"/>
        <v>1103</v>
      </c>
      <c r="B1104" s="17">
        <f t="shared" si="202"/>
        <v>13.411199999999999</v>
      </c>
      <c r="C1104" s="16">
        <f>Specification!$G$29</f>
        <v>164.943378</v>
      </c>
      <c r="D1104" s="17">
        <f>0.5*Specification!$K$4*Track!B1104^2*Specification!$K$3*Specification!$K$2</f>
        <v>93.159842569492653</v>
      </c>
      <c r="E1104" s="16">
        <v>0</v>
      </c>
      <c r="F1104" s="17">
        <f>Specification!$C$23*9.81*SIN((E1104*PI()/180))</f>
        <v>0</v>
      </c>
      <c r="G1104" s="18">
        <f>IF(J1104=1,VLOOKUP(K1104,RPM!$E$2:$H$62,3,FALSE)-F1104-E1104-D1104,IF(J1104=2,VLOOKUP(K1104,RPM!$H$2:$K$62,3,FALSE)-F1104-E1104-D1104,IF(J1104=3,VLOOKUP(K1104,RPM!$K$2:$N$62,3,FALSE)-F1104-E1104-D1104)))</f>
        <v>688.48526429214962</v>
      </c>
      <c r="H1104" s="19">
        <f>IF(J1104=1,Specification!$I$14,IF(J1104=2,Specification!$I$15,IF(J1104=3,Specification!$I$16)))</f>
        <v>582.50936296077191</v>
      </c>
      <c r="I1104" s="16">
        <f t="shared" si="201"/>
        <v>0</v>
      </c>
      <c r="J1104" s="17">
        <v>2</v>
      </c>
      <c r="K1104" s="16">
        <f>IF(J1104=1,VLOOKUP(B1104,RPM!$F$2:$H$62,3,TRUE),IF(J1104=2,VLOOKUP(B1104,RPM!$I$2:$K$62,3,TRUE),IF(J1104=3,VLOOKUP(B1104,RPM!$L$2:$N$62,3,TRUE))))</f>
        <v>7000</v>
      </c>
      <c r="L1104" s="17">
        <f t="shared" si="212"/>
        <v>86.520031383012423</v>
      </c>
      <c r="M1104" s="16">
        <f t="shared" si="203"/>
        <v>0</v>
      </c>
      <c r="N1104" s="17">
        <f>VLOOKUP(K1104,RPM!$A$2:$D$62,3,FALSE)</f>
        <v>13</v>
      </c>
      <c r="O1104" s="16">
        <f>VLOOKUP(K1104,RPM!$A$2:$D$62,4,FALSE)</f>
        <v>13.235857142857142</v>
      </c>
      <c r="P1104" s="17">
        <f t="shared" si="204"/>
        <v>9.8699786714285711</v>
      </c>
      <c r="Q1104" s="16" cm="1">
        <f t="array" ref="Q1104">_xlfn.XLOOKUP(O1104,BSFC!$A$2:$A$24,_xlfn.XLOOKUP(K1104,BSFC!$B$1:$O$1,BSFC!$B$2:$O$24,,-1),,-1)</f>
        <v>520</v>
      </c>
      <c r="R1104" s="17">
        <f t="shared" si="205"/>
        <v>1.425663585873016</v>
      </c>
      <c r="S1104" s="16">
        <f t="shared" si="206"/>
        <v>2.0443068048074323E-4</v>
      </c>
      <c r="T1104" s="17">
        <f t="shared" si="209"/>
        <v>0.10630395384998648</v>
      </c>
      <c r="U1104" s="16">
        <f t="shared" si="210"/>
        <v>145.7420518312266</v>
      </c>
      <c r="V1104" s="17">
        <f t="shared" si="211"/>
        <v>0.30220492472836069</v>
      </c>
      <c r="W1104" s="16">
        <f t="shared" si="207"/>
        <v>1087937.7290220985</v>
      </c>
      <c r="X1104">
        <f>('Hybrid Info'!$A$2-Track!P1104)*(L1104-L1103)*1000+X1103</f>
        <v>-44343.001577790448</v>
      </c>
    </row>
    <row r="1105" spans="1:24">
      <c r="A1105" s="16">
        <f t="shared" si="208"/>
        <v>1104</v>
      </c>
      <c r="B1105" s="17">
        <f t="shared" si="202"/>
        <v>13.411199999999999</v>
      </c>
      <c r="C1105" s="16">
        <f>Specification!$G$29</f>
        <v>164.943378</v>
      </c>
      <c r="D1105" s="17">
        <f>0.5*Specification!$K$4*Track!B1105^2*Specification!$K$3*Specification!$K$2</f>
        <v>93.159842569492653</v>
      </c>
      <c r="E1105" s="16">
        <v>0</v>
      </c>
      <c r="F1105" s="17">
        <f>Specification!$C$23*9.81*SIN((E1105*PI()/180))</f>
        <v>0</v>
      </c>
      <c r="G1105" s="18">
        <f>IF(J1105=1,VLOOKUP(K1105,RPM!$E$2:$H$62,3,FALSE)-F1105-E1105-D1105,IF(J1105=2,VLOOKUP(K1105,RPM!$H$2:$K$62,3,FALSE)-F1105-E1105-D1105,IF(J1105=3,VLOOKUP(K1105,RPM!$K$2:$N$62,3,FALSE)-F1105-E1105-D1105)))</f>
        <v>688.48526429214962</v>
      </c>
      <c r="H1105" s="19">
        <f>IF(J1105=1,Specification!$I$14,IF(J1105=2,Specification!$I$15,IF(J1105=3,Specification!$I$16)))</f>
        <v>582.50936296077191</v>
      </c>
      <c r="I1105" s="16">
        <f t="shared" si="201"/>
        <v>0</v>
      </c>
      <c r="J1105" s="17">
        <v>2</v>
      </c>
      <c r="K1105" s="16">
        <f>IF(J1105=1,VLOOKUP(B1105,RPM!$F$2:$H$62,3,TRUE),IF(J1105=2,VLOOKUP(B1105,RPM!$I$2:$K$62,3,TRUE),IF(J1105=3,VLOOKUP(B1105,RPM!$L$2:$N$62,3,TRUE))))</f>
        <v>7000</v>
      </c>
      <c r="L1105" s="17">
        <f t="shared" si="212"/>
        <v>86.594595926080899</v>
      </c>
      <c r="M1105" s="16">
        <f t="shared" si="203"/>
        <v>0</v>
      </c>
      <c r="N1105" s="17">
        <f>VLOOKUP(K1105,RPM!$A$2:$D$62,3,FALSE)</f>
        <v>13</v>
      </c>
      <c r="O1105" s="16">
        <f>VLOOKUP(K1105,RPM!$A$2:$D$62,4,FALSE)</f>
        <v>13.235857142857142</v>
      </c>
      <c r="P1105" s="17">
        <f t="shared" si="204"/>
        <v>9.8699786714285711</v>
      </c>
      <c r="Q1105" s="16" cm="1">
        <f t="array" ref="Q1105">_xlfn.XLOOKUP(O1105,BSFC!$A$2:$A$24,_xlfn.XLOOKUP(K1105,BSFC!$B$1:$O$1,BSFC!$B$2:$O$24,,-1),,-1)</f>
        <v>520</v>
      </c>
      <c r="R1105" s="17">
        <f t="shared" si="205"/>
        <v>1.425663585873016</v>
      </c>
      <c r="S1105" s="16">
        <f t="shared" si="206"/>
        <v>2.0443068048074323E-4</v>
      </c>
      <c r="T1105" s="17">
        <f t="shared" si="209"/>
        <v>0.10630395384998648</v>
      </c>
      <c r="U1105" s="16">
        <f t="shared" si="210"/>
        <v>145.84835578507659</v>
      </c>
      <c r="V1105" s="17">
        <f t="shared" si="211"/>
        <v>0.30240935540884145</v>
      </c>
      <c r="W1105" s="16">
        <f t="shared" si="207"/>
        <v>1088673.6794718292</v>
      </c>
      <c r="X1105">
        <f>('Hybrid Info'!$A$2-Track!P1105)*(L1105-L1104)*1000+X1104</f>
        <v>-44175.195868804192</v>
      </c>
    </row>
    <row r="1106" spans="1:24">
      <c r="A1106" s="16">
        <f t="shared" si="208"/>
        <v>1105</v>
      </c>
      <c r="B1106" s="17">
        <f t="shared" si="202"/>
        <v>13.411199999999999</v>
      </c>
      <c r="C1106" s="16">
        <f>Specification!$G$29</f>
        <v>164.943378</v>
      </c>
      <c r="D1106" s="17">
        <f>0.5*Specification!$K$4*Track!B1106^2*Specification!$K$3*Specification!$K$2</f>
        <v>93.159842569492653</v>
      </c>
      <c r="E1106" s="16">
        <v>0</v>
      </c>
      <c r="F1106" s="17">
        <f>Specification!$C$23*9.81*SIN((E1106*PI()/180))</f>
        <v>0</v>
      </c>
      <c r="G1106" s="18">
        <f>IF(J1106=1,VLOOKUP(K1106,RPM!$E$2:$H$62,3,FALSE)-F1106-E1106-D1106,IF(J1106=2,VLOOKUP(K1106,RPM!$H$2:$K$62,3,FALSE)-F1106-E1106-D1106,IF(J1106=3,VLOOKUP(K1106,RPM!$K$2:$N$62,3,FALSE)-F1106-E1106-D1106)))</f>
        <v>688.48526429214962</v>
      </c>
      <c r="H1106" s="19">
        <f>IF(J1106=1,Specification!$I$14,IF(J1106=2,Specification!$I$15,IF(J1106=3,Specification!$I$16)))</f>
        <v>582.50936296077191</v>
      </c>
      <c r="I1106" s="16">
        <f t="shared" si="201"/>
        <v>0</v>
      </c>
      <c r="J1106" s="17">
        <v>2</v>
      </c>
      <c r="K1106" s="16">
        <f>IF(J1106=1,VLOOKUP(B1106,RPM!$F$2:$H$62,3,TRUE),IF(J1106=2,VLOOKUP(B1106,RPM!$I$2:$K$62,3,TRUE),IF(J1106=3,VLOOKUP(B1106,RPM!$L$2:$N$62,3,TRUE))))</f>
        <v>7000</v>
      </c>
      <c r="L1106" s="17">
        <f t="shared" si="212"/>
        <v>86.669160469149375</v>
      </c>
      <c r="M1106" s="16">
        <f t="shared" si="203"/>
        <v>0</v>
      </c>
      <c r="N1106" s="17">
        <f>VLOOKUP(K1106,RPM!$A$2:$D$62,3,FALSE)</f>
        <v>13</v>
      </c>
      <c r="O1106" s="16">
        <f>VLOOKUP(K1106,RPM!$A$2:$D$62,4,FALSE)</f>
        <v>13.235857142857142</v>
      </c>
      <c r="P1106" s="17">
        <f t="shared" si="204"/>
        <v>9.8699786714285711</v>
      </c>
      <c r="Q1106" s="16" cm="1">
        <f t="array" ref="Q1106">_xlfn.XLOOKUP(O1106,BSFC!$A$2:$A$24,_xlfn.XLOOKUP(K1106,BSFC!$B$1:$O$1,BSFC!$B$2:$O$24,,-1),,-1)</f>
        <v>520</v>
      </c>
      <c r="R1106" s="17">
        <f t="shared" si="205"/>
        <v>1.425663585873016</v>
      </c>
      <c r="S1106" s="16">
        <f t="shared" si="206"/>
        <v>2.0443068048074323E-4</v>
      </c>
      <c r="T1106" s="17">
        <f t="shared" si="209"/>
        <v>0.10630395384998648</v>
      </c>
      <c r="U1106" s="16">
        <f t="shared" si="210"/>
        <v>145.95465973892658</v>
      </c>
      <c r="V1106" s="17">
        <f t="shared" si="211"/>
        <v>0.30261378608932221</v>
      </c>
      <c r="W1106" s="16">
        <f t="shared" si="207"/>
        <v>1089409.6299215599</v>
      </c>
      <c r="X1106">
        <f>('Hybrid Info'!$A$2-Track!P1106)*(L1106-L1105)*1000+X1105</f>
        <v>-44007.390159817936</v>
      </c>
    </row>
    <row r="1107" spans="1:24">
      <c r="A1107" s="16">
        <f t="shared" si="208"/>
        <v>1106</v>
      </c>
      <c r="B1107" s="17">
        <f t="shared" si="202"/>
        <v>13.411199999999999</v>
      </c>
      <c r="C1107" s="16">
        <f>Specification!$G$29</f>
        <v>164.943378</v>
      </c>
      <c r="D1107" s="17">
        <f>0.5*Specification!$K$4*Track!B1107^2*Specification!$K$3*Specification!$K$2</f>
        <v>93.159842569492653</v>
      </c>
      <c r="E1107" s="16">
        <v>0</v>
      </c>
      <c r="F1107" s="17">
        <f>Specification!$C$23*9.81*SIN((E1107*PI()/180))</f>
        <v>0</v>
      </c>
      <c r="G1107" s="18">
        <f>IF(J1107=1,VLOOKUP(K1107,RPM!$E$2:$H$62,3,FALSE)-F1107-E1107-D1107,IF(J1107=2,VLOOKUP(K1107,RPM!$H$2:$K$62,3,FALSE)-F1107-E1107-D1107,IF(J1107=3,VLOOKUP(K1107,RPM!$K$2:$N$62,3,FALSE)-F1107-E1107-D1107)))</f>
        <v>688.48526429214962</v>
      </c>
      <c r="H1107" s="19">
        <f>IF(J1107=1,Specification!$I$14,IF(J1107=2,Specification!$I$15,IF(J1107=3,Specification!$I$16)))</f>
        <v>582.50936296077191</v>
      </c>
      <c r="I1107" s="16">
        <f t="shared" si="201"/>
        <v>0</v>
      </c>
      <c r="J1107" s="17">
        <v>2</v>
      </c>
      <c r="K1107" s="16">
        <f>IF(J1107=1,VLOOKUP(B1107,RPM!$F$2:$H$62,3,TRUE),IF(J1107=2,VLOOKUP(B1107,RPM!$I$2:$K$62,3,TRUE),IF(J1107=3,VLOOKUP(B1107,RPM!$L$2:$N$62,3,TRUE))))</f>
        <v>7000</v>
      </c>
      <c r="L1107" s="17">
        <f t="shared" si="212"/>
        <v>86.743725012217851</v>
      </c>
      <c r="M1107" s="16">
        <f t="shared" si="203"/>
        <v>0</v>
      </c>
      <c r="N1107" s="17">
        <f>VLOOKUP(K1107,RPM!$A$2:$D$62,3,FALSE)</f>
        <v>13</v>
      </c>
      <c r="O1107" s="16">
        <f>VLOOKUP(K1107,RPM!$A$2:$D$62,4,FALSE)</f>
        <v>13.235857142857142</v>
      </c>
      <c r="P1107" s="17">
        <f t="shared" si="204"/>
        <v>9.8699786714285711</v>
      </c>
      <c r="Q1107" s="16" cm="1">
        <f t="array" ref="Q1107">_xlfn.XLOOKUP(O1107,BSFC!$A$2:$A$24,_xlfn.XLOOKUP(K1107,BSFC!$B$1:$O$1,BSFC!$B$2:$O$24,,-1),,-1)</f>
        <v>520</v>
      </c>
      <c r="R1107" s="17">
        <f t="shared" si="205"/>
        <v>1.425663585873016</v>
      </c>
      <c r="S1107" s="16">
        <f t="shared" si="206"/>
        <v>2.0443068048074323E-4</v>
      </c>
      <c r="T1107" s="17">
        <f t="shared" si="209"/>
        <v>0.10630395384998648</v>
      </c>
      <c r="U1107" s="16">
        <f t="shared" si="210"/>
        <v>146.06096369277657</v>
      </c>
      <c r="V1107" s="17">
        <f t="shared" si="211"/>
        <v>0.30281821676980297</v>
      </c>
      <c r="W1107" s="16">
        <f t="shared" si="207"/>
        <v>1090145.5803712907</v>
      </c>
      <c r="X1107">
        <f>('Hybrid Info'!$A$2-Track!P1107)*(L1107-L1106)*1000+X1106</f>
        <v>-43839.58445083168</v>
      </c>
    </row>
    <row r="1108" spans="1:24">
      <c r="A1108" s="16">
        <f t="shared" si="208"/>
        <v>1107</v>
      </c>
      <c r="B1108" s="17">
        <f t="shared" si="202"/>
        <v>13.411199999999999</v>
      </c>
      <c r="C1108" s="16">
        <f>Specification!$G$29</f>
        <v>164.943378</v>
      </c>
      <c r="D1108" s="17">
        <f>0.5*Specification!$K$4*Track!B1108^2*Specification!$K$3*Specification!$K$2</f>
        <v>93.159842569492653</v>
      </c>
      <c r="E1108" s="16">
        <v>0</v>
      </c>
      <c r="F1108" s="17">
        <f>Specification!$C$23*9.81*SIN((E1108*PI()/180))</f>
        <v>0</v>
      </c>
      <c r="G1108" s="18">
        <f>IF(J1108=1,VLOOKUP(K1108,RPM!$E$2:$H$62,3,FALSE)-F1108-E1108-D1108,IF(J1108=2,VLOOKUP(K1108,RPM!$H$2:$K$62,3,FALSE)-F1108-E1108-D1108,IF(J1108=3,VLOOKUP(K1108,RPM!$K$2:$N$62,3,FALSE)-F1108-E1108-D1108)))</f>
        <v>688.48526429214962</v>
      </c>
      <c r="H1108" s="19">
        <f>IF(J1108=1,Specification!$I$14,IF(J1108=2,Specification!$I$15,IF(J1108=3,Specification!$I$16)))</f>
        <v>582.50936296077191</v>
      </c>
      <c r="I1108" s="16">
        <f t="shared" si="201"/>
        <v>0</v>
      </c>
      <c r="J1108" s="17">
        <v>2</v>
      </c>
      <c r="K1108" s="16">
        <f>IF(J1108=1,VLOOKUP(B1108,RPM!$F$2:$H$62,3,TRUE),IF(J1108=2,VLOOKUP(B1108,RPM!$I$2:$K$62,3,TRUE),IF(J1108=3,VLOOKUP(B1108,RPM!$L$2:$N$62,3,TRUE))))</f>
        <v>7000</v>
      </c>
      <c r="L1108" s="17">
        <f t="shared" si="212"/>
        <v>86.818289555286327</v>
      </c>
      <c r="M1108" s="16">
        <f t="shared" si="203"/>
        <v>0</v>
      </c>
      <c r="N1108" s="17">
        <f>VLOOKUP(K1108,RPM!$A$2:$D$62,3,FALSE)</f>
        <v>13</v>
      </c>
      <c r="O1108" s="16">
        <f>VLOOKUP(K1108,RPM!$A$2:$D$62,4,FALSE)</f>
        <v>13.235857142857142</v>
      </c>
      <c r="P1108" s="17">
        <f t="shared" si="204"/>
        <v>9.8699786714285711</v>
      </c>
      <c r="Q1108" s="16" cm="1">
        <f t="array" ref="Q1108">_xlfn.XLOOKUP(O1108,BSFC!$A$2:$A$24,_xlfn.XLOOKUP(K1108,BSFC!$B$1:$O$1,BSFC!$B$2:$O$24,,-1),,-1)</f>
        <v>520</v>
      </c>
      <c r="R1108" s="17">
        <f t="shared" si="205"/>
        <v>1.425663585873016</v>
      </c>
      <c r="S1108" s="16">
        <f t="shared" si="206"/>
        <v>2.0443068048074323E-4</v>
      </c>
      <c r="T1108" s="17">
        <f t="shared" si="209"/>
        <v>0.10630395384998648</v>
      </c>
      <c r="U1108" s="16">
        <f t="shared" si="210"/>
        <v>146.16726764662656</v>
      </c>
      <c r="V1108" s="17">
        <f t="shared" si="211"/>
        <v>0.30302264745028373</v>
      </c>
      <c r="W1108" s="16">
        <f t="shared" si="207"/>
        <v>1090881.5308210214</v>
      </c>
      <c r="X1108">
        <f>('Hybrid Info'!$A$2-Track!P1108)*(L1108-L1107)*1000+X1107</f>
        <v>-43671.778741845425</v>
      </c>
    </row>
    <row r="1109" spans="1:24">
      <c r="A1109" s="16">
        <f t="shared" si="208"/>
        <v>1108</v>
      </c>
      <c r="B1109" s="17">
        <f t="shared" si="202"/>
        <v>13.411199999999999</v>
      </c>
      <c r="C1109" s="16">
        <f>Specification!$G$29</f>
        <v>164.943378</v>
      </c>
      <c r="D1109" s="17">
        <f>0.5*Specification!$K$4*Track!B1109^2*Specification!$K$3*Specification!$K$2</f>
        <v>93.159842569492653</v>
      </c>
      <c r="E1109" s="16">
        <v>0</v>
      </c>
      <c r="F1109" s="17">
        <f>Specification!$C$23*9.81*SIN((E1109*PI()/180))</f>
        <v>0</v>
      </c>
      <c r="G1109" s="18">
        <f>IF(J1109=1,VLOOKUP(K1109,RPM!$E$2:$H$62,3,FALSE)-F1109-E1109-D1109,IF(J1109=2,VLOOKUP(K1109,RPM!$H$2:$K$62,3,FALSE)-F1109-E1109-D1109,IF(J1109=3,VLOOKUP(K1109,RPM!$K$2:$N$62,3,FALSE)-F1109-E1109-D1109)))</f>
        <v>688.48526429214962</v>
      </c>
      <c r="H1109" s="19">
        <f>IF(J1109=1,Specification!$I$14,IF(J1109=2,Specification!$I$15,IF(J1109=3,Specification!$I$16)))</f>
        <v>582.50936296077191</v>
      </c>
      <c r="I1109" s="16">
        <f t="shared" si="201"/>
        <v>0</v>
      </c>
      <c r="J1109" s="17">
        <v>2</v>
      </c>
      <c r="K1109" s="16">
        <f>IF(J1109=1,VLOOKUP(B1109,RPM!$F$2:$H$62,3,TRUE),IF(J1109=2,VLOOKUP(B1109,RPM!$I$2:$K$62,3,TRUE),IF(J1109=3,VLOOKUP(B1109,RPM!$L$2:$N$62,3,TRUE))))</f>
        <v>7000</v>
      </c>
      <c r="L1109" s="17">
        <f t="shared" si="212"/>
        <v>86.892854098354803</v>
      </c>
      <c r="M1109" s="16">
        <f t="shared" si="203"/>
        <v>0</v>
      </c>
      <c r="N1109" s="17">
        <f>VLOOKUP(K1109,RPM!$A$2:$D$62,3,FALSE)</f>
        <v>13</v>
      </c>
      <c r="O1109" s="16">
        <f>VLOOKUP(K1109,RPM!$A$2:$D$62,4,FALSE)</f>
        <v>13.235857142857142</v>
      </c>
      <c r="P1109" s="17">
        <f t="shared" si="204"/>
        <v>9.8699786714285711</v>
      </c>
      <c r="Q1109" s="16" cm="1">
        <f t="array" ref="Q1109">_xlfn.XLOOKUP(O1109,BSFC!$A$2:$A$24,_xlfn.XLOOKUP(K1109,BSFC!$B$1:$O$1,BSFC!$B$2:$O$24,,-1),,-1)</f>
        <v>520</v>
      </c>
      <c r="R1109" s="17">
        <f t="shared" si="205"/>
        <v>1.425663585873016</v>
      </c>
      <c r="S1109" s="16">
        <f t="shared" si="206"/>
        <v>2.0443068048074323E-4</v>
      </c>
      <c r="T1109" s="17">
        <f t="shared" si="209"/>
        <v>0.10630395384998648</v>
      </c>
      <c r="U1109" s="16">
        <f t="shared" si="210"/>
        <v>146.27357160047654</v>
      </c>
      <c r="V1109" s="17">
        <f t="shared" si="211"/>
        <v>0.30322707813076449</v>
      </c>
      <c r="W1109" s="16">
        <f t="shared" si="207"/>
        <v>1091617.4812707521</v>
      </c>
      <c r="X1109">
        <f>('Hybrid Info'!$A$2-Track!P1109)*(L1109-L1108)*1000+X1108</f>
        <v>-43503.973032859169</v>
      </c>
    </row>
    <row r="1110" spans="1:24">
      <c r="A1110" s="16">
        <f t="shared" si="208"/>
        <v>1109</v>
      </c>
      <c r="B1110" s="17">
        <f t="shared" si="202"/>
        <v>13.411199999999999</v>
      </c>
      <c r="C1110" s="16">
        <f>Specification!$G$29</f>
        <v>164.943378</v>
      </c>
      <c r="D1110" s="17">
        <f>0.5*Specification!$K$4*Track!B1110^2*Specification!$K$3*Specification!$K$2</f>
        <v>93.159842569492653</v>
      </c>
      <c r="E1110" s="16">
        <v>0</v>
      </c>
      <c r="F1110" s="17">
        <f>Specification!$C$23*9.81*SIN((E1110*PI()/180))</f>
        <v>0</v>
      </c>
      <c r="G1110" s="18">
        <f>IF(J1110=1,VLOOKUP(K1110,RPM!$E$2:$H$62,3,FALSE)-F1110-E1110-D1110,IF(J1110=2,VLOOKUP(K1110,RPM!$H$2:$K$62,3,FALSE)-F1110-E1110-D1110,IF(J1110=3,VLOOKUP(K1110,RPM!$K$2:$N$62,3,FALSE)-F1110-E1110-D1110)))</f>
        <v>688.48526429214962</v>
      </c>
      <c r="H1110" s="19">
        <f>IF(J1110=1,Specification!$I$14,IF(J1110=2,Specification!$I$15,IF(J1110=3,Specification!$I$16)))</f>
        <v>582.50936296077191</v>
      </c>
      <c r="I1110" s="16">
        <f t="shared" si="201"/>
        <v>0</v>
      </c>
      <c r="J1110" s="17">
        <v>2</v>
      </c>
      <c r="K1110" s="16">
        <f>IF(J1110=1,VLOOKUP(B1110,RPM!$F$2:$H$62,3,TRUE),IF(J1110=2,VLOOKUP(B1110,RPM!$I$2:$K$62,3,TRUE),IF(J1110=3,VLOOKUP(B1110,RPM!$L$2:$N$62,3,TRUE))))</f>
        <v>7000</v>
      </c>
      <c r="L1110" s="17">
        <f t="shared" si="212"/>
        <v>86.967418641423279</v>
      </c>
      <c r="M1110" s="16">
        <f t="shared" si="203"/>
        <v>0</v>
      </c>
      <c r="N1110" s="17">
        <f>VLOOKUP(K1110,RPM!$A$2:$D$62,3,FALSE)</f>
        <v>13</v>
      </c>
      <c r="O1110" s="16">
        <f>VLOOKUP(K1110,RPM!$A$2:$D$62,4,FALSE)</f>
        <v>13.235857142857142</v>
      </c>
      <c r="P1110" s="17">
        <f t="shared" si="204"/>
        <v>9.8699786714285711</v>
      </c>
      <c r="Q1110" s="16" cm="1">
        <f t="array" ref="Q1110">_xlfn.XLOOKUP(O1110,BSFC!$A$2:$A$24,_xlfn.XLOOKUP(K1110,BSFC!$B$1:$O$1,BSFC!$B$2:$O$24,,-1),,-1)</f>
        <v>520</v>
      </c>
      <c r="R1110" s="17">
        <f t="shared" si="205"/>
        <v>1.425663585873016</v>
      </c>
      <c r="S1110" s="16">
        <f t="shared" si="206"/>
        <v>2.0443068048074323E-4</v>
      </c>
      <c r="T1110" s="17">
        <f t="shared" si="209"/>
        <v>0.10630395384998648</v>
      </c>
      <c r="U1110" s="16">
        <f t="shared" si="210"/>
        <v>146.37987555432653</v>
      </c>
      <c r="V1110" s="17">
        <f t="shared" si="211"/>
        <v>0.30343150881124525</v>
      </c>
      <c r="W1110" s="16">
        <f t="shared" si="207"/>
        <v>1092353.4317204829</v>
      </c>
      <c r="X1110">
        <f>('Hybrid Info'!$A$2-Track!P1110)*(L1110-L1109)*1000+X1109</f>
        <v>-43336.167323872913</v>
      </c>
    </row>
    <row r="1111" spans="1:24">
      <c r="A1111" s="16">
        <f t="shared" si="208"/>
        <v>1110</v>
      </c>
      <c r="B1111" s="17">
        <f t="shared" si="202"/>
        <v>13.411199999999999</v>
      </c>
      <c r="C1111" s="16">
        <f>Specification!$G$29</f>
        <v>164.943378</v>
      </c>
      <c r="D1111" s="17">
        <f>0.5*Specification!$K$4*Track!B1111^2*Specification!$K$3*Specification!$K$2</f>
        <v>93.159842569492653</v>
      </c>
      <c r="E1111" s="16">
        <v>0</v>
      </c>
      <c r="F1111" s="17">
        <f>Specification!$C$23*9.81*SIN((E1111*PI()/180))</f>
        <v>0</v>
      </c>
      <c r="G1111" s="18">
        <f>IF(J1111=1,VLOOKUP(K1111,RPM!$E$2:$H$62,3,FALSE)-F1111-E1111-D1111,IF(J1111=2,VLOOKUP(K1111,RPM!$H$2:$K$62,3,FALSE)-F1111-E1111-D1111,IF(J1111=3,VLOOKUP(K1111,RPM!$K$2:$N$62,3,FALSE)-F1111-E1111-D1111)))</f>
        <v>688.48526429214962</v>
      </c>
      <c r="H1111" s="19">
        <f>IF(J1111=1,Specification!$I$14,IF(J1111=2,Specification!$I$15,IF(J1111=3,Specification!$I$16)))</f>
        <v>582.50936296077191</v>
      </c>
      <c r="I1111" s="16">
        <f t="shared" si="201"/>
        <v>0</v>
      </c>
      <c r="J1111" s="17">
        <v>2</v>
      </c>
      <c r="K1111" s="16">
        <f>IF(J1111=1,VLOOKUP(B1111,RPM!$F$2:$H$62,3,TRUE),IF(J1111=2,VLOOKUP(B1111,RPM!$I$2:$K$62,3,TRUE),IF(J1111=3,VLOOKUP(B1111,RPM!$L$2:$N$62,3,TRUE))))</f>
        <v>7000</v>
      </c>
      <c r="L1111" s="17">
        <f t="shared" si="212"/>
        <v>87.041983184491755</v>
      </c>
      <c r="M1111" s="16">
        <f t="shared" si="203"/>
        <v>0</v>
      </c>
      <c r="N1111" s="17">
        <f>VLOOKUP(K1111,RPM!$A$2:$D$62,3,FALSE)</f>
        <v>13</v>
      </c>
      <c r="O1111" s="16">
        <f>VLOOKUP(K1111,RPM!$A$2:$D$62,4,FALSE)</f>
        <v>13.235857142857142</v>
      </c>
      <c r="P1111" s="17">
        <f t="shared" si="204"/>
        <v>9.8699786714285711</v>
      </c>
      <c r="Q1111" s="16" cm="1">
        <f t="array" ref="Q1111">_xlfn.XLOOKUP(O1111,BSFC!$A$2:$A$24,_xlfn.XLOOKUP(K1111,BSFC!$B$1:$O$1,BSFC!$B$2:$O$24,,-1),,-1)</f>
        <v>520</v>
      </c>
      <c r="R1111" s="17">
        <f t="shared" si="205"/>
        <v>1.425663585873016</v>
      </c>
      <c r="S1111" s="16">
        <f t="shared" si="206"/>
        <v>2.0443068048074323E-4</v>
      </c>
      <c r="T1111" s="17">
        <f t="shared" si="209"/>
        <v>0.10630395384998648</v>
      </c>
      <c r="U1111" s="16">
        <f t="shared" si="210"/>
        <v>146.48617950817652</v>
      </c>
      <c r="V1111" s="17">
        <f t="shared" si="211"/>
        <v>0.30363593949172601</v>
      </c>
      <c r="W1111" s="16">
        <f t="shared" si="207"/>
        <v>1093089.3821702136</v>
      </c>
      <c r="X1111">
        <f>('Hybrid Info'!$A$2-Track!P1111)*(L1111-L1110)*1000+X1110</f>
        <v>-43168.361614886657</v>
      </c>
    </row>
    <row r="1112" spans="1:24">
      <c r="A1112" s="16">
        <f t="shared" si="208"/>
        <v>1111</v>
      </c>
      <c r="B1112" s="17">
        <f t="shared" si="202"/>
        <v>13.411199999999999</v>
      </c>
      <c r="C1112" s="16">
        <f>Specification!$G$29</f>
        <v>164.943378</v>
      </c>
      <c r="D1112" s="17">
        <f>0.5*Specification!$K$4*Track!B1112^2*Specification!$K$3*Specification!$K$2</f>
        <v>93.159842569492653</v>
      </c>
      <c r="E1112" s="16">
        <v>0</v>
      </c>
      <c r="F1112" s="17">
        <f>Specification!$C$23*9.81*SIN((E1112*PI()/180))</f>
        <v>0</v>
      </c>
      <c r="G1112" s="18">
        <f>IF(J1112=1,VLOOKUP(K1112,RPM!$E$2:$H$62,3,FALSE)-F1112-E1112-D1112,IF(J1112=2,VLOOKUP(K1112,RPM!$H$2:$K$62,3,FALSE)-F1112-E1112-D1112,IF(J1112=3,VLOOKUP(K1112,RPM!$K$2:$N$62,3,FALSE)-F1112-E1112-D1112)))</f>
        <v>688.48526429214962</v>
      </c>
      <c r="H1112" s="19">
        <f>IF(J1112=1,Specification!$I$14,IF(J1112=2,Specification!$I$15,IF(J1112=3,Specification!$I$16)))</f>
        <v>582.50936296077191</v>
      </c>
      <c r="I1112" s="16">
        <f t="shared" si="201"/>
        <v>0</v>
      </c>
      <c r="J1112" s="17">
        <v>2</v>
      </c>
      <c r="K1112" s="16">
        <f>IF(J1112=1,VLOOKUP(B1112,RPM!$F$2:$H$62,3,TRUE),IF(J1112=2,VLOOKUP(B1112,RPM!$I$2:$K$62,3,TRUE),IF(J1112=3,VLOOKUP(B1112,RPM!$L$2:$N$62,3,TRUE))))</f>
        <v>7000</v>
      </c>
      <c r="L1112" s="17">
        <f t="shared" si="212"/>
        <v>87.116547727560231</v>
      </c>
      <c r="M1112" s="16">
        <f t="shared" si="203"/>
        <v>0</v>
      </c>
      <c r="N1112" s="17">
        <f>VLOOKUP(K1112,RPM!$A$2:$D$62,3,FALSE)</f>
        <v>13</v>
      </c>
      <c r="O1112" s="16">
        <f>VLOOKUP(K1112,RPM!$A$2:$D$62,4,FALSE)</f>
        <v>13.235857142857142</v>
      </c>
      <c r="P1112" s="17">
        <f t="shared" si="204"/>
        <v>9.8699786714285711</v>
      </c>
      <c r="Q1112" s="16" cm="1">
        <f t="array" ref="Q1112">_xlfn.XLOOKUP(O1112,BSFC!$A$2:$A$24,_xlfn.XLOOKUP(K1112,BSFC!$B$1:$O$1,BSFC!$B$2:$O$24,,-1),,-1)</f>
        <v>520</v>
      </c>
      <c r="R1112" s="17">
        <f t="shared" si="205"/>
        <v>1.425663585873016</v>
      </c>
      <c r="S1112" s="16">
        <f t="shared" si="206"/>
        <v>2.0443068048074323E-4</v>
      </c>
      <c r="T1112" s="17">
        <f t="shared" si="209"/>
        <v>0.10630395384998648</v>
      </c>
      <c r="U1112" s="16">
        <f t="shared" si="210"/>
        <v>146.59248346202651</v>
      </c>
      <c r="V1112" s="17">
        <f t="shared" si="211"/>
        <v>0.30384037017220678</v>
      </c>
      <c r="W1112" s="16">
        <f t="shared" si="207"/>
        <v>1093825.3326199446</v>
      </c>
      <c r="X1112">
        <f>('Hybrid Info'!$A$2-Track!P1112)*(L1112-L1111)*1000+X1111</f>
        <v>-43000.555905900401</v>
      </c>
    </row>
    <row r="1113" spans="1:24">
      <c r="A1113" s="16">
        <f t="shared" si="208"/>
        <v>1112</v>
      </c>
      <c r="B1113" s="17">
        <f t="shared" si="202"/>
        <v>13.411199999999999</v>
      </c>
      <c r="C1113" s="16">
        <f>Specification!$G$29</f>
        <v>164.943378</v>
      </c>
      <c r="D1113" s="17">
        <f>0.5*Specification!$K$4*Track!B1113^2*Specification!$K$3*Specification!$K$2</f>
        <v>93.159842569492653</v>
      </c>
      <c r="E1113" s="16">
        <v>0</v>
      </c>
      <c r="F1113" s="17">
        <f>Specification!$C$23*9.81*SIN((E1113*PI()/180))</f>
        <v>0</v>
      </c>
      <c r="G1113" s="18">
        <f>IF(J1113=1,VLOOKUP(K1113,RPM!$E$2:$H$62,3,FALSE)-F1113-E1113-D1113,IF(J1113=2,VLOOKUP(K1113,RPM!$H$2:$K$62,3,FALSE)-F1113-E1113-D1113,IF(J1113=3,VLOOKUP(K1113,RPM!$K$2:$N$62,3,FALSE)-F1113-E1113-D1113)))</f>
        <v>688.48526429214962</v>
      </c>
      <c r="H1113" s="19">
        <f>IF(J1113=1,Specification!$I$14,IF(J1113=2,Specification!$I$15,IF(J1113=3,Specification!$I$16)))</f>
        <v>582.50936296077191</v>
      </c>
      <c r="I1113" s="16">
        <f t="shared" si="201"/>
        <v>0</v>
      </c>
      <c r="J1113" s="17">
        <v>2</v>
      </c>
      <c r="K1113" s="16">
        <f>IF(J1113=1,VLOOKUP(B1113,RPM!$F$2:$H$62,3,TRUE),IF(J1113=2,VLOOKUP(B1113,RPM!$I$2:$K$62,3,TRUE),IF(J1113=3,VLOOKUP(B1113,RPM!$L$2:$N$62,3,TRUE))))</f>
        <v>7000</v>
      </c>
      <c r="L1113" s="17">
        <f t="shared" si="212"/>
        <v>87.191112270628707</v>
      </c>
      <c r="M1113" s="16">
        <f t="shared" si="203"/>
        <v>0</v>
      </c>
      <c r="N1113" s="17">
        <f>VLOOKUP(K1113,RPM!$A$2:$D$62,3,FALSE)</f>
        <v>13</v>
      </c>
      <c r="O1113" s="16">
        <f>VLOOKUP(K1113,RPM!$A$2:$D$62,4,FALSE)</f>
        <v>13.235857142857142</v>
      </c>
      <c r="P1113" s="17">
        <f t="shared" si="204"/>
        <v>9.8699786714285711</v>
      </c>
      <c r="Q1113" s="16" cm="1">
        <f t="array" ref="Q1113">_xlfn.XLOOKUP(O1113,BSFC!$A$2:$A$24,_xlfn.XLOOKUP(K1113,BSFC!$B$1:$O$1,BSFC!$B$2:$O$24,,-1),,-1)</f>
        <v>520</v>
      </c>
      <c r="R1113" s="17">
        <f t="shared" si="205"/>
        <v>1.425663585873016</v>
      </c>
      <c r="S1113" s="16">
        <f t="shared" si="206"/>
        <v>2.0443068048074323E-4</v>
      </c>
      <c r="T1113" s="17">
        <f t="shared" si="209"/>
        <v>0.10630395384998648</v>
      </c>
      <c r="U1113" s="16">
        <f t="shared" si="210"/>
        <v>146.6987874158765</v>
      </c>
      <c r="V1113" s="17">
        <f t="shared" si="211"/>
        <v>0.30404480085268754</v>
      </c>
      <c r="W1113" s="16">
        <f t="shared" si="207"/>
        <v>1094561.2830696753</v>
      </c>
      <c r="X1113">
        <f>('Hybrid Info'!$A$2-Track!P1113)*(L1113-L1112)*1000+X1112</f>
        <v>-42832.750196914145</v>
      </c>
    </row>
    <row r="1114" spans="1:24">
      <c r="A1114" s="16">
        <f t="shared" si="208"/>
        <v>1113</v>
      </c>
      <c r="B1114" s="17">
        <f t="shared" si="202"/>
        <v>13.411199999999999</v>
      </c>
      <c r="C1114" s="16">
        <f>Specification!$G$29</f>
        <v>164.943378</v>
      </c>
      <c r="D1114" s="17">
        <f>0.5*Specification!$K$4*Track!B1114^2*Specification!$K$3*Specification!$K$2</f>
        <v>93.159842569492653</v>
      </c>
      <c r="E1114" s="16">
        <v>0</v>
      </c>
      <c r="F1114" s="17">
        <f>Specification!$C$23*9.81*SIN((E1114*PI()/180))</f>
        <v>0</v>
      </c>
      <c r="G1114" s="18">
        <f>IF(J1114=1,VLOOKUP(K1114,RPM!$E$2:$H$62,3,FALSE)-F1114-E1114-D1114,IF(J1114=2,VLOOKUP(K1114,RPM!$H$2:$K$62,3,FALSE)-F1114-E1114-D1114,IF(J1114=3,VLOOKUP(K1114,RPM!$K$2:$N$62,3,FALSE)-F1114-E1114-D1114)))</f>
        <v>688.48526429214962</v>
      </c>
      <c r="H1114" s="19">
        <f>IF(J1114=1,Specification!$I$14,IF(J1114=2,Specification!$I$15,IF(J1114=3,Specification!$I$16)))</f>
        <v>582.50936296077191</v>
      </c>
      <c r="I1114" s="16">
        <f t="shared" si="201"/>
        <v>0</v>
      </c>
      <c r="J1114" s="17">
        <v>2</v>
      </c>
      <c r="K1114" s="16">
        <f>IF(J1114=1,VLOOKUP(B1114,RPM!$F$2:$H$62,3,TRUE),IF(J1114=2,VLOOKUP(B1114,RPM!$I$2:$K$62,3,TRUE),IF(J1114=3,VLOOKUP(B1114,RPM!$L$2:$N$62,3,TRUE))))</f>
        <v>7000</v>
      </c>
      <c r="L1114" s="17">
        <f t="shared" si="212"/>
        <v>87.265676813697183</v>
      </c>
      <c r="M1114" s="16">
        <f t="shared" si="203"/>
        <v>0</v>
      </c>
      <c r="N1114" s="17">
        <f>VLOOKUP(K1114,RPM!$A$2:$D$62,3,FALSE)</f>
        <v>13</v>
      </c>
      <c r="O1114" s="16">
        <f>VLOOKUP(K1114,RPM!$A$2:$D$62,4,FALSE)</f>
        <v>13.235857142857142</v>
      </c>
      <c r="P1114" s="17">
        <f t="shared" si="204"/>
        <v>9.8699786714285711</v>
      </c>
      <c r="Q1114" s="16" cm="1">
        <f t="array" ref="Q1114">_xlfn.XLOOKUP(O1114,BSFC!$A$2:$A$24,_xlfn.XLOOKUP(K1114,BSFC!$B$1:$O$1,BSFC!$B$2:$O$24,,-1),,-1)</f>
        <v>520</v>
      </c>
      <c r="R1114" s="17">
        <f t="shared" si="205"/>
        <v>1.425663585873016</v>
      </c>
      <c r="S1114" s="16">
        <f t="shared" si="206"/>
        <v>2.0443068048074323E-4</v>
      </c>
      <c r="T1114" s="17">
        <f t="shared" si="209"/>
        <v>0.10630395384998648</v>
      </c>
      <c r="U1114" s="16">
        <f t="shared" si="210"/>
        <v>146.80509136972648</v>
      </c>
      <c r="V1114" s="17">
        <f t="shared" si="211"/>
        <v>0.3042492315331683</v>
      </c>
      <c r="W1114" s="16">
        <f t="shared" si="207"/>
        <v>1095297.2335194058</v>
      </c>
      <c r="X1114">
        <f>('Hybrid Info'!$A$2-Track!P1114)*(L1114-L1113)*1000+X1113</f>
        <v>-42664.944487927889</v>
      </c>
    </row>
    <row r="1115" spans="1:24">
      <c r="A1115" s="16">
        <f t="shared" si="208"/>
        <v>1114</v>
      </c>
      <c r="B1115" s="17">
        <f t="shared" si="202"/>
        <v>13.411199999999999</v>
      </c>
      <c r="C1115" s="16">
        <f>Specification!$G$29</f>
        <v>164.943378</v>
      </c>
      <c r="D1115" s="17">
        <f>0.5*Specification!$K$4*Track!B1115^2*Specification!$K$3*Specification!$K$2</f>
        <v>93.159842569492653</v>
      </c>
      <c r="E1115" s="16">
        <v>0</v>
      </c>
      <c r="F1115" s="17">
        <f>Specification!$C$23*9.81*SIN((E1115*PI()/180))</f>
        <v>0</v>
      </c>
      <c r="G1115" s="18">
        <f>IF(J1115=1,VLOOKUP(K1115,RPM!$E$2:$H$62,3,FALSE)-F1115-E1115-D1115,IF(J1115=2,VLOOKUP(K1115,RPM!$H$2:$K$62,3,FALSE)-F1115-E1115-D1115,IF(J1115=3,VLOOKUP(K1115,RPM!$K$2:$N$62,3,FALSE)-F1115-E1115-D1115)))</f>
        <v>688.48526429214962</v>
      </c>
      <c r="H1115" s="19">
        <f>IF(J1115=1,Specification!$I$14,IF(J1115=2,Specification!$I$15,IF(J1115=3,Specification!$I$16)))</f>
        <v>582.50936296077191</v>
      </c>
      <c r="I1115" s="16">
        <f t="shared" si="201"/>
        <v>0</v>
      </c>
      <c r="J1115" s="17">
        <v>2</v>
      </c>
      <c r="K1115" s="16">
        <f>IF(J1115=1,VLOOKUP(B1115,RPM!$F$2:$H$62,3,TRUE),IF(J1115=2,VLOOKUP(B1115,RPM!$I$2:$K$62,3,TRUE),IF(J1115=3,VLOOKUP(B1115,RPM!$L$2:$N$62,3,TRUE))))</f>
        <v>7000</v>
      </c>
      <c r="L1115" s="17">
        <f t="shared" si="212"/>
        <v>87.340241356765659</v>
      </c>
      <c r="M1115" s="16">
        <f t="shared" si="203"/>
        <v>0</v>
      </c>
      <c r="N1115" s="17">
        <f>VLOOKUP(K1115,RPM!$A$2:$D$62,3,FALSE)</f>
        <v>13</v>
      </c>
      <c r="O1115" s="16">
        <f>VLOOKUP(K1115,RPM!$A$2:$D$62,4,FALSE)</f>
        <v>13.235857142857142</v>
      </c>
      <c r="P1115" s="17">
        <f t="shared" si="204"/>
        <v>9.8699786714285711</v>
      </c>
      <c r="Q1115" s="16" cm="1">
        <f t="array" ref="Q1115">_xlfn.XLOOKUP(O1115,BSFC!$A$2:$A$24,_xlfn.XLOOKUP(K1115,BSFC!$B$1:$O$1,BSFC!$B$2:$O$24,,-1),,-1)</f>
        <v>520</v>
      </c>
      <c r="R1115" s="17">
        <f t="shared" si="205"/>
        <v>1.425663585873016</v>
      </c>
      <c r="S1115" s="16">
        <f t="shared" si="206"/>
        <v>2.0443068048074323E-4</v>
      </c>
      <c r="T1115" s="17">
        <f t="shared" si="209"/>
        <v>0.10630395384998648</v>
      </c>
      <c r="U1115" s="16">
        <f t="shared" si="210"/>
        <v>146.91139532357647</v>
      </c>
      <c r="V1115" s="17">
        <f t="shared" si="211"/>
        <v>0.30445366221364906</v>
      </c>
      <c r="W1115" s="16">
        <f t="shared" si="207"/>
        <v>1096033.1839691366</v>
      </c>
      <c r="X1115">
        <f>('Hybrid Info'!$A$2-Track!P1115)*(L1115-L1114)*1000+X1114</f>
        <v>-42497.138778941633</v>
      </c>
    </row>
    <row r="1116" spans="1:24">
      <c r="A1116" s="16">
        <f t="shared" si="208"/>
        <v>1115</v>
      </c>
      <c r="B1116" s="17">
        <f t="shared" si="202"/>
        <v>13.411199999999999</v>
      </c>
      <c r="C1116" s="16">
        <f>Specification!$G$29</f>
        <v>164.943378</v>
      </c>
      <c r="D1116" s="17">
        <f>0.5*Specification!$K$4*Track!B1116^2*Specification!$K$3*Specification!$K$2</f>
        <v>93.159842569492653</v>
      </c>
      <c r="E1116" s="16">
        <v>0</v>
      </c>
      <c r="F1116" s="17">
        <f>Specification!$C$23*9.81*SIN((E1116*PI()/180))</f>
        <v>0</v>
      </c>
      <c r="G1116" s="18">
        <f>IF(J1116=1,VLOOKUP(K1116,RPM!$E$2:$H$62,3,FALSE)-F1116-E1116-D1116,IF(J1116=2,VLOOKUP(K1116,RPM!$H$2:$K$62,3,FALSE)-F1116-E1116-D1116,IF(J1116=3,VLOOKUP(K1116,RPM!$K$2:$N$62,3,FALSE)-F1116-E1116-D1116)))</f>
        <v>688.48526429214962</v>
      </c>
      <c r="H1116" s="19">
        <f>IF(J1116=1,Specification!$I$14,IF(J1116=2,Specification!$I$15,IF(J1116=3,Specification!$I$16)))</f>
        <v>582.50936296077191</v>
      </c>
      <c r="I1116" s="16">
        <f t="shared" si="201"/>
        <v>0</v>
      </c>
      <c r="J1116" s="17">
        <v>2</v>
      </c>
      <c r="K1116" s="16">
        <f>IF(J1116=1,VLOOKUP(B1116,RPM!$F$2:$H$62,3,TRUE),IF(J1116=2,VLOOKUP(B1116,RPM!$I$2:$K$62,3,TRUE),IF(J1116=3,VLOOKUP(B1116,RPM!$L$2:$N$62,3,TRUE))))</f>
        <v>7000</v>
      </c>
      <c r="L1116" s="17">
        <f t="shared" si="212"/>
        <v>87.414805899834136</v>
      </c>
      <c r="M1116" s="16">
        <f t="shared" si="203"/>
        <v>0</v>
      </c>
      <c r="N1116" s="17">
        <f>VLOOKUP(K1116,RPM!$A$2:$D$62,3,FALSE)</f>
        <v>13</v>
      </c>
      <c r="O1116" s="16">
        <f>VLOOKUP(K1116,RPM!$A$2:$D$62,4,FALSE)</f>
        <v>13.235857142857142</v>
      </c>
      <c r="P1116" s="17">
        <f t="shared" si="204"/>
        <v>9.8699786714285711</v>
      </c>
      <c r="Q1116" s="16" cm="1">
        <f t="array" ref="Q1116">_xlfn.XLOOKUP(O1116,BSFC!$A$2:$A$24,_xlfn.XLOOKUP(K1116,BSFC!$B$1:$O$1,BSFC!$B$2:$O$24,,-1),,-1)</f>
        <v>520</v>
      </c>
      <c r="R1116" s="17">
        <f t="shared" si="205"/>
        <v>1.425663585873016</v>
      </c>
      <c r="S1116" s="16">
        <f t="shared" si="206"/>
        <v>2.0443068048074323E-4</v>
      </c>
      <c r="T1116" s="17">
        <f t="shared" si="209"/>
        <v>0.10630395384998648</v>
      </c>
      <c r="U1116" s="16">
        <f t="shared" si="210"/>
        <v>147.01769927742646</v>
      </c>
      <c r="V1116" s="17">
        <f t="shared" si="211"/>
        <v>0.30465809289412982</v>
      </c>
      <c r="W1116" s="16">
        <f t="shared" si="207"/>
        <v>1096769.1344188673</v>
      </c>
      <c r="X1116">
        <f>('Hybrid Info'!$A$2-Track!P1116)*(L1116-L1115)*1000+X1115</f>
        <v>-42329.333069955377</v>
      </c>
    </row>
    <row r="1117" spans="1:24">
      <c r="A1117" s="16">
        <f t="shared" si="208"/>
        <v>1116</v>
      </c>
      <c r="B1117" s="17">
        <f t="shared" si="202"/>
        <v>13.411199999999999</v>
      </c>
      <c r="C1117" s="16">
        <f>Specification!$G$29</f>
        <v>164.943378</v>
      </c>
      <c r="D1117" s="17">
        <f>0.5*Specification!$K$4*Track!B1117^2*Specification!$K$3*Specification!$K$2</f>
        <v>93.159842569492653</v>
      </c>
      <c r="E1117" s="16">
        <v>0</v>
      </c>
      <c r="F1117" s="17">
        <f>Specification!$C$23*9.81*SIN((E1117*PI()/180))</f>
        <v>0</v>
      </c>
      <c r="G1117" s="18">
        <f>IF(J1117=1,VLOOKUP(K1117,RPM!$E$2:$H$62,3,FALSE)-F1117-E1117-D1117,IF(J1117=2,VLOOKUP(K1117,RPM!$H$2:$K$62,3,FALSE)-F1117-E1117-D1117,IF(J1117=3,VLOOKUP(K1117,RPM!$K$2:$N$62,3,FALSE)-F1117-E1117-D1117)))</f>
        <v>688.48526429214962</v>
      </c>
      <c r="H1117" s="19">
        <f>IF(J1117=1,Specification!$I$14,IF(J1117=2,Specification!$I$15,IF(J1117=3,Specification!$I$16)))</f>
        <v>582.50936296077191</v>
      </c>
      <c r="I1117" s="16">
        <f t="shared" si="201"/>
        <v>0</v>
      </c>
      <c r="J1117" s="17">
        <v>2</v>
      </c>
      <c r="K1117" s="16">
        <f>IF(J1117=1,VLOOKUP(B1117,RPM!$F$2:$H$62,3,TRUE),IF(J1117=2,VLOOKUP(B1117,RPM!$I$2:$K$62,3,TRUE),IF(J1117=3,VLOOKUP(B1117,RPM!$L$2:$N$62,3,TRUE))))</f>
        <v>7000</v>
      </c>
      <c r="L1117" s="17">
        <f t="shared" si="212"/>
        <v>87.489370442902612</v>
      </c>
      <c r="M1117" s="16">
        <f t="shared" si="203"/>
        <v>0</v>
      </c>
      <c r="N1117" s="17">
        <f>VLOOKUP(K1117,RPM!$A$2:$D$62,3,FALSE)</f>
        <v>13</v>
      </c>
      <c r="O1117" s="16">
        <f>VLOOKUP(K1117,RPM!$A$2:$D$62,4,FALSE)</f>
        <v>13.235857142857142</v>
      </c>
      <c r="P1117" s="17">
        <f t="shared" si="204"/>
        <v>9.8699786714285711</v>
      </c>
      <c r="Q1117" s="16" cm="1">
        <f t="array" ref="Q1117">_xlfn.XLOOKUP(O1117,BSFC!$A$2:$A$24,_xlfn.XLOOKUP(K1117,BSFC!$B$1:$O$1,BSFC!$B$2:$O$24,,-1),,-1)</f>
        <v>520</v>
      </c>
      <c r="R1117" s="17">
        <f t="shared" si="205"/>
        <v>1.425663585873016</v>
      </c>
      <c r="S1117" s="16">
        <f t="shared" si="206"/>
        <v>2.0443068048074323E-4</v>
      </c>
      <c r="T1117" s="17">
        <f t="shared" si="209"/>
        <v>0.10630395384998648</v>
      </c>
      <c r="U1117" s="16">
        <f t="shared" si="210"/>
        <v>147.12400323127645</v>
      </c>
      <c r="V1117" s="17">
        <f t="shared" si="211"/>
        <v>0.30486252357461058</v>
      </c>
      <c r="W1117" s="16">
        <f t="shared" si="207"/>
        <v>1097505.084868598</v>
      </c>
      <c r="X1117">
        <f>('Hybrid Info'!$A$2-Track!P1117)*(L1117-L1116)*1000+X1116</f>
        <v>-42161.527360969121</v>
      </c>
    </row>
    <row r="1118" spans="1:24">
      <c r="A1118" s="16">
        <f t="shared" si="208"/>
        <v>1117</v>
      </c>
      <c r="B1118" s="17">
        <f t="shared" si="202"/>
        <v>13.411199999999999</v>
      </c>
      <c r="C1118" s="16">
        <f>Specification!$G$29</f>
        <v>164.943378</v>
      </c>
      <c r="D1118" s="17">
        <f>0.5*Specification!$K$4*Track!B1118^2*Specification!$K$3*Specification!$K$2</f>
        <v>93.159842569492653</v>
      </c>
      <c r="E1118" s="16">
        <v>0</v>
      </c>
      <c r="F1118" s="17">
        <f>Specification!$C$23*9.81*SIN((E1118*PI()/180))</f>
        <v>0</v>
      </c>
      <c r="G1118" s="18">
        <f>IF(J1118=1,VLOOKUP(K1118,RPM!$E$2:$H$62,3,FALSE)-F1118-E1118-D1118,IF(J1118=2,VLOOKUP(K1118,RPM!$H$2:$K$62,3,FALSE)-F1118-E1118-D1118,IF(J1118=3,VLOOKUP(K1118,RPM!$K$2:$N$62,3,FALSE)-F1118-E1118-D1118)))</f>
        <v>688.48526429214962</v>
      </c>
      <c r="H1118" s="19">
        <f>IF(J1118=1,Specification!$I$14,IF(J1118=2,Specification!$I$15,IF(J1118=3,Specification!$I$16)))</f>
        <v>582.50936296077191</v>
      </c>
      <c r="I1118" s="16">
        <f t="shared" si="201"/>
        <v>0</v>
      </c>
      <c r="J1118" s="17">
        <v>2</v>
      </c>
      <c r="K1118" s="16">
        <f>IF(J1118=1,VLOOKUP(B1118,RPM!$F$2:$H$62,3,TRUE),IF(J1118=2,VLOOKUP(B1118,RPM!$I$2:$K$62,3,TRUE),IF(J1118=3,VLOOKUP(B1118,RPM!$L$2:$N$62,3,TRUE))))</f>
        <v>7000</v>
      </c>
      <c r="L1118" s="17">
        <f t="shared" si="212"/>
        <v>87.563934985971088</v>
      </c>
      <c r="M1118" s="16">
        <f t="shared" si="203"/>
        <v>0</v>
      </c>
      <c r="N1118" s="17">
        <f>VLOOKUP(K1118,RPM!$A$2:$D$62,3,FALSE)</f>
        <v>13</v>
      </c>
      <c r="O1118" s="16">
        <f>VLOOKUP(K1118,RPM!$A$2:$D$62,4,FALSE)</f>
        <v>13.235857142857142</v>
      </c>
      <c r="P1118" s="17">
        <f t="shared" si="204"/>
        <v>9.8699786714285711</v>
      </c>
      <c r="Q1118" s="16" cm="1">
        <f t="array" ref="Q1118">_xlfn.XLOOKUP(O1118,BSFC!$A$2:$A$24,_xlfn.XLOOKUP(K1118,BSFC!$B$1:$O$1,BSFC!$B$2:$O$24,,-1),,-1)</f>
        <v>520</v>
      </c>
      <c r="R1118" s="17">
        <f t="shared" si="205"/>
        <v>1.425663585873016</v>
      </c>
      <c r="S1118" s="16">
        <f t="shared" si="206"/>
        <v>2.0443068048074323E-4</v>
      </c>
      <c r="T1118" s="17">
        <f t="shared" si="209"/>
        <v>0.10630395384998648</v>
      </c>
      <c r="U1118" s="16">
        <f t="shared" si="210"/>
        <v>147.23030718512643</v>
      </c>
      <c r="V1118" s="17">
        <f t="shared" si="211"/>
        <v>0.30506695425509134</v>
      </c>
      <c r="W1118" s="16">
        <f t="shared" si="207"/>
        <v>1098241.0353183288</v>
      </c>
      <c r="X1118">
        <f>('Hybrid Info'!$A$2-Track!P1118)*(L1118-L1117)*1000+X1117</f>
        <v>-41993.721651982865</v>
      </c>
    </row>
    <row r="1119" spans="1:24">
      <c r="A1119" s="16">
        <f t="shared" si="208"/>
        <v>1118</v>
      </c>
      <c r="B1119" s="17">
        <f t="shared" si="202"/>
        <v>13.411199999999999</v>
      </c>
      <c r="C1119" s="16">
        <f>Specification!$G$29</f>
        <v>164.943378</v>
      </c>
      <c r="D1119" s="17">
        <f>0.5*Specification!$K$4*Track!B1119^2*Specification!$K$3*Specification!$K$2</f>
        <v>93.159842569492653</v>
      </c>
      <c r="E1119" s="16">
        <v>0</v>
      </c>
      <c r="F1119" s="17">
        <f>Specification!$C$23*9.81*SIN((E1119*PI()/180))</f>
        <v>0</v>
      </c>
      <c r="G1119" s="18">
        <f>IF(J1119=1,VLOOKUP(K1119,RPM!$E$2:$H$62,3,FALSE)-F1119-E1119-D1119,IF(J1119=2,VLOOKUP(K1119,RPM!$H$2:$K$62,3,FALSE)-F1119-E1119-D1119,IF(J1119=3,VLOOKUP(K1119,RPM!$K$2:$N$62,3,FALSE)-F1119-E1119-D1119)))</f>
        <v>688.48526429214962</v>
      </c>
      <c r="H1119" s="19">
        <f>IF(J1119=1,Specification!$I$14,IF(J1119=2,Specification!$I$15,IF(J1119=3,Specification!$I$16)))</f>
        <v>582.50936296077191</v>
      </c>
      <c r="I1119" s="16">
        <f t="shared" si="201"/>
        <v>0</v>
      </c>
      <c r="J1119" s="17">
        <v>2</v>
      </c>
      <c r="K1119" s="16">
        <f>IF(J1119=1,VLOOKUP(B1119,RPM!$F$2:$H$62,3,TRUE),IF(J1119=2,VLOOKUP(B1119,RPM!$I$2:$K$62,3,TRUE),IF(J1119=3,VLOOKUP(B1119,RPM!$L$2:$N$62,3,TRUE))))</f>
        <v>7000</v>
      </c>
      <c r="L1119" s="17">
        <f t="shared" si="212"/>
        <v>87.638499529039564</v>
      </c>
      <c r="M1119" s="16">
        <f t="shared" si="203"/>
        <v>0</v>
      </c>
      <c r="N1119" s="17">
        <f>VLOOKUP(K1119,RPM!$A$2:$D$62,3,FALSE)</f>
        <v>13</v>
      </c>
      <c r="O1119" s="16">
        <f>VLOOKUP(K1119,RPM!$A$2:$D$62,4,FALSE)</f>
        <v>13.235857142857142</v>
      </c>
      <c r="P1119" s="17">
        <f t="shared" si="204"/>
        <v>9.8699786714285711</v>
      </c>
      <c r="Q1119" s="16" cm="1">
        <f t="array" ref="Q1119">_xlfn.XLOOKUP(O1119,BSFC!$A$2:$A$24,_xlfn.XLOOKUP(K1119,BSFC!$B$1:$O$1,BSFC!$B$2:$O$24,,-1),,-1)</f>
        <v>520</v>
      </c>
      <c r="R1119" s="17">
        <f t="shared" si="205"/>
        <v>1.425663585873016</v>
      </c>
      <c r="S1119" s="16">
        <f t="shared" si="206"/>
        <v>2.0443068048074323E-4</v>
      </c>
      <c r="T1119" s="17">
        <f t="shared" si="209"/>
        <v>0.10630395384998648</v>
      </c>
      <c r="U1119" s="16">
        <f t="shared" si="210"/>
        <v>147.33661113897642</v>
      </c>
      <c r="V1119" s="17">
        <f t="shared" si="211"/>
        <v>0.3052713849355721</v>
      </c>
      <c r="W1119" s="16">
        <f t="shared" si="207"/>
        <v>1098976.9857680595</v>
      </c>
      <c r="X1119">
        <f>('Hybrid Info'!$A$2-Track!P1119)*(L1119-L1118)*1000+X1118</f>
        <v>-41825.915942996609</v>
      </c>
    </row>
    <row r="1120" spans="1:24">
      <c r="A1120" s="16">
        <f t="shared" si="208"/>
        <v>1119</v>
      </c>
      <c r="B1120" s="17">
        <f t="shared" si="202"/>
        <v>13.411199999999999</v>
      </c>
      <c r="C1120" s="16">
        <f>Specification!$G$29</f>
        <v>164.943378</v>
      </c>
      <c r="D1120" s="17">
        <f>0.5*Specification!$K$4*Track!B1120^2*Specification!$K$3*Specification!$K$2</f>
        <v>93.159842569492653</v>
      </c>
      <c r="E1120" s="16">
        <v>0</v>
      </c>
      <c r="F1120" s="17">
        <f>Specification!$C$23*9.81*SIN((E1120*PI()/180))</f>
        <v>0</v>
      </c>
      <c r="G1120" s="18">
        <f>IF(J1120=1,VLOOKUP(K1120,RPM!$E$2:$H$62,3,FALSE)-F1120-E1120-D1120,IF(J1120=2,VLOOKUP(K1120,RPM!$H$2:$K$62,3,FALSE)-F1120-E1120-D1120,IF(J1120=3,VLOOKUP(K1120,RPM!$K$2:$N$62,3,FALSE)-F1120-E1120-D1120)))</f>
        <v>688.48526429214962</v>
      </c>
      <c r="H1120" s="19">
        <f>IF(J1120=1,Specification!$I$14,IF(J1120=2,Specification!$I$15,IF(J1120=3,Specification!$I$16)))</f>
        <v>582.50936296077191</v>
      </c>
      <c r="I1120" s="16">
        <f t="shared" si="201"/>
        <v>0</v>
      </c>
      <c r="J1120" s="17">
        <v>2</v>
      </c>
      <c r="K1120" s="16">
        <f>IF(J1120=1,VLOOKUP(B1120,RPM!$F$2:$H$62,3,TRUE),IF(J1120=2,VLOOKUP(B1120,RPM!$I$2:$K$62,3,TRUE),IF(J1120=3,VLOOKUP(B1120,RPM!$L$2:$N$62,3,TRUE))))</f>
        <v>7000</v>
      </c>
      <c r="L1120" s="17">
        <f t="shared" si="212"/>
        <v>87.71306407210804</v>
      </c>
      <c r="M1120" s="16">
        <f t="shared" si="203"/>
        <v>0</v>
      </c>
      <c r="N1120" s="17">
        <f>VLOOKUP(K1120,RPM!$A$2:$D$62,3,FALSE)</f>
        <v>13</v>
      </c>
      <c r="O1120" s="16">
        <f>VLOOKUP(K1120,RPM!$A$2:$D$62,4,FALSE)</f>
        <v>13.235857142857142</v>
      </c>
      <c r="P1120" s="17">
        <f t="shared" si="204"/>
        <v>9.8699786714285711</v>
      </c>
      <c r="Q1120" s="16" cm="1">
        <f t="array" ref="Q1120">_xlfn.XLOOKUP(O1120,BSFC!$A$2:$A$24,_xlfn.XLOOKUP(K1120,BSFC!$B$1:$O$1,BSFC!$B$2:$O$24,,-1),,-1)</f>
        <v>520</v>
      </c>
      <c r="R1120" s="17">
        <f t="shared" si="205"/>
        <v>1.425663585873016</v>
      </c>
      <c r="S1120" s="16">
        <f t="shared" si="206"/>
        <v>2.0443068048074323E-4</v>
      </c>
      <c r="T1120" s="17">
        <f t="shared" si="209"/>
        <v>0.10630395384998648</v>
      </c>
      <c r="U1120" s="16">
        <f t="shared" si="210"/>
        <v>147.44291509282641</v>
      </c>
      <c r="V1120" s="17">
        <f t="shared" si="211"/>
        <v>0.30547581561605286</v>
      </c>
      <c r="W1120" s="16">
        <f t="shared" si="207"/>
        <v>1099712.9362177902</v>
      </c>
      <c r="X1120">
        <f>('Hybrid Info'!$A$2-Track!P1120)*(L1120-L1119)*1000+X1119</f>
        <v>-41658.110234010353</v>
      </c>
    </row>
    <row r="1121" spans="1:24">
      <c r="A1121" s="16">
        <f t="shared" si="208"/>
        <v>1120</v>
      </c>
      <c r="B1121" s="17">
        <f t="shared" si="202"/>
        <v>13.411199999999999</v>
      </c>
      <c r="C1121" s="16">
        <f>Specification!$G$29</f>
        <v>164.943378</v>
      </c>
      <c r="D1121" s="17">
        <f>0.5*Specification!$K$4*Track!B1121^2*Specification!$K$3*Specification!$K$2</f>
        <v>93.159842569492653</v>
      </c>
      <c r="E1121" s="16">
        <v>0</v>
      </c>
      <c r="F1121" s="17">
        <f>Specification!$C$23*9.81*SIN((E1121*PI()/180))</f>
        <v>0</v>
      </c>
      <c r="G1121" s="18">
        <f>IF(J1121=1,VLOOKUP(K1121,RPM!$E$2:$H$62,3,FALSE)-F1121-E1121-D1121,IF(J1121=2,VLOOKUP(K1121,RPM!$H$2:$K$62,3,FALSE)-F1121-E1121-D1121,IF(J1121=3,VLOOKUP(K1121,RPM!$K$2:$N$62,3,FALSE)-F1121-E1121-D1121)))</f>
        <v>688.48526429214962</v>
      </c>
      <c r="H1121" s="19">
        <f>IF(J1121=1,Specification!$I$14,IF(J1121=2,Specification!$I$15,IF(J1121=3,Specification!$I$16)))</f>
        <v>582.50936296077191</v>
      </c>
      <c r="I1121" s="16">
        <f t="shared" si="201"/>
        <v>0</v>
      </c>
      <c r="J1121" s="17">
        <v>2</v>
      </c>
      <c r="K1121" s="16">
        <f>IF(J1121=1,VLOOKUP(B1121,RPM!$F$2:$H$62,3,TRUE),IF(J1121=2,VLOOKUP(B1121,RPM!$I$2:$K$62,3,TRUE),IF(J1121=3,VLOOKUP(B1121,RPM!$L$2:$N$62,3,TRUE))))</f>
        <v>7000</v>
      </c>
      <c r="L1121" s="17">
        <f t="shared" si="212"/>
        <v>87.787628615176516</v>
      </c>
      <c r="M1121" s="16">
        <f t="shared" si="203"/>
        <v>0</v>
      </c>
      <c r="N1121" s="17">
        <f>VLOOKUP(K1121,RPM!$A$2:$D$62,3,FALSE)</f>
        <v>13</v>
      </c>
      <c r="O1121" s="16">
        <f>VLOOKUP(K1121,RPM!$A$2:$D$62,4,FALSE)</f>
        <v>13.235857142857142</v>
      </c>
      <c r="P1121" s="17">
        <f t="shared" si="204"/>
        <v>9.8699786714285711</v>
      </c>
      <c r="Q1121" s="16" cm="1">
        <f t="array" ref="Q1121">_xlfn.XLOOKUP(O1121,BSFC!$A$2:$A$24,_xlfn.XLOOKUP(K1121,BSFC!$B$1:$O$1,BSFC!$B$2:$O$24,,-1),,-1)</f>
        <v>520</v>
      </c>
      <c r="R1121" s="17">
        <f t="shared" si="205"/>
        <v>1.425663585873016</v>
      </c>
      <c r="S1121" s="16">
        <f t="shared" si="206"/>
        <v>2.0443068048074323E-4</v>
      </c>
      <c r="T1121" s="17">
        <f t="shared" si="209"/>
        <v>0.10630395384998648</v>
      </c>
      <c r="U1121" s="16">
        <f t="shared" si="210"/>
        <v>147.5492190466764</v>
      </c>
      <c r="V1121" s="17">
        <f t="shared" si="211"/>
        <v>0.30568024629653362</v>
      </c>
      <c r="W1121" s="16">
        <f t="shared" si="207"/>
        <v>1100448.886667521</v>
      </c>
      <c r="X1121">
        <f>('Hybrid Info'!$A$2-Track!P1121)*(L1121-L1120)*1000+X1120</f>
        <v>-41490.304525024098</v>
      </c>
    </row>
    <row r="1122" spans="1:24">
      <c r="A1122" s="16">
        <f t="shared" si="208"/>
        <v>1121</v>
      </c>
      <c r="B1122" s="17">
        <f t="shared" si="202"/>
        <v>13.411199999999999</v>
      </c>
      <c r="C1122" s="16">
        <f>Specification!$G$29</f>
        <v>164.943378</v>
      </c>
      <c r="D1122" s="17">
        <f>0.5*Specification!$K$4*Track!B1122^2*Specification!$K$3*Specification!$K$2</f>
        <v>93.159842569492653</v>
      </c>
      <c r="E1122" s="16">
        <v>0</v>
      </c>
      <c r="F1122" s="17">
        <f>Specification!$C$23*9.81*SIN((E1122*PI()/180))</f>
        <v>0</v>
      </c>
      <c r="G1122" s="18">
        <f>IF(J1122=1,VLOOKUP(K1122,RPM!$E$2:$H$62,3,FALSE)-F1122-E1122-D1122,IF(J1122=2,VLOOKUP(K1122,RPM!$H$2:$K$62,3,FALSE)-F1122-E1122-D1122,IF(J1122=3,VLOOKUP(K1122,RPM!$K$2:$N$62,3,FALSE)-F1122-E1122-D1122)))</f>
        <v>688.48526429214962</v>
      </c>
      <c r="H1122" s="19">
        <f>IF(J1122=1,Specification!$I$14,IF(J1122=2,Specification!$I$15,IF(J1122=3,Specification!$I$16)))</f>
        <v>582.50936296077191</v>
      </c>
      <c r="I1122" s="16">
        <f t="shared" si="201"/>
        <v>0</v>
      </c>
      <c r="J1122" s="17">
        <v>2</v>
      </c>
      <c r="K1122" s="16">
        <f>IF(J1122=1,VLOOKUP(B1122,RPM!$F$2:$H$62,3,TRUE),IF(J1122=2,VLOOKUP(B1122,RPM!$I$2:$K$62,3,TRUE),IF(J1122=3,VLOOKUP(B1122,RPM!$L$2:$N$62,3,TRUE))))</f>
        <v>7000</v>
      </c>
      <c r="L1122" s="17">
        <f t="shared" si="212"/>
        <v>87.862193158244992</v>
      </c>
      <c r="M1122" s="16">
        <f t="shared" si="203"/>
        <v>0</v>
      </c>
      <c r="N1122" s="17">
        <f>VLOOKUP(K1122,RPM!$A$2:$D$62,3,FALSE)</f>
        <v>13</v>
      </c>
      <c r="O1122" s="16">
        <f>VLOOKUP(K1122,RPM!$A$2:$D$62,4,FALSE)</f>
        <v>13.235857142857142</v>
      </c>
      <c r="P1122" s="17">
        <f t="shared" si="204"/>
        <v>9.8699786714285711</v>
      </c>
      <c r="Q1122" s="16" cm="1">
        <f t="array" ref="Q1122">_xlfn.XLOOKUP(O1122,BSFC!$A$2:$A$24,_xlfn.XLOOKUP(K1122,BSFC!$B$1:$O$1,BSFC!$B$2:$O$24,,-1),,-1)</f>
        <v>520</v>
      </c>
      <c r="R1122" s="17">
        <f t="shared" si="205"/>
        <v>1.425663585873016</v>
      </c>
      <c r="S1122" s="16">
        <f t="shared" si="206"/>
        <v>2.0443068048074323E-4</v>
      </c>
      <c r="T1122" s="17">
        <f t="shared" si="209"/>
        <v>0.10630395384998648</v>
      </c>
      <c r="U1122" s="16">
        <f t="shared" si="210"/>
        <v>147.65552300052639</v>
      </c>
      <c r="V1122" s="17">
        <f t="shared" si="211"/>
        <v>0.30588467697701438</v>
      </c>
      <c r="W1122" s="16">
        <f t="shared" si="207"/>
        <v>1101184.8371172519</v>
      </c>
      <c r="X1122">
        <f>('Hybrid Info'!$A$2-Track!P1122)*(L1122-L1121)*1000+X1121</f>
        <v>-41322.498816037842</v>
      </c>
    </row>
    <row r="1123" spans="1:24">
      <c r="A1123" s="16">
        <f t="shared" si="208"/>
        <v>1122</v>
      </c>
      <c r="B1123" s="17">
        <f t="shared" si="202"/>
        <v>13.411199999999999</v>
      </c>
      <c r="C1123" s="16">
        <f>Specification!$G$29</f>
        <v>164.943378</v>
      </c>
      <c r="D1123" s="17">
        <f>0.5*Specification!$K$4*Track!B1123^2*Specification!$K$3*Specification!$K$2</f>
        <v>93.159842569492653</v>
      </c>
      <c r="E1123" s="16">
        <v>0</v>
      </c>
      <c r="F1123" s="17">
        <f>Specification!$C$23*9.81*SIN((E1123*PI()/180))</f>
        <v>0</v>
      </c>
      <c r="G1123" s="18">
        <f>IF(J1123=1,VLOOKUP(K1123,RPM!$E$2:$H$62,3,FALSE)-F1123-E1123-D1123,IF(J1123=2,VLOOKUP(K1123,RPM!$H$2:$K$62,3,FALSE)-F1123-E1123-D1123,IF(J1123=3,VLOOKUP(K1123,RPM!$K$2:$N$62,3,FALSE)-F1123-E1123-D1123)))</f>
        <v>688.48526429214962</v>
      </c>
      <c r="H1123" s="19">
        <f>IF(J1123=1,Specification!$I$14,IF(J1123=2,Specification!$I$15,IF(J1123=3,Specification!$I$16)))</f>
        <v>582.50936296077191</v>
      </c>
      <c r="I1123" s="16">
        <f t="shared" si="201"/>
        <v>0</v>
      </c>
      <c r="J1123" s="17">
        <v>2</v>
      </c>
      <c r="K1123" s="16">
        <f>IF(J1123=1,VLOOKUP(B1123,RPM!$F$2:$H$62,3,TRUE),IF(J1123=2,VLOOKUP(B1123,RPM!$I$2:$K$62,3,TRUE),IF(J1123=3,VLOOKUP(B1123,RPM!$L$2:$N$62,3,TRUE))))</f>
        <v>7000</v>
      </c>
      <c r="L1123" s="17">
        <f t="shared" si="212"/>
        <v>87.936757701313468</v>
      </c>
      <c r="M1123" s="16">
        <f t="shared" si="203"/>
        <v>0</v>
      </c>
      <c r="N1123" s="17">
        <f>VLOOKUP(K1123,RPM!$A$2:$D$62,3,FALSE)</f>
        <v>13</v>
      </c>
      <c r="O1123" s="16">
        <f>VLOOKUP(K1123,RPM!$A$2:$D$62,4,FALSE)</f>
        <v>13.235857142857142</v>
      </c>
      <c r="P1123" s="17">
        <f t="shared" si="204"/>
        <v>9.8699786714285711</v>
      </c>
      <c r="Q1123" s="16" cm="1">
        <f t="array" ref="Q1123">_xlfn.XLOOKUP(O1123,BSFC!$A$2:$A$24,_xlfn.XLOOKUP(K1123,BSFC!$B$1:$O$1,BSFC!$B$2:$O$24,,-1),,-1)</f>
        <v>520</v>
      </c>
      <c r="R1123" s="17">
        <f t="shared" si="205"/>
        <v>1.425663585873016</v>
      </c>
      <c r="S1123" s="16">
        <f t="shared" si="206"/>
        <v>2.0443068048074323E-4</v>
      </c>
      <c r="T1123" s="17">
        <f t="shared" si="209"/>
        <v>0.10630395384998648</v>
      </c>
      <c r="U1123" s="16">
        <f t="shared" si="210"/>
        <v>147.76182695437637</v>
      </c>
      <c r="V1123" s="17">
        <f t="shared" si="211"/>
        <v>0.30608910765749514</v>
      </c>
      <c r="W1123" s="16">
        <f t="shared" si="207"/>
        <v>1101920.7875669827</v>
      </c>
      <c r="X1123">
        <f>('Hybrid Info'!$A$2-Track!P1123)*(L1123-L1122)*1000+X1122</f>
        <v>-41154.693107051586</v>
      </c>
    </row>
    <row r="1124" spans="1:24">
      <c r="A1124" s="16">
        <f t="shared" si="208"/>
        <v>1123</v>
      </c>
      <c r="B1124" s="17">
        <f t="shared" si="202"/>
        <v>13.411199999999999</v>
      </c>
      <c r="C1124" s="16">
        <f>Specification!$G$29</f>
        <v>164.943378</v>
      </c>
      <c r="D1124" s="17">
        <f>0.5*Specification!$K$4*Track!B1124^2*Specification!$K$3*Specification!$K$2</f>
        <v>93.159842569492653</v>
      </c>
      <c r="E1124" s="16">
        <v>0</v>
      </c>
      <c r="F1124" s="17">
        <f>Specification!$C$23*9.81*SIN((E1124*PI()/180))</f>
        <v>0</v>
      </c>
      <c r="G1124" s="18">
        <f>IF(J1124=1,VLOOKUP(K1124,RPM!$E$2:$H$62,3,FALSE)-F1124-E1124-D1124,IF(J1124=2,VLOOKUP(K1124,RPM!$H$2:$K$62,3,FALSE)-F1124-E1124-D1124,IF(J1124=3,VLOOKUP(K1124,RPM!$K$2:$N$62,3,FALSE)-F1124-E1124-D1124)))</f>
        <v>688.48526429214962</v>
      </c>
      <c r="H1124" s="19">
        <f>IF(J1124=1,Specification!$I$14,IF(J1124=2,Specification!$I$15,IF(J1124=3,Specification!$I$16)))</f>
        <v>582.50936296077191</v>
      </c>
      <c r="I1124" s="16">
        <f t="shared" ref="I1124:I1187" si="213">IF(B1124=13.4112,0,G1124/H1124)</f>
        <v>0</v>
      </c>
      <c r="J1124" s="17">
        <v>2</v>
      </c>
      <c r="K1124" s="16">
        <f>IF(J1124=1,VLOOKUP(B1124,RPM!$F$2:$H$62,3,TRUE),IF(J1124=2,VLOOKUP(B1124,RPM!$I$2:$K$62,3,TRUE),IF(J1124=3,VLOOKUP(B1124,RPM!$L$2:$N$62,3,TRUE))))</f>
        <v>7000</v>
      </c>
      <c r="L1124" s="17">
        <f t="shared" si="212"/>
        <v>88.011322244381944</v>
      </c>
      <c r="M1124" s="16">
        <f t="shared" si="203"/>
        <v>0</v>
      </c>
      <c r="N1124" s="17">
        <f>VLOOKUP(K1124,RPM!$A$2:$D$62,3,FALSE)</f>
        <v>13</v>
      </c>
      <c r="O1124" s="16">
        <f>VLOOKUP(K1124,RPM!$A$2:$D$62,4,FALSE)</f>
        <v>13.235857142857142</v>
      </c>
      <c r="P1124" s="17">
        <f t="shared" si="204"/>
        <v>9.8699786714285711</v>
      </c>
      <c r="Q1124" s="16" cm="1">
        <f t="array" ref="Q1124">_xlfn.XLOOKUP(O1124,BSFC!$A$2:$A$24,_xlfn.XLOOKUP(K1124,BSFC!$B$1:$O$1,BSFC!$B$2:$O$24,,-1),,-1)</f>
        <v>520</v>
      </c>
      <c r="R1124" s="17">
        <f t="shared" si="205"/>
        <v>1.425663585873016</v>
      </c>
      <c r="S1124" s="16">
        <f t="shared" si="206"/>
        <v>2.0443068048074323E-4</v>
      </c>
      <c r="T1124" s="17">
        <f t="shared" si="209"/>
        <v>0.10630395384998648</v>
      </c>
      <c r="U1124" s="16">
        <f t="shared" si="210"/>
        <v>147.86813090822636</v>
      </c>
      <c r="V1124" s="17">
        <f t="shared" si="211"/>
        <v>0.3062935383379759</v>
      </c>
      <c r="W1124" s="16">
        <f t="shared" si="207"/>
        <v>1102656.7380167134</v>
      </c>
      <c r="X1124">
        <f>('Hybrid Info'!$A$2-Track!P1124)*(L1124-L1123)*1000+X1123</f>
        <v>-40986.88739806533</v>
      </c>
    </row>
    <row r="1125" spans="1:24">
      <c r="A1125" s="16">
        <f t="shared" si="208"/>
        <v>1124</v>
      </c>
      <c r="B1125" s="17">
        <f t="shared" si="202"/>
        <v>13.411199999999999</v>
      </c>
      <c r="C1125" s="16">
        <f>Specification!$G$29</f>
        <v>164.943378</v>
      </c>
      <c r="D1125" s="17">
        <f>0.5*Specification!$K$4*Track!B1125^2*Specification!$K$3*Specification!$K$2</f>
        <v>93.159842569492653</v>
      </c>
      <c r="E1125" s="16">
        <v>0</v>
      </c>
      <c r="F1125" s="17">
        <f>Specification!$C$23*9.81*SIN((E1125*PI()/180))</f>
        <v>0</v>
      </c>
      <c r="G1125" s="18">
        <f>IF(J1125=1,VLOOKUP(K1125,RPM!$E$2:$H$62,3,FALSE)-F1125-E1125-D1125,IF(J1125=2,VLOOKUP(K1125,RPM!$H$2:$K$62,3,FALSE)-F1125-E1125-D1125,IF(J1125=3,VLOOKUP(K1125,RPM!$K$2:$N$62,3,FALSE)-F1125-E1125-D1125)))</f>
        <v>688.48526429214962</v>
      </c>
      <c r="H1125" s="19">
        <f>IF(J1125=1,Specification!$I$14,IF(J1125=2,Specification!$I$15,IF(J1125=3,Specification!$I$16)))</f>
        <v>582.50936296077191</v>
      </c>
      <c r="I1125" s="16">
        <f t="shared" si="213"/>
        <v>0</v>
      </c>
      <c r="J1125" s="17">
        <v>2</v>
      </c>
      <c r="K1125" s="16">
        <f>IF(J1125=1,VLOOKUP(B1125,RPM!$F$2:$H$62,3,TRUE),IF(J1125=2,VLOOKUP(B1125,RPM!$I$2:$K$62,3,TRUE),IF(J1125=3,VLOOKUP(B1125,RPM!$L$2:$N$62,3,TRUE))))</f>
        <v>7000</v>
      </c>
      <c r="L1125" s="17">
        <f t="shared" si="212"/>
        <v>88.08588678745042</v>
      </c>
      <c r="M1125" s="16">
        <f t="shared" si="203"/>
        <v>0</v>
      </c>
      <c r="N1125" s="17">
        <f>VLOOKUP(K1125,RPM!$A$2:$D$62,3,FALSE)</f>
        <v>13</v>
      </c>
      <c r="O1125" s="16">
        <f>VLOOKUP(K1125,RPM!$A$2:$D$62,4,FALSE)</f>
        <v>13.235857142857142</v>
      </c>
      <c r="P1125" s="17">
        <f t="shared" si="204"/>
        <v>9.8699786714285711</v>
      </c>
      <c r="Q1125" s="16" cm="1">
        <f t="array" ref="Q1125">_xlfn.XLOOKUP(O1125,BSFC!$A$2:$A$24,_xlfn.XLOOKUP(K1125,BSFC!$B$1:$O$1,BSFC!$B$2:$O$24,,-1),,-1)</f>
        <v>520</v>
      </c>
      <c r="R1125" s="17">
        <f t="shared" si="205"/>
        <v>1.425663585873016</v>
      </c>
      <c r="S1125" s="16">
        <f t="shared" si="206"/>
        <v>2.0443068048074323E-4</v>
      </c>
      <c r="T1125" s="17">
        <f t="shared" si="209"/>
        <v>0.10630395384998648</v>
      </c>
      <c r="U1125" s="16">
        <f t="shared" si="210"/>
        <v>147.97443486207635</v>
      </c>
      <c r="V1125" s="17">
        <f t="shared" si="211"/>
        <v>0.30649796901845666</v>
      </c>
      <c r="W1125" s="16">
        <f t="shared" si="207"/>
        <v>1103392.6884664439</v>
      </c>
      <c r="X1125">
        <f>('Hybrid Info'!$A$2-Track!P1125)*(L1125-L1124)*1000+X1124</f>
        <v>-40819.081689079074</v>
      </c>
    </row>
    <row r="1126" spans="1:24">
      <c r="A1126" s="16">
        <f t="shared" si="208"/>
        <v>1125</v>
      </c>
      <c r="B1126" s="17">
        <f t="shared" si="202"/>
        <v>13.411199999999999</v>
      </c>
      <c r="C1126" s="16">
        <f>Specification!$G$29</f>
        <v>164.943378</v>
      </c>
      <c r="D1126" s="17">
        <f>0.5*Specification!$K$4*Track!B1126^2*Specification!$K$3*Specification!$K$2</f>
        <v>93.159842569492653</v>
      </c>
      <c r="E1126" s="16">
        <v>0</v>
      </c>
      <c r="F1126" s="17">
        <f>Specification!$C$23*9.81*SIN((E1126*PI()/180))</f>
        <v>0</v>
      </c>
      <c r="G1126" s="18">
        <f>IF(J1126=1,VLOOKUP(K1126,RPM!$E$2:$H$62,3,FALSE)-F1126-E1126-D1126,IF(J1126=2,VLOOKUP(K1126,RPM!$H$2:$K$62,3,FALSE)-F1126-E1126-D1126,IF(J1126=3,VLOOKUP(K1126,RPM!$K$2:$N$62,3,FALSE)-F1126-E1126-D1126)))</f>
        <v>688.48526429214962</v>
      </c>
      <c r="H1126" s="19">
        <f>IF(J1126=1,Specification!$I$14,IF(J1126=2,Specification!$I$15,IF(J1126=3,Specification!$I$16)))</f>
        <v>582.50936296077191</v>
      </c>
      <c r="I1126" s="16">
        <f t="shared" si="213"/>
        <v>0</v>
      </c>
      <c r="J1126" s="17">
        <v>2</v>
      </c>
      <c r="K1126" s="16">
        <f>IF(J1126=1,VLOOKUP(B1126,RPM!$F$2:$H$62,3,TRUE),IF(J1126=2,VLOOKUP(B1126,RPM!$I$2:$K$62,3,TRUE),IF(J1126=3,VLOOKUP(B1126,RPM!$L$2:$N$62,3,TRUE))))</f>
        <v>7000</v>
      </c>
      <c r="L1126" s="17">
        <f t="shared" si="212"/>
        <v>88.160451330518896</v>
      </c>
      <c r="M1126" s="16">
        <f t="shared" si="203"/>
        <v>0</v>
      </c>
      <c r="N1126" s="17">
        <f>VLOOKUP(K1126,RPM!$A$2:$D$62,3,FALSE)</f>
        <v>13</v>
      </c>
      <c r="O1126" s="16">
        <f>VLOOKUP(K1126,RPM!$A$2:$D$62,4,FALSE)</f>
        <v>13.235857142857142</v>
      </c>
      <c r="P1126" s="17">
        <f t="shared" si="204"/>
        <v>9.8699786714285711</v>
      </c>
      <c r="Q1126" s="16" cm="1">
        <f t="array" ref="Q1126">_xlfn.XLOOKUP(O1126,BSFC!$A$2:$A$24,_xlfn.XLOOKUP(K1126,BSFC!$B$1:$O$1,BSFC!$B$2:$O$24,,-1),,-1)</f>
        <v>520</v>
      </c>
      <c r="R1126" s="17">
        <f t="shared" si="205"/>
        <v>1.425663585873016</v>
      </c>
      <c r="S1126" s="16">
        <f t="shared" si="206"/>
        <v>2.0443068048074323E-4</v>
      </c>
      <c r="T1126" s="17">
        <f t="shared" si="209"/>
        <v>0.10630395384998648</v>
      </c>
      <c r="U1126" s="16">
        <f t="shared" si="210"/>
        <v>148.08073881592634</v>
      </c>
      <c r="V1126" s="17">
        <f t="shared" si="211"/>
        <v>0.30670239969893742</v>
      </c>
      <c r="W1126" s="16">
        <f t="shared" si="207"/>
        <v>1104128.6389161746</v>
      </c>
      <c r="X1126">
        <f>('Hybrid Info'!$A$2-Track!P1126)*(L1126-L1125)*1000+X1125</f>
        <v>-40651.275980092818</v>
      </c>
    </row>
    <row r="1127" spans="1:24">
      <c r="A1127" s="16">
        <f t="shared" si="208"/>
        <v>1126</v>
      </c>
      <c r="B1127" s="17">
        <f t="shared" si="202"/>
        <v>13.411199999999999</v>
      </c>
      <c r="C1127" s="16">
        <f>Specification!$G$29</f>
        <v>164.943378</v>
      </c>
      <c r="D1127" s="17">
        <f>0.5*Specification!$K$4*Track!B1127^2*Specification!$K$3*Specification!$K$2</f>
        <v>93.159842569492653</v>
      </c>
      <c r="E1127" s="16">
        <v>0</v>
      </c>
      <c r="F1127" s="17">
        <f>Specification!$C$23*9.81*SIN((E1127*PI()/180))</f>
        <v>0</v>
      </c>
      <c r="G1127" s="18">
        <f>IF(J1127=1,VLOOKUP(K1127,RPM!$E$2:$H$62,3,FALSE)-F1127-E1127-D1127,IF(J1127=2,VLOOKUP(K1127,RPM!$H$2:$K$62,3,FALSE)-F1127-E1127-D1127,IF(J1127=3,VLOOKUP(K1127,RPM!$K$2:$N$62,3,FALSE)-F1127-E1127-D1127)))</f>
        <v>688.48526429214962</v>
      </c>
      <c r="H1127" s="19">
        <f>IF(J1127=1,Specification!$I$14,IF(J1127=2,Specification!$I$15,IF(J1127=3,Specification!$I$16)))</f>
        <v>582.50936296077191</v>
      </c>
      <c r="I1127" s="16">
        <f t="shared" si="213"/>
        <v>0</v>
      </c>
      <c r="J1127" s="17">
        <v>2</v>
      </c>
      <c r="K1127" s="16">
        <f>IF(J1127=1,VLOOKUP(B1127,RPM!$F$2:$H$62,3,TRUE),IF(J1127=2,VLOOKUP(B1127,RPM!$I$2:$K$62,3,TRUE),IF(J1127=3,VLOOKUP(B1127,RPM!$L$2:$N$62,3,TRUE))))</f>
        <v>7000</v>
      </c>
      <c r="L1127" s="17">
        <f t="shared" si="212"/>
        <v>88.235015873587372</v>
      </c>
      <c r="M1127" s="16">
        <f t="shared" si="203"/>
        <v>0</v>
      </c>
      <c r="N1127" s="17">
        <f>VLOOKUP(K1127,RPM!$A$2:$D$62,3,FALSE)</f>
        <v>13</v>
      </c>
      <c r="O1127" s="16">
        <f>VLOOKUP(K1127,RPM!$A$2:$D$62,4,FALSE)</f>
        <v>13.235857142857142</v>
      </c>
      <c r="P1127" s="17">
        <f t="shared" si="204"/>
        <v>9.8699786714285711</v>
      </c>
      <c r="Q1127" s="16" cm="1">
        <f t="array" ref="Q1127">_xlfn.XLOOKUP(O1127,BSFC!$A$2:$A$24,_xlfn.XLOOKUP(K1127,BSFC!$B$1:$O$1,BSFC!$B$2:$O$24,,-1),,-1)</f>
        <v>520</v>
      </c>
      <c r="R1127" s="17">
        <f t="shared" si="205"/>
        <v>1.425663585873016</v>
      </c>
      <c r="S1127" s="16">
        <f t="shared" si="206"/>
        <v>2.0443068048074323E-4</v>
      </c>
      <c r="T1127" s="17">
        <f t="shared" si="209"/>
        <v>0.10630395384998648</v>
      </c>
      <c r="U1127" s="16">
        <f t="shared" si="210"/>
        <v>148.18704276977633</v>
      </c>
      <c r="V1127" s="17">
        <f t="shared" si="211"/>
        <v>0.30690683037941818</v>
      </c>
      <c r="W1127" s="16">
        <f t="shared" si="207"/>
        <v>1104864.5893659054</v>
      </c>
      <c r="X1127">
        <f>('Hybrid Info'!$A$2-Track!P1127)*(L1127-L1126)*1000+X1126</f>
        <v>-40483.470271106562</v>
      </c>
    </row>
    <row r="1128" spans="1:24">
      <c r="A1128" s="16">
        <f t="shared" si="208"/>
        <v>1127</v>
      </c>
      <c r="B1128" s="17">
        <f t="shared" si="202"/>
        <v>13.411199999999999</v>
      </c>
      <c r="C1128" s="16">
        <f>Specification!$G$29</f>
        <v>164.943378</v>
      </c>
      <c r="D1128" s="17">
        <f>0.5*Specification!$K$4*Track!B1128^2*Specification!$K$3*Specification!$K$2</f>
        <v>93.159842569492653</v>
      </c>
      <c r="E1128" s="16">
        <v>0</v>
      </c>
      <c r="F1128" s="17">
        <f>Specification!$C$23*9.81*SIN((E1128*PI()/180))</f>
        <v>0</v>
      </c>
      <c r="G1128" s="18">
        <f>IF(J1128=1,VLOOKUP(K1128,RPM!$E$2:$H$62,3,FALSE)-F1128-E1128-D1128,IF(J1128=2,VLOOKUP(K1128,RPM!$H$2:$K$62,3,FALSE)-F1128-E1128-D1128,IF(J1128=3,VLOOKUP(K1128,RPM!$K$2:$N$62,3,FALSE)-F1128-E1128-D1128)))</f>
        <v>688.48526429214962</v>
      </c>
      <c r="H1128" s="19">
        <f>IF(J1128=1,Specification!$I$14,IF(J1128=2,Specification!$I$15,IF(J1128=3,Specification!$I$16)))</f>
        <v>582.50936296077191</v>
      </c>
      <c r="I1128" s="16">
        <f t="shared" si="213"/>
        <v>0</v>
      </c>
      <c r="J1128" s="17">
        <v>2</v>
      </c>
      <c r="K1128" s="16">
        <f>IF(J1128=1,VLOOKUP(B1128,RPM!$F$2:$H$62,3,TRUE),IF(J1128=2,VLOOKUP(B1128,RPM!$I$2:$K$62,3,TRUE),IF(J1128=3,VLOOKUP(B1128,RPM!$L$2:$N$62,3,TRUE))))</f>
        <v>7000</v>
      </c>
      <c r="L1128" s="17">
        <f t="shared" si="212"/>
        <v>88.309580416655848</v>
      </c>
      <c r="M1128" s="16">
        <f t="shared" si="203"/>
        <v>0</v>
      </c>
      <c r="N1128" s="17">
        <f>VLOOKUP(K1128,RPM!$A$2:$D$62,3,FALSE)</f>
        <v>13</v>
      </c>
      <c r="O1128" s="16">
        <f>VLOOKUP(K1128,RPM!$A$2:$D$62,4,FALSE)</f>
        <v>13.235857142857142</v>
      </c>
      <c r="P1128" s="17">
        <f t="shared" si="204"/>
        <v>9.8699786714285711</v>
      </c>
      <c r="Q1128" s="16" cm="1">
        <f t="array" ref="Q1128">_xlfn.XLOOKUP(O1128,BSFC!$A$2:$A$24,_xlfn.XLOOKUP(K1128,BSFC!$B$1:$O$1,BSFC!$B$2:$O$24,,-1),,-1)</f>
        <v>520</v>
      </c>
      <c r="R1128" s="17">
        <f t="shared" si="205"/>
        <v>1.425663585873016</v>
      </c>
      <c r="S1128" s="16">
        <f t="shared" si="206"/>
        <v>2.0443068048074323E-4</v>
      </c>
      <c r="T1128" s="17">
        <f t="shared" si="209"/>
        <v>0.10630395384998648</v>
      </c>
      <c r="U1128" s="16">
        <f t="shared" si="210"/>
        <v>148.29334672362631</v>
      </c>
      <c r="V1128" s="17">
        <f t="shared" si="211"/>
        <v>0.30711126105989894</v>
      </c>
      <c r="W1128" s="16">
        <f t="shared" si="207"/>
        <v>1105600.5398156361</v>
      </c>
      <c r="X1128">
        <f>('Hybrid Info'!$A$2-Track!P1128)*(L1128-L1127)*1000+X1127</f>
        <v>-40315.664562120306</v>
      </c>
    </row>
    <row r="1129" spans="1:24">
      <c r="A1129" s="16">
        <f t="shared" si="208"/>
        <v>1128</v>
      </c>
      <c r="B1129" s="17">
        <f t="shared" si="202"/>
        <v>13.411199999999999</v>
      </c>
      <c r="C1129" s="16">
        <f>Specification!$G$29</f>
        <v>164.943378</v>
      </c>
      <c r="D1129" s="17">
        <f>0.5*Specification!$K$4*Track!B1129^2*Specification!$K$3*Specification!$K$2</f>
        <v>93.159842569492653</v>
      </c>
      <c r="E1129" s="16">
        <v>0</v>
      </c>
      <c r="F1129" s="17">
        <f>Specification!$C$23*9.81*SIN((E1129*PI()/180))</f>
        <v>0</v>
      </c>
      <c r="G1129" s="18">
        <f>IF(J1129=1,VLOOKUP(K1129,RPM!$E$2:$H$62,3,FALSE)-F1129-E1129-D1129,IF(J1129=2,VLOOKUP(K1129,RPM!$H$2:$K$62,3,FALSE)-F1129-E1129-D1129,IF(J1129=3,VLOOKUP(K1129,RPM!$K$2:$N$62,3,FALSE)-F1129-E1129-D1129)))</f>
        <v>688.48526429214962</v>
      </c>
      <c r="H1129" s="19">
        <f>IF(J1129=1,Specification!$I$14,IF(J1129=2,Specification!$I$15,IF(J1129=3,Specification!$I$16)))</f>
        <v>582.50936296077191</v>
      </c>
      <c r="I1129" s="16">
        <f t="shared" si="213"/>
        <v>0</v>
      </c>
      <c r="J1129" s="17">
        <v>2</v>
      </c>
      <c r="K1129" s="16">
        <f>IF(J1129=1,VLOOKUP(B1129,RPM!$F$2:$H$62,3,TRUE),IF(J1129=2,VLOOKUP(B1129,RPM!$I$2:$K$62,3,TRUE),IF(J1129=3,VLOOKUP(B1129,RPM!$L$2:$N$62,3,TRUE))))</f>
        <v>7000</v>
      </c>
      <c r="L1129" s="17">
        <f t="shared" si="212"/>
        <v>88.384144959724324</v>
      </c>
      <c r="M1129" s="16">
        <f t="shared" si="203"/>
        <v>0</v>
      </c>
      <c r="N1129" s="17">
        <f>VLOOKUP(K1129,RPM!$A$2:$D$62,3,FALSE)</f>
        <v>13</v>
      </c>
      <c r="O1129" s="16">
        <f>VLOOKUP(K1129,RPM!$A$2:$D$62,4,FALSE)</f>
        <v>13.235857142857142</v>
      </c>
      <c r="P1129" s="17">
        <f t="shared" si="204"/>
        <v>9.8699786714285711</v>
      </c>
      <c r="Q1129" s="16" cm="1">
        <f t="array" ref="Q1129">_xlfn.XLOOKUP(O1129,BSFC!$A$2:$A$24,_xlfn.XLOOKUP(K1129,BSFC!$B$1:$O$1,BSFC!$B$2:$O$24,,-1),,-1)</f>
        <v>520</v>
      </c>
      <c r="R1129" s="17">
        <f t="shared" si="205"/>
        <v>1.425663585873016</v>
      </c>
      <c r="S1129" s="16">
        <f t="shared" si="206"/>
        <v>2.0443068048074323E-4</v>
      </c>
      <c r="T1129" s="17">
        <f t="shared" si="209"/>
        <v>0.10630395384998648</v>
      </c>
      <c r="U1129" s="16">
        <f t="shared" si="210"/>
        <v>148.3996506774763</v>
      </c>
      <c r="V1129" s="17">
        <f t="shared" si="211"/>
        <v>0.3073156917403797</v>
      </c>
      <c r="W1129" s="16">
        <f t="shared" si="207"/>
        <v>1106336.4902653669</v>
      </c>
      <c r="X1129">
        <f>('Hybrid Info'!$A$2-Track!P1129)*(L1129-L1128)*1000+X1128</f>
        <v>-40147.85885313405</v>
      </c>
    </row>
    <row r="1130" spans="1:24">
      <c r="A1130" s="16">
        <f t="shared" si="208"/>
        <v>1129</v>
      </c>
      <c r="B1130" s="17">
        <f t="shared" si="202"/>
        <v>13.411199999999999</v>
      </c>
      <c r="C1130" s="16">
        <f>Specification!$G$29</f>
        <v>164.943378</v>
      </c>
      <c r="D1130" s="17">
        <f>0.5*Specification!$K$4*Track!B1130^2*Specification!$K$3*Specification!$K$2</f>
        <v>93.159842569492653</v>
      </c>
      <c r="E1130" s="16">
        <v>0</v>
      </c>
      <c r="F1130" s="17">
        <f>Specification!$C$23*9.81*SIN((E1130*PI()/180))</f>
        <v>0</v>
      </c>
      <c r="G1130" s="18">
        <f>IF(J1130=1,VLOOKUP(K1130,RPM!$E$2:$H$62,3,FALSE)-F1130-E1130-D1130,IF(J1130=2,VLOOKUP(K1130,RPM!$H$2:$K$62,3,FALSE)-F1130-E1130-D1130,IF(J1130=3,VLOOKUP(K1130,RPM!$K$2:$N$62,3,FALSE)-F1130-E1130-D1130)))</f>
        <v>688.48526429214962</v>
      </c>
      <c r="H1130" s="19">
        <f>IF(J1130=1,Specification!$I$14,IF(J1130=2,Specification!$I$15,IF(J1130=3,Specification!$I$16)))</f>
        <v>582.50936296077191</v>
      </c>
      <c r="I1130" s="16">
        <f t="shared" si="213"/>
        <v>0</v>
      </c>
      <c r="J1130" s="17">
        <v>2</v>
      </c>
      <c r="K1130" s="16">
        <f>IF(J1130=1,VLOOKUP(B1130,RPM!$F$2:$H$62,3,TRUE),IF(J1130=2,VLOOKUP(B1130,RPM!$I$2:$K$62,3,TRUE),IF(J1130=3,VLOOKUP(B1130,RPM!$L$2:$N$62,3,TRUE))))</f>
        <v>7000</v>
      </c>
      <c r="L1130" s="17">
        <f t="shared" si="212"/>
        <v>88.4587095027928</v>
      </c>
      <c r="M1130" s="16">
        <f t="shared" si="203"/>
        <v>0</v>
      </c>
      <c r="N1130" s="17">
        <f>VLOOKUP(K1130,RPM!$A$2:$D$62,3,FALSE)</f>
        <v>13</v>
      </c>
      <c r="O1130" s="16">
        <f>VLOOKUP(K1130,RPM!$A$2:$D$62,4,FALSE)</f>
        <v>13.235857142857142</v>
      </c>
      <c r="P1130" s="17">
        <f t="shared" si="204"/>
        <v>9.8699786714285711</v>
      </c>
      <c r="Q1130" s="16" cm="1">
        <f t="array" ref="Q1130">_xlfn.XLOOKUP(O1130,BSFC!$A$2:$A$24,_xlfn.XLOOKUP(K1130,BSFC!$B$1:$O$1,BSFC!$B$2:$O$24,,-1),,-1)</f>
        <v>520</v>
      </c>
      <c r="R1130" s="17">
        <f t="shared" si="205"/>
        <v>1.425663585873016</v>
      </c>
      <c r="S1130" s="16">
        <f t="shared" si="206"/>
        <v>2.0443068048074323E-4</v>
      </c>
      <c r="T1130" s="17">
        <f t="shared" si="209"/>
        <v>0.10630395384998648</v>
      </c>
      <c r="U1130" s="16">
        <f t="shared" si="210"/>
        <v>148.50595463132629</v>
      </c>
      <c r="V1130" s="17">
        <f t="shared" si="211"/>
        <v>0.30752012242086046</v>
      </c>
      <c r="W1130" s="16">
        <f t="shared" si="207"/>
        <v>1107072.4407150976</v>
      </c>
      <c r="X1130">
        <f>('Hybrid Info'!$A$2-Track!P1130)*(L1130-L1129)*1000+X1129</f>
        <v>-39980.053144147794</v>
      </c>
    </row>
    <row r="1131" spans="1:24">
      <c r="A1131" s="16">
        <f t="shared" si="208"/>
        <v>1130</v>
      </c>
      <c r="B1131" s="17">
        <f t="shared" si="202"/>
        <v>13.411199999999999</v>
      </c>
      <c r="C1131" s="16">
        <f>Specification!$G$29</f>
        <v>164.943378</v>
      </c>
      <c r="D1131" s="17">
        <f>0.5*Specification!$K$4*Track!B1131^2*Specification!$K$3*Specification!$K$2</f>
        <v>93.159842569492653</v>
      </c>
      <c r="E1131" s="16">
        <v>0</v>
      </c>
      <c r="F1131" s="17">
        <f>Specification!$C$23*9.81*SIN((E1131*PI()/180))</f>
        <v>0</v>
      </c>
      <c r="G1131" s="18">
        <f>IF(J1131=1,VLOOKUP(K1131,RPM!$E$2:$H$62,3,FALSE)-F1131-E1131-D1131,IF(J1131=2,VLOOKUP(K1131,RPM!$H$2:$K$62,3,FALSE)-F1131-E1131-D1131,IF(J1131=3,VLOOKUP(K1131,RPM!$K$2:$N$62,3,FALSE)-F1131-E1131-D1131)))</f>
        <v>688.48526429214962</v>
      </c>
      <c r="H1131" s="19">
        <f>IF(J1131=1,Specification!$I$14,IF(J1131=2,Specification!$I$15,IF(J1131=3,Specification!$I$16)))</f>
        <v>582.50936296077191</v>
      </c>
      <c r="I1131" s="16">
        <f t="shared" si="213"/>
        <v>0</v>
      </c>
      <c r="J1131" s="17">
        <v>2</v>
      </c>
      <c r="K1131" s="16">
        <f>IF(J1131=1,VLOOKUP(B1131,RPM!$F$2:$H$62,3,TRUE),IF(J1131=2,VLOOKUP(B1131,RPM!$I$2:$K$62,3,TRUE),IF(J1131=3,VLOOKUP(B1131,RPM!$L$2:$N$62,3,TRUE))))</f>
        <v>7000</v>
      </c>
      <c r="L1131" s="17">
        <f t="shared" si="212"/>
        <v>88.533274045861276</v>
      </c>
      <c r="M1131" s="16">
        <f t="shared" si="203"/>
        <v>0</v>
      </c>
      <c r="N1131" s="17">
        <f>VLOOKUP(K1131,RPM!$A$2:$D$62,3,FALSE)</f>
        <v>13</v>
      </c>
      <c r="O1131" s="16">
        <f>VLOOKUP(K1131,RPM!$A$2:$D$62,4,FALSE)</f>
        <v>13.235857142857142</v>
      </c>
      <c r="P1131" s="17">
        <f t="shared" si="204"/>
        <v>9.8699786714285711</v>
      </c>
      <c r="Q1131" s="16" cm="1">
        <f t="array" ref="Q1131">_xlfn.XLOOKUP(O1131,BSFC!$A$2:$A$24,_xlfn.XLOOKUP(K1131,BSFC!$B$1:$O$1,BSFC!$B$2:$O$24,,-1),,-1)</f>
        <v>520</v>
      </c>
      <c r="R1131" s="17">
        <f t="shared" si="205"/>
        <v>1.425663585873016</v>
      </c>
      <c r="S1131" s="16">
        <f t="shared" si="206"/>
        <v>2.0443068048074323E-4</v>
      </c>
      <c r="T1131" s="17">
        <f t="shared" si="209"/>
        <v>0.10630395384998648</v>
      </c>
      <c r="U1131" s="16">
        <f t="shared" si="210"/>
        <v>148.61225858517628</v>
      </c>
      <c r="V1131" s="17">
        <f t="shared" si="211"/>
        <v>0.30772455310134122</v>
      </c>
      <c r="W1131" s="16">
        <f t="shared" si="207"/>
        <v>1107808.3911648283</v>
      </c>
      <c r="X1131">
        <f>('Hybrid Info'!$A$2-Track!P1131)*(L1131-L1130)*1000+X1130</f>
        <v>-39812.247435161538</v>
      </c>
    </row>
    <row r="1132" spans="1:24">
      <c r="A1132" s="16">
        <f t="shared" si="208"/>
        <v>1131</v>
      </c>
      <c r="B1132" s="17">
        <f t="shared" si="202"/>
        <v>13.411199999999999</v>
      </c>
      <c r="C1132" s="16">
        <f>Specification!$G$29</f>
        <v>164.943378</v>
      </c>
      <c r="D1132" s="17">
        <f>0.5*Specification!$K$4*Track!B1132^2*Specification!$K$3*Specification!$K$2</f>
        <v>93.159842569492653</v>
      </c>
      <c r="E1132" s="16">
        <v>0</v>
      </c>
      <c r="F1132" s="17">
        <f>Specification!$C$23*9.81*SIN((E1132*PI()/180))</f>
        <v>0</v>
      </c>
      <c r="G1132" s="18">
        <f>IF(J1132=1,VLOOKUP(K1132,RPM!$E$2:$H$62,3,FALSE)-F1132-E1132-D1132,IF(J1132=2,VLOOKUP(K1132,RPM!$H$2:$K$62,3,FALSE)-F1132-E1132-D1132,IF(J1132=3,VLOOKUP(K1132,RPM!$K$2:$N$62,3,FALSE)-F1132-E1132-D1132)))</f>
        <v>688.48526429214962</v>
      </c>
      <c r="H1132" s="19">
        <f>IF(J1132=1,Specification!$I$14,IF(J1132=2,Specification!$I$15,IF(J1132=3,Specification!$I$16)))</f>
        <v>582.50936296077191</v>
      </c>
      <c r="I1132" s="16">
        <f t="shared" si="213"/>
        <v>0</v>
      </c>
      <c r="J1132" s="17">
        <v>2</v>
      </c>
      <c r="K1132" s="16">
        <f>IF(J1132=1,VLOOKUP(B1132,RPM!$F$2:$H$62,3,TRUE),IF(J1132=2,VLOOKUP(B1132,RPM!$I$2:$K$62,3,TRUE),IF(J1132=3,VLOOKUP(B1132,RPM!$L$2:$N$62,3,TRUE))))</f>
        <v>7000</v>
      </c>
      <c r="L1132" s="17">
        <f t="shared" si="212"/>
        <v>88.607838588929752</v>
      </c>
      <c r="M1132" s="16">
        <f t="shared" si="203"/>
        <v>0</v>
      </c>
      <c r="N1132" s="17">
        <f>VLOOKUP(K1132,RPM!$A$2:$D$62,3,FALSE)</f>
        <v>13</v>
      </c>
      <c r="O1132" s="16">
        <f>VLOOKUP(K1132,RPM!$A$2:$D$62,4,FALSE)</f>
        <v>13.235857142857142</v>
      </c>
      <c r="P1132" s="17">
        <f t="shared" si="204"/>
        <v>9.8699786714285711</v>
      </c>
      <c r="Q1132" s="16" cm="1">
        <f t="array" ref="Q1132">_xlfn.XLOOKUP(O1132,BSFC!$A$2:$A$24,_xlfn.XLOOKUP(K1132,BSFC!$B$1:$O$1,BSFC!$B$2:$O$24,,-1),,-1)</f>
        <v>520</v>
      </c>
      <c r="R1132" s="17">
        <f t="shared" si="205"/>
        <v>1.425663585873016</v>
      </c>
      <c r="S1132" s="16">
        <f t="shared" si="206"/>
        <v>2.0443068048074323E-4</v>
      </c>
      <c r="T1132" s="17">
        <f t="shared" si="209"/>
        <v>0.10630395384998648</v>
      </c>
      <c r="U1132" s="16">
        <f t="shared" si="210"/>
        <v>148.71856253902627</v>
      </c>
      <c r="V1132" s="17">
        <f t="shared" si="211"/>
        <v>0.30792898378182199</v>
      </c>
      <c r="W1132" s="16">
        <f t="shared" si="207"/>
        <v>1108544.3416145593</v>
      </c>
      <c r="X1132">
        <f>('Hybrid Info'!$A$2-Track!P1132)*(L1132-L1131)*1000+X1131</f>
        <v>-39644.441726175282</v>
      </c>
    </row>
    <row r="1133" spans="1:24">
      <c r="A1133" s="16">
        <f t="shared" si="208"/>
        <v>1132</v>
      </c>
      <c r="B1133" s="17">
        <f t="shared" si="202"/>
        <v>13.411199999999999</v>
      </c>
      <c r="C1133" s="16">
        <f>Specification!$G$29</f>
        <v>164.943378</v>
      </c>
      <c r="D1133" s="17">
        <f>0.5*Specification!$K$4*Track!B1133^2*Specification!$K$3*Specification!$K$2</f>
        <v>93.159842569492653</v>
      </c>
      <c r="E1133" s="16">
        <v>0</v>
      </c>
      <c r="F1133" s="17">
        <f>Specification!$C$23*9.81*SIN((E1133*PI()/180))</f>
        <v>0</v>
      </c>
      <c r="G1133" s="18">
        <f>IF(J1133=1,VLOOKUP(K1133,RPM!$E$2:$H$62,3,FALSE)-F1133-E1133-D1133,IF(J1133=2,VLOOKUP(K1133,RPM!$H$2:$K$62,3,FALSE)-F1133-E1133-D1133,IF(J1133=3,VLOOKUP(K1133,RPM!$K$2:$N$62,3,FALSE)-F1133-E1133-D1133)))</f>
        <v>688.48526429214962</v>
      </c>
      <c r="H1133" s="19">
        <f>IF(J1133=1,Specification!$I$14,IF(J1133=2,Specification!$I$15,IF(J1133=3,Specification!$I$16)))</f>
        <v>582.50936296077191</v>
      </c>
      <c r="I1133" s="16">
        <f t="shared" si="213"/>
        <v>0</v>
      </c>
      <c r="J1133" s="17">
        <v>2</v>
      </c>
      <c r="K1133" s="16">
        <f>IF(J1133=1,VLOOKUP(B1133,RPM!$F$2:$H$62,3,TRUE),IF(J1133=2,VLOOKUP(B1133,RPM!$I$2:$K$62,3,TRUE),IF(J1133=3,VLOOKUP(B1133,RPM!$L$2:$N$62,3,TRUE))))</f>
        <v>7000</v>
      </c>
      <c r="L1133" s="17">
        <f t="shared" si="212"/>
        <v>88.682403131998228</v>
      </c>
      <c r="M1133" s="16">
        <f t="shared" si="203"/>
        <v>0</v>
      </c>
      <c r="N1133" s="17">
        <f>VLOOKUP(K1133,RPM!$A$2:$D$62,3,FALSE)</f>
        <v>13</v>
      </c>
      <c r="O1133" s="16">
        <f>VLOOKUP(K1133,RPM!$A$2:$D$62,4,FALSE)</f>
        <v>13.235857142857142</v>
      </c>
      <c r="P1133" s="17">
        <f t="shared" si="204"/>
        <v>9.8699786714285711</v>
      </c>
      <c r="Q1133" s="16" cm="1">
        <f t="array" ref="Q1133">_xlfn.XLOOKUP(O1133,BSFC!$A$2:$A$24,_xlfn.XLOOKUP(K1133,BSFC!$B$1:$O$1,BSFC!$B$2:$O$24,,-1),,-1)</f>
        <v>520</v>
      </c>
      <c r="R1133" s="17">
        <f t="shared" si="205"/>
        <v>1.425663585873016</v>
      </c>
      <c r="S1133" s="16">
        <f t="shared" si="206"/>
        <v>2.0443068048074323E-4</v>
      </c>
      <c r="T1133" s="17">
        <f t="shared" si="209"/>
        <v>0.10630395384998648</v>
      </c>
      <c r="U1133" s="16">
        <f t="shared" si="210"/>
        <v>148.82486649287625</v>
      </c>
      <c r="V1133" s="17">
        <f t="shared" si="211"/>
        <v>0.30813341446230275</v>
      </c>
      <c r="W1133" s="16">
        <f t="shared" si="207"/>
        <v>1109280.29206429</v>
      </c>
      <c r="X1133">
        <f>('Hybrid Info'!$A$2-Track!P1133)*(L1133-L1132)*1000+X1132</f>
        <v>-39476.636017189026</v>
      </c>
    </row>
    <row r="1134" spans="1:24">
      <c r="A1134" s="16">
        <f t="shared" si="208"/>
        <v>1133</v>
      </c>
      <c r="B1134" s="17">
        <f t="shared" si="202"/>
        <v>13.411199999999999</v>
      </c>
      <c r="C1134" s="16">
        <f>Specification!$G$29</f>
        <v>164.943378</v>
      </c>
      <c r="D1134" s="17">
        <f>0.5*Specification!$K$4*Track!B1134^2*Specification!$K$3*Specification!$K$2</f>
        <v>93.159842569492653</v>
      </c>
      <c r="E1134" s="16">
        <v>0</v>
      </c>
      <c r="F1134" s="17">
        <f>Specification!$C$23*9.81*SIN((E1134*PI()/180))</f>
        <v>0</v>
      </c>
      <c r="G1134" s="18">
        <f>IF(J1134=1,VLOOKUP(K1134,RPM!$E$2:$H$62,3,FALSE)-F1134-E1134-D1134,IF(J1134=2,VLOOKUP(K1134,RPM!$H$2:$K$62,3,FALSE)-F1134-E1134-D1134,IF(J1134=3,VLOOKUP(K1134,RPM!$K$2:$N$62,3,FALSE)-F1134-E1134-D1134)))</f>
        <v>688.48526429214962</v>
      </c>
      <c r="H1134" s="19">
        <f>IF(J1134=1,Specification!$I$14,IF(J1134=2,Specification!$I$15,IF(J1134=3,Specification!$I$16)))</f>
        <v>582.50936296077191</v>
      </c>
      <c r="I1134" s="16">
        <f t="shared" si="213"/>
        <v>0</v>
      </c>
      <c r="J1134" s="17">
        <v>2</v>
      </c>
      <c r="K1134" s="16">
        <f>IF(J1134=1,VLOOKUP(B1134,RPM!$F$2:$H$62,3,TRUE),IF(J1134=2,VLOOKUP(B1134,RPM!$I$2:$K$62,3,TRUE),IF(J1134=3,VLOOKUP(B1134,RPM!$L$2:$N$62,3,TRUE))))</f>
        <v>7000</v>
      </c>
      <c r="L1134" s="17">
        <f t="shared" si="212"/>
        <v>88.756967675066704</v>
      </c>
      <c r="M1134" s="16">
        <f t="shared" si="203"/>
        <v>0</v>
      </c>
      <c r="N1134" s="17">
        <f>VLOOKUP(K1134,RPM!$A$2:$D$62,3,FALSE)</f>
        <v>13</v>
      </c>
      <c r="O1134" s="16">
        <f>VLOOKUP(K1134,RPM!$A$2:$D$62,4,FALSE)</f>
        <v>13.235857142857142</v>
      </c>
      <c r="P1134" s="17">
        <f t="shared" si="204"/>
        <v>9.8699786714285711</v>
      </c>
      <c r="Q1134" s="16" cm="1">
        <f t="array" ref="Q1134">_xlfn.XLOOKUP(O1134,BSFC!$A$2:$A$24,_xlfn.XLOOKUP(K1134,BSFC!$B$1:$O$1,BSFC!$B$2:$O$24,,-1),,-1)</f>
        <v>520</v>
      </c>
      <c r="R1134" s="17">
        <f t="shared" si="205"/>
        <v>1.425663585873016</v>
      </c>
      <c r="S1134" s="16">
        <f t="shared" si="206"/>
        <v>2.0443068048074323E-4</v>
      </c>
      <c r="T1134" s="17">
        <f t="shared" si="209"/>
        <v>0.10630395384998648</v>
      </c>
      <c r="U1134" s="16">
        <f t="shared" si="210"/>
        <v>148.93117044672624</v>
      </c>
      <c r="V1134" s="17">
        <f t="shared" si="211"/>
        <v>0.30833784514278351</v>
      </c>
      <c r="W1134" s="16">
        <f t="shared" si="207"/>
        <v>1110016.2425140208</v>
      </c>
      <c r="X1134">
        <f>('Hybrid Info'!$A$2-Track!P1134)*(L1134-L1133)*1000+X1133</f>
        <v>-39308.830308202771</v>
      </c>
    </row>
    <row r="1135" spans="1:24">
      <c r="A1135" s="16">
        <f t="shared" si="208"/>
        <v>1134</v>
      </c>
      <c r="B1135" s="17">
        <f t="shared" si="202"/>
        <v>13.411199999999999</v>
      </c>
      <c r="C1135" s="16">
        <f>Specification!$G$29</f>
        <v>164.943378</v>
      </c>
      <c r="D1135" s="17">
        <f>0.5*Specification!$K$4*Track!B1135^2*Specification!$K$3*Specification!$K$2</f>
        <v>93.159842569492653</v>
      </c>
      <c r="E1135" s="16">
        <v>0</v>
      </c>
      <c r="F1135" s="17">
        <f>Specification!$C$23*9.81*SIN((E1135*PI()/180))</f>
        <v>0</v>
      </c>
      <c r="G1135" s="18">
        <f>IF(J1135=1,VLOOKUP(K1135,RPM!$E$2:$H$62,3,FALSE)-F1135-E1135-D1135,IF(J1135=2,VLOOKUP(K1135,RPM!$H$2:$K$62,3,FALSE)-F1135-E1135-D1135,IF(J1135=3,VLOOKUP(K1135,RPM!$K$2:$N$62,3,FALSE)-F1135-E1135-D1135)))</f>
        <v>688.48526429214962</v>
      </c>
      <c r="H1135" s="19">
        <f>IF(J1135=1,Specification!$I$14,IF(J1135=2,Specification!$I$15,IF(J1135=3,Specification!$I$16)))</f>
        <v>582.50936296077191</v>
      </c>
      <c r="I1135" s="16">
        <f t="shared" si="213"/>
        <v>0</v>
      </c>
      <c r="J1135" s="17">
        <v>2</v>
      </c>
      <c r="K1135" s="16">
        <f>IF(J1135=1,VLOOKUP(B1135,RPM!$F$2:$H$62,3,TRUE),IF(J1135=2,VLOOKUP(B1135,RPM!$I$2:$K$62,3,TRUE),IF(J1135=3,VLOOKUP(B1135,RPM!$L$2:$N$62,3,TRUE))))</f>
        <v>7000</v>
      </c>
      <c r="L1135" s="17">
        <f t="shared" si="212"/>
        <v>88.83153221813518</v>
      </c>
      <c r="M1135" s="16">
        <f t="shared" si="203"/>
        <v>0</v>
      </c>
      <c r="N1135" s="17">
        <f>VLOOKUP(K1135,RPM!$A$2:$D$62,3,FALSE)</f>
        <v>13</v>
      </c>
      <c r="O1135" s="16">
        <f>VLOOKUP(K1135,RPM!$A$2:$D$62,4,FALSE)</f>
        <v>13.235857142857142</v>
      </c>
      <c r="P1135" s="17">
        <f t="shared" si="204"/>
        <v>9.8699786714285711</v>
      </c>
      <c r="Q1135" s="16" cm="1">
        <f t="array" ref="Q1135">_xlfn.XLOOKUP(O1135,BSFC!$A$2:$A$24,_xlfn.XLOOKUP(K1135,BSFC!$B$1:$O$1,BSFC!$B$2:$O$24,,-1),,-1)</f>
        <v>520</v>
      </c>
      <c r="R1135" s="17">
        <f t="shared" si="205"/>
        <v>1.425663585873016</v>
      </c>
      <c r="S1135" s="16">
        <f t="shared" si="206"/>
        <v>2.0443068048074323E-4</v>
      </c>
      <c r="T1135" s="17">
        <f t="shared" si="209"/>
        <v>0.10630395384998648</v>
      </c>
      <c r="U1135" s="16">
        <f t="shared" si="210"/>
        <v>149.03747440057623</v>
      </c>
      <c r="V1135" s="17">
        <f t="shared" si="211"/>
        <v>0.30854227582326427</v>
      </c>
      <c r="W1135" s="16">
        <f t="shared" si="207"/>
        <v>1110752.1929637515</v>
      </c>
      <c r="X1135">
        <f>('Hybrid Info'!$A$2-Track!P1135)*(L1135-L1134)*1000+X1134</f>
        <v>-39141.024599216515</v>
      </c>
    </row>
    <row r="1136" spans="1:24">
      <c r="A1136" s="16">
        <f t="shared" si="208"/>
        <v>1135</v>
      </c>
      <c r="B1136" s="17">
        <f t="shared" si="202"/>
        <v>13.411199999999999</v>
      </c>
      <c r="C1136" s="16">
        <f>Specification!$G$29</f>
        <v>164.943378</v>
      </c>
      <c r="D1136" s="17">
        <f>0.5*Specification!$K$4*Track!B1136^2*Specification!$K$3*Specification!$K$2</f>
        <v>93.159842569492653</v>
      </c>
      <c r="E1136" s="16">
        <v>0</v>
      </c>
      <c r="F1136" s="17">
        <f>Specification!$C$23*9.81*SIN((E1136*PI()/180))</f>
        <v>0</v>
      </c>
      <c r="G1136" s="18">
        <f>IF(J1136=1,VLOOKUP(K1136,RPM!$E$2:$H$62,3,FALSE)-F1136-E1136-D1136,IF(J1136=2,VLOOKUP(K1136,RPM!$H$2:$K$62,3,FALSE)-F1136-E1136-D1136,IF(J1136=3,VLOOKUP(K1136,RPM!$K$2:$N$62,3,FALSE)-F1136-E1136-D1136)))</f>
        <v>688.48526429214962</v>
      </c>
      <c r="H1136" s="19">
        <f>IF(J1136=1,Specification!$I$14,IF(J1136=2,Specification!$I$15,IF(J1136=3,Specification!$I$16)))</f>
        <v>582.50936296077191</v>
      </c>
      <c r="I1136" s="16">
        <f t="shared" si="213"/>
        <v>0</v>
      </c>
      <c r="J1136" s="17">
        <v>2</v>
      </c>
      <c r="K1136" s="16">
        <f>IF(J1136=1,VLOOKUP(B1136,RPM!$F$2:$H$62,3,TRUE),IF(J1136=2,VLOOKUP(B1136,RPM!$I$2:$K$62,3,TRUE),IF(J1136=3,VLOOKUP(B1136,RPM!$L$2:$N$62,3,TRUE))))</f>
        <v>7000</v>
      </c>
      <c r="L1136" s="17">
        <f t="shared" si="212"/>
        <v>88.906096761203656</v>
      </c>
      <c r="M1136" s="16">
        <f t="shared" si="203"/>
        <v>0</v>
      </c>
      <c r="N1136" s="17">
        <f>VLOOKUP(K1136,RPM!$A$2:$D$62,3,FALSE)</f>
        <v>13</v>
      </c>
      <c r="O1136" s="16">
        <f>VLOOKUP(K1136,RPM!$A$2:$D$62,4,FALSE)</f>
        <v>13.235857142857142</v>
      </c>
      <c r="P1136" s="17">
        <f t="shared" si="204"/>
        <v>9.8699786714285711</v>
      </c>
      <c r="Q1136" s="16" cm="1">
        <f t="array" ref="Q1136">_xlfn.XLOOKUP(O1136,BSFC!$A$2:$A$24,_xlfn.XLOOKUP(K1136,BSFC!$B$1:$O$1,BSFC!$B$2:$O$24,,-1),,-1)</f>
        <v>520</v>
      </c>
      <c r="R1136" s="17">
        <f t="shared" si="205"/>
        <v>1.425663585873016</v>
      </c>
      <c r="S1136" s="16">
        <f t="shared" si="206"/>
        <v>2.0443068048074323E-4</v>
      </c>
      <c r="T1136" s="17">
        <f t="shared" si="209"/>
        <v>0.10630395384998648</v>
      </c>
      <c r="U1136" s="16">
        <f t="shared" si="210"/>
        <v>149.14377835442622</v>
      </c>
      <c r="V1136" s="17">
        <f t="shared" si="211"/>
        <v>0.30874670650374503</v>
      </c>
      <c r="W1136" s="16">
        <f t="shared" si="207"/>
        <v>1111488.143413482</v>
      </c>
      <c r="X1136">
        <f>('Hybrid Info'!$A$2-Track!P1136)*(L1136-L1135)*1000+X1135</f>
        <v>-38973.218890230259</v>
      </c>
    </row>
    <row r="1137" spans="1:24">
      <c r="A1137" s="16">
        <f t="shared" si="208"/>
        <v>1136</v>
      </c>
      <c r="B1137" s="17">
        <f t="shared" ref="B1137:B1200" si="214">IF(SQRT(B1136^2+2*I1136)&gt;13.4112,13.4112,SQRT(B1136^2+2*I1136))</f>
        <v>13.411199999999999</v>
      </c>
      <c r="C1137" s="16">
        <f>Specification!$G$29</f>
        <v>164.943378</v>
      </c>
      <c r="D1137" s="17">
        <f>0.5*Specification!$K$4*Track!B1137^2*Specification!$K$3*Specification!$K$2</f>
        <v>93.159842569492653</v>
      </c>
      <c r="E1137" s="16">
        <v>0</v>
      </c>
      <c r="F1137" s="17">
        <f>Specification!$C$23*9.81*SIN((E1137*PI()/180))</f>
        <v>0</v>
      </c>
      <c r="G1137" s="18">
        <f>IF(J1137=1,VLOOKUP(K1137,RPM!$E$2:$H$62,3,FALSE)-F1137-E1137-D1137,IF(J1137=2,VLOOKUP(K1137,RPM!$H$2:$K$62,3,FALSE)-F1137-E1137-D1137,IF(J1137=3,VLOOKUP(K1137,RPM!$K$2:$N$62,3,FALSE)-F1137-E1137-D1137)))</f>
        <v>688.48526429214962</v>
      </c>
      <c r="H1137" s="19">
        <f>IF(J1137=1,Specification!$I$14,IF(J1137=2,Specification!$I$15,IF(J1137=3,Specification!$I$16)))</f>
        <v>582.50936296077191</v>
      </c>
      <c r="I1137" s="16">
        <f t="shared" si="213"/>
        <v>0</v>
      </c>
      <c r="J1137" s="17">
        <v>2</v>
      </c>
      <c r="K1137" s="16">
        <f>IF(J1137=1,VLOOKUP(B1137,RPM!$F$2:$H$62,3,TRUE),IF(J1137=2,VLOOKUP(B1137,RPM!$I$2:$K$62,3,TRUE),IF(J1137=3,VLOOKUP(B1137,RPM!$L$2:$N$62,3,TRUE))))</f>
        <v>7000</v>
      </c>
      <c r="L1137" s="17">
        <f t="shared" si="212"/>
        <v>88.980661304272132</v>
      </c>
      <c r="M1137" s="16">
        <f t="shared" ref="M1137:M1200" si="215">TAN(E1137*PI()/180)+M1136</f>
        <v>0</v>
      </c>
      <c r="N1137" s="17">
        <f>VLOOKUP(K1137,RPM!$A$2:$D$62,3,FALSE)</f>
        <v>13</v>
      </c>
      <c r="O1137" s="16">
        <f>VLOOKUP(K1137,RPM!$A$2:$D$62,4,FALSE)</f>
        <v>13.235857142857142</v>
      </c>
      <c r="P1137" s="17">
        <f t="shared" si="204"/>
        <v>9.8699786714285711</v>
      </c>
      <c r="Q1137" s="16" cm="1">
        <f t="array" ref="Q1137">_xlfn.XLOOKUP(O1137,BSFC!$A$2:$A$24,_xlfn.XLOOKUP(K1137,BSFC!$B$1:$O$1,BSFC!$B$2:$O$24,,-1),,-1)</f>
        <v>520</v>
      </c>
      <c r="R1137" s="17">
        <f t="shared" si="205"/>
        <v>1.425663585873016</v>
      </c>
      <c r="S1137" s="16">
        <f t="shared" si="206"/>
        <v>2.0443068048074323E-4</v>
      </c>
      <c r="T1137" s="17">
        <f t="shared" si="209"/>
        <v>0.10630395384998648</v>
      </c>
      <c r="U1137" s="16">
        <f t="shared" si="210"/>
        <v>149.25008230827621</v>
      </c>
      <c r="V1137" s="17">
        <f t="shared" si="211"/>
        <v>0.30895113718422579</v>
      </c>
      <c r="W1137" s="16">
        <f t="shared" si="207"/>
        <v>1112224.0938632127</v>
      </c>
      <c r="X1137">
        <f>('Hybrid Info'!$A$2-Track!P1137)*(L1137-L1136)*1000+X1136</f>
        <v>-38805.413181244003</v>
      </c>
    </row>
    <row r="1138" spans="1:24">
      <c r="A1138" s="16">
        <f t="shared" si="208"/>
        <v>1137</v>
      </c>
      <c r="B1138" s="17">
        <f t="shared" si="214"/>
        <v>13.411199999999999</v>
      </c>
      <c r="C1138" s="16">
        <f>Specification!$G$29</f>
        <v>164.943378</v>
      </c>
      <c r="D1138" s="17">
        <f>0.5*Specification!$K$4*Track!B1138^2*Specification!$K$3*Specification!$K$2</f>
        <v>93.159842569492653</v>
      </c>
      <c r="E1138" s="16">
        <v>0</v>
      </c>
      <c r="F1138" s="17">
        <f>Specification!$C$23*9.81*SIN((E1138*PI()/180))</f>
        <v>0</v>
      </c>
      <c r="G1138" s="18">
        <f>IF(J1138=1,VLOOKUP(K1138,RPM!$E$2:$H$62,3,FALSE)-F1138-E1138-D1138,IF(J1138=2,VLOOKUP(K1138,RPM!$H$2:$K$62,3,FALSE)-F1138-E1138-D1138,IF(J1138=3,VLOOKUP(K1138,RPM!$K$2:$N$62,3,FALSE)-F1138-E1138-D1138)))</f>
        <v>688.48526429214962</v>
      </c>
      <c r="H1138" s="19">
        <f>IF(J1138=1,Specification!$I$14,IF(J1138=2,Specification!$I$15,IF(J1138=3,Specification!$I$16)))</f>
        <v>582.50936296077191</v>
      </c>
      <c r="I1138" s="16">
        <f t="shared" si="213"/>
        <v>0</v>
      </c>
      <c r="J1138" s="17">
        <v>2</v>
      </c>
      <c r="K1138" s="16">
        <f>IF(J1138=1,VLOOKUP(B1138,RPM!$F$2:$H$62,3,TRUE),IF(J1138=2,VLOOKUP(B1138,RPM!$I$2:$K$62,3,TRUE),IF(J1138=3,VLOOKUP(B1138,RPM!$L$2:$N$62,3,TRUE))))</f>
        <v>7000</v>
      </c>
      <c r="L1138" s="17">
        <f t="shared" si="212"/>
        <v>89.055225847340608</v>
      </c>
      <c r="M1138" s="16">
        <f t="shared" si="215"/>
        <v>0</v>
      </c>
      <c r="N1138" s="17">
        <f>VLOOKUP(K1138,RPM!$A$2:$D$62,3,FALSE)</f>
        <v>13</v>
      </c>
      <c r="O1138" s="16">
        <f>VLOOKUP(K1138,RPM!$A$2:$D$62,4,FALSE)</f>
        <v>13.235857142857142</v>
      </c>
      <c r="P1138" s="17">
        <f t="shared" si="204"/>
        <v>9.8699786714285711</v>
      </c>
      <c r="Q1138" s="16" cm="1">
        <f t="array" ref="Q1138">_xlfn.XLOOKUP(O1138,BSFC!$A$2:$A$24,_xlfn.XLOOKUP(K1138,BSFC!$B$1:$O$1,BSFC!$B$2:$O$24,,-1),,-1)</f>
        <v>520</v>
      </c>
      <c r="R1138" s="17">
        <f t="shared" si="205"/>
        <v>1.425663585873016</v>
      </c>
      <c r="S1138" s="16">
        <f t="shared" si="206"/>
        <v>2.0443068048074323E-4</v>
      </c>
      <c r="T1138" s="17">
        <f t="shared" si="209"/>
        <v>0.10630395384998648</v>
      </c>
      <c r="U1138" s="16">
        <f t="shared" si="210"/>
        <v>149.35638626212619</v>
      </c>
      <c r="V1138" s="17">
        <f t="shared" si="211"/>
        <v>0.30915556786470655</v>
      </c>
      <c r="W1138" s="16">
        <f t="shared" si="207"/>
        <v>1112960.0443129435</v>
      </c>
      <c r="X1138">
        <f>('Hybrid Info'!$A$2-Track!P1138)*(L1138-L1137)*1000+X1137</f>
        <v>-38637.607472257747</v>
      </c>
    </row>
    <row r="1139" spans="1:24">
      <c r="A1139" s="16">
        <f t="shared" si="208"/>
        <v>1138</v>
      </c>
      <c r="B1139" s="17">
        <f t="shared" si="214"/>
        <v>13.411199999999999</v>
      </c>
      <c r="C1139" s="16">
        <f>Specification!$G$29</f>
        <v>164.943378</v>
      </c>
      <c r="D1139" s="17">
        <f>0.5*Specification!$K$4*Track!B1139^2*Specification!$K$3*Specification!$K$2</f>
        <v>93.159842569492653</v>
      </c>
      <c r="E1139" s="16">
        <v>0</v>
      </c>
      <c r="F1139" s="17">
        <f>Specification!$C$23*9.81*SIN((E1139*PI()/180))</f>
        <v>0</v>
      </c>
      <c r="G1139" s="18">
        <f>IF(J1139=1,VLOOKUP(K1139,RPM!$E$2:$H$62,3,FALSE)-F1139-E1139-D1139,IF(J1139=2,VLOOKUP(K1139,RPM!$H$2:$K$62,3,FALSE)-F1139-E1139-D1139,IF(J1139=3,VLOOKUP(K1139,RPM!$K$2:$N$62,3,FALSE)-F1139-E1139-D1139)))</f>
        <v>688.48526429214962</v>
      </c>
      <c r="H1139" s="19">
        <f>IF(J1139=1,Specification!$I$14,IF(J1139=2,Specification!$I$15,IF(J1139=3,Specification!$I$16)))</f>
        <v>582.50936296077191</v>
      </c>
      <c r="I1139" s="16">
        <f t="shared" si="213"/>
        <v>0</v>
      </c>
      <c r="J1139" s="17">
        <v>2</v>
      </c>
      <c r="K1139" s="16">
        <f>IF(J1139=1,VLOOKUP(B1139,RPM!$F$2:$H$62,3,TRUE),IF(J1139=2,VLOOKUP(B1139,RPM!$I$2:$K$62,3,TRUE),IF(J1139=3,VLOOKUP(B1139,RPM!$L$2:$N$62,3,TRUE))))</f>
        <v>7000</v>
      </c>
      <c r="L1139" s="17">
        <f t="shared" si="212"/>
        <v>89.129790390409084</v>
      </c>
      <c r="M1139" s="16">
        <f t="shared" si="215"/>
        <v>0</v>
      </c>
      <c r="N1139" s="17">
        <f>VLOOKUP(K1139,RPM!$A$2:$D$62,3,FALSE)</f>
        <v>13</v>
      </c>
      <c r="O1139" s="16">
        <f>VLOOKUP(K1139,RPM!$A$2:$D$62,4,FALSE)</f>
        <v>13.235857142857142</v>
      </c>
      <c r="P1139" s="17">
        <f t="shared" si="204"/>
        <v>9.8699786714285711</v>
      </c>
      <c r="Q1139" s="16" cm="1">
        <f t="array" ref="Q1139">_xlfn.XLOOKUP(O1139,BSFC!$A$2:$A$24,_xlfn.XLOOKUP(K1139,BSFC!$B$1:$O$1,BSFC!$B$2:$O$24,,-1),,-1)</f>
        <v>520</v>
      </c>
      <c r="R1139" s="17">
        <f t="shared" si="205"/>
        <v>1.425663585873016</v>
      </c>
      <c r="S1139" s="16">
        <f t="shared" si="206"/>
        <v>2.0443068048074323E-4</v>
      </c>
      <c r="T1139" s="17">
        <f t="shared" si="209"/>
        <v>0.10630395384998648</v>
      </c>
      <c r="U1139" s="16">
        <f t="shared" si="210"/>
        <v>149.46269021597618</v>
      </c>
      <c r="V1139" s="17">
        <f t="shared" si="211"/>
        <v>0.30935999854518731</v>
      </c>
      <c r="W1139" s="16">
        <f t="shared" si="207"/>
        <v>1113695.9947626742</v>
      </c>
      <c r="X1139">
        <f>('Hybrid Info'!$A$2-Track!P1139)*(L1139-L1138)*1000+X1138</f>
        <v>-38469.801763271491</v>
      </c>
    </row>
    <row r="1140" spans="1:24">
      <c r="A1140" s="16">
        <f t="shared" si="208"/>
        <v>1139</v>
      </c>
      <c r="B1140" s="17">
        <f t="shared" si="214"/>
        <v>13.411199999999999</v>
      </c>
      <c r="C1140" s="16">
        <f>Specification!$G$29</f>
        <v>164.943378</v>
      </c>
      <c r="D1140" s="17">
        <f>0.5*Specification!$K$4*Track!B1140^2*Specification!$K$3*Specification!$K$2</f>
        <v>93.159842569492653</v>
      </c>
      <c r="E1140" s="16">
        <v>0</v>
      </c>
      <c r="F1140" s="17">
        <f>Specification!$C$23*9.81*SIN((E1140*PI()/180))</f>
        <v>0</v>
      </c>
      <c r="G1140" s="18">
        <f>IF(J1140=1,VLOOKUP(K1140,RPM!$E$2:$H$62,3,FALSE)-F1140-E1140-D1140,IF(J1140=2,VLOOKUP(K1140,RPM!$H$2:$K$62,3,FALSE)-F1140-E1140-D1140,IF(J1140=3,VLOOKUP(K1140,RPM!$K$2:$N$62,3,FALSE)-F1140-E1140-D1140)))</f>
        <v>688.48526429214962</v>
      </c>
      <c r="H1140" s="19">
        <f>IF(J1140=1,Specification!$I$14,IF(J1140=2,Specification!$I$15,IF(J1140=3,Specification!$I$16)))</f>
        <v>582.50936296077191</v>
      </c>
      <c r="I1140" s="16">
        <f t="shared" si="213"/>
        <v>0</v>
      </c>
      <c r="J1140" s="17">
        <v>2</v>
      </c>
      <c r="K1140" s="16">
        <f>IF(J1140=1,VLOOKUP(B1140,RPM!$F$2:$H$62,3,TRUE),IF(J1140=2,VLOOKUP(B1140,RPM!$I$2:$K$62,3,TRUE),IF(J1140=3,VLOOKUP(B1140,RPM!$L$2:$N$62,3,TRUE))))</f>
        <v>7000</v>
      </c>
      <c r="L1140" s="17">
        <f t="shared" si="212"/>
        <v>89.204354933477561</v>
      </c>
      <c r="M1140" s="16">
        <f t="shared" si="215"/>
        <v>0</v>
      </c>
      <c r="N1140" s="17">
        <f>VLOOKUP(K1140,RPM!$A$2:$D$62,3,FALSE)</f>
        <v>13</v>
      </c>
      <c r="O1140" s="16">
        <f>VLOOKUP(K1140,RPM!$A$2:$D$62,4,FALSE)</f>
        <v>13.235857142857142</v>
      </c>
      <c r="P1140" s="17">
        <f t="shared" si="204"/>
        <v>9.8699786714285711</v>
      </c>
      <c r="Q1140" s="16" cm="1">
        <f t="array" ref="Q1140">_xlfn.XLOOKUP(O1140,BSFC!$A$2:$A$24,_xlfn.XLOOKUP(K1140,BSFC!$B$1:$O$1,BSFC!$B$2:$O$24,,-1),,-1)</f>
        <v>520</v>
      </c>
      <c r="R1140" s="17">
        <f t="shared" si="205"/>
        <v>1.425663585873016</v>
      </c>
      <c r="S1140" s="16">
        <f t="shared" si="206"/>
        <v>2.0443068048074323E-4</v>
      </c>
      <c r="T1140" s="17">
        <f t="shared" si="209"/>
        <v>0.10630395384998648</v>
      </c>
      <c r="U1140" s="16">
        <f t="shared" si="210"/>
        <v>149.56899416982617</v>
      </c>
      <c r="V1140" s="17">
        <f t="shared" si="211"/>
        <v>0.30956442922566807</v>
      </c>
      <c r="W1140" s="16">
        <f t="shared" si="207"/>
        <v>1114431.9452124049</v>
      </c>
      <c r="X1140">
        <f>('Hybrid Info'!$A$2-Track!P1140)*(L1140-L1139)*1000+X1139</f>
        <v>-38301.996054285235</v>
      </c>
    </row>
    <row r="1141" spans="1:24">
      <c r="A1141" s="16">
        <f t="shared" si="208"/>
        <v>1140</v>
      </c>
      <c r="B1141" s="17">
        <f t="shared" si="214"/>
        <v>13.411199999999999</v>
      </c>
      <c r="C1141" s="16">
        <f>Specification!$G$29</f>
        <v>164.943378</v>
      </c>
      <c r="D1141" s="17">
        <f>0.5*Specification!$K$4*Track!B1141^2*Specification!$K$3*Specification!$K$2</f>
        <v>93.159842569492653</v>
      </c>
      <c r="E1141" s="16">
        <v>0</v>
      </c>
      <c r="F1141" s="17">
        <f>Specification!$C$23*9.81*SIN((E1141*PI()/180))</f>
        <v>0</v>
      </c>
      <c r="G1141" s="18">
        <f>IF(J1141=1,VLOOKUP(K1141,RPM!$E$2:$H$62,3,FALSE)-F1141-E1141-D1141,IF(J1141=2,VLOOKUP(K1141,RPM!$H$2:$K$62,3,FALSE)-F1141-E1141-D1141,IF(J1141=3,VLOOKUP(K1141,RPM!$K$2:$N$62,3,FALSE)-F1141-E1141-D1141)))</f>
        <v>688.48526429214962</v>
      </c>
      <c r="H1141" s="19">
        <f>IF(J1141=1,Specification!$I$14,IF(J1141=2,Specification!$I$15,IF(J1141=3,Specification!$I$16)))</f>
        <v>582.50936296077191</v>
      </c>
      <c r="I1141" s="16">
        <f t="shared" si="213"/>
        <v>0</v>
      </c>
      <c r="J1141" s="17">
        <v>2</v>
      </c>
      <c r="K1141" s="16">
        <f>IF(J1141=1,VLOOKUP(B1141,RPM!$F$2:$H$62,3,TRUE),IF(J1141=2,VLOOKUP(B1141,RPM!$I$2:$K$62,3,TRUE),IF(J1141=3,VLOOKUP(B1141,RPM!$L$2:$N$62,3,TRUE))))</f>
        <v>7000</v>
      </c>
      <c r="L1141" s="17">
        <f t="shared" si="212"/>
        <v>89.278919476546037</v>
      </c>
      <c r="M1141" s="16">
        <f t="shared" si="215"/>
        <v>0</v>
      </c>
      <c r="N1141" s="17">
        <f>VLOOKUP(K1141,RPM!$A$2:$D$62,3,FALSE)</f>
        <v>13</v>
      </c>
      <c r="O1141" s="16">
        <f>VLOOKUP(K1141,RPM!$A$2:$D$62,4,FALSE)</f>
        <v>13.235857142857142</v>
      </c>
      <c r="P1141" s="17">
        <f t="shared" si="204"/>
        <v>9.8699786714285711</v>
      </c>
      <c r="Q1141" s="16" cm="1">
        <f t="array" ref="Q1141">_xlfn.XLOOKUP(O1141,BSFC!$A$2:$A$24,_xlfn.XLOOKUP(K1141,BSFC!$B$1:$O$1,BSFC!$B$2:$O$24,,-1),,-1)</f>
        <v>520</v>
      </c>
      <c r="R1141" s="17">
        <f t="shared" si="205"/>
        <v>1.425663585873016</v>
      </c>
      <c r="S1141" s="16">
        <f t="shared" si="206"/>
        <v>2.0443068048074323E-4</v>
      </c>
      <c r="T1141" s="17">
        <f t="shared" si="209"/>
        <v>0.10630395384998648</v>
      </c>
      <c r="U1141" s="16">
        <f t="shared" si="210"/>
        <v>149.67529812367616</v>
      </c>
      <c r="V1141" s="17">
        <f t="shared" si="211"/>
        <v>0.30976885990614883</v>
      </c>
      <c r="W1141" s="16">
        <f t="shared" si="207"/>
        <v>1115167.8956621357</v>
      </c>
      <c r="X1141">
        <f>('Hybrid Info'!$A$2-Track!P1141)*(L1141-L1140)*1000+X1140</f>
        <v>-38134.190345298979</v>
      </c>
    </row>
    <row r="1142" spans="1:24">
      <c r="A1142" s="16">
        <f t="shared" si="208"/>
        <v>1141</v>
      </c>
      <c r="B1142" s="17">
        <f t="shared" si="214"/>
        <v>13.411199999999999</v>
      </c>
      <c r="C1142" s="16">
        <f>Specification!$G$29</f>
        <v>164.943378</v>
      </c>
      <c r="D1142" s="17">
        <f>0.5*Specification!$K$4*Track!B1142^2*Specification!$K$3*Specification!$K$2</f>
        <v>93.159842569492653</v>
      </c>
      <c r="E1142" s="16">
        <v>0</v>
      </c>
      <c r="F1142" s="17">
        <f>Specification!$C$23*9.81*SIN((E1142*PI()/180))</f>
        <v>0</v>
      </c>
      <c r="G1142" s="18">
        <f>IF(J1142=1,VLOOKUP(K1142,RPM!$E$2:$H$62,3,FALSE)-F1142-E1142-D1142,IF(J1142=2,VLOOKUP(K1142,RPM!$H$2:$K$62,3,FALSE)-F1142-E1142-D1142,IF(J1142=3,VLOOKUP(K1142,RPM!$K$2:$N$62,3,FALSE)-F1142-E1142-D1142)))</f>
        <v>688.48526429214962</v>
      </c>
      <c r="H1142" s="19">
        <f>IF(J1142=1,Specification!$I$14,IF(J1142=2,Specification!$I$15,IF(J1142=3,Specification!$I$16)))</f>
        <v>582.50936296077191</v>
      </c>
      <c r="I1142" s="16">
        <f t="shared" si="213"/>
        <v>0</v>
      </c>
      <c r="J1142" s="17">
        <v>2</v>
      </c>
      <c r="K1142" s="16">
        <f>IF(J1142=1,VLOOKUP(B1142,RPM!$F$2:$H$62,3,TRUE),IF(J1142=2,VLOOKUP(B1142,RPM!$I$2:$K$62,3,TRUE),IF(J1142=3,VLOOKUP(B1142,RPM!$L$2:$N$62,3,TRUE))))</f>
        <v>7000</v>
      </c>
      <c r="L1142" s="17">
        <f t="shared" si="212"/>
        <v>89.353484019614513</v>
      </c>
      <c r="M1142" s="16">
        <f t="shared" si="215"/>
        <v>0</v>
      </c>
      <c r="N1142" s="17">
        <f>VLOOKUP(K1142,RPM!$A$2:$D$62,3,FALSE)</f>
        <v>13</v>
      </c>
      <c r="O1142" s="16">
        <f>VLOOKUP(K1142,RPM!$A$2:$D$62,4,FALSE)</f>
        <v>13.235857142857142</v>
      </c>
      <c r="P1142" s="17">
        <f t="shared" si="204"/>
        <v>9.8699786714285711</v>
      </c>
      <c r="Q1142" s="16" cm="1">
        <f t="array" ref="Q1142">_xlfn.XLOOKUP(O1142,BSFC!$A$2:$A$24,_xlfn.XLOOKUP(K1142,BSFC!$B$1:$O$1,BSFC!$B$2:$O$24,,-1),,-1)</f>
        <v>520</v>
      </c>
      <c r="R1142" s="17">
        <f t="shared" si="205"/>
        <v>1.425663585873016</v>
      </c>
      <c r="S1142" s="16">
        <f t="shared" si="206"/>
        <v>2.0443068048074323E-4</v>
      </c>
      <c r="T1142" s="17">
        <f t="shared" si="209"/>
        <v>0.10630395384998648</v>
      </c>
      <c r="U1142" s="16">
        <f t="shared" si="210"/>
        <v>149.78160207752614</v>
      </c>
      <c r="V1142" s="17">
        <f t="shared" si="211"/>
        <v>0.30997329058662959</v>
      </c>
      <c r="W1142" s="16">
        <f t="shared" si="207"/>
        <v>1115903.8461118666</v>
      </c>
      <c r="X1142">
        <f>('Hybrid Info'!$A$2-Track!P1142)*(L1142-L1141)*1000+X1141</f>
        <v>-37966.384636312723</v>
      </c>
    </row>
    <row r="1143" spans="1:24">
      <c r="A1143" s="16">
        <f t="shared" si="208"/>
        <v>1142</v>
      </c>
      <c r="B1143" s="17">
        <f t="shared" si="214"/>
        <v>13.411199999999999</v>
      </c>
      <c r="C1143" s="16">
        <f>Specification!$G$29</f>
        <v>164.943378</v>
      </c>
      <c r="D1143" s="17">
        <f>0.5*Specification!$K$4*Track!B1143^2*Specification!$K$3*Specification!$K$2</f>
        <v>93.159842569492653</v>
      </c>
      <c r="E1143" s="16">
        <v>0</v>
      </c>
      <c r="F1143" s="17">
        <f>Specification!$C$23*9.81*SIN((E1143*PI()/180))</f>
        <v>0</v>
      </c>
      <c r="G1143" s="18">
        <f>IF(J1143=1,VLOOKUP(K1143,RPM!$E$2:$H$62,3,FALSE)-F1143-E1143-D1143,IF(J1143=2,VLOOKUP(K1143,RPM!$H$2:$K$62,3,FALSE)-F1143-E1143-D1143,IF(J1143=3,VLOOKUP(K1143,RPM!$K$2:$N$62,3,FALSE)-F1143-E1143-D1143)))</f>
        <v>688.48526429214962</v>
      </c>
      <c r="H1143" s="19">
        <f>IF(J1143=1,Specification!$I$14,IF(J1143=2,Specification!$I$15,IF(J1143=3,Specification!$I$16)))</f>
        <v>582.50936296077191</v>
      </c>
      <c r="I1143" s="16">
        <f t="shared" si="213"/>
        <v>0</v>
      </c>
      <c r="J1143" s="17">
        <v>2</v>
      </c>
      <c r="K1143" s="16">
        <f>IF(J1143=1,VLOOKUP(B1143,RPM!$F$2:$H$62,3,TRUE),IF(J1143=2,VLOOKUP(B1143,RPM!$I$2:$K$62,3,TRUE),IF(J1143=3,VLOOKUP(B1143,RPM!$L$2:$N$62,3,TRUE))))</f>
        <v>7000</v>
      </c>
      <c r="L1143" s="17">
        <f t="shared" si="212"/>
        <v>89.428048562682989</v>
      </c>
      <c r="M1143" s="16">
        <f t="shared" si="215"/>
        <v>0</v>
      </c>
      <c r="N1143" s="17">
        <f>VLOOKUP(K1143,RPM!$A$2:$D$62,3,FALSE)</f>
        <v>13</v>
      </c>
      <c r="O1143" s="16">
        <f>VLOOKUP(K1143,RPM!$A$2:$D$62,4,FALSE)</f>
        <v>13.235857142857142</v>
      </c>
      <c r="P1143" s="17">
        <f t="shared" si="204"/>
        <v>9.8699786714285711</v>
      </c>
      <c r="Q1143" s="16" cm="1">
        <f t="array" ref="Q1143">_xlfn.XLOOKUP(O1143,BSFC!$A$2:$A$24,_xlfn.XLOOKUP(K1143,BSFC!$B$1:$O$1,BSFC!$B$2:$O$24,,-1),,-1)</f>
        <v>520</v>
      </c>
      <c r="R1143" s="17">
        <f t="shared" si="205"/>
        <v>1.425663585873016</v>
      </c>
      <c r="S1143" s="16">
        <f t="shared" si="206"/>
        <v>2.0443068048074323E-4</v>
      </c>
      <c r="T1143" s="17">
        <f t="shared" si="209"/>
        <v>0.10630395384998648</v>
      </c>
      <c r="U1143" s="16">
        <f t="shared" si="210"/>
        <v>149.88790603137613</v>
      </c>
      <c r="V1143" s="17">
        <f t="shared" si="211"/>
        <v>0.31017772126711035</v>
      </c>
      <c r="W1143" s="16">
        <f t="shared" si="207"/>
        <v>1116639.7965615974</v>
      </c>
      <c r="X1143">
        <f>('Hybrid Info'!$A$2-Track!P1143)*(L1143-L1142)*1000+X1142</f>
        <v>-37798.578927326467</v>
      </c>
    </row>
    <row r="1144" spans="1:24">
      <c r="A1144" s="16">
        <f t="shared" si="208"/>
        <v>1143</v>
      </c>
      <c r="B1144" s="17">
        <f t="shared" si="214"/>
        <v>13.411199999999999</v>
      </c>
      <c r="C1144" s="16">
        <f>Specification!$G$29</f>
        <v>164.943378</v>
      </c>
      <c r="D1144" s="17">
        <f>0.5*Specification!$K$4*Track!B1144^2*Specification!$K$3*Specification!$K$2</f>
        <v>93.159842569492653</v>
      </c>
      <c r="E1144" s="16">
        <v>0</v>
      </c>
      <c r="F1144" s="17">
        <f>Specification!$C$23*9.81*SIN((E1144*PI()/180))</f>
        <v>0</v>
      </c>
      <c r="G1144" s="18">
        <f>IF(J1144=1,VLOOKUP(K1144,RPM!$E$2:$H$62,3,FALSE)-F1144-E1144-D1144,IF(J1144=2,VLOOKUP(K1144,RPM!$H$2:$K$62,3,FALSE)-F1144-E1144-D1144,IF(J1144=3,VLOOKUP(K1144,RPM!$K$2:$N$62,3,FALSE)-F1144-E1144-D1144)))</f>
        <v>688.48526429214962</v>
      </c>
      <c r="H1144" s="19">
        <f>IF(J1144=1,Specification!$I$14,IF(J1144=2,Specification!$I$15,IF(J1144=3,Specification!$I$16)))</f>
        <v>582.50936296077191</v>
      </c>
      <c r="I1144" s="16">
        <f t="shared" si="213"/>
        <v>0</v>
      </c>
      <c r="J1144" s="17">
        <v>2</v>
      </c>
      <c r="K1144" s="16">
        <f>IF(J1144=1,VLOOKUP(B1144,RPM!$F$2:$H$62,3,TRUE),IF(J1144=2,VLOOKUP(B1144,RPM!$I$2:$K$62,3,TRUE),IF(J1144=3,VLOOKUP(B1144,RPM!$L$2:$N$62,3,TRUE))))</f>
        <v>7000</v>
      </c>
      <c r="L1144" s="17">
        <f t="shared" si="212"/>
        <v>89.502613105751465</v>
      </c>
      <c r="M1144" s="16">
        <f t="shared" si="215"/>
        <v>0</v>
      </c>
      <c r="N1144" s="17">
        <f>VLOOKUP(K1144,RPM!$A$2:$D$62,3,FALSE)</f>
        <v>13</v>
      </c>
      <c r="O1144" s="16">
        <f>VLOOKUP(K1144,RPM!$A$2:$D$62,4,FALSE)</f>
        <v>13.235857142857142</v>
      </c>
      <c r="P1144" s="17">
        <f t="shared" si="204"/>
        <v>9.8699786714285711</v>
      </c>
      <c r="Q1144" s="16" cm="1">
        <f t="array" ref="Q1144">_xlfn.XLOOKUP(O1144,BSFC!$A$2:$A$24,_xlfn.XLOOKUP(K1144,BSFC!$B$1:$O$1,BSFC!$B$2:$O$24,,-1),,-1)</f>
        <v>520</v>
      </c>
      <c r="R1144" s="17">
        <f t="shared" si="205"/>
        <v>1.425663585873016</v>
      </c>
      <c r="S1144" s="16">
        <f t="shared" si="206"/>
        <v>2.0443068048074323E-4</v>
      </c>
      <c r="T1144" s="17">
        <f t="shared" si="209"/>
        <v>0.10630395384998648</v>
      </c>
      <c r="U1144" s="16">
        <f t="shared" si="210"/>
        <v>149.99420998522612</v>
      </c>
      <c r="V1144" s="17">
        <f t="shared" si="211"/>
        <v>0.31038215194759111</v>
      </c>
      <c r="W1144" s="16">
        <f t="shared" si="207"/>
        <v>1117375.7470113281</v>
      </c>
      <c r="X1144">
        <f>('Hybrid Info'!$A$2-Track!P1144)*(L1144-L1143)*1000+X1143</f>
        <v>-37630.773218340211</v>
      </c>
    </row>
    <row r="1145" spans="1:24">
      <c r="A1145" s="16">
        <f t="shared" si="208"/>
        <v>1144</v>
      </c>
      <c r="B1145" s="17">
        <f t="shared" si="214"/>
        <v>13.411199999999999</v>
      </c>
      <c r="C1145" s="16">
        <f>Specification!$G$29</f>
        <v>164.943378</v>
      </c>
      <c r="D1145" s="17">
        <f>0.5*Specification!$K$4*Track!B1145^2*Specification!$K$3*Specification!$K$2</f>
        <v>93.159842569492653</v>
      </c>
      <c r="E1145" s="16">
        <v>0</v>
      </c>
      <c r="F1145" s="17">
        <f>Specification!$C$23*9.81*SIN((E1145*PI()/180))</f>
        <v>0</v>
      </c>
      <c r="G1145" s="18">
        <f>IF(J1145=1,VLOOKUP(K1145,RPM!$E$2:$H$62,3,FALSE)-F1145-E1145-D1145,IF(J1145=2,VLOOKUP(K1145,RPM!$H$2:$K$62,3,FALSE)-F1145-E1145-D1145,IF(J1145=3,VLOOKUP(K1145,RPM!$K$2:$N$62,3,FALSE)-F1145-E1145-D1145)))</f>
        <v>688.48526429214962</v>
      </c>
      <c r="H1145" s="19">
        <f>IF(J1145=1,Specification!$I$14,IF(J1145=2,Specification!$I$15,IF(J1145=3,Specification!$I$16)))</f>
        <v>582.50936296077191</v>
      </c>
      <c r="I1145" s="16">
        <f t="shared" si="213"/>
        <v>0</v>
      </c>
      <c r="J1145" s="17">
        <v>2</v>
      </c>
      <c r="K1145" s="16">
        <f>IF(J1145=1,VLOOKUP(B1145,RPM!$F$2:$H$62,3,TRUE),IF(J1145=2,VLOOKUP(B1145,RPM!$I$2:$K$62,3,TRUE),IF(J1145=3,VLOOKUP(B1145,RPM!$L$2:$N$62,3,TRUE))))</f>
        <v>7000</v>
      </c>
      <c r="L1145" s="17">
        <f t="shared" si="212"/>
        <v>89.577177648819941</v>
      </c>
      <c r="M1145" s="16">
        <f t="shared" si="215"/>
        <v>0</v>
      </c>
      <c r="N1145" s="17">
        <f>VLOOKUP(K1145,RPM!$A$2:$D$62,3,FALSE)</f>
        <v>13</v>
      </c>
      <c r="O1145" s="16">
        <f>VLOOKUP(K1145,RPM!$A$2:$D$62,4,FALSE)</f>
        <v>13.235857142857142</v>
      </c>
      <c r="P1145" s="17">
        <f t="shared" si="204"/>
        <v>9.8699786714285711</v>
      </c>
      <c r="Q1145" s="16" cm="1">
        <f t="array" ref="Q1145">_xlfn.XLOOKUP(O1145,BSFC!$A$2:$A$24,_xlfn.XLOOKUP(K1145,BSFC!$B$1:$O$1,BSFC!$B$2:$O$24,,-1),,-1)</f>
        <v>520</v>
      </c>
      <c r="R1145" s="17">
        <f t="shared" si="205"/>
        <v>1.425663585873016</v>
      </c>
      <c r="S1145" s="16">
        <f t="shared" si="206"/>
        <v>2.0443068048074323E-4</v>
      </c>
      <c r="T1145" s="17">
        <f t="shared" si="209"/>
        <v>0.10630395384998648</v>
      </c>
      <c r="U1145" s="16">
        <f t="shared" si="210"/>
        <v>150.10051393907611</v>
      </c>
      <c r="V1145" s="17">
        <f t="shared" si="211"/>
        <v>0.31058658262807187</v>
      </c>
      <c r="W1145" s="16">
        <f t="shared" si="207"/>
        <v>1118111.6974610589</v>
      </c>
      <c r="X1145">
        <f>('Hybrid Info'!$A$2-Track!P1145)*(L1145-L1144)*1000+X1144</f>
        <v>-37462.967509353955</v>
      </c>
    </row>
    <row r="1146" spans="1:24">
      <c r="A1146" s="16">
        <f t="shared" si="208"/>
        <v>1145</v>
      </c>
      <c r="B1146" s="17">
        <f t="shared" si="214"/>
        <v>13.411199999999999</v>
      </c>
      <c r="C1146" s="16">
        <f>Specification!$G$29</f>
        <v>164.943378</v>
      </c>
      <c r="D1146" s="17">
        <f>0.5*Specification!$K$4*Track!B1146^2*Specification!$K$3*Specification!$K$2</f>
        <v>93.159842569492653</v>
      </c>
      <c r="E1146" s="16">
        <v>0</v>
      </c>
      <c r="F1146" s="17">
        <f>Specification!$C$23*9.81*SIN((E1146*PI()/180))</f>
        <v>0</v>
      </c>
      <c r="G1146" s="18">
        <f>IF(J1146=1,VLOOKUP(K1146,RPM!$E$2:$H$62,3,FALSE)-F1146-E1146-D1146,IF(J1146=2,VLOOKUP(K1146,RPM!$H$2:$K$62,3,FALSE)-F1146-E1146-D1146,IF(J1146=3,VLOOKUP(K1146,RPM!$K$2:$N$62,3,FALSE)-F1146-E1146-D1146)))</f>
        <v>688.48526429214962</v>
      </c>
      <c r="H1146" s="19">
        <f>IF(J1146=1,Specification!$I$14,IF(J1146=2,Specification!$I$15,IF(J1146=3,Specification!$I$16)))</f>
        <v>582.50936296077191</v>
      </c>
      <c r="I1146" s="16">
        <f t="shared" si="213"/>
        <v>0</v>
      </c>
      <c r="J1146" s="17">
        <v>2</v>
      </c>
      <c r="K1146" s="16">
        <f>IF(J1146=1,VLOOKUP(B1146,RPM!$F$2:$H$62,3,TRUE),IF(J1146=2,VLOOKUP(B1146,RPM!$I$2:$K$62,3,TRUE),IF(J1146=3,VLOOKUP(B1146,RPM!$L$2:$N$62,3,TRUE))))</f>
        <v>7000</v>
      </c>
      <c r="L1146" s="17">
        <f t="shared" si="212"/>
        <v>89.651742191888417</v>
      </c>
      <c r="M1146" s="16">
        <f t="shared" si="215"/>
        <v>0</v>
      </c>
      <c r="N1146" s="17">
        <f>VLOOKUP(K1146,RPM!$A$2:$D$62,3,FALSE)</f>
        <v>13</v>
      </c>
      <c r="O1146" s="16">
        <f>VLOOKUP(K1146,RPM!$A$2:$D$62,4,FALSE)</f>
        <v>13.235857142857142</v>
      </c>
      <c r="P1146" s="17">
        <f t="shared" si="204"/>
        <v>9.8699786714285711</v>
      </c>
      <c r="Q1146" s="16" cm="1">
        <f t="array" ref="Q1146">_xlfn.XLOOKUP(O1146,BSFC!$A$2:$A$24,_xlfn.XLOOKUP(K1146,BSFC!$B$1:$O$1,BSFC!$B$2:$O$24,,-1),,-1)</f>
        <v>520</v>
      </c>
      <c r="R1146" s="17">
        <f t="shared" si="205"/>
        <v>1.425663585873016</v>
      </c>
      <c r="S1146" s="16">
        <f t="shared" si="206"/>
        <v>2.0443068048074323E-4</v>
      </c>
      <c r="T1146" s="17">
        <f t="shared" si="209"/>
        <v>0.10630395384998648</v>
      </c>
      <c r="U1146" s="16">
        <f t="shared" si="210"/>
        <v>150.2068178929261</v>
      </c>
      <c r="V1146" s="17">
        <f t="shared" si="211"/>
        <v>0.31079101330855263</v>
      </c>
      <c r="W1146" s="16">
        <f t="shared" si="207"/>
        <v>1118847.6479107896</v>
      </c>
      <c r="X1146">
        <f>('Hybrid Info'!$A$2-Track!P1146)*(L1146-L1145)*1000+X1145</f>
        <v>-37295.161800367699</v>
      </c>
    </row>
    <row r="1147" spans="1:24">
      <c r="A1147" s="16">
        <f t="shared" si="208"/>
        <v>1146</v>
      </c>
      <c r="B1147" s="17">
        <f t="shared" si="214"/>
        <v>13.411199999999999</v>
      </c>
      <c r="C1147" s="16">
        <f>Specification!$G$29</f>
        <v>164.943378</v>
      </c>
      <c r="D1147" s="17">
        <f>0.5*Specification!$K$4*Track!B1147^2*Specification!$K$3*Specification!$K$2</f>
        <v>93.159842569492653</v>
      </c>
      <c r="E1147" s="16">
        <v>0</v>
      </c>
      <c r="F1147" s="17">
        <f>Specification!$C$23*9.81*SIN((E1147*PI()/180))</f>
        <v>0</v>
      </c>
      <c r="G1147" s="18">
        <f>IF(J1147=1,VLOOKUP(K1147,RPM!$E$2:$H$62,3,FALSE)-F1147-E1147-D1147,IF(J1147=2,VLOOKUP(K1147,RPM!$H$2:$K$62,3,FALSE)-F1147-E1147-D1147,IF(J1147=3,VLOOKUP(K1147,RPM!$K$2:$N$62,3,FALSE)-F1147-E1147-D1147)))</f>
        <v>688.48526429214962</v>
      </c>
      <c r="H1147" s="19">
        <f>IF(J1147=1,Specification!$I$14,IF(J1147=2,Specification!$I$15,IF(J1147=3,Specification!$I$16)))</f>
        <v>582.50936296077191</v>
      </c>
      <c r="I1147" s="16">
        <f t="shared" si="213"/>
        <v>0</v>
      </c>
      <c r="J1147" s="17">
        <v>2</v>
      </c>
      <c r="K1147" s="16">
        <f>IF(J1147=1,VLOOKUP(B1147,RPM!$F$2:$H$62,3,TRUE),IF(J1147=2,VLOOKUP(B1147,RPM!$I$2:$K$62,3,TRUE),IF(J1147=3,VLOOKUP(B1147,RPM!$L$2:$N$62,3,TRUE))))</f>
        <v>7000</v>
      </c>
      <c r="L1147" s="17">
        <f t="shared" si="212"/>
        <v>89.726306734956893</v>
      </c>
      <c r="M1147" s="16">
        <f t="shared" si="215"/>
        <v>0</v>
      </c>
      <c r="N1147" s="17">
        <f>VLOOKUP(K1147,RPM!$A$2:$D$62,3,FALSE)</f>
        <v>13</v>
      </c>
      <c r="O1147" s="16">
        <f>VLOOKUP(K1147,RPM!$A$2:$D$62,4,FALSE)</f>
        <v>13.235857142857142</v>
      </c>
      <c r="P1147" s="17">
        <f t="shared" si="204"/>
        <v>9.8699786714285711</v>
      </c>
      <c r="Q1147" s="16" cm="1">
        <f t="array" ref="Q1147">_xlfn.XLOOKUP(O1147,BSFC!$A$2:$A$24,_xlfn.XLOOKUP(K1147,BSFC!$B$1:$O$1,BSFC!$B$2:$O$24,,-1),,-1)</f>
        <v>520</v>
      </c>
      <c r="R1147" s="17">
        <f t="shared" si="205"/>
        <v>1.425663585873016</v>
      </c>
      <c r="S1147" s="16">
        <f t="shared" si="206"/>
        <v>2.0443068048074323E-4</v>
      </c>
      <c r="T1147" s="17">
        <f t="shared" si="209"/>
        <v>0.10630395384998648</v>
      </c>
      <c r="U1147" s="16">
        <f t="shared" si="210"/>
        <v>150.31312184677608</v>
      </c>
      <c r="V1147" s="17">
        <f t="shared" si="211"/>
        <v>0.31099544398903339</v>
      </c>
      <c r="W1147" s="16">
        <f t="shared" si="207"/>
        <v>1119583.5983605201</v>
      </c>
      <c r="X1147">
        <f>('Hybrid Info'!$A$2-Track!P1147)*(L1147-L1146)*1000+X1146</f>
        <v>-37127.356091381444</v>
      </c>
    </row>
    <row r="1148" spans="1:24">
      <c r="A1148" s="16">
        <f t="shared" si="208"/>
        <v>1147</v>
      </c>
      <c r="B1148" s="17">
        <f t="shared" si="214"/>
        <v>13.411199999999999</v>
      </c>
      <c r="C1148" s="16">
        <f>Specification!$G$29</f>
        <v>164.943378</v>
      </c>
      <c r="D1148" s="17">
        <f>0.5*Specification!$K$4*Track!B1148^2*Specification!$K$3*Specification!$K$2</f>
        <v>93.159842569492653</v>
      </c>
      <c r="E1148" s="16">
        <v>0</v>
      </c>
      <c r="F1148" s="17">
        <f>Specification!$C$23*9.81*SIN((E1148*PI()/180))</f>
        <v>0</v>
      </c>
      <c r="G1148" s="18">
        <f>IF(J1148=1,VLOOKUP(K1148,RPM!$E$2:$H$62,3,FALSE)-F1148-E1148-D1148,IF(J1148=2,VLOOKUP(K1148,RPM!$H$2:$K$62,3,FALSE)-F1148-E1148-D1148,IF(J1148=3,VLOOKUP(K1148,RPM!$K$2:$N$62,3,FALSE)-F1148-E1148-D1148)))</f>
        <v>688.48526429214962</v>
      </c>
      <c r="H1148" s="19">
        <f>IF(J1148=1,Specification!$I$14,IF(J1148=2,Specification!$I$15,IF(J1148=3,Specification!$I$16)))</f>
        <v>582.50936296077191</v>
      </c>
      <c r="I1148" s="16">
        <f t="shared" si="213"/>
        <v>0</v>
      </c>
      <c r="J1148" s="17">
        <v>2</v>
      </c>
      <c r="K1148" s="16">
        <f>IF(J1148=1,VLOOKUP(B1148,RPM!$F$2:$H$62,3,TRUE),IF(J1148=2,VLOOKUP(B1148,RPM!$I$2:$K$62,3,TRUE),IF(J1148=3,VLOOKUP(B1148,RPM!$L$2:$N$62,3,TRUE))))</f>
        <v>7000</v>
      </c>
      <c r="L1148" s="17">
        <f t="shared" si="212"/>
        <v>89.800871278025369</v>
      </c>
      <c r="M1148" s="16">
        <f t="shared" si="215"/>
        <v>0</v>
      </c>
      <c r="N1148" s="17">
        <f>VLOOKUP(K1148,RPM!$A$2:$D$62,3,FALSE)</f>
        <v>13</v>
      </c>
      <c r="O1148" s="16">
        <f>VLOOKUP(K1148,RPM!$A$2:$D$62,4,FALSE)</f>
        <v>13.235857142857142</v>
      </c>
      <c r="P1148" s="17">
        <f t="shared" si="204"/>
        <v>9.8699786714285711</v>
      </c>
      <c r="Q1148" s="16" cm="1">
        <f t="array" ref="Q1148">_xlfn.XLOOKUP(O1148,BSFC!$A$2:$A$24,_xlfn.XLOOKUP(K1148,BSFC!$B$1:$O$1,BSFC!$B$2:$O$24,,-1),,-1)</f>
        <v>520</v>
      </c>
      <c r="R1148" s="17">
        <f t="shared" si="205"/>
        <v>1.425663585873016</v>
      </c>
      <c r="S1148" s="16">
        <f t="shared" si="206"/>
        <v>2.0443068048074323E-4</v>
      </c>
      <c r="T1148" s="17">
        <f t="shared" si="209"/>
        <v>0.10630395384998648</v>
      </c>
      <c r="U1148" s="16">
        <f t="shared" si="210"/>
        <v>150.41942580062607</v>
      </c>
      <c r="V1148" s="17">
        <f t="shared" si="211"/>
        <v>0.31119987466951415</v>
      </c>
      <c r="W1148" s="16">
        <f t="shared" si="207"/>
        <v>1120319.5488102508</v>
      </c>
      <c r="X1148">
        <f>('Hybrid Info'!$A$2-Track!P1148)*(L1148-L1147)*1000+X1147</f>
        <v>-36959.550382395188</v>
      </c>
    </row>
    <row r="1149" spans="1:24">
      <c r="A1149" s="16">
        <f t="shared" si="208"/>
        <v>1148</v>
      </c>
      <c r="B1149" s="17">
        <f t="shared" si="214"/>
        <v>13.411199999999999</v>
      </c>
      <c r="C1149" s="16">
        <f>Specification!$G$29</f>
        <v>164.943378</v>
      </c>
      <c r="D1149" s="17">
        <f>0.5*Specification!$K$4*Track!B1149^2*Specification!$K$3*Specification!$K$2</f>
        <v>93.159842569492653</v>
      </c>
      <c r="E1149" s="16">
        <v>0</v>
      </c>
      <c r="F1149" s="17">
        <f>Specification!$C$23*9.81*SIN((E1149*PI()/180))</f>
        <v>0</v>
      </c>
      <c r="G1149" s="18">
        <f>IF(J1149=1,VLOOKUP(K1149,RPM!$E$2:$H$62,3,FALSE)-F1149-E1149-D1149,IF(J1149=2,VLOOKUP(K1149,RPM!$H$2:$K$62,3,FALSE)-F1149-E1149-D1149,IF(J1149=3,VLOOKUP(K1149,RPM!$K$2:$N$62,3,FALSE)-F1149-E1149-D1149)))</f>
        <v>688.48526429214962</v>
      </c>
      <c r="H1149" s="19">
        <f>IF(J1149=1,Specification!$I$14,IF(J1149=2,Specification!$I$15,IF(J1149=3,Specification!$I$16)))</f>
        <v>582.50936296077191</v>
      </c>
      <c r="I1149" s="16">
        <f t="shared" si="213"/>
        <v>0</v>
      </c>
      <c r="J1149" s="17">
        <v>2</v>
      </c>
      <c r="K1149" s="16">
        <f>IF(J1149=1,VLOOKUP(B1149,RPM!$F$2:$H$62,3,TRUE),IF(J1149=2,VLOOKUP(B1149,RPM!$I$2:$K$62,3,TRUE),IF(J1149=3,VLOOKUP(B1149,RPM!$L$2:$N$62,3,TRUE))))</f>
        <v>7000</v>
      </c>
      <c r="L1149" s="17">
        <f t="shared" si="212"/>
        <v>89.875435821093845</v>
      </c>
      <c r="M1149" s="16">
        <f t="shared" si="215"/>
        <v>0</v>
      </c>
      <c r="N1149" s="17">
        <f>VLOOKUP(K1149,RPM!$A$2:$D$62,3,FALSE)</f>
        <v>13</v>
      </c>
      <c r="O1149" s="16">
        <f>VLOOKUP(K1149,RPM!$A$2:$D$62,4,FALSE)</f>
        <v>13.235857142857142</v>
      </c>
      <c r="P1149" s="17">
        <f t="shared" si="204"/>
        <v>9.8699786714285711</v>
      </c>
      <c r="Q1149" s="16" cm="1">
        <f t="array" ref="Q1149">_xlfn.XLOOKUP(O1149,BSFC!$A$2:$A$24,_xlfn.XLOOKUP(K1149,BSFC!$B$1:$O$1,BSFC!$B$2:$O$24,,-1),,-1)</f>
        <v>520</v>
      </c>
      <c r="R1149" s="17">
        <f t="shared" si="205"/>
        <v>1.425663585873016</v>
      </c>
      <c r="S1149" s="16">
        <f t="shared" si="206"/>
        <v>2.0443068048074323E-4</v>
      </c>
      <c r="T1149" s="17">
        <f t="shared" si="209"/>
        <v>0.10630395384998648</v>
      </c>
      <c r="U1149" s="16">
        <f t="shared" si="210"/>
        <v>150.52572975447606</v>
      </c>
      <c r="V1149" s="17">
        <f t="shared" si="211"/>
        <v>0.31140430534999491</v>
      </c>
      <c r="W1149" s="16">
        <f t="shared" si="207"/>
        <v>1121055.4992599816</v>
      </c>
      <c r="X1149">
        <f>('Hybrid Info'!$A$2-Track!P1149)*(L1149-L1148)*1000+X1148</f>
        <v>-36791.744673408932</v>
      </c>
    </row>
    <row r="1150" spans="1:24">
      <c r="A1150" s="16">
        <f t="shared" si="208"/>
        <v>1149</v>
      </c>
      <c r="B1150" s="17">
        <f t="shared" si="214"/>
        <v>13.411199999999999</v>
      </c>
      <c r="C1150" s="16">
        <f>Specification!$G$29</f>
        <v>164.943378</v>
      </c>
      <c r="D1150" s="17">
        <f>0.5*Specification!$K$4*Track!B1150^2*Specification!$K$3*Specification!$K$2</f>
        <v>93.159842569492653</v>
      </c>
      <c r="E1150" s="16">
        <v>0</v>
      </c>
      <c r="F1150" s="17">
        <f>Specification!$C$23*9.81*SIN((E1150*PI()/180))</f>
        <v>0</v>
      </c>
      <c r="G1150" s="18">
        <f>IF(J1150=1,VLOOKUP(K1150,RPM!$E$2:$H$62,3,FALSE)-F1150-E1150-D1150,IF(J1150=2,VLOOKUP(K1150,RPM!$H$2:$K$62,3,FALSE)-F1150-E1150-D1150,IF(J1150=3,VLOOKUP(K1150,RPM!$K$2:$N$62,3,FALSE)-F1150-E1150-D1150)))</f>
        <v>688.48526429214962</v>
      </c>
      <c r="H1150" s="19">
        <f>IF(J1150=1,Specification!$I$14,IF(J1150=2,Specification!$I$15,IF(J1150=3,Specification!$I$16)))</f>
        <v>582.50936296077191</v>
      </c>
      <c r="I1150" s="16">
        <f t="shared" si="213"/>
        <v>0</v>
      </c>
      <c r="J1150" s="17">
        <v>2</v>
      </c>
      <c r="K1150" s="16">
        <f>IF(J1150=1,VLOOKUP(B1150,RPM!$F$2:$H$62,3,TRUE),IF(J1150=2,VLOOKUP(B1150,RPM!$I$2:$K$62,3,TRUE),IF(J1150=3,VLOOKUP(B1150,RPM!$L$2:$N$62,3,TRUE))))</f>
        <v>7000</v>
      </c>
      <c r="L1150" s="17">
        <f t="shared" si="212"/>
        <v>89.950000364162321</v>
      </c>
      <c r="M1150" s="16">
        <f t="shared" si="215"/>
        <v>0</v>
      </c>
      <c r="N1150" s="17">
        <f>VLOOKUP(K1150,RPM!$A$2:$D$62,3,FALSE)</f>
        <v>13</v>
      </c>
      <c r="O1150" s="16">
        <f>VLOOKUP(K1150,RPM!$A$2:$D$62,4,FALSE)</f>
        <v>13.235857142857142</v>
      </c>
      <c r="P1150" s="17">
        <f t="shared" si="204"/>
        <v>9.8699786714285711</v>
      </c>
      <c r="Q1150" s="16" cm="1">
        <f t="array" ref="Q1150">_xlfn.XLOOKUP(O1150,BSFC!$A$2:$A$24,_xlfn.XLOOKUP(K1150,BSFC!$B$1:$O$1,BSFC!$B$2:$O$24,,-1),,-1)</f>
        <v>520</v>
      </c>
      <c r="R1150" s="17">
        <f t="shared" si="205"/>
        <v>1.425663585873016</v>
      </c>
      <c r="S1150" s="16">
        <f t="shared" si="206"/>
        <v>2.0443068048074323E-4</v>
      </c>
      <c r="T1150" s="17">
        <f t="shared" si="209"/>
        <v>0.10630395384998648</v>
      </c>
      <c r="U1150" s="16">
        <f t="shared" si="210"/>
        <v>150.63203370832605</v>
      </c>
      <c r="V1150" s="17">
        <f t="shared" si="211"/>
        <v>0.31160873603047567</v>
      </c>
      <c r="W1150" s="16">
        <f t="shared" si="207"/>
        <v>1121791.4497097123</v>
      </c>
      <c r="X1150">
        <f>('Hybrid Info'!$A$2-Track!P1150)*(L1150-L1149)*1000+X1149</f>
        <v>-36623.938964422676</v>
      </c>
    </row>
    <row r="1151" spans="1:24">
      <c r="A1151" s="16">
        <f t="shared" si="208"/>
        <v>1150</v>
      </c>
      <c r="B1151" s="17">
        <f t="shared" si="214"/>
        <v>13.411199999999999</v>
      </c>
      <c r="C1151" s="16">
        <f>Specification!$G$29</f>
        <v>164.943378</v>
      </c>
      <c r="D1151" s="17">
        <f>0.5*Specification!$K$4*Track!B1151^2*Specification!$K$3*Specification!$K$2</f>
        <v>93.159842569492653</v>
      </c>
      <c r="E1151" s="16">
        <v>0</v>
      </c>
      <c r="F1151" s="17">
        <f>Specification!$C$23*9.81*SIN((E1151*PI()/180))</f>
        <v>0</v>
      </c>
      <c r="G1151" s="18">
        <f>IF(J1151=1,VLOOKUP(K1151,RPM!$E$2:$H$62,3,FALSE)-F1151-E1151-D1151,IF(J1151=2,VLOOKUP(K1151,RPM!$H$2:$K$62,3,FALSE)-F1151-E1151-D1151,IF(J1151=3,VLOOKUP(K1151,RPM!$K$2:$N$62,3,FALSE)-F1151-E1151-D1151)))</f>
        <v>688.48526429214962</v>
      </c>
      <c r="H1151" s="19">
        <f>IF(J1151=1,Specification!$I$14,IF(J1151=2,Specification!$I$15,IF(J1151=3,Specification!$I$16)))</f>
        <v>582.50936296077191</v>
      </c>
      <c r="I1151" s="16">
        <f t="shared" si="213"/>
        <v>0</v>
      </c>
      <c r="J1151" s="17">
        <v>2</v>
      </c>
      <c r="K1151" s="16">
        <f>IF(J1151=1,VLOOKUP(B1151,RPM!$F$2:$H$62,3,TRUE),IF(J1151=2,VLOOKUP(B1151,RPM!$I$2:$K$62,3,TRUE),IF(J1151=3,VLOOKUP(B1151,RPM!$L$2:$N$62,3,TRUE))))</f>
        <v>7000</v>
      </c>
      <c r="L1151" s="17">
        <f t="shared" si="212"/>
        <v>90.024564907230797</v>
      </c>
      <c r="M1151" s="16">
        <f t="shared" si="215"/>
        <v>0</v>
      </c>
      <c r="N1151" s="17">
        <f>VLOOKUP(K1151,RPM!$A$2:$D$62,3,FALSE)</f>
        <v>13</v>
      </c>
      <c r="O1151" s="16">
        <f>VLOOKUP(K1151,RPM!$A$2:$D$62,4,FALSE)</f>
        <v>13.235857142857142</v>
      </c>
      <c r="P1151" s="17">
        <f t="shared" si="204"/>
        <v>9.8699786714285711</v>
      </c>
      <c r="Q1151" s="16" cm="1">
        <f t="array" ref="Q1151">_xlfn.XLOOKUP(O1151,BSFC!$A$2:$A$24,_xlfn.XLOOKUP(K1151,BSFC!$B$1:$O$1,BSFC!$B$2:$O$24,,-1),,-1)</f>
        <v>520</v>
      </c>
      <c r="R1151" s="17">
        <f t="shared" si="205"/>
        <v>1.425663585873016</v>
      </c>
      <c r="S1151" s="16">
        <f t="shared" si="206"/>
        <v>2.0443068048074323E-4</v>
      </c>
      <c r="T1151" s="17">
        <f t="shared" si="209"/>
        <v>0.10630395384998648</v>
      </c>
      <c r="U1151" s="16">
        <f t="shared" si="210"/>
        <v>150.73833766217604</v>
      </c>
      <c r="V1151" s="17">
        <f t="shared" si="211"/>
        <v>0.31181316671095644</v>
      </c>
      <c r="W1151" s="16">
        <f t="shared" si="207"/>
        <v>1122527.400159443</v>
      </c>
      <c r="X1151">
        <f>('Hybrid Info'!$A$2-Track!P1151)*(L1151-L1150)*1000+X1150</f>
        <v>-36456.13325543642</v>
      </c>
    </row>
    <row r="1152" spans="1:24">
      <c r="A1152" s="16">
        <f t="shared" si="208"/>
        <v>1151</v>
      </c>
      <c r="B1152" s="17">
        <f t="shared" si="214"/>
        <v>13.411199999999999</v>
      </c>
      <c r="C1152" s="16">
        <f>Specification!$G$29</f>
        <v>164.943378</v>
      </c>
      <c r="D1152" s="17">
        <f>0.5*Specification!$K$4*Track!B1152^2*Specification!$K$3*Specification!$K$2</f>
        <v>93.159842569492653</v>
      </c>
      <c r="E1152" s="16">
        <v>0</v>
      </c>
      <c r="F1152" s="17">
        <f>Specification!$C$23*9.81*SIN((E1152*PI()/180))</f>
        <v>0</v>
      </c>
      <c r="G1152" s="18">
        <f>IF(J1152=1,VLOOKUP(K1152,RPM!$E$2:$H$62,3,FALSE)-F1152-E1152-D1152,IF(J1152=2,VLOOKUP(K1152,RPM!$H$2:$K$62,3,FALSE)-F1152-E1152-D1152,IF(J1152=3,VLOOKUP(K1152,RPM!$K$2:$N$62,3,FALSE)-F1152-E1152-D1152)))</f>
        <v>688.48526429214962</v>
      </c>
      <c r="H1152" s="19">
        <f>IF(J1152=1,Specification!$I$14,IF(J1152=2,Specification!$I$15,IF(J1152=3,Specification!$I$16)))</f>
        <v>582.50936296077191</v>
      </c>
      <c r="I1152" s="16">
        <f t="shared" si="213"/>
        <v>0</v>
      </c>
      <c r="J1152" s="17">
        <v>2</v>
      </c>
      <c r="K1152" s="16">
        <f>IF(J1152=1,VLOOKUP(B1152,RPM!$F$2:$H$62,3,TRUE),IF(J1152=2,VLOOKUP(B1152,RPM!$I$2:$K$62,3,TRUE),IF(J1152=3,VLOOKUP(B1152,RPM!$L$2:$N$62,3,TRUE))))</f>
        <v>7000</v>
      </c>
      <c r="L1152" s="17">
        <f t="shared" si="212"/>
        <v>90.099129450299273</v>
      </c>
      <c r="M1152" s="16">
        <f t="shared" si="215"/>
        <v>0</v>
      </c>
      <c r="N1152" s="17">
        <f>VLOOKUP(K1152,RPM!$A$2:$D$62,3,FALSE)</f>
        <v>13</v>
      </c>
      <c r="O1152" s="16">
        <f>VLOOKUP(K1152,RPM!$A$2:$D$62,4,FALSE)</f>
        <v>13.235857142857142</v>
      </c>
      <c r="P1152" s="17">
        <f t="shared" si="204"/>
        <v>9.8699786714285711</v>
      </c>
      <c r="Q1152" s="16" cm="1">
        <f t="array" ref="Q1152">_xlfn.XLOOKUP(O1152,BSFC!$A$2:$A$24,_xlfn.XLOOKUP(K1152,BSFC!$B$1:$O$1,BSFC!$B$2:$O$24,,-1),,-1)</f>
        <v>520</v>
      </c>
      <c r="R1152" s="17">
        <f t="shared" si="205"/>
        <v>1.425663585873016</v>
      </c>
      <c r="S1152" s="16">
        <f t="shared" si="206"/>
        <v>2.0443068048074323E-4</v>
      </c>
      <c r="T1152" s="17">
        <f t="shared" si="209"/>
        <v>0.10630395384998648</v>
      </c>
      <c r="U1152" s="16">
        <f t="shared" si="210"/>
        <v>150.84464161602602</v>
      </c>
      <c r="V1152" s="17">
        <f t="shared" si="211"/>
        <v>0.3120175973914372</v>
      </c>
      <c r="W1152" s="16">
        <f t="shared" si="207"/>
        <v>1123263.350609174</v>
      </c>
      <c r="X1152">
        <f>('Hybrid Info'!$A$2-Track!P1152)*(L1152-L1151)*1000+X1151</f>
        <v>-36288.327546450164</v>
      </c>
    </row>
    <row r="1153" spans="1:24">
      <c r="A1153" s="16">
        <f t="shared" si="208"/>
        <v>1152</v>
      </c>
      <c r="B1153" s="17">
        <f t="shared" si="214"/>
        <v>13.411199999999999</v>
      </c>
      <c r="C1153" s="16">
        <f>Specification!$G$29</f>
        <v>164.943378</v>
      </c>
      <c r="D1153" s="17">
        <f>0.5*Specification!$K$4*Track!B1153^2*Specification!$K$3*Specification!$K$2</f>
        <v>93.159842569492653</v>
      </c>
      <c r="E1153" s="16">
        <v>0</v>
      </c>
      <c r="F1153" s="17">
        <f>Specification!$C$23*9.81*SIN((E1153*PI()/180))</f>
        <v>0</v>
      </c>
      <c r="G1153" s="18">
        <f>IF(J1153=1,VLOOKUP(K1153,RPM!$E$2:$H$62,3,FALSE)-F1153-E1153-D1153,IF(J1153=2,VLOOKUP(K1153,RPM!$H$2:$K$62,3,FALSE)-F1153-E1153-D1153,IF(J1153=3,VLOOKUP(K1153,RPM!$K$2:$N$62,3,FALSE)-F1153-E1153-D1153)))</f>
        <v>688.48526429214962</v>
      </c>
      <c r="H1153" s="19">
        <f>IF(J1153=1,Specification!$I$14,IF(J1153=2,Specification!$I$15,IF(J1153=3,Specification!$I$16)))</f>
        <v>582.50936296077191</v>
      </c>
      <c r="I1153" s="16">
        <f t="shared" si="213"/>
        <v>0</v>
      </c>
      <c r="J1153" s="17">
        <v>2</v>
      </c>
      <c r="K1153" s="16">
        <f>IF(J1153=1,VLOOKUP(B1153,RPM!$F$2:$H$62,3,TRUE),IF(J1153=2,VLOOKUP(B1153,RPM!$I$2:$K$62,3,TRUE),IF(J1153=3,VLOOKUP(B1153,RPM!$L$2:$N$62,3,TRUE))))</f>
        <v>7000</v>
      </c>
      <c r="L1153" s="17">
        <f t="shared" si="212"/>
        <v>90.173693993367749</v>
      </c>
      <c r="M1153" s="16">
        <f t="shared" si="215"/>
        <v>0</v>
      </c>
      <c r="N1153" s="17">
        <f>VLOOKUP(K1153,RPM!$A$2:$D$62,3,FALSE)</f>
        <v>13</v>
      </c>
      <c r="O1153" s="16">
        <f>VLOOKUP(K1153,RPM!$A$2:$D$62,4,FALSE)</f>
        <v>13.235857142857142</v>
      </c>
      <c r="P1153" s="17">
        <f t="shared" si="204"/>
        <v>9.8699786714285711</v>
      </c>
      <c r="Q1153" s="16" cm="1">
        <f t="array" ref="Q1153">_xlfn.XLOOKUP(O1153,BSFC!$A$2:$A$24,_xlfn.XLOOKUP(K1153,BSFC!$B$1:$O$1,BSFC!$B$2:$O$24,,-1),,-1)</f>
        <v>520</v>
      </c>
      <c r="R1153" s="17">
        <f t="shared" si="205"/>
        <v>1.425663585873016</v>
      </c>
      <c r="S1153" s="16">
        <f t="shared" si="206"/>
        <v>2.0443068048074323E-4</v>
      </c>
      <c r="T1153" s="17">
        <f t="shared" si="209"/>
        <v>0.10630395384998648</v>
      </c>
      <c r="U1153" s="16">
        <f t="shared" si="210"/>
        <v>150.95094556987601</v>
      </c>
      <c r="V1153" s="17">
        <f t="shared" si="211"/>
        <v>0.31222202807191796</v>
      </c>
      <c r="W1153" s="16">
        <f t="shared" si="207"/>
        <v>1123999.3010589047</v>
      </c>
      <c r="X1153">
        <f>('Hybrid Info'!$A$2-Track!P1153)*(L1153-L1152)*1000+X1152</f>
        <v>-36120.521837463908</v>
      </c>
    </row>
    <row r="1154" spans="1:24">
      <c r="A1154" s="16">
        <f t="shared" si="208"/>
        <v>1153</v>
      </c>
      <c r="B1154" s="17">
        <f t="shared" si="214"/>
        <v>13.411199999999999</v>
      </c>
      <c r="C1154" s="16">
        <f>Specification!$G$29</f>
        <v>164.943378</v>
      </c>
      <c r="D1154" s="17">
        <f>0.5*Specification!$K$4*Track!B1154^2*Specification!$K$3*Specification!$K$2</f>
        <v>93.159842569492653</v>
      </c>
      <c r="E1154" s="16">
        <v>0</v>
      </c>
      <c r="F1154" s="17">
        <f>Specification!$C$23*9.81*SIN((E1154*PI()/180))</f>
        <v>0</v>
      </c>
      <c r="G1154" s="18">
        <f>IF(J1154=1,VLOOKUP(K1154,RPM!$E$2:$H$62,3,FALSE)-F1154-E1154-D1154,IF(J1154=2,VLOOKUP(K1154,RPM!$H$2:$K$62,3,FALSE)-F1154-E1154-D1154,IF(J1154=3,VLOOKUP(K1154,RPM!$K$2:$N$62,3,FALSE)-F1154-E1154-D1154)))</f>
        <v>688.48526429214962</v>
      </c>
      <c r="H1154" s="19">
        <f>IF(J1154=1,Specification!$I$14,IF(J1154=2,Specification!$I$15,IF(J1154=3,Specification!$I$16)))</f>
        <v>582.50936296077191</v>
      </c>
      <c r="I1154" s="16">
        <f t="shared" si="213"/>
        <v>0</v>
      </c>
      <c r="J1154" s="17">
        <v>2</v>
      </c>
      <c r="K1154" s="16">
        <f>IF(J1154=1,VLOOKUP(B1154,RPM!$F$2:$H$62,3,TRUE),IF(J1154=2,VLOOKUP(B1154,RPM!$I$2:$K$62,3,TRUE),IF(J1154=3,VLOOKUP(B1154,RPM!$L$2:$N$62,3,TRUE))))</f>
        <v>7000</v>
      </c>
      <c r="L1154" s="17">
        <f t="shared" si="212"/>
        <v>90.248258536436225</v>
      </c>
      <c r="M1154" s="16">
        <f t="shared" si="215"/>
        <v>0</v>
      </c>
      <c r="N1154" s="17">
        <f>VLOOKUP(K1154,RPM!$A$2:$D$62,3,FALSE)</f>
        <v>13</v>
      </c>
      <c r="O1154" s="16">
        <f>VLOOKUP(K1154,RPM!$A$2:$D$62,4,FALSE)</f>
        <v>13.235857142857142</v>
      </c>
      <c r="P1154" s="17">
        <f t="shared" ref="P1154:P1217" si="216">O1154*0.7457</f>
        <v>9.8699786714285711</v>
      </c>
      <c r="Q1154" s="16" cm="1">
        <f t="array" ref="Q1154">_xlfn.XLOOKUP(O1154,BSFC!$A$2:$A$24,_xlfn.XLOOKUP(K1154,BSFC!$B$1:$O$1,BSFC!$B$2:$O$24,,-1),,-1)</f>
        <v>520</v>
      </c>
      <c r="R1154" s="17">
        <f t="shared" ref="R1154:R1217" si="217">Q1154*P1154/3600</f>
        <v>1.425663585873016</v>
      </c>
      <c r="S1154" s="16">
        <f t="shared" si="206"/>
        <v>2.0443068048074323E-4</v>
      </c>
      <c r="T1154" s="17">
        <f t="shared" si="209"/>
        <v>0.10630395384998648</v>
      </c>
      <c r="U1154" s="16">
        <f t="shared" si="210"/>
        <v>151.057249523726</v>
      </c>
      <c r="V1154" s="17">
        <f t="shared" si="211"/>
        <v>0.31242645875239872</v>
      </c>
      <c r="W1154" s="16">
        <f t="shared" si="207"/>
        <v>1124735.2515086355</v>
      </c>
      <c r="X1154">
        <f>('Hybrid Info'!$A$2-Track!P1154)*(L1154-L1153)*1000+X1153</f>
        <v>-35952.716128477652</v>
      </c>
    </row>
    <row r="1155" spans="1:24">
      <c r="A1155" s="16">
        <f t="shared" si="208"/>
        <v>1154</v>
      </c>
      <c r="B1155" s="17">
        <f t="shared" si="214"/>
        <v>13.411199999999999</v>
      </c>
      <c r="C1155" s="16">
        <f>Specification!$G$29</f>
        <v>164.943378</v>
      </c>
      <c r="D1155" s="17">
        <f>0.5*Specification!$K$4*Track!B1155^2*Specification!$K$3*Specification!$K$2</f>
        <v>93.159842569492653</v>
      </c>
      <c r="E1155" s="16">
        <v>0</v>
      </c>
      <c r="F1155" s="17">
        <f>Specification!$C$23*9.81*SIN((E1155*PI()/180))</f>
        <v>0</v>
      </c>
      <c r="G1155" s="18">
        <f>IF(J1155=1,VLOOKUP(K1155,RPM!$E$2:$H$62,3,FALSE)-F1155-E1155-D1155,IF(J1155=2,VLOOKUP(K1155,RPM!$H$2:$K$62,3,FALSE)-F1155-E1155-D1155,IF(J1155=3,VLOOKUP(K1155,RPM!$K$2:$N$62,3,FALSE)-F1155-E1155-D1155)))</f>
        <v>688.48526429214962</v>
      </c>
      <c r="H1155" s="19">
        <f>IF(J1155=1,Specification!$I$14,IF(J1155=2,Specification!$I$15,IF(J1155=3,Specification!$I$16)))</f>
        <v>582.50936296077191</v>
      </c>
      <c r="I1155" s="16">
        <f t="shared" si="213"/>
        <v>0</v>
      </c>
      <c r="J1155" s="17">
        <v>2</v>
      </c>
      <c r="K1155" s="16">
        <f>IF(J1155=1,VLOOKUP(B1155,RPM!$F$2:$H$62,3,TRUE),IF(J1155=2,VLOOKUP(B1155,RPM!$I$2:$K$62,3,TRUE),IF(J1155=3,VLOOKUP(B1155,RPM!$L$2:$N$62,3,TRUE))))</f>
        <v>7000</v>
      </c>
      <c r="L1155" s="17">
        <f t="shared" si="212"/>
        <v>90.322823079504701</v>
      </c>
      <c r="M1155" s="16">
        <f t="shared" si="215"/>
        <v>0</v>
      </c>
      <c r="N1155" s="17">
        <f>VLOOKUP(K1155,RPM!$A$2:$D$62,3,FALSE)</f>
        <v>13</v>
      </c>
      <c r="O1155" s="16">
        <f>VLOOKUP(K1155,RPM!$A$2:$D$62,4,FALSE)</f>
        <v>13.235857142857142</v>
      </c>
      <c r="P1155" s="17">
        <f t="shared" si="216"/>
        <v>9.8699786714285711</v>
      </c>
      <c r="Q1155" s="16" cm="1">
        <f t="array" ref="Q1155">_xlfn.XLOOKUP(O1155,BSFC!$A$2:$A$24,_xlfn.XLOOKUP(K1155,BSFC!$B$1:$O$1,BSFC!$B$2:$O$24,,-1),,-1)</f>
        <v>520</v>
      </c>
      <c r="R1155" s="17">
        <f t="shared" si="217"/>
        <v>1.425663585873016</v>
      </c>
      <c r="S1155" s="16">
        <f t="shared" ref="S1155:S1218" si="218">(L1155-L1154)/3600*P1155</f>
        <v>2.0443068048074323E-4</v>
      </c>
      <c r="T1155" s="17">
        <f t="shared" si="209"/>
        <v>0.10630395384998648</v>
      </c>
      <c r="U1155" s="16">
        <f t="shared" si="210"/>
        <v>151.16355347757599</v>
      </c>
      <c r="V1155" s="17">
        <f t="shared" si="211"/>
        <v>0.31263088943287948</v>
      </c>
      <c r="W1155" s="16">
        <f t="shared" ref="W1155:W1218" si="219">V1155*1000*3600</f>
        <v>1125471.2019583662</v>
      </c>
      <c r="X1155">
        <f>('Hybrid Info'!$A$2-Track!P1155)*(L1155-L1154)*1000+X1154</f>
        <v>-35784.910419491396</v>
      </c>
    </row>
    <row r="1156" spans="1:24">
      <c r="A1156" s="16">
        <f t="shared" ref="A1156:A1219" si="220">A1155+1</f>
        <v>1155</v>
      </c>
      <c r="B1156" s="17">
        <f t="shared" si="214"/>
        <v>13.411199999999999</v>
      </c>
      <c r="C1156" s="16">
        <f>Specification!$G$29</f>
        <v>164.943378</v>
      </c>
      <c r="D1156" s="17">
        <f>0.5*Specification!$K$4*Track!B1156^2*Specification!$K$3*Specification!$K$2</f>
        <v>93.159842569492653</v>
      </c>
      <c r="E1156" s="16">
        <v>0</v>
      </c>
      <c r="F1156" s="17">
        <f>Specification!$C$23*9.81*SIN((E1156*PI()/180))</f>
        <v>0</v>
      </c>
      <c r="G1156" s="18">
        <f>IF(J1156=1,VLOOKUP(K1156,RPM!$E$2:$H$62,3,FALSE)-F1156-E1156-D1156,IF(J1156=2,VLOOKUP(K1156,RPM!$H$2:$K$62,3,FALSE)-F1156-E1156-D1156,IF(J1156=3,VLOOKUP(K1156,RPM!$K$2:$N$62,3,FALSE)-F1156-E1156-D1156)))</f>
        <v>688.48526429214962</v>
      </c>
      <c r="H1156" s="19">
        <f>IF(J1156=1,Specification!$I$14,IF(J1156=2,Specification!$I$15,IF(J1156=3,Specification!$I$16)))</f>
        <v>582.50936296077191</v>
      </c>
      <c r="I1156" s="16">
        <f t="shared" si="213"/>
        <v>0</v>
      </c>
      <c r="J1156" s="17">
        <v>2</v>
      </c>
      <c r="K1156" s="16">
        <f>IF(J1156=1,VLOOKUP(B1156,RPM!$F$2:$H$62,3,TRUE),IF(J1156=2,VLOOKUP(B1156,RPM!$I$2:$K$62,3,TRUE),IF(J1156=3,VLOOKUP(B1156,RPM!$L$2:$N$62,3,TRUE))))</f>
        <v>7000</v>
      </c>
      <c r="L1156" s="17">
        <f t="shared" si="212"/>
        <v>90.397387622573177</v>
      </c>
      <c r="M1156" s="16">
        <f t="shared" si="215"/>
        <v>0</v>
      </c>
      <c r="N1156" s="17">
        <f>VLOOKUP(K1156,RPM!$A$2:$D$62,3,FALSE)</f>
        <v>13</v>
      </c>
      <c r="O1156" s="16">
        <f>VLOOKUP(K1156,RPM!$A$2:$D$62,4,FALSE)</f>
        <v>13.235857142857142</v>
      </c>
      <c r="P1156" s="17">
        <f t="shared" si="216"/>
        <v>9.8699786714285711</v>
      </c>
      <c r="Q1156" s="16" cm="1">
        <f t="array" ref="Q1156">_xlfn.XLOOKUP(O1156,BSFC!$A$2:$A$24,_xlfn.XLOOKUP(K1156,BSFC!$B$1:$O$1,BSFC!$B$2:$O$24,,-1),,-1)</f>
        <v>520</v>
      </c>
      <c r="R1156" s="17">
        <f t="shared" si="217"/>
        <v>1.425663585873016</v>
      </c>
      <c r="S1156" s="16">
        <f t="shared" si="218"/>
        <v>2.0443068048074323E-4</v>
      </c>
      <c r="T1156" s="17">
        <f t="shared" ref="T1156:T1219" si="221">S1156*Q1156</f>
        <v>0.10630395384998648</v>
      </c>
      <c r="U1156" s="16">
        <f t="shared" ref="U1156:U1219" si="222">U1155+T1156</f>
        <v>151.26985743142598</v>
      </c>
      <c r="V1156" s="17">
        <f t="shared" si="211"/>
        <v>0.31283532011336024</v>
      </c>
      <c r="W1156" s="16">
        <f t="shared" si="219"/>
        <v>1126207.1524080969</v>
      </c>
      <c r="X1156">
        <f>('Hybrid Info'!$A$2-Track!P1156)*(L1156-L1155)*1000+X1155</f>
        <v>-35617.10471050514</v>
      </c>
    </row>
    <row r="1157" spans="1:24">
      <c r="A1157" s="16">
        <f t="shared" si="220"/>
        <v>1156</v>
      </c>
      <c r="B1157" s="17">
        <f t="shared" si="214"/>
        <v>13.411199999999999</v>
      </c>
      <c r="C1157" s="16">
        <f>Specification!$G$29</f>
        <v>164.943378</v>
      </c>
      <c r="D1157" s="17">
        <f>0.5*Specification!$K$4*Track!B1157^2*Specification!$K$3*Specification!$K$2</f>
        <v>93.159842569492653</v>
      </c>
      <c r="E1157" s="16">
        <v>0</v>
      </c>
      <c r="F1157" s="17">
        <f>Specification!$C$23*9.81*SIN((E1157*PI()/180))</f>
        <v>0</v>
      </c>
      <c r="G1157" s="18">
        <f>IF(J1157=1,VLOOKUP(K1157,RPM!$E$2:$H$62,3,FALSE)-F1157-E1157-D1157,IF(J1157=2,VLOOKUP(K1157,RPM!$H$2:$K$62,3,FALSE)-F1157-E1157-D1157,IF(J1157=3,VLOOKUP(K1157,RPM!$K$2:$N$62,3,FALSE)-F1157-E1157-D1157)))</f>
        <v>688.48526429214962</v>
      </c>
      <c r="H1157" s="19">
        <f>IF(J1157=1,Specification!$I$14,IF(J1157=2,Specification!$I$15,IF(J1157=3,Specification!$I$16)))</f>
        <v>582.50936296077191</v>
      </c>
      <c r="I1157" s="16">
        <f t="shared" si="213"/>
        <v>0</v>
      </c>
      <c r="J1157" s="17">
        <v>2</v>
      </c>
      <c r="K1157" s="16">
        <f>IF(J1157=1,VLOOKUP(B1157,RPM!$F$2:$H$62,3,TRUE),IF(J1157=2,VLOOKUP(B1157,RPM!$I$2:$K$62,3,TRUE),IF(J1157=3,VLOOKUP(B1157,RPM!$L$2:$N$62,3,TRUE))))</f>
        <v>7000</v>
      </c>
      <c r="L1157" s="17">
        <f t="shared" si="212"/>
        <v>90.471952165641653</v>
      </c>
      <c r="M1157" s="16">
        <f t="shared" si="215"/>
        <v>0</v>
      </c>
      <c r="N1157" s="17">
        <f>VLOOKUP(K1157,RPM!$A$2:$D$62,3,FALSE)</f>
        <v>13</v>
      </c>
      <c r="O1157" s="16">
        <f>VLOOKUP(K1157,RPM!$A$2:$D$62,4,FALSE)</f>
        <v>13.235857142857142</v>
      </c>
      <c r="P1157" s="17">
        <f t="shared" si="216"/>
        <v>9.8699786714285711</v>
      </c>
      <c r="Q1157" s="16" cm="1">
        <f t="array" ref="Q1157">_xlfn.XLOOKUP(O1157,BSFC!$A$2:$A$24,_xlfn.XLOOKUP(K1157,BSFC!$B$1:$O$1,BSFC!$B$2:$O$24,,-1),,-1)</f>
        <v>520</v>
      </c>
      <c r="R1157" s="17">
        <f t="shared" si="217"/>
        <v>1.425663585873016</v>
      </c>
      <c r="S1157" s="16">
        <f t="shared" si="218"/>
        <v>2.0443068048074323E-4</v>
      </c>
      <c r="T1157" s="17">
        <f t="shared" si="221"/>
        <v>0.10630395384998648</v>
      </c>
      <c r="U1157" s="16">
        <f t="shared" si="222"/>
        <v>151.37616138527596</v>
      </c>
      <c r="V1157" s="17">
        <f t="shared" ref="V1157:V1220" si="223">V1156+S1157</f>
        <v>0.313039750793841</v>
      </c>
      <c r="W1157" s="16">
        <f t="shared" si="219"/>
        <v>1126943.1028578277</v>
      </c>
      <c r="X1157">
        <f>('Hybrid Info'!$A$2-Track!P1157)*(L1157-L1156)*1000+X1156</f>
        <v>-35449.299001518884</v>
      </c>
    </row>
    <row r="1158" spans="1:24">
      <c r="A1158" s="16">
        <f t="shared" si="220"/>
        <v>1157</v>
      </c>
      <c r="B1158" s="17">
        <f t="shared" si="214"/>
        <v>13.411199999999999</v>
      </c>
      <c r="C1158" s="16">
        <f>Specification!$G$29</f>
        <v>164.943378</v>
      </c>
      <c r="D1158" s="17">
        <f>0.5*Specification!$K$4*Track!B1158^2*Specification!$K$3*Specification!$K$2</f>
        <v>93.159842569492653</v>
      </c>
      <c r="E1158" s="16">
        <v>0</v>
      </c>
      <c r="F1158" s="17">
        <f>Specification!$C$23*9.81*SIN((E1158*PI()/180))</f>
        <v>0</v>
      </c>
      <c r="G1158" s="18">
        <f>IF(J1158=1,VLOOKUP(K1158,RPM!$E$2:$H$62,3,FALSE)-F1158-E1158-D1158,IF(J1158=2,VLOOKUP(K1158,RPM!$H$2:$K$62,3,FALSE)-F1158-E1158-D1158,IF(J1158=3,VLOOKUP(K1158,RPM!$K$2:$N$62,3,FALSE)-F1158-E1158-D1158)))</f>
        <v>688.48526429214962</v>
      </c>
      <c r="H1158" s="19">
        <f>IF(J1158=1,Specification!$I$14,IF(J1158=2,Specification!$I$15,IF(J1158=3,Specification!$I$16)))</f>
        <v>582.50936296077191</v>
      </c>
      <c r="I1158" s="16">
        <f t="shared" si="213"/>
        <v>0</v>
      </c>
      <c r="J1158" s="17">
        <v>2</v>
      </c>
      <c r="K1158" s="16">
        <f>IF(J1158=1,VLOOKUP(B1158,RPM!$F$2:$H$62,3,TRUE),IF(J1158=2,VLOOKUP(B1158,RPM!$I$2:$K$62,3,TRUE),IF(J1158=3,VLOOKUP(B1158,RPM!$L$2:$N$62,3,TRUE))))</f>
        <v>7000</v>
      </c>
      <c r="L1158" s="17">
        <f t="shared" si="212"/>
        <v>90.546516708710129</v>
      </c>
      <c r="M1158" s="16">
        <f t="shared" si="215"/>
        <v>0</v>
      </c>
      <c r="N1158" s="17">
        <f>VLOOKUP(K1158,RPM!$A$2:$D$62,3,FALSE)</f>
        <v>13</v>
      </c>
      <c r="O1158" s="16">
        <f>VLOOKUP(K1158,RPM!$A$2:$D$62,4,FALSE)</f>
        <v>13.235857142857142</v>
      </c>
      <c r="P1158" s="17">
        <f t="shared" si="216"/>
        <v>9.8699786714285711</v>
      </c>
      <c r="Q1158" s="16" cm="1">
        <f t="array" ref="Q1158">_xlfn.XLOOKUP(O1158,BSFC!$A$2:$A$24,_xlfn.XLOOKUP(K1158,BSFC!$B$1:$O$1,BSFC!$B$2:$O$24,,-1),,-1)</f>
        <v>520</v>
      </c>
      <c r="R1158" s="17">
        <f t="shared" si="217"/>
        <v>1.425663585873016</v>
      </c>
      <c r="S1158" s="16">
        <f t="shared" si="218"/>
        <v>2.0443068048074323E-4</v>
      </c>
      <c r="T1158" s="17">
        <f t="shared" si="221"/>
        <v>0.10630395384998648</v>
      </c>
      <c r="U1158" s="16">
        <f t="shared" si="222"/>
        <v>151.48246533912595</v>
      </c>
      <c r="V1158" s="17">
        <f t="shared" si="223"/>
        <v>0.31324418147432176</v>
      </c>
      <c r="W1158" s="16">
        <f t="shared" si="219"/>
        <v>1127679.0533075584</v>
      </c>
      <c r="X1158">
        <f>('Hybrid Info'!$A$2-Track!P1158)*(L1158-L1157)*1000+X1157</f>
        <v>-35281.493292532628</v>
      </c>
    </row>
    <row r="1159" spans="1:24">
      <c r="A1159" s="16">
        <f t="shared" si="220"/>
        <v>1158</v>
      </c>
      <c r="B1159" s="17">
        <f t="shared" si="214"/>
        <v>13.411199999999999</v>
      </c>
      <c r="C1159" s="16">
        <f>Specification!$G$29</f>
        <v>164.943378</v>
      </c>
      <c r="D1159" s="17">
        <f>0.5*Specification!$K$4*Track!B1159^2*Specification!$K$3*Specification!$K$2</f>
        <v>93.159842569492653</v>
      </c>
      <c r="E1159" s="16">
        <v>0</v>
      </c>
      <c r="F1159" s="17">
        <f>Specification!$C$23*9.81*SIN((E1159*PI()/180))</f>
        <v>0</v>
      </c>
      <c r="G1159" s="18">
        <f>IF(J1159=1,VLOOKUP(K1159,RPM!$E$2:$H$62,3,FALSE)-F1159-E1159-D1159,IF(J1159=2,VLOOKUP(K1159,RPM!$H$2:$K$62,3,FALSE)-F1159-E1159-D1159,IF(J1159=3,VLOOKUP(K1159,RPM!$K$2:$N$62,3,FALSE)-F1159-E1159-D1159)))</f>
        <v>688.48526429214962</v>
      </c>
      <c r="H1159" s="19">
        <f>IF(J1159=1,Specification!$I$14,IF(J1159=2,Specification!$I$15,IF(J1159=3,Specification!$I$16)))</f>
        <v>582.50936296077191</v>
      </c>
      <c r="I1159" s="16">
        <f t="shared" si="213"/>
        <v>0</v>
      </c>
      <c r="J1159" s="17">
        <v>2</v>
      </c>
      <c r="K1159" s="16">
        <f>IF(J1159=1,VLOOKUP(B1159,RPM!$F$2:$H$62,3,TRUE),IF(J1159=2,VLOOKUP(B1159,RPM!$I$2:$K$62,3,TRUE),IF(J1159=3,VLOOKUP(B1159,RPM!$L$2:$N$62,3,TRUE))))</f>
        <v>7000</v>
      </c>
      <c r="L1159" s="17">
        <f t="shared" si="212"/>
        <v>90.621081251778605</v>
      </c>
      <c r="M1159" s="16">
        <f t="shared" si="215"/>
        <v>0</v>
      </c>
      <c r="N1159" s="17">
        <f>VLOOKUP(K1159,RPM!$A$2:$D$62,3,FALSE)</f>
        <v>13</v>
      </c>
      <c r="O1159" s="16">
        <f>VLOOKUP(K1159,RPM!$A$2:$D$62,4,FALSE)</f>
        <v>13.235857142857142</v>
      </c>
      <c r="P1159" s="17">
        <f t="shared" si="216"/>
        <v>9.8699786714285711</v>
      </c>
      <c r="Q1159" s="16" cm="1">
        <f t="array" ref="Q1159">_xlfn.XLOOKUP(O1159,BSFC!$A$2:$A$24,_xlfn.XLOOKUP(K1159,BSFC!$B$1:$O$1,BSFC!$B$2:$O$24,,-1),,-1)</f>
        <v>520</v>
      </c>
      <c r="R1159" s="17">
        <f t="shared" si="217"/>
        <v>1.425663585873016</v>
      </c>
      <c r="S1159" s="16">
        <f t="shared" si="218"/>
        <v>2.0443068048074323E-4</v>
      </c>
      <c r="T1159" s="17">
        <f t="shared" si="221"/>
        <v>0.10630395384998648</v>
      </c>
      <c r="U1159" s="16">
        <f t="shared" si="222"/>
        <v>151.58876929297594</v>
      </c>
      <c r="V1159" s="17">
        <f t="shared" si="223"/>
        <v>0.31344861215480252</v>
      </c>
      <c r="W1159" s="16">
        <f t="shared" si="219"/>
        <v>1128415.0037572889</v>
      </c>
      <c r="X1159">
        <f>('Hybrid Info'!$A$2-Track!P1159)*(L1159-L1158)*1000+X1158</f>
        <v>-35113.687583546372</v>
      </c>
    </row>
    <row r="1160" spans="1:24">
      <c r="A1160" s="16">
        <f t="shared" si="220"/>
        <v>1159</v>
      </c>
      <c r="B1160" s="17">
        <f t="shared" si="214"/>
        <v>13.411199999999999</v>
      </c>
      <c r="C1160" s="16">
        <f>Specification!$G$29</f>
        <v>164.943378</v>
      </c>
      <c r="D1160" s="17">
        <f>0.5*Specification!$K$4*Track!B1160^2*Specification!$K$3*Specification!$K$2</f>
        <v>93.159842569492653</v>
      </c>
      <c r="E1160" s="16">
        <v>0</v>
      </c>
      <c r="F1160" s="17">
        <f>Specification!$C$23*9.81*SIN((E1160*PI()/180))</f>
        <v>0</v>
      </c>
      <c r="G1160" s="18">
        <f>IF(J1160=1,VLOOKUP(K1160,RPM!$E$2:$H$62,3,FALSE)-F1160-E1160-D1160,IF(J1160=2,VLOOKUP(K1160,RPM!$H$2:$K$62,3,FALSE)-F1160-E1160-D1160,IF(J1160=3,VLOOKUP(K1160,RPM!$K$2:$N$62,3,FALSE)-F1160-E1160-D1160)))</f>
        <v>688.48526429214962</v>
      </c>
      <c r="H1160" s="19">
        <f>IF(J1160=1,Specification!$I$14,IF(J1160=2,Specification!$I$15,IF(J1160=3,Specification!$I$16)))</f>
        <v>582.50936296077191</v>
      </c>
      <c r="I1160" s="16">
        <f t="shared" si="213"/>
        <v>0</v>
      </c>
      <c r="J1160" s="17">
        <v>2</v>
      </c>
      <c r="K1160" s="16">
        <f>IF(J1160=1,VLOOKUP(B1160,RPM!$F$2:$H$62,3,TRUE),IF(J1160=2,VLOOKUP(B1160,RPM!$I$2:$K$62,3,TRUE),IF(J1160=3,VLOOKUP(B1160,RPM!$L$2:$N$62,3,TRUE))))</f>
        <v>7000</v>
      </c>
      <c r="L1160" s="17">
        <f t="shared" si="212"/>
        <v>90.695645794847081</v>
      </c>
      <c r="M1160" s="16">
        <f t="shared" si="215"/>
        <v>0</v>
      </c>
      <c r="N1160" s="17">
        <f>VLOOKUP(K1160,RPM!$A$2:$D$62,3,FALSE)</f>
        <v>13</v>
      </c>
      <c r="O1160" s="16">
        <f>VLOOKUP(K1160,RPM!$A$2:$D$62,4,FALSE)</f>
        <v>13.235857142857142</v>
      </c>
      <c r="P1160" s="17">
        <f t="shared" si="216"/>
        <v>9.8699786714285711</v>
      </c>
      <c r="Q1160" s="16" cm="1">
        <f t="array" ref="Q1160">_xlfn.XLOOKUP(O1160,BSFC!$A$2:$A$24,_xlfn.XLOOKUP(K1160,BSFC!$B$1:$O$1,BSFC!$B$2:$O$24,,-1),,-1)</f>
        <v>520</v>
      </c>
      <c r="R1160" s="17">
        <f t="shared" si="217"/>
        <v>1.425663585873016</v>
      </c>
      <c r="S1160" s="16">
        <f t="shared" si="218"/>
        <v>2.0443068048074323E-4</v>
      </c>
      <c r="T1160" s="17">
        <f t="shared" si="221"/>
        <v>0.10630395384998648</v>
      </c>
      <c r="U1160" s="16">
        <f t="shared" si="222"/>
        <v>151.69507324682593</v>
      </c>
      <c r="V1160" s="17">
        <f t="shared" si="223"/>
        <v>0.31365304283528328</v>
      </c>
      <c r="W1160" s="16">
        <f t="shared" si="219"/>
        <v>1129150.9542070196</v>
      </c>
      <c r="X1160">
        <f>('Hybrid Info'!$A$2-Track!P1160)*(L1160-L1159)*1000+X1159</f>
        <v>-34945.881874560117</v>
      </c>
    </row>
    <row r="1161" spans="1:24">
      <c r="A1161" s="16">
        <f t="shared" si="220"/>
        <v>1160</v>
      </c>
      <c r="B1161" s="17">
        <f t="shared" si="214"/>
        <v>13.411199999999999</v>
      </c>
      <c r="C1161" s="16">
        <f>Specification!$G$29</f>
        <v>164.943378</v>
      </c>
      <c r="D1161" s="17">
        <f>0.5*Specification!$K$4*Track!B1161^2*Specification!$K$3*Specification!$K$2</f>
        <v>93.159842569492653</v>
      </c>
      <c r="E1161" s="16">
        <v>0</v>
      </c>
      <c r="F1161" s="17">
        <f>Specification!$C$23*9.81*SIN((E1161*PI()/180))</f>
        <v>0</v>
      </c>
      <c r="G1161" s="18">
        <f>IF(J1161=1,VLOOKUP(K1161,RPM!$E$2:$H$62,3,FALSE)-F1161-E1161-D1161,IF(J1161=2,VLOOKUP(K1161,RPM!$H$2:$K$62,3,FALSE)-F1161-E1161-D1161,IF(J1161=3,VLOOKUP(K1161,RPM!$K$2:$N$62,3,FALSE)-F1161-E1161-D1161)))</f>
        <v>688.48526429214962</v>
      </c>
      <c r="H1161" s="19">
        <f>IF(J1161=1,Specification!$I$14,IF(J1161=2,Specification!$I$15,IF(J1161=3,Specification!$I$16)))</f>
        <v>582.50936296077191</v>
      </c>
      <c r="I1161" s="16">
        <f t="shared" si="213"/>
        <v>0</v>
      </c>
      <c r="J1161" s="17">
        <v>2</v>
      </c>
      <c r="K1161" s="16">
        <f>IF(J1161=1,VLOOKUP(B1161,RPM!$F$2:$H$62,3,TRUE),IF(J1161=2,VLOOKUP(B1161,RPM!$I$2:$K$62,3,TRUE),IF(J1161=3,VLOOKUP(B1161,RPM!$L$2:$N$62,3,TRUE))))</f>
        <v>7000</v>
      </c>
      <c r="L1161" s="17">
        <f t="shared" si="212"/>
        <v>90.770210337915557</v>
      </c>
      <c r="M1161" s="16">
        <f t="shared" si="215"/>
        <v>0</v>
      </c>
      <c r="N1161" s="17">
        <f>VLOOKUP(K1161,RPM!$A$2:$D$62,3,FALSE)</f>
        <v>13</v>
      </c>
      <c r="O1161" s="16">
        <f>VLOOKUP(K1161,RPM!$A$2:$D$62,4,FALSE)</f>
        <v>13.235857142857142</v>
      </c>
      <c r="P1161" s="17">
        <f t="shared" si="216"/>
        <v>9.8699786714285711</v>
      </c>
      <c r="Q1161" s="16" cm="1">
        <f t="array" ref="Q1161">_xlfn.XLOOKUP(O1161,BSFC!$A$2:$A$24,_xlfn.XLOOKUP(K1161,BSFC!$B$1:$O$1,BSFC!$B$2:$O$24,,-1),,-1)</f>
        <v>520</v>
      </c>
      <c r="R1161" s="17">
        <f t="shared" si="217"/>
        <v>1.425663585873016</v>
      </c>
      <c r="S1161" s="16">
        <f t="shared" si="218"/>
        <v>2.0443068048074323E-4</v>
      </c>
      <c r="T1161" s="17">
        <f t="shared" si="221"/>
        <v>0.10630395384998648</v>
      </c>
      <c r="U1161" s="16">
        <f t="shared" si="222"/>
        <v>151.80137720067592</v>
      </c>
      <c r="V1161" s="17">
        <f t="shared" si="223"/>
        <v>0.31385747351576404</v>
      </c>
      <c r="W1161" s="16">
        <f t="shared" si="219"/>
        <v>1129886.9046567504</v>
      </c>
      <c r="X1161">
        <f>('Hybrid Info'!$A$2-Track!P1161)*(L1161-L1160)*1000+X1160</f>
        <v>-34778.076165573861</v>
      </c>
    </row>
    <row r="1162" spans="1:24">
      <c r="A1162" s="16">
        <f t="shared" si="220"/>
        <v>1161</v>
      </c>
      <c r="B1162" s="17">
        <f t="shared" si="214"/>
        <v>13.411199999999999</v>
      </c>
      <c r="C1162" s="16">
        <f>Specification!$G$29</f>
        <v>164.943378</v>
      </c>
      <c r="D1162" s="17">
        <f>0.5*Specification!$K$4*Track!B1162^2*Specification!$K$3*Specification!$K$2</f>
        <v>93.159842569492653</v>
      </c>
      <c r="E1162" s="16">
        <v>0</v>
      </c>
      <c r="F1162" s="17">
        <f>Specification!$C$23*9.81*SIN((E1162*PI()/180))</f>
        <v>0</v>
      </c>
      <c r="G1162" s="18">
        <f>IF(J1162=1,VLOOKUP(K1162,RPM!$E$2:$H$62,3,FALSE)-F1162-E1162-D1162,IF(J1162=2,VLOOKUP(K1162,RPM!$H$2:$K$62,3,FALSE)-F1162-E1162-D1162,IF(J1162=3,VLOOKUP(K1162,RPM!$K$2:$N$62,3,FALSE)-F1162-E1162-D1162)))</f>
        <v>688.48526429214962</v>
      </c>
      <c r="H1162" s="19">
        <f>IF(J1162=1,Specification!$I$14,IF(J1162=2,Specification!$I$15,IF(J1162=3,Specification!$I$16)))</f>
        <v>582.50936296077191</v>
      </c>
      <c r="I1162" s="16">
        <f t="shared" si="213"/>
        <v>0</v>
      </c>
      <c r="J1162" s="17">
        <v>2</v>
      </c>
      <c r="K1162" s="16">
        <f>IF(J1162=1,VLOOKUP(B1162,RPM!$F$2:$H$62,3,TRUE),IF(J1162=2,VLOOKUP(B1162,RPM!$I$2:$K$62,3,TRUE),IF(J1162=3,VLOOKUP(B1162,RPM!$L$2:$N$62,3,TRUE))))</f>
        <v>7000</v>
      </c>
      <c r="L1162" s="17">
        <f t="shared" si="212"/>
        <v>90.844774880984033</v>
      </c>
      <c r="M1162" s="16">
        <f t="shared" si="215"/>
        <v>0</v>
      </c>
      <c r="N1162" s="17">
        <f>VLOOKUP(K1162,RPM!$A$2:$D$62,3,FALSE)</f>
        <v>13</v>
      </c>
      <c r="O1162" s="16">
        <f>VLOOKUP(K1162,RPM!$A$2:$D$62,4,FALSE)</f>
        <v>13.235857142857142</v>
      </c>
      <c r="P1162" s="17">
        <f t="shared" si="216"/>
        <v>9.8699786714285711</v>
      </c>
      <c r="Q1162" s="16" cm="1">
        <f t="array" ref="Q1162">_xlfn.XLOOKUP(O1162,BSFC!$A$2:$A$24,_xlfn.XLOOKUP(K1162,BSFC!$B$1:$O$1,BSFC!$B$2:$O$24,,-1),,-1)</f>
        <v>520</v>
      </c>
      <c r="R1162" s="17">
        <f t="shared" si="217"/>
        <v>1.425663585873016</v>
      </c>
      <c r="S1162" s="16">
        <f t="shared" si="218"/>
        <v>2.0443068048074323E-4</v>
      </c>
      <c r="T1162" s="17">
        <f t="shared" si="221"/>
        <v>0.10630395384998648</v>
      </c>
      <c r="U1162" s="16">
        <f t="shared" si="222"/>
        <v>151.9076811545259</v>
      </c>
      <c r="V1162" s="17">
        <f t="shared" si="223"/>
        <v>0.3140619041962448</v>
      </c>
      <c r="W1162" s="16">
        <f t="shared" si="219"/>
        <v>1130622.8551064814</v>
      </c>
      <c r="X1162">
        <f>('Hybrid Info'!$A$2-Track!P1162)*(L1162-L1161)*1000+X1161</f>
        <v>-34610.270456587605</v>
      </c>
    </row>
    <row r="1163" spans="1:24">
      <c r="A1163" s="16">
        <f t="shared" si="220"/>
        <v>1162</v>
      </c>
      <c r="B1163" s="17">
        <f t="shared" si="214"/>
        <v>13.411199999999999</v>
      </c>
      <c r="C1163" s="16">
        <f>Specification!$G$29</f>
        <v>164.943378</v>
      </c>
      <c r="D1163" s="17">
        <f>0.5*Specification!$K$4*Track!B1163^2*Specification!$K$3*Specification!$K$2</f>
        <v>93.159842569492653</v>
      </c>
      <c r="E1163" s="16">
        <v>0</v>
      </c>
      <c r="F1163" s="17">
        <f>Specification!$C$23*9.81*SIN((E1163*PI()/180))</f>
        <v>0</v>
      </c>
      <c r="G1163" s="18">
        <f>IF(J1163=1,VLOOKUP(K1163,RPM!$E$2:$H$62,3,FALSE)-F1163-E1163-D1163,IF(J1163=2,VLOOKUP(K1163,RPM!$H$2:$K$62,3,FALSE)-F1163-E1163-D1163,IF(J1163=3,VLOOKUP(K1163,RPM!$K$2:$N$62,3,FALSE)-F1163-E1163-D1163)))</f>
        <v>688.48526429214962</v>
      </c>
      <c r="H1163" s="19">
        <f>IF(J1163=1,Specification!$I$14,IF(J1163=2,Specification!$I$15,IF(J1163=3,Specification!$I$16)))</f>
        <v>582.50936296077191</v>
      </c>
      <c r="I1163" s="16">
        <f t="shared" si="213"/>
        <v>0</v>
      </c>
      <c r="J1163" s="17">
        <v>2</v>
      </c>
      <c r="K1163" s="16">
        <f>IF(J1163=1,VLOOKUP(B1163,RPM!$F$2:$H$62,3,TRUE),IF(J1163=2,VLOOKUP(B1163,RPM!$I$2:$K$62,3,TRUE),IF(J1163=3,VLOOKUP(B1163,RPM!$L$2:$N$62,3,TRUE))))</f>
        <v>7000</v>
      </c>
      <c r="L1163" s="17">
        <f t="shared" si="212"/>
        <v>90.919339424052509</v>
      </c>
      <c r="M1163" s="16">
        <f t="shared" si="215"/>
        <v>0</v>
      </c>
      <c r="N1163" s="17">
        <f>VLOOKUP(K1163,RPM!$A$2:$D$62,3,FALSE)</f>
        <v>13</v>
      </c>
      <c r="O1163" s="16">
        <f>VLOOKUP(K1163,RPM!$A$2:$D$62,4,FALSE)</f>
        <v>13.235857142857142</v>
      </c>
      <c r="P1163" s="17">
        <f t="shared" si="216"/>
        <v>9.8699786714285711</v>
      </c>
      <c r="Q1163" s="16" cm="1">
        <f t="array" ref="Q1163">_xlfn.XLOOKUP(O1163,BSFC!$A$2:$A$24,_xlfn.XLOOKUP(K1163,BSFC!$B$1:$O$1,BSFC!$B$2:$O$24,,-1),,-1)</f>
        <v>520</v>
      </c>
      <c r="R1163" s="17">
        <f t="shared" si="217"/>
        <v>1.425663585873016</v>
      </c>
      <c r="S1163" s="16">
        <f t="shared" si="218"/>
        <v>2.0443068048074323E-4</v>
      </c>
      <c r="T1163" s="17">
        <f t="shared" si="221"/>
        <v>0.10630395384998648</v>
      </c>
      <c r="U1163" s="16">
        <f t="shared" si="222"/>
        <v>152.01398510837589</v>
      </c>
      <c r="V1163" s="17">
        <f t="shared" si="223"/>
        <v>0.31426633487672556</v>
      </c>
      <c r="W1163" s="16">
        <f t="shared" si="219"/>
        <v>1131358.8055562121</v>
      </c>
      <c r="X1163">
        <f>('Hybrid Info'!$A$2-Track!P1163)*(L1163-L1162)*1000+X1162</f>
        <v>-34442.464747601349</v>
      </c>
    </row>
    <row r="1164" spans="1:24">
      <c r="A1164" s="16">
        <f t="shared" si="220"/>
        <v>1163</v>
      </c>
      <c r="B1164" s="17">
        <f t="shared" si="214"/>
        <v>13.411199999999999</v>
      </c>
      <c r="C1164" s="16">
        <f>Specification!$G$29</f>
        <v>164.943378</v>
      </c>
      <c r="D1164" s="17">
        <f>0.5*Specification!$K$4*Track!B1164^2*Specification!$K$3*Specification!$K$2</f>
        <v>93.159842569492653</v>
      </c>
      <c r="E1164" s="16">
        <v>0</v>
      </c>
      <c r="F1164" s="17">
        <f>Specification!$C$23*9.81*SIN((E1164*PI()/180))</f>
        <v>0</v>
      </c>
      <c r="G1164" s="18">
        <f>IF(J1164=1,VLOOKUP(K1164,RPM!$E$2:$H$62,3,FALSE)-F1164-E1164-D1164,IF(J1164=2,VLOOKUP(K1164,RPM!$H$2:$K$62,3,FALSE)-F1164-E1164-D1164,IF(J1164=3,VLOOKUP(K1164,RPM!$K$2:$N$62,3,FALSE)-F1164-E1164-D1164)))</f>
        <v>688.48526429214962</v>
      </c>
      <c r="H1164" s="19">
        <f>IF(J1164=1,Specification!$I$14,IF(J1164=2,Specification!$I$15,IF(J1164=3,Specification!$I$16)))</f>
        <v>582.50936296077191</v>
      </c>
      <c r="I1164" s="16">
        <f t="shared" si="213"/>
        <v>0</v>
      </c>
      <c r="J1164" s="17">
        <v>2</v>
      </c>
      <c r="K1164" s="16">
        <f>IF(J1164=1,VLOOKUP(B1164,RPM!$F$2:$H$62,3,TRUE),IF(J1164=2,VLOOKUP(B1164,RPM!$I$2:$K$62,3,TRUE),IF(J1164=3,VLOOKUP(B1164,RPM!$L$2:$N$62,3,TRUE))))</f>
        <v>7000</v>
      </c>
      <c r="L1164" s="17">
        <f t="shared" si="212"/>
        <v>90.993903967120985</v>
      </c>
      <c r="M1164" s="16">
        <f t="shared" si="215"/>
        <v>0</v>
      </c>
      <c r="N1164" s="17">
        <f>VLOOKUP(K1164,RPM!$A$2:$D$62,3,FALSE)</f>
        <v>13</v>
      </c>
      <c r="O1164" s="16">
        <f>VLOOKUP(K1164,RPM!$A$2:$D$62,4,FALSE)</f>
        <v>13.235857142857142</v>
      </c>
      <c r="P1164" s="17">
        <f t="shared" si="216"/>
        <v>9.8699786714285711</v>
      </c>
      <c r="Q1164" s="16" cm="1">
        <f t="array" ref="Q1164">_xlfn.XLOOKUP(O1164,BSFC!$A$2:$A$24,_xlfn.XLOOKUP(K1164,BSFC!$B$1:$O$1,BSFC!$B$2:$O$24,,-1),,-1)</f>
        <v>520</v>
      </c>
      <c r="R1164" s="17">
        <f t="shared" si="217"/>
        <v>1.425663585873016</v>
      </c>
      <c r="S1164" s="16">
        <f t="shared" si="218"/>
        <v>2.0443068048074323E-4</v>
      </c>
      <c r="T1164" s="17">
        <f t="shared" si="221"/>
        <v>0.10630395384998648</v>
      </c>
      <c r="U1164" s="16">
        <f t="shared" si="222"/>
        <v>152.12028906222588</v>
      </c>
      <c r="V1164" s="17">
        <f t="shared" si="223"/>
        <v>0.31447076555720632</v>
      </c>
      <c r="W1164" s="16">
        <f t="shared" si="219"/>
        <v>1132094.7560059428</v>
      </c>
      <c r="X1164">
        <f>('Hybrid Info'!$A$2-Track!P1164)*(L1164-L1163)*1000+X1163</f>
        <v>-34274.659038615093</v>
      </c>
    </row>
    <row r="1165" spans="1:24">
      <c r="A1165" s="16">
        <f t="shared" si="220"/>
        <v>1164</v>
      </c>
      <c r="B1165" s="17">
        <f t="shared" si="214"/>
        <v>13.411199999999999</v>
      </c>
      <c r="C1165" s="16">
        <f>Specification!$G$29</f>
        <v>164.943378</v>
      </c>
      <c r="D1165" s="17">
        <f>0.5*Specification!$K$4*Track!B1165^2*Specification!$K$3*Specification!$K$2</f>
        <v>93.159842569492653</v>
      </c>
      <c r="E1165" s="16">
        <v>0</v>
      </c>
      <c r="F1165" s="17">
        <f>Specification!$C$23*9.81*SIN((E1165*PI()/180))</f>
        <v>0</v>
      </c>
      <c r="G1165" s="18">
        <f>IF(J1165=1,VLOOKUP(K1165,RPM!$E$2:$H$62,3,FALSE)-F1165-E1165-D1165,IF(J1165=2,VLOOKUP(K1165,RPM!$H$2:$K$62,3,FALSE)-F1165-E1165-D1165,IF(J1165=3,VLOOKUP(K1165,RPM!$K$2:$N$62,3,FALSE)-F1165-E1165-D1165)))</f>
        <v>688.48526429214962</v>
      </c>
      <c r="H1165" s="19">
        <f>IF(J1165=1,Specification!$I$14,IF(J1165=2,Specification!$I$15,IF(J1165=3,Specification!$I$16)))</f>
        <v>582.50936296077191</v>
      </c>
      <c r="I1165" s="16">
        <f t="shared" si="213"/>
        <v>0</v>
      </c>
      <c r="J1165" s="17">
        <v>2</v>
      </c>
      <c r="K1165" s="16">
        <f>IF(J1165=1,VLOOKUP(B1165,RPM!$F$2:$H$62,3,TRUE),IF(J1165=2,VLOOKUP(B1165,RPM!$I$2:$K$62,3,TRUE),IF(J1165=3,VLOOKUP(B1165,RPM!$L$2:$N$62,3,TRUE))))</f>
        <v>7000</v>
      </c>
      <c r="L1165" s="17">
        <f t="shared" ref="L1165:L1228" si="224">IF(I1165=0,ABS(1/B1165)+L1164,IF(ABS(B1166-B1165)=0,1/B1165+L1164,ABS((B1166-B1165)/I1165)+L1164))</f>
        <v>91.068468510189462</v>
      </c>
      <c r="M1165" s="16">
        <f t="shared" si="215"/>
        <v>0</v>
      </c>
      <c r="N1165" s="17">
        <f>VLOOKUP(K1165,RPM!$A$2:$D$62,3,FALSE)</f>
        <v>13</v>
      </c>
      <c r="O1165" s="16">
        <f>VLOOKUP(K1165,RPM!$A$2:$D$62,4,FALSE)</f>
        <v>13.235857142857142</v>
      </c>
      <c r="P1165" s="17">
        <f t="shared" si="216"/>
        <v>9.8699786714285711</v>
      </c>
      <c r="Q1165" s="16" cm="1">
        <f t="array" ref="Q1165">_xlfn.XLOOKUP(O1165,BSFC!$A$2:$A$24,_xlfn.XLOOKUP(K1165,BSFC!$B$1:$O$1,BSFC!$B$2:$O$24,,-1),,-1)</f>
        <v>520</v>
      </c>
      <c r="R1165" s="17">
        <f t="shared" si="217"/>
        <v>1.425663585873016</v>
      </c>
      <c r="S1165" s="16">
        <f t="shared" si="218"/>
        <v>2.0443068048074323E-4</v>
      </c>
      <c r="T1165" s="17">
        <f t="shared" si="221"/>
        <v>0.10630395384998648</v>
      </c>
      <c r="U1165" s="16">
        <f t="shared" si="222"/>
        <v>152.22659301607587</v>
      </c>
      <c r="V1165" s="17">
        <f t="shared" si="223"/>
        <v>0.31467519623768708</v>
      </c>
      <c r="W1165" s="16">
        <f t="shared" si="219"/>
        <v>1132830.7064556736</v>
      </c>
      <c r="X1165">
        <f>('Hybrid Info'!$A$2-Track!P1165)*(L1165-L1164)*1000+X1164</f>
        <v>-34106.853329628837</v>
      </c>
    </row>
    <row r="1166" spans="1:24">
      <c r="A1166" s="16">
        <f t="shared" si="220"/>
        <v>1165</v>
      </c>
      <c r="B1166" s="17">
        <f t="shared" si="214"/>
        <v>13.411199999999999</v>
      </c>
      <c r="C1166" s="16">
        <f>Specification!$G$29</f>
        <v>164.943378</v>
      </c>
      <c r="D1166" s="17">
        <f>0.5*Specification!$K$4*Track!B1166^2*Specification!$K$3*Specification!$K$2</f>
        <v>93.159842569492653</v>
      </c>
      <c r="E1166" s="16">
        <v>0</v>
      </c>
      <c r="F1166" s="17">
        <f>Specification!$C$23*9.81*SIN((E1166*PI()/180))</f>
        <v>0</v>
      </c>
      <c r="G1166" s="18">
        <f>IF(J1166=1,VLOOKUP(K1166,RPM!$E$2:$H$62,3,FALSE)-F1166-E1166-D1166,IF(J1166=2,VLOOKUP(K1166,RPM!$H$2:$K$62,3,FALSE)-F1166-E1166-D1166,IF(J1166=3,VLOOKUP(K1166,RPM!$K$2:$N$62,3,FALSE)-F1166-E1166-D1166)))</f>
        <v>688.48526429214962</v>
      </c>
      <c r="H1166" s="19">
        <f>IF(J1166=1,Specification!$I$14,IF(J1166=2,Specification!$I$15,IF(J1166=3,Specification!$I$16)))</f>
        <v>582.50936296077191</v>
      </c>
      <c r="I1166" s="16">
        <f t="shared" si="213"/>
        <v>0</v>
      </c>
      <c r="J1166" s="17">
        <v>2</v>
      </c>
      <c r="K1166" s="16">
        <f>IF(J1166=1,VLOOKUP(B1166,RPM!$F$2:$H$62,3,TRUE),IF(J1166=2,VLOOKUP(B1166,RPM!$I$2:$K$62,3,TRUE),IF(J1166=3,VLOOKUP(B1166,RPM!$L$2:$N$62,3,TRUE))))</f>
        <v>7000</v>
      </c>
      <c r="L1166" s="17">
        <f t="shared" si="224"/>
        <v>91.143033053257938</v>
      </c>
      <c r="M1166" s="16">
        <f t="shared" si="215"/>
        <v>0</v>
      </c>
      <c r="N1166" s="17">
        <f>VLOOKUP(K1166,RPM!$A$2:$D$62,3,FALSE)</f>
        <v>13</v>
      </c>
      <c r="O1166" s="16">
        <f>VLOOKUP(K1166,RPM!$A$2:$D$62,4,FALSE)</f>
        <v>13.235857142857142</v>
      </c>
      <c r="P1166" s="17">
        <f t="shared" si="216"/>
        <v>9.8699786714285711</v>
      </c>
      <c r="Q1166" s="16" cm="1">
        <f t="array" ref="Q1166">_xlfn.XLOOKUP(O1166,BSFC!$A$2:$A$24,_xlfn.XLOOKUP(K1166,BSFC!$B$1:$O$1,BSFC!$B$2:$O$24,,-1),,-1)</f>
        <v>520</v>
      </c>
      <c r="R1166" s="17">
        <f t="shared" si="217"/>
        <v>1.425663585873016</v>
      </c>
      <c r="S1166" s="16">
        <f t="shared" si="218"/>
        <v>2.0443068048074323E-4</v>
      </c>
      <c r="T1166" s="17">
        <f t="shared" si="221"/>
        <v>0.10630395384998648</v>
      </c>
      <c r="U1166" s="16">
        <f t="shared" si="222"/>
        <v>152.33289696992586</v>
      </c>
      <c r="V1166" s="17">
        <f t="shared" si="223"/>
        <v>0.31487962691816784</v>
      </c>
      <c r="W1166" s="16">
        <f t="shared" si="219"/>
        <v>1133566.6569054043</v>
      </c>
      <c r="X1166">
        <f>('Hybrid Info'!$A$2-Track!P1166)*(L1166-L1165)*1000+X1165</f>
        <v>-33939.047620642581</v>
      </c>
    </row>
    <row r="1167" spans="1:24">
      <c r="A1167" s="16">
        <f t="shared" si="220"/>
        <v>1166</v>
      </c>
      <c r="B1167" s="17">
        <f t="shared" si="214"/>
        <v>13.411199999999999</v>
      </c>
      <c r="C1167" s="16">
        <f>Specification!$G$29</f>
        <v>164.943378</v>
      </c>
      <c r="D1167" s="17">
        <f>0.5*Specification!$K$4*Track!B1167^2*Specification!$K$3*Specification!$K$2</f>
        <v>93.159842569492653</v>
      </c>
      <c r="E1167" s="16">
        <v>0</v>
      </c>
      <c r="F1167" s="17">
        <f>Specification!$C$23*9.81*SIN((E1167*PI()/180))</f>
        <v>0</v>
      </c>
      <c r="G1167" s="18">
        <f>IF(J1167=1,VLOOKUP(K1167,RPM!$E$2:$H$62,3,FALSE)-F1167-E1167-D1167,IF(J1167=2,VLOOKUP(K1167,RPM!$H$2:$K$62,3,FALSE)-F1167-E1167-D1167,IF(J1167=3,VLOOKUP(K1167,RPM!$K$2:$N$62,3,FALSE)-F1167-E1167-D1167)))</f>
        <v>688.48526429214962</v>
      </c>
      <c r="H1167" s="19">
        <f>IF(J1167=1,Specification!$I$14,IF(J1167=2,Specification!$I$15,IF(J1167=3,Specification!$I$16)))</f>
        <v>582.50936296077191</v>
      </c>
      <c r="I1167" s="16">
        <f t="shared" si="213"/>
        <v>0</v>
      </c>
      <c r="J1167" s="17">
        <v>2</v>
      </c>
      <c r="K1167" s="16">
        <f>IF(J1167=1,VLOOKUP(B1167,RPM!$F$2:$H$62,3,TRUE),IF(J1167=2,VLOOKUP(B1167,RPM!$I$2:$K$62,3,TRUE),IF(J1167=3,VLOOKUP(B1167,RPM!$L$2:$N$62,3,TRUE))))</f>
        <v>7000</v>
      </c>
      <c r="L1167" s="17">
        <f t="shared" si="224"/>
        <v>91.217597596326414</v>
      </c>
      <c r="M1167" s="16">
        <f t="shared" si="215"/>
        <v>0</v>
      </c>
      <c r="N1167" s="17">
        <f>VLOOKUP(K1167,RPM!$A$2:$D$62,3,FALSE)</f>
        <v>13</v>
      </c>
      <c r="O1167" s="16">
        <f>VLOOKUP(K1167,RPM!$A$2:$D$62,4,FALSE)</f>
        <v>13.235857142857142</v>
      </c>
      <c r="P1167" s="17">
        <f t="shared" si="216"/>
        <v>9.8699786714285711</v>
      </c>
      <c r="Q1167" s="16" cm="1">
        <f t="array" ref="Q1167">_xlfn.XLOOKUP(O1167,BSFC!$A$2:$A$24,_xlfn.XLOOKUP(K1167,BSFC!$B$1:$O$1,BSFC!$B$2:$O$24,,-1),,-1)</f>
        <v>520</v>
      </c>
      <c r="R1167" s="17">
        <f t="shared" si="217"/>
        <v>1.425663585873016</v>
      </c>
      <c r="S1167" s="16">
        <f t="shared" si="218"/>
        <v>2.0443068048074323E-4</v>
      </c>
      <c r="T1167" s="17">
        <f t="shared" si="221"/>
        <v>0.10630395384998648</v>
      </c>
      <c r="U1167" s="16">
        <f t="shared" si="222"/>
        <v>152.43920092377584</v>
      </c>
      <c r="V1167" s="17">
        <f t="shared" si="223"/>
        <v>0.3150840575986486</v>
      </c>
      <c r="W1167" s="16">
        <f t="shared" si="219"/>
        <v>1134302.607355135</v>
      </c>
      <c r="X1167">
        <f>('Hybrid Info'!$A$2-Track!P1167)*(L1167-L1166)*1000+X1166</f>
        <v>-33771.241911656325</v>
      </c>
    </row>
    <row r="1168" spans="1:24">
      <c r="A1168" s="16">
        <f t="shared" si="220"/>
        <v>1167</v>
      </c>
      <c r="B1168" s="17">
        <f t="shared" si="214"/>
        <v>13.411199999999999</v>
      </c>
      <c r="C1168" s="16">
        <f>Specification!$G$29</f>
        <v>164.943378</v>
      </c>
      <c r="D1168" s="17">
        <f>0.5*Specification!$K$4*Track!B1168^2*Specification!$K$3*Specification!$K$2</f>
        <v>93.159842569492653</v>
      </c>
      <c r="E1168" s="16">
        <v>0</v>
      </c>
      <c r="F1168" s="17">
        <f>Specification!$C$23*9.81*SIN((E1168*PI()/180))</f>
        <v>0</v>
      </c>
      <c r="G1168" s="18">
        <f>IF(J1168=1,VLOOKUP(K1168,RPM!$E$2:$H$62,3,FALSE)-F1168-E1168-D1168,IF(J1168=2,VLOOKUP(K1168,RPM!$H$2:$K$62,3,FALSE)-F1168-E1168-D1168,IF(J1168=3,VLOOKUP(K1168,RPM!$K$2:$N$62,3,FALSE)-F1168-E1168-D1168)))</f>
        <v>688.48526429214962</v>
      </c>
      <c r="H1168" s="19">
        <f>IF(J1168=1,Specification!$I$14,IF(J1168=2,Specification!$I$15,IF(J1168=3,Specification!$I$16)))</f>
        <v>582.50936296077191</v>
      </c>
      <c r="I1168" s="16">
        <f t="shared" si="213"/>
        <v>0</v>
      </c>
      <c r="J1168" s="17">
        <v>2</v>
      </c>
      <c r="K1168" s="16">
        <f>IF(J1168=1,VLOOKUP(B1168,RPM!$F$2:$H$62,3,TRUE),IF(J1168=2,VLOOKUP(B1168,RPM!$I$2:$K$62,3,TRUE),IF(J1168=3,VLOOKUP(B1168,RPM!$L$2:$N$62,3,TRUE))))</f>
        <v>7000</v>
      </c>
      <c r="L1168" s="17">
        <f t="shared" si="224"/>
        <v>91.29216213939489</v>
      </c>
      <c r="M1168" s="16">
        <f t="shared" si="215"/>
        <v>0</v>
      </c>
      <c r="N1168" s="17">
        <f>VLOOKUP(K1168,RPM!$A$2:$D$62,3,FALSE)</f>
        <v>13</v>
      </c>
      <c r="O1168" s="16">
        <f>VLOOKUP(K1168,RPM!$A$2:$D$62,4,FALSE)</f>
        <v>13.235857142857142</v>
      </c>
      <c r="P1168" s="17">
        <f t="shared" si="216"/>
        <v>9.8699786714285711</v>
      </c>
      <c r="Q1168" s="16" cm="1">
        <f t="array" ref="Q1168">_xlfn.XLOOKUP(O1168,BSFC!$A$2:$A$24,_xlfn.XLOOKUP(K1168,BSFC!$B$1:$O$1,BSFC!$B$2:$O$24,,-1),,-1)</f>
        <v>520</v>
      </c>
      <c r="R1168" s="17">
        <f t="shared" si="217"/>
        <v>1.425663585873016</v>
      </c>
      <c r="S1168" s="16">
        <f t="shared" si="218"/>
        <v>2.0443068048074323E-4</v>
      </c>
      <c r="T1168" s="17">
        <f t="shared" si="221"/>
        <v>0.10630395384998648</v>
      </c>
      <c r="U1168" s="16">
        <f t="shared" si="222"/>
        <v>152.54550487762583</v>
      </c>
      <c r="V1168" s="17">
        <f t="shared" si="223"/>
        <v>0.31528848827912936</v>
      </c>
      <c r="W1168" s="16">
        <f t="shared" si="219"/>
        <v>1135038.5578048658</v>
      </c>
      <c r="X1168">
        <f>('Hybrid Info'!$A$2-Track!P1168)*(L1168-L1167)*1000+X1167</f>
        <v>-33603.436202670069</v>
      </c>
    </row>
    <row r="1169" spans="1:24">
      <c r="A1169" s="16">
        <f t="shared" si="220"/>
        <v>1168</v>
      </c>
      <c r="B1169" s="17">
        <f t="shared" si="214"/>
        <v>13.411199999999999</v>
      </c>
      <c r="C1169" s="16">
        <f>Specification!$G$29</f>
        <v>164.943378</v>
      </c>
      <c r="D1169" s="17">
        <f>0.5*Specification!$K$4*Track!B1169^2*Specification!$K$3*Specification!$K$2</f>
        <v>93.159842569492653</v>
      </c>
      <c r="E1169" s="16">
        <v>0</v>
      </c>
      <c r="F1169" s="17">
        <f>Specification!$C$23*9.81*SIN((E1169*PI()/180))</f>
        <v>0</v>
      </c>
      <c r="G1169" s="18">
        <f>IF(J1169=1,VLOOKUP(K1169,RPM!$E$2:$H$62,3,FALSE)-F1169-E1169-D1169,IF(J1169=2,VLOOKUP(K1169,RPM!$H$2:$K$62,3,FALSE)-F1169-E1169-D1169,IF(J1169=3,VLOOKUP(K1169,RPM!$K$2:$N$62,3,FALSE)-F1169-E1169-D1169)))</f>
        <v>688.48526429214962</v>
      </c>
      <c r="H1169" s="19">
        <f>IF(J1169=1,Specification!$I$14,IF(J1169=2,Specification!$I$15,IF(J1169=3,Specification!$I$16)))</f>
        <v>582.50936296077191</v>
      </c>
      <c r="I1169" s="16">
        <f t="shared" si="213"/>
        <v>0</v>
      </c>
      <c r="J1169" s="17">
        <v>2</v>
      </c>
      <c r="K1169" s="16">
        <f>IF(J1169=1,VLOOKUP(B1169,RPM!$F$2:$H$62,3,TRUE),IF(J1169=2,VLOOKUP(B1169,RPM!$I$2:$K$62,3,TRUE),IF(J1169=3,VLOOKUP(B1169,RPM!$L$2:$N$62,3,TRUE))))</f>
        <v>7000</v>
      </c>
      <c r="L1169" s="17">
        <f t="shared" si="224"/>
        <v>91.366726682463366</v>
      </c>
      <c r="M1169" s="16">
        <f t="shared" si="215"/>
        <v>0</v>
      </c>
      <c r="N1169" s="17">
        <f>VLOOKUP(K1169,RPM!$A$2:$D$62,3,FALSE)</f>
        <v>13</v>
      </c>
      <c r="O1169" s="16">
        <f>VLOOKUP(K1169,RPM!$A$2:$D$62,4,FALSE)</f>
        <v>13.235857142857142</v>
      </c>
      <c r="P1169" s="17">
        <f t="shared" si="216"/>
        <v>9.8699786714285711</v>
      </c>
      <c r="Q1169" s="16" cm="1">
        <f t="array" ref="Q1169">_xlfn.XLOOKUP(O1169,BSFC!$A$2:$A$24,_xlfn.XLOOKUP(K1169,BSFC!$B$1:$O$1,BSFC!$B$2:$O$24,,-1),,-1)</f>
        <v>520</v>
      </c>
      <c r="R1169" s="17">
        <f t="shared" si="217"/>
        <v>1.425663585873016</v>
      </c>
      <c r="S1169" s="16">
        <f t="shared" si="218"/>
        <v>2.0443068048074323E-4</v>
      </c>
      <c r="T1169" s="17">
        <f t="shared" si="221"/>
        <v>0.10630395384998648</v>
      </c>
      <c r="U1169" s="16">
        <f t="shared" si="222"/>
        <v>152.65180883147582</v>
      </c>
      <c r="V1169" s="17">
        <f t="shared" si="223"/>
        <v>0.31549291895961012</v>
      </c>
      <c r="W1169" s="16">
        <f t="shared" si="219"/>
        <v>1135774.5082545965</v>
      </c>
      <c r="X1169">
        <f>('Hybrid Info'!$A$2-Track!P1169)*(L1169-L1168)*1000+X1168</f>
        <v>-33435.630493683813</v>
      </c>
    </row>
    <row r="1170" spans="1:24">
      <c r="A1170" s="16">
        <f t="shared" si="220"/>
        <v>1169</v>
      </c>
      <c r="B1170" s="17">
        <f t="shared" si="214"/>
        <v>13.411199999999999</v>
      </c>
      <c r="C1170" s="16">
        <f>Specification!$G$29</f>
        <v>164.943378</v>
      </c>
      <c r="D1170" s="17">
        <f>0.5*Specification!$K$4*Track!B1170^2*Specification!$K$3*Specification!$K$2</f>
        <v>93.159842569492653</v>
      </c>
      <c r="E1170" s="16">
        <v>0</v>
      </c>
      <c r="F1170" s="17">
        <f>Specification!$C$23*9.81*SIN((E1170*PI()/180))</f>
        <v>0</v>
      </c>
      <c r="G1170" s="18">
        <f>IF(J1170=1,VLOOKUP(K1170,RPM!$E$2:$H$62,3,FALSE)-F1170-E1170-D1170,IF(J1170=2,VLOOKUP(K1170,RPM!$H$2:$K$62,3,FALSE)-F1170-E1170-D1170,IF(J1170=3,VLOOKUP(K1170,RPM!$K$2:$N$62,3,FALSE)-F1170-E1170-D1170)))</f>
        <v>688.48526429214962</v>
      </c>
      <c r="H1170" s="19">
        <f>IF(J1170=1,Specification!$I$14,IF(J1170=2,Specification!$I$15,IF(J1170=3,Specification!$I$16)))</f>
        <v>582.50936296077191</v>
      </c>
      <c r="I1170" s="16">
        <f t="shared" si="213"/>
        <v>0</v>
      </c>
      <c r="J1170" s="17">
        <v>2</v>
      </c>
      <c r="K1170" s="16">
        <f>IF(J1170=1,VLOOKUP(B1170,RPM!$F$2:$H$62,3,TRUE),IF(J1170=2,VLOOKUP(B1170,RPM!$I$2:$K$62,3,TRUE),IF(J1170=3,VLOOKUP(B1170,RPM!$L$2:$N$62,3,TRUE))))</f>
        <v>7000</v>
      </c>
      <c r="L1170" s="17">
        <f t="shared" si="224"/>
        <v>91.441291225531842</v>
      </c>
      <c r="M1170" s="16">
        <f t="shared" si="215"/>
        <v>0</v>
      </c>
      <c r="N1170" s="17">
        <f>VLOOKUP(K1170,RPM!$A$2:$D$62,3,FALSE)</f>
        <v>13</v>
      </c>
      <c r="O1170" s="16">
        <f>VLOOKUP(K1170,RPM!$A$2:$D$62,4,FALSE)</f>
        <v>13.235857142857142</v>
      </c>
      <c r="P1170" s="17">
        <f t="shared" si="216"/>
        <v>9.8699786714285711</v>
      </c>
      <c r="Q1170" s="16" cm="1">
        <f t="array" ref="Q1170">_xlfn.XLOOKUP(O1170,BSFC!$A$2:$A$24,_xlfn.XLOOKUP(K1170,BSFC!$B$1:$O$1,BSFC!$B$2:$O$24,,-1),,-1)</f>
        <v>520</v>
      </c>
      <c r="R1170" s="17">
        <f t="shared" si="217"/>
        <v>1.425663585873016</v>
      </c>
      <c r="S1170" s="16">
        <f t="shared" si="218"/>
        <v>2.0443068048074323E-4</v>
      </c>
      <c r="T1170" s="17">
        <f t="shared" si="221"/>
        <v>0.10630395384998648</v>
      </c>
      <c r="U1170" s="16">
        <f t="shared" si="222"/>
        <v>152.75811278532581</v>
      </c>
      <c r="V1170" s="17">
        <f t="shared" si="223"/>
        <v>0.31569734964009089</v>
      </c>
      <c r="W1170" s="16">
        <f t="shared" si="219"/>
        <v>1136510.458704327</v>
      </c>
      <c r="X1170">
        <f>('Hybrid Info'!$A$2-Track!P1170)*(L1170-L1169)*1000+X1169</f>
        <v>-33267.824784697557</v>
      </c>
    </row>
    <row r="1171" spans="1:24">
      <c r="A1171" s="16">
        <f t="shared" si="220"/>
        <v>1170</v>
      </c>
      <c r="B1171" s="17">
        <f t="shared" si="214"/>
        <v>13.411199999999999</v>
      </c>
      <c r="C1171" s="16">
        <f>Specification!$G$29</f>
        <v>164.943378</v>
      </c>
      <c r="D1171" s="17">
        <f>0.5*Specification!$K$4*Track!B1171^2*Specification!$K$3*Specification!$K$2</f>
        <v>93.159842569492653</v>
      </c>
      <c r="E1171" s="16">
        <v>0</v>
      </c>
      <c r="F1171" s="17">
        <f>Specification!$C$23*9.81*SIN((E1171*PI()/180))</f>
        <v>0</v>
      </c>
      <c r="G1171" s="18">
        <f>IF(J1171=1,VLOOKUP(K1171,RPM!$E$2:$H$62,3,FALSE)-F1171-E1171-D1171,IF(J1171=2,VLOOKUP(K1171,RPM!$H$2:$K$62,3,FALSE)-F1171-E1171-D1171,IF(J1171=3,VLOOKUP(K1171,RPM!$K$2:$N$62,3,FALSE)-F1171-E1171-D1171)))</f>
        <v>688.48526429214962</v>
      </c>
      <c r="H1171" s="19">
        <f>IF(J1171=1,Specification!$I$14,IF(J1171=2,Specification!$I$15,IF(J1171=3,Specification!$I$16)))</f>
        <v>582.50936296077191</v>
      </c>
      <c r="I1171" s="16">
        <f t="shared" si="213"/>
        <v>0</v>
      </c>
      <c r="J1171" s="17">
        <v>2</v>
      </c>
      <c r="K1171" s="16">
        <f>IF(J1171=1,VLOOKUP(B1171,RPM!$F$2:$H$62,3,TRUE),IF(J1171=2,VLOOKUP(B1171,RPM!$I$2:$K$62,3,TRUE),IF(J1171=3,VLOOKUP(B1171,RPM!$L$2:$N$62,3,TRUE))))</f>
        <v>7000</v>
      </c>
      <c r="L1171" s="17">
        <f t="shared" si="224"/>
        <v>91.515855768600318</v>
      </c>
      <c r="M1171" s="16">
        <f t="shared" si="215"/>
        <v>0</v>
      </c>
      <c r="N1171" s="17">
        <f>VLOOKUP(K1171,RPM!$A$2:$D$62,3,FALSE)</f>
        <v>13</v>
      </c>
      <c r="O1171" s="16">
        <f>VLOOKUP(K1171,RPM!$A$2:$D$62,4,FALSE)</f>
        <v>13.235857142857142</v>
      </c>
      <c r="P1171" s="17">
        <f t="shared" si="216"/>
        <v>9.8699786714285711</v>
      </c>
      <c r="Q1171" s="16" cm="1">
        <f t="array" ref="Q1171">_xlfn.XLOOKUP(O1171,BSFC!$A$2:$A$24,_xlfn.XLOOKUP(K1171,BSFC!$B$1:$O$1,BSFC!$B$2:$O$24,,-1),,-1)</f>
        <v>520</v>
      </c>
      <c r="R1171" s="17">
        <f t="shared" si="217"/>
        <v>1.425663585873016</v>
      </c>
      <c r="S1171" s="16">
        <f t="shared" si="218"/>
        <v>2.0443068048074323E-4</v>
      </c>
      <c r="T1171" s="17">
        <f t="shared" si="221"/>
        <v>0.10630395384998648</v>
      </c>
      <c r="U1171" s="16">
        <f t="shared" si="222"/>
        <v>152.86441673917579</v>
      </c>
      <c r="V1171" s="17">
        <f t="shared" si="223"/>
        <v>0.31590178032057165</v>
      </c>
      <c r="W1171" s="16">
        <f t="shared" si="219"/>
        <v>1137246.4091540577</v>
      </c>
      <c r="X1171">
        <f>('Hybrid Info'!$A$2-Track!P1171)*(L1171-L1170)*1000+X1170</f>
        <v>-33100.019075711301</v>
      </c>
    </row>
    <row r="1172" spans="1:24">
      <c r="A1172" s="16">
        <f t="shared" si="220"/>
        <v>1171</v>
      </c>
      <c r="B1172" s="17">
        <f t="shared" si="214"/>
        <v>13.411199999999999</v>
      </c>
      <c r="C1172" s="16">
        <f>Specification!$G$29</f>
        <v>164.943378</v>
      </c>
      <c r="D1172" s="17">
        <f>0.5*Specification!$K$4*Track!B1172^2*Specification!$K$3*Specification!$K$2</f>
        <v>93.159842569492653</v>
      </c>
      <c r="E1172" s="16">
        <v>0</v>
      </c>
      <c r="F1172" s="17">
        <f>Specification!$C$23*9.81*SIN((E1172*PI()/180))</f>
        <v>0</v>
      </c>
      <c r="G1172" s="18">
        <f>IF(J1172=1,VLOOKUP(K1172,RPM!$E$2:$H$62,3,FALSE)-F1172-E1172-D1172,IF(J1172=2,VLOOKUP(K1172,RPM!$H$2:$K$62,3,FALSE)-F1172-E1172-D1172,IF(J1172=3,VLOOKUP(K1172,RPM!$K$2:$N$62,3,FALSE)-F1172-E1172-D1172)))</f>
        <v>688.48526429214962</v>
      </c>
      <c r="H1172" s="19">
        <f>IF(J1172=1,Specification!$I$14,IF(J1172=2,Specification!$I$15,IF(J1172=3,Specification!$I$16)))</f>
        <v>582.50936296077191</v>
      </c>
      <c r="I1172" s="16">
        <f t="shared" si="213"/>
        <v>0</v>
      </c>
      <c r="J1172" s="17">
        <v>2</v>
      </c>
      <c r="K1172" s="16">
        <f>IF(J1172=1,VLOOKUP(B1172,RPM!$F$2:$H$62,3,TRUE),IF(J1172=2,VLOOKUP(B1172,RPM!$I$2:$K$62,3,TRUE),IF(J1172=3,VLOOKUP(B1172,RPM!$L$2:$N$62,3,TRUE))))</f>
        <v>7000</v>
      </c>
      <c r="L1172" s="17">
        <f t="shared" si="224"/>
        <v>91.590420311668794</v>
      </c>
      <c r="M1172" s="16">
        <f t="shared" si="215"/>
        <v>0</v>
      </c>
      <c r="N1172" s="17">
        <f>VLOOKUP(K1172,RPM!$A$2:$D$62,3,FALSE)</f>
        <v>13</v>
      </c>
      <c r="O1172" s="16">
        <f>VLOOKUP(K1172,RPM!$A$2:$D$62,4,FALSE)</f>
        <v>13.235857142857142</v>
      </c>
      <c r="P1172" s="17">
        <f t="shared" si="216"/>
        <v>9.8699786714285711</v>
      </c>
      <c r="Q1172" s="16" cm="1">
        <f t="array" ref="Q1172">_xlfn.XLOOKUP(O1172,BSFC!$A$2:$A$24,_xlfn.XLOOKUP(K1172,BSFC!$B$1:$O$1,BSFC!$B$2:$O$24,,-1),,-1)</f>
        <v>520</v>
      </c>
      <c r="R1172" s="17">
        <f t="shared" si="217"/>
        <v>1.425663585873016</v>
      </c>
      <c r="S1172" s="16">
        <f t="shared" si="218"/>
        <v>2.0443068048074323E-4</v>
      </c>
      <c r="T1172" s="17">
        <f t="shared" si="221"/>
        <v>0.10630395384998648</v>
      </c>
      <c r="U1172" s="16">
        <f t="shared" si="222"/>
        <v>152.97072069302578</v>
      </c>
      <c r="V1172" s="17">
        <f t="shared" si="223"/>
        <v>0.31610621100105241</v>
      </c>
      <c r="W1172" s="16">
        <f t="shared" si="219"/>
        <v>1137982.3596037887</v>
      </c>
      <c r="X1172">
        <f>('Hybrid Info'!$A$2-Track!P1172)*(L1172-L1171)*1000+X1171</f>
        <v>-32932.213366725045</v>
      </c>
    </row>
    <row r="1173" spans="1:24">
      <c r="A1173" s="16">
        <f t="shared" si="220"/>
        <v>1172</v>
      </c>
      <c r="B1173" s="17">
        <f t="shared" si="214"/>
        <v>13.411199999999999</v>
      </c>
      <c r="C1173" s="16">
        <f>Specification!$G$29</f>
        <v>164.943378</v>
      </c>
      <c r="D1173" s="17">
        <f>0.5*Specification!$K$4*Track!B1173^2*Specification!$K$3*Specification!$K$2</f>
        <v>93.159842569492653</v>
      </c>
      <c r="E1173" s="16">
        <v>0</v>
      </c>
      <c r="F1173" s="17">
        <f>Specification!$C$23*9.81*SIN((E1173*PI()/180))</f>
        <v>0</v>
      </c>
      <c r="G1173" s="18">
        <f>IF(J1173=1,VLOOKUP(K1173,RPM!$E$2:$H$62,3,FALSE)-F1173-E1173-D1173,IF(J1173=2,VLOOKUP(K1173,RPM!$H$2:$K$62,3,FALSE)-F1173-E1173-D1173,IF(J1173=3,VLOOKUP(K1173,RPM!$K$2:$N$62,3,FALSE)-F1173-E1173-D1173)))</f>
        <v>688.48526429214962</v>
      </c>
      <c r="H1173" s="19">
        <f>IF(J1173=1,Specification!$I$14,IF(J1173=2,Specification!$I$15,IF(J1173=3,Specification!$I$16)))</f>
        <v>582.50936296077191</v>
      </c>
      <c r="I1173" s="16">
        <f t="shared" si="213"/>
        <v>0</v>
      </c>
      <c r="J1173" s="17">
        <v>2</v>
      </c>
      <c r="K1173" s="16">
        <f>IF(J1173=1,VLOOKUP(B1173,RPM!$F$2:$H$62,3,TRUE),IF(J1173=2,VLOOKUP(B1173,RPM!$I$2:$K$62,3,TRUE),IF(J1173=3,VLOOKUP(B1173,RPM!$L$2:$N$62,3,TRUE))))</f>
        <v>7000</v>
      </c>
      <c r="L1173" s="17">
        <f t="shared" si="224"/>
        <v>91.66498485473727</v>
      </c>
      <c r="M1173" s="16">
        <f t="shared" si="215"/>
        <v>0</v>
      </c>
      <c r="N1173" s="17">
        <f>VLOOKUP(K1173,RPM!$A$2:$D$62,3,FALSE)</f>
        <v>13</v>
      </c>
      <c r="O1173" s="16">
        <f>VLOOKUP(K1173,RPM!$A$2:$D$62,4,FALSE)</f>
        <v>13.235857142857142</v>
      </c>
      <c r="P1173" s="17">
        <f t="shared" si="216"/>
        <v>9.8699786714285711</v>
      </c>
      <c r="Q1173" s="16" cm="1">
        <f t="array" ref="Q1173">_xlfn.XLOOKUP(O1173,BSFC!$A$2:$A$24,_xlfn.XLOOKUP(K1173,BSFC!$B$1:$O$1,BSFC!$B$2:$O$24,,-1),,-1)</f>
        <v>520</v>
      </c>
      <c r="R1173" s="17">
        <f t="shared" si="217"/>
        <v>1.425663585873016</v>
      </c>
      <c r="S1173" s="16">
        <f t="shared" si="218"/>
        <v>2.0443068048074323E-4</v>
      </c>
      <c r="T1173" s="17">
        <f t="shared" si="221"/>
        <v>0.10630395384998648</v>
      </c>
      <c r="U1173" s="16">
        <f t="shared" si="222"/>
        <v>153.07702464687577</v>
      </c>
      <c r="V1173" s="17">
        <f t="shared" si="223"/>
        <v>0.31631064168153317</v>
      </c>
      <c r="W1173" s="16">
        <f t="shared" si="219"/>
        <v>1138718.3100535194</v>
      </c>
      <c r="X1173">
        <f>('Hybrid Info'!$A$2-Track!P1173)*(L1173-L1172)*1000+X1172</f>
        <v>-32764.407657738793</v>
      </c>
    </row>
    <row r="1174" spans="1:24">
      <c r="A1174" s="16">
        <f t="shared" si="220"/>
        <v>1173</v>
      </c>
      <c r="B1174" s="17">
        <f t="shared" si="214"/>
        <v>13.411199999999999</v>
      </c>
      <c r="C1174" s="16">
        <f>Specification!$G$29</f>
        <v>164.943378</v>
      </c>
      <c r="D1174" s="17">
        <f>0.5*Specification!$K$4*Track!B1174^2*Specification!$K$3*Specification!$K$2</f>
        <v>93.159842569492653</v>
      </c>
      <c r="E1174" s="16">
        <v>0</v>
      </c>
      <c r="F1174" s="17">
        <f>Specification!$C$23*9.81*SIN((E1174*PI()/180))</f>
        <v>0</v>
      </c>
      <c r="G1174" s="18">
        <f>IF(J1174=1,VLOOKUP(K1174,RPM!$E$2:$H$62,3,FALSE)-F1174-E1174-D1174,IF(J1174=2,VLOOKUP(K1174,RPM!$H$2:$K$62,3,FALSE)-F1174-E1174-D1174,IF(J1174=3,VLOOKUP(K1174,RPM!$K$2:$N$62,3,FALSE)-F1174-E1174-D1174)))</f>
        <v>688.48526429214962</v>
      </c>
      <c r="H1174" s="19">
        <f>IF(J1174=1,Specification!$I$14,IF(J1174=2,Specification!$I$15,IF(J1174=3,Specification!$I$16)))</f>
        <v>582.50936296077191</v>
      </c>
      <c r="I1174" s="16">
        <f t="shared" si="213"/>
        <v>0</v>
      </c>
      <c r="J1174" s="17">
        <v>2</v>
      </c>
      <c r="K1174" s="16">
        <f>IF(J1174=1,VLOOKUP(B1174,RPM!$F$2:$H$62,3,TRUE),IF(J1174=2,VLOOKUP(B1174,RPM!$I$2:$K$62,3,TRUE),IF(J1174=3,VLOOKUP(B1174,RPM!$L$2:$N$62,3,TRUE))))</f>
        <v>7000</v>
      </c>
      <c r="L1174" s="17">
        <f t="shared" si="224"/>
        <v>91.739549397805746</v>
      </c>
      <c r="M1174" s="16">
        <f t="shared" si="215"/>
        <v>0</v>
      </c>
      <c r="N1174" s="17">
        <f>VLOOKUP(K1174,RPM!$A$2:$D$62,3,FALSE)</f>
        <v>13</v>
      </c>
      <c r="O1174" s="16">
        <f>VLOOKUP(K1174,RPM!$A$2:$D$62,4,FALSE)</f>
        <v>13.235857142857142</v>
      </c>
      <c r="P1174" s="17">
        <f t="shared" si="216"/>
        <v>9.8699786714285711</v>
      </c>
      <c r="Q1174" s="16" cm="1">
        <f t="array" ref="Q1174">_xlfn.XLOOKUP(O1174,BSFC!$A$2:$A$24,_xlfn.XLOOKUP(K1174,BSFC!$B$1:$O$1,BSFC!$B$2:$O$24,,-1),,-1)</f>
        <v>520</v>
      </c>
      <c r="R1174" s="17">
        <f t="shared" si="217"/>
        <v>1.425663585873016</v>
      </c>
      <c r="S1174" s="16">
        <f t="shared" si="218"/>
        <v>2.0443068048074323E-4</v>
      </c>
      <c r="T1174" s="17">
        <f t="shared" si="221"/>
        <v>0.10630395384998648</v>
      </c>
      <c r="U1174" s="16">
        <f t="shared" si="222"/>
        <v>153.18332860072576</v>
      </c>
      <c r="V1174" s="17">
        <f t="shared" si="223"/>
        <v>0.31651507236201393</v>
      </c>
      <c r="W1174" s="16">
        <f t="shared" si="219"/>
        <v>1139454.2605032502</v>
      </c>
      <c r="X1174">
        <f>('Hybrid Info'!$A$2-Track!P1174)*(L1174-L1173)*1000+X1173</f>
        <v>-32596.601948752541</v>
      </c>
    </row>
    <row r="1175" spans="1:24">
      <c r="A1175" s="16">
        <f t="shared" si="220"/>
        <v>1174</v>
      </c>
      <c r="B1175" s="17">
        <f t="shared" si="214"/>
        <v>13.411199999999999</v>
      </c>
      <c r="C1175" s="16">
        <f>Specification!$G$29</f>
        <v>164.943378</v>
      </c>
      <c r="D1175" s="17">
        <f>0.5*Specification!$K$4*Track!B1175^2*Specification!$K$3*Specification!$K$2</f>
        <v>93.159842569492653</v>
      </c>
      <c r="E1175" s="16">
        <v>0</v>
      </c>
      <c r="F1175" s="17">
        <f>Specification!$C$23*9.81*SIN((E1175*PI()/180))</f>
        <v>0</v>
      </c>
      <c r="G1175" s="18">
        <f>IF(J1175=1,VLOOKUP(K1175,RPM!$E$2:$H$62,3,FALSE)-F1175-E1175-D1175,IF(J1175=2,VLOOKUP(K1175,RPM!$H$2:$K$62,3,FALSE)-F1175-E1175-D1175,IF(J1175=3,VLOOKUP(K1175,RPM!$K$2:$N$62,3,FALSE)-F1175-E1175-D1175)))</f>
        <v>688.48526429214962</v>
      </c>
      <c r="H1175" s="19">
        <f>IF(J1175=1,Specification!$I$14,IF(J1175=2,Specification!$I$15,IF(J1175=3,Specification!$I$16)))</f>
        <v>582.50936296077191</v>
      </c>
      <c r="I1175" s="16">
        <f t="shared" si="213"/>
        <v>0</v>
      </c>
      <c r="J1175" s="17">
        <v>2</v>
      </c>
      <c r="K1175" s="16">
        <f>IF(J1175=1,VLOOKUP(B1175,RPM!$F$2:$H$62,3,TRUE),IF(J1175=2,VLOOKUP(B1175,RPM!$I$2:$K$62,3,TRUE),IF(J1175=3,VLOOKUP(B1175,RPM!$L$2:$N$62,3,TRUE))))</f>
        <v>7000</v>
      </c>
      <c r="L1175" s="17">
        <f t="shared" si="224"/>
        <v>91.814113940874222</v>
      </c>
      <c r="M1175" s="16">
        <f t="shared" si="215"/>
        <v>0</v>
      </c>
      <c r="N1175" s="17">
        <f>VLOOKUP(K1175,RPM!$A$2:$D$62,3,FALSE)</f>
        <v>13</v>
      </c>
      <c r="O1175" s="16">
        <f>VLOOKUP(K1175,RPM!$A$2:$D$62,4,FALSE)</f>
        <v>13.235857142857142</v>
      </c>
      <c r="P1175" s="17">
        <f t="shared" si="216"/>
        <v>9.8699786714285711</v>
      </c>
      <c r="Q1175" s="16" cm="1">
        <f t="array" ref="Q1175">_xlfn.XLOOKUP(O1175,BSFC!$A$2:$A$24,_xlfn.XLOOKUP(K1175,BSFC!$B$1:$O$1,BSFC!$B$2:$O$24,,-1),,-1)</f>
        <v>520</v>
      </c>
      <c r="R1175" s="17">
        <f t="shared" si="217"/>
        <v>1.425663585873016</v>
      </c>
      <c r="S1175" s="16">
        <f t="shared" si="218"/>
        <v>2.0443068048074323E-4</v>
      </c>
      <c r="T1175" s="17">
        <f t="shared" si="221"/>
        <v>0.10630395384998648</v>
      </c>
      <c r="U1175" s="16">
        <f t="shared" si="222"/>
        <v>153.28963255457575</v>
      </c>
      <c r="V1175" s="17">
        <f t="shared" si="223"/>
        <v>0.31671950304249469</v>
      </c>
      <c r="W1175" s="16">
        <f t="shared" si="219"/>
        <v>1140190.2109529809</v>
      </c>
      <c r="X1175">
        <f>('Hybrid Info'!$A$2-Track!P1175)*(L1175-L1174)*1000+X1174</f>
        <v>-32428.796239766289</v>
      </c>
    </row>
    <row r="1176" spans="1:24">
      <c r="A1176" s="16">
        <f t="shared" si="220"/>
        <v>1175</v>
      </c>
      <c r="B1176" s="17">
        <f t="shared" si="214"/>
        <v>13.411199999999999</v>
      </c>
      <c r="C1176" s="16">
        <f>Specification!$G$29</f>
        <v>164.943378</v>
      </c>
      <c r="D1176" s="17">
        <f>0.5*Specification!$K$4*Track!B1176^2*Specification!$K$3*Specification!$K$2</f>
        <v>93.159842569492653</v>
      </c>
      <c r="E1176" s="16">
        <v>0</v>
      </c>
      <c r="F1176" s="17">
        <f>Specification!$C$23*9.81*SIN((E1176*PI()/180))</f>
        <v>0</v>
      </c>
      <c r="G1176" s="18">
        <f>IF(J1176=1,VLOOKUP(K1176,RPM!$E$2:$H$62,3,FALSE)-F1176-E1176-D1176,IF(J1176=2,VLOOKUP(K1176,RPM!$H$2:$K$62,3,FALSE)-F1176-E1176-D1176,IF(J1176=3,VLOOKUP(K1176,RPM!$K$2:$N$62,3,FALSE)-F1176-E1176-D1176)))</f>
        <v>688.48526429214962</v>
      </c>
      <c r="H1176" s="19">
        <f>IF(J1176=1,Specification!$I$14,IF(J1176=2,Specification!$I$15,IF(J1176=3,Specification!$I$16)))</f>
        <v>582.50936296077191</v>
      </c>
      <c r="I1176" s="16">
        <f t="shared" si="213"/>
        <v>0</v>
      </c>
      <c r="J1176" s="17">
        <v>2</v>
      </c>
      <c r="K1176" s="16">
        <f>IF(J1176=1,VLOOKUP(B1176,RPM!$F$2:$H$62,3,TRUE),IF(J1176=2,VLOOKUP(B1176,RPM!$I$2:$K$62,3,TRUE),IF(J1176=3,VLOOKUP(B1176,RPM!$L$2:$N$62,3,TRUE))))</f>
        <v>7000</v>
      </c>
      <c r="L1176" s="17">
        <f t="shared" si="224"/>
        <v>91.888678483942698</v>
      </c>
      <c r="M1176" s="16">
        <f t="shared" si="215"/>
        <v>0</v>
      </c>
      <c r="N1176" s="17">
        <f>VLOOKUP(K1176,RPM!$A$2:$D$62,3,FALSE)</f>
        <v>13</v>
      </c>
      <c r="O1176" s="16">
        <f>VLOOKUP(K1176,RPM!$A$2:$D$62,4,FALSE)</f>
        <v>13.235857142857142</v>
      </c>
      <c r="P1176" s="17">
        <f t="shared" si="216"/>
        <v>9.8699786714285711</v>
      </c>
      <c r="Q1176" s="16" cm="1">
        <f t="array" ref="Q1176">_xlfn.XLOOKUP(O1176,BSFC!$A$2:$A$24,_xlfn.XLOOKUP(K1176,BSFC!$B$1:$O$1,BSFC!$B$2:$O$24,,-1),,-1)</f>
        <v>520</v>
      </c>
      <c r="R1176" s="17">
        <f t="shared" si="217"/>
        <v>1.425663585873016</v>
      </c>
      <c r="S1176" s="16">
        <f t="shared" si="218"/>
        <v>2.0443068048074323E-4</v>
      </c>
      <c r="T1176" s="17">
        <f t="shared" si="221"/>
        <v>0.10630395384998648</v>
      </c>
      <c r="U1176" s="16">
        <f t="shared" si="222"/>
        <v>153.39593650842573</v>
      </c>
      <c r="V1176" s="17">
        <f t="shared" si="223"/>
        <v>0.31692393372297545</v>
      </c>
      <c r="W1176" s="16">
        <f t="shared" si="219"/>
        <v>1140926.1614027116</v>
      </c>
      <c r="X1176">
        <f>('Hybrid Info'!$A$2-Track!P1176)*(L1176-L1175)*1000+X1175</f>
        <v>-32260.990530780036</v>
      </c>
    </row>
    <row r="1177" spans="1:24">
      <c r="A1177" s="16">
        <f t="shared" si="220"/>
        <v>1176</v>
      </c>
      <c r="B1177" s="17">
        <f t="shared" si="214"/>
        <v>13.411199999999999</v>
      </c>
      <c r="C1177" s="16">
        <f>Specification!$G$29</f>
        <v>164.943378</v>
      </c>
      <c r="D1177" s="17">
        <f>0.5*Specification!$K$4*Track!B1177^2*Specification!$K$3*Specification!$K$2</f>
        <v>93.159842569492653</v>
      </c>
      <c r="E1177" s="16">
        <v>0</v>
      </c>
      <c r="F1177" s="17">
        <f>Specification!$C$23*9.81*SIN((E1177*PI()/180))</f>
        <v>0</v>
      </c>
      <c r="G1177" s="18">
        <f>IF(J1177=1,VLOOKUP(K1177,RPM!$E$2:$H$62,3,FALSE)-F1177-E1177-D1177,IF(J1177=2,VLOOKUP(K1177,RPM!$H$2:$K$62,3,FALSE)-F1177-E1177-D1177,IF(J1177=3,VLOOKUP(K1177,RPM!$K$2:$N$62,3,FALSE)-F1177-E1177-D1177)))</f>
        <v>688.48526429214962</v>
      </c>
      <c r="H1177" s="19">
        <f>IF(J1177=1,Specification!$I$14,IF(J1177=2,Specification!$I$15,IF(J1177=3,Specification!$I$16)))</f>
        <v>582.50936296077191</v>
      </c>
      <c r="I1177" s="16">
        <f t="shared" si="213"/>
        <v>0</v>
      </c>
      <c r="J1177" s="17">
        <v>2</v>
      </c>
      <c r="K1177" s="16">
        <f>IF(J1177=1,VLOOKUP(B1177,RPM!$F$2:$H$62,3,TRUE),IF(J1177=2,VLOOKUP(B1177,RPM!$I$2:$K$62,3,TRUE),IF(J1177=3,VLOOKUP(B1177,RPM!$L$2:$N$62,3,TRUE))))</f>
        <v>7000</v>
      </c>
      <c r="L1177" s="17">
        <f t="shared" si="224"/>
        <v>91.963243027011174</v>
      </c>
      <c r="M1177" s="16">
        <f t="shared" si="215"/>
        <v>0</v>
      </c>
      <c r="N1177" s="17">
        <f>VLOOKUP(K1177,RPM!$A$2:$D$62,3,FALSE)</f>
        <v>13</v>
      </c>
      <c r="O1177" s="16">
        <f>VLOOKUP(K1177,RPM!$A$2:$D$62,4,FALSE)</f>
        <v>13.235857142857142</v>
      </c>
      <c r="P1177" s="17">
        <f t="shared" si="216"/>
        <v>9.8699786714285711</v>
      </c>
      <c r="Q1177" s="16" cm="1">
        <f t="array" ref="Q1177">_xlfn.XLOOKUP(O1177,BSFC!$A$2:$A$24,_xlfn.XLOOKUP(K1177,BSFC!$B$1:$O$1,BSFC!$B$2:$O$24,,-1),,-1)</f>
        <v>520</v>
      </c>
      <c r="R1177" s="17">
        <f t="shared" si="217"/>
        <v>1.425663585873016</v>
      </c>
      <c r="S1177" s="16">
        <f t="shared" si="218"/>
        <v>2.0443068048074323E-4</v>
      </c>
      <c r="T1177" s="17">
        <f t="shared" si="221"/>
        <v>0.10630395384998648</v>
      </c>
      <c r="U1177" s="16">
        <f t="shared" si="222"/>
        <v>153.50224046227572</v>
      </c>
      <c r="V1177" s="17">
        <f t="shared" si="223"/>
        <v>0.31712836440345621</v>
      </c>
      <c r="W1177" s="16">
        <f t="shared" si="219"/>
        <v>1141662.1118524424</v>
      </c>
      <c r="X1177">
        <f>('Hybrid Info'!$A$2-Track!P1177)*(L1177-L1176)*1000+X1176</f>
        <v>-32093.184821793784</v>
      </c>
    </row>
    <row r="1178" spans="1:24">
      <c r="A1178" s="16">
        <f t="shared" si="220"/>
        <v>1177</v>
      </c>
      <c r="B1178" s="17">
        <f t="shared" si="214"/>
        <v>13.411199999999999</v>
      </c>
      <c r="C1178" s="16">
        <f>Specification!$G$29</f>
        <v>164.943378</v>
      </c>
      <c r="D1178" s="17">
        <f>0.5*Specification!$K$4*Track!B1178^2*Specification!$K$3*Specification!$K$2</f>
        <v>93.159842569492653</v>
      </c>
      <c r="E1178" s="16">
        <v>0</v>
      </c>
      <c r="F1178" s="17">
        <f>Specification!$C$23*9.81*SIN((E1178*PI()/180))</f>
        <v>0</v>
      </c>
      <c r="G1178" s="18">
        <f>IF(J1178=1,VLOOKUP(K1178,RPM!$E$2:$H$62,3,FALSE)-F1178-E1178-D1178,IF(J1178=2,VLOOKUP(K1178,RPM!$H$2:$K$62,3,FALSE)-F1178-E1178-D1178,IF(J1178=3,VLOOKUP(K1178,RPM!$K$2:$N$62,3,FALSE)-F1178-E1178-D1178)))</f>
        <v>688.48526429214962</v>
      </c>
      <c r="H1178" s="19">
        <f>IF(J1178=1,Specification!$I$14,IF(J1178=2,Specification!$I$15,IF(J1178=3,Specification!$I$16)))</f>
        <v>582.50936296077191</v>
      </c>
      <c r="I1178" s="16">
        <f t="shared" si="213"/>
        <v>0</v>
      </c>
      <c r="J1178" s="17">
        <v>2</v>
      </c>
      <c r="K1178" s="16">
        <f>IF(J1178=1,VLOOKUP(B1178,RPM!$F$2:$H$62,3,TRUE),IF(J1178=2,VLOOKUP(B1178,RPM!$I$2:$K$62,3,TRUE),IF(J1178=3,VLOOKUP(B1178,RPM!$L$2:$N$62,3,TRUE))))</f>
        <v>7000</v>
      </c>
      <c r="L1178" s="17">
        <f t="shared" si="224"/>
        <v>92.03780757007965</v>
      </c>
      <c r="M1178" s="16">
        <f t="shared" si="215"/>
        <v>0</v>
      </c>
      <c r="N1178" s="17">
        <f>VLOOKUP(K1178,RPM!$A$2:$D$62,3,FALSE)</f>
        <v>13</v>
      </c>
      <c r="O1178" s="16">
        <f>VLOOKUP(K1178,RPM!$A$2:$D$62,4,FALSE)</f>
        <v>13.235857142857142</v>
      </c>
      <c r="P1178" s="17">
        <f t="shared" si="216"/>
        <v>9.8699786714285711</v>
      </c>
      <c r="Q1178" s="16" cm="1">
        <f t="array" ref="Q1178">_xlfn.XLOOKUP(O1178,BSFC!$A$2:$A$24,_xlfn.XLOOKUP(K1178,BSFC!$B$1:$O$1,BSFC!$B$2:$O$24,,-1),,-1)</f>
        <v>520</v>
      </c>
      <c r="R1178" s="17">
        <f t="shared" si="217"/>
        <v>1.425663585873016</v>
      </c>
      <c r="S1178" s="16">
        <f t="shared" si="218"/>
        <v>2.0443068048074323E-4</v>
      </c>
      <c r="T1178" s="17">
        <f t="shared" si="221"/>
        <v>0.10630395384998648</v>
      </c>
      <c r="U1178" s="16">
        <f t="shared" si="222"/>
        <v>153.60854441612571</v>
      </c>
      <c r="V1178" s="17">
        <f t="shared" si="223"/>
        <v>0.31733279508393697</v>
      </c>
      <c r="W1178" s="16">
        <f t="shared" si="219"/>
        <v>1142398.0623021731</v>
      </c>
      <c r="X1178">
        <f>('Hybrid Info'!$A$2-Track!P1178)*(L1178-L1177)*1000+X1177</f>
        <v>-31925.379112807532</v>
      </c>
    </row>
    <row r="1179" spans="1:24">
      <c r="A1179" s="16">
        <f t="shared" si="220"/>
        <v>1178</v>
      </c>
      <c r="B1179" s="17">
        <f t="shared" si="214"/>
        <v>13.411199999999999</v>
      </c>
      <c r="C1179" s="16">
        <f>Specification!$G$29</f>
        <v>164.943378</v>
      </c>
      <c r="D1179" s="17">
        <f>0.5*Specification!$K$4*Track!B1179^2*Specification!$K$3*Specification!$K$2</f>
        <v>93.159842569492653</v>
      </c>
      <c r="E1179" s="16">
        <v>0</v>
      </c>
      <c r="F1179" s="17">
        <f>Specification!$C$23*9.81*SIN((E1179*PI()/180))</f>
        <v>0</v>
      </c>
      <c r="G1179" s="18">
        <f>IF(J1179=1,VLOOKUP(K1179,RPM!$E$2:$H$62,3,FALSE)-F1179-E1179-D1179,IF(J1179=2,VLOOKUP(K1179,RPM!$H$2:$K$62,3,FALSE)-F1179-E1179-D1179,IF(J1179=3,VLOOKUP(K1179,RPM!$K$2:$N$62,3,FALSE)-F1179-E1179-D1179)))</f>
        <v>688.48526429214962</v>
      </c>
      <c r="H1179" s="19">
        <f>IF(J1179=1,Specification!$I$14,IF(J1179=2,Specification!$I$15,IF(J1179=3,Specification!$I$16)))</f>
        <v>582.50936296077191</v>
      </c>
      <c r="I1179" s="16">
        <f t="shared" si="213"/>
        <v>0</v>
      </c>
      <c r="J1179" s="17">
        <v>2</v>
      </c>
      <c r="K1179" s="16">
        <f>IF(J1179=1,VLOOKUP(B1179,RPM!$F$2:$H$62,3,TRUE),IF(J1179=2,VLOOKUP(B1179,RPM!$I$2:$K$62,3,TRUE),IF(J1179=3,VLOOKUP(B1179,RPM!$L$2:$N$62,3,TRUE))))</f>
        <v>7000</v>
      </c>
      <c r="L1179" s="17">
        <f t="shared" si="224"/>
        <v>92.112372113148126</v>
      </c>
      <c r="M1179" s="16">
        <f t="shared" si="215"/>
        <v>0</v>
      </c>
      <c r="N1179" s="17">
        <f>VLOOKUP(K1179,RPM!$A$2:$D$62,3,FALSE)</f>
        <v>13</v>
      </c>
      <c r="O1179" s="16">
        <f>VLOOKUP(K1179,RPM!$A$2:$D$62,4,FALSE)</f>
        <v>13.235857142857142</v>
      </c>
      <c r="P1179" s="17">
        <f t="shared" si="216"/>
        <v>9.8699786714285711</v>
      </c>
      <c r="Q1179" s="16" cm="1">
        <f t="array" ref="Q1179">_xlfn.XLOOKUP(O1179,BSFC!$A$2:$A$24,_xlfn.XLOOKUP(K1179,BSFC!$B$1:$O$1,BSFC!$B$2:$O$24,,-1),,-1)</f>
        <v>520</v>
      </c>
      <c r="R1179" s="17">
        <f t="shared" si="217"/>
        <v>1.425663585873016</v>
      </c>
      <c r="S1179" s="16">
        <f t="shared" si="218"/>
        <v>2.0443068048074323E-4</v>
      </c>
      <c r="T1179" s="17">
        <f t="shared" si="221"/>
        <v>0.10630395384998648</v>
      </c>
      <c r="U1179" s="16">
        <f t="shared" si="222"/>
        <v>153.7148483699757</v>
      </c>
      <c r="V1179" s="17">
        <f t="shared" si="223"/>
        <v>0.31753722576441773</v>
      </c>
      <c r="W1179" s="16">
        <f t="shared" si="219"/>
        <v>1143134.0127519039</v>
      </c>
      <c r="X1179">
        <f>('Hybrid Info'!$A$2-Track!P1179)*(L1179-L1178)*1000+X1178</f>
        <v>-31757.573403821279</v>
      </c>
    </row>
    <row r="1180" spans="1:24">
      <c r="A1180" s="16">
        <f t="shared" si="220"/>
        <v>1179</v>
      </c>
      <c r="B1180" s="17">
        <f t="shared" si="214"/>
        <v>13.411199999999999</v>
      </c>
      <c r="C1180" s="16">
        <f>Specification!$G$29</f>
        <v>164.943378</v>
      </c>
      <c r="D1180" s="17">
        <f>0.5*Specification!$K$4*Track!B1180^2*Specification!$K$3*Specification!$K$2</f>
        <v>93.159842569492653</v>
      </c>
      <c r="E1180" s="16">
        <v>0</v>
      </c>
      <c r="F1180" s="17">
        <f>Specification!$C$23*9.81*SIN((E1180*PI()/180))</f>
        <v>0</v>
      </c>
      <c r="G1180" s="18">
        <f>IF(J1180=1,VLOOKUP(K1180,RPM!$E$2:$H$62,3,FALSE)-F1180-E1180-D1180,IF(J1180=2,VLOOKUP(K1180,RPM!$H$2:$K$62,3,FALSE)-F1180-E1180-D1180,IF(J1180=3,VLOOKUP(K1180,RPM!$K$2:$N$62,3,FALSE)-F1180-E1180-D1180)))</f>
        <v>688.48526429214962</v>
      </c>
      <c r="H1180" s="19">
        <f>IF(J1180=1,Specification!$I$14,IF(J1180=2,Specification!$I$15,IF(J1180=3,Specification!$I$16)))</f>
        <v>582.50936296077191</v>
      </c>
      <c r="I1180" s="16">
        <f t="shared" si="213"/>
        <v>0</v>
      </c>
      <c r="J1180" s="17">
        <v>2</v>
      </c>
      <c r="K1180" s="16">
        <f>IF(J1180=1,VLOOKUP(B1180,RPM!$F$2:$H$62,3,TRUE),IF(J1180=2,VLOOKUP(B1180,RPM!$I$2:$K$62,3,TRUE),IF(J1180=3,VLOOKUP(B1180,RPM!$L$2:$N$62,3,TRUE))))</f>
        <v>7000</v>
      </c>
      <c r="L1180" s="17">
        <f t="shared" si="224"/>
        <v>92.186936656216602</v>
      </c>
      <c r="M1180" s="16">
        <f t="shared" si="215"/>
        <v>0</v>
      </c>
      <c r="N1180" s="17">
        <f>VLOOKUP(K1180,RPM!$A$2:$D$62,3,FALSE)</f>
        <v>13</v>
      </c>
      <c r="O1180" s="16">
        <f>VLOOKUP(K1180,RPM!$A$2:$D$62,4,FALSE)</f>
        <v>13.235857142857142</v>
      </c>
      <c r="P1180" s="17">
        <f t="shared" si="216"/>
        <v>9.8699786714285711</v>
      </c>
      <c r="Q1180" s="16" cm="1">
        <f t="array" ref="Q1180">_xlfn.XLOOKUP(O1180,BSFC!$A$2:$A$24,_xlfn.XLOOKUP(K1180,BSFC!$B$1:$O$1,BSFC!$B$2:$O$24,,-1),,-1)</f>
        <v>520</v>
      </c>
      <c r="R1180" s="17">
        <f t="shared" si="217"/>
        <v>1.425663585873016</v>
      </c>
      <c r="S1180" s="16">
        <f t="shared" si="218"/>
        <v>2.0443068048074323E-4</v>
      </c>
      <c r="T1180" s="17">
        <f t="shared" si="221"/>
        <v>0.10630395384998648</v>
      </c>
      <c r="U1180" s="16">
        <f t="shared" si="222"/>
        <v>153.82115232382569</v>
      </c>
      <c r="V1180" s="17">
        <f t="shared" si="223"/>
        <v>0.31774165644489849</v>
      </c>
      <c r="W1180" s="16">
        <f t="shared" si="219"/>
        <v>1143869.9632016346</v>
      </c>
      <c r="X1180">
        <f>('Hybrid Info'!$A$2-Track!P1180)*(L1180-L1179)*1000+X1179</f>
        <v>-31589.767694835027</v>
      </c>
    </row>
    <row r="1181" spans="1:24">
      <c r="A1181" s="16">
        <f t="shared" si="220"/>
        <v>1180</v>
      </c>
      <c r="B1181" s="17">
        <f t="shared" si="214"/>
        <v>13.411199999999999</v>
      </c>
      <c r="C1181" s="16">
        <f>Specification!$G$29</f>
        <v>164.943378</v>
      </c>
      <c r="D1181" s="17">
        <f>0.5*Specification!$K$4*Track!B1181^2*Specification!$K$3*Specification!$K$2</f>
        <v>93.159842569492653</v>
      </c>
      <c r="E1181" s="16">
        <v>0</v>
      </c>
      <c r="F1181" s="17">
        <f>Specification!$C$23*9.81*SIN((E1181*PI()/180))</f>
        <v>0</v>
      </c>
      <c r="G1181" s="18">
        <f>IF(J1181=1,VLOOKUP(K1181,RPM!$E$2:$H$62,3,FALSE)-F1181-E1181-D1181,IF(J1181=2,VLOOKUP(K1181,RPM!$H$2:$K$62,3,FALSE)-F1181-E1181-D1181,IF(J1181=3,VLOOKUP(K1181,RPM!$K$2:$N$62,3,FALSE)-F1181-E1181-D1181)))</f>
        <v>688.48526429214962</v>
      </c>
      <c r="H1181" s="19">
        <f>IF(J1181=1,Specification!$I$14,IF(J1181=2,Specification!$I$15,IF(J1181=3,Specification!$I$16)))</f>
        <v>582.50936296077191</v>
      </c>
      <c r="I1181" s="16">
        <f t="shared" si="213"/>
        <v>0</v>
      </c>
      <c r="J1181" s="17">
        <v>2</v>
      </c>
      <c r="K1181" s="16">
        <f>IF(J1181=1,VLOOKUP(B1181,RPM!$F$2:$H$62,3,TRUE),IF(J1181=2,VLOOKUP(B1181,RPM!$I$2:$K$62,3,TRUE),IF(J1181=3,VLOOKUP(B1181,RPM!$L$2:$N$62,3,TRUE))))</f>
        <v>7000</v>
      </c>
      <c r="L1181" s="17">
        <f t="shared" si="224"/>
        <v>92.261501199285078</v>
      </c>
      <c r="M1181" s="16">
        <f t="shared" si="215"/>
        <v>0</v>
      </c>
      <c r="N1181" s="17">
        <f>VLOOKUP(K1181,RPM!$A$2:$D$62,3,FALSE)</f>
        <v>13</v>
      </c>
      <c r="O1181" s="16">
        <f>VLOOKUP(K1181,RPM!$A$2:$D$62,4,FALSE)</f>
        <v>13.235857142857142</v>
      </c>
      <c r="P1181" s="17">
        <f t="shared" si="216"/>
        <v>9.8699786714285711</v>
      </c>
      <c r="Q1181" s="16" cm="1">
        <f t="array" ref="Q1181">_xlfn.XLOOKUP(O1181,BSFC!$A$2:$A$24,_xlfn.XLOOKUP(K1181,BSFC!$B$1:$O$1,BSFC!$B$2:$O$24,,-1),,-1)</f>
        <v>520</v>
      </c>
      <c r="R1181" s="17">
        <f t="shared" si="217"/>
        <v>1.425663585873016</v>
      </c>
      <c r="S1181" s="16">
        <f t="shared" si="218"/>
        <v>2.0443068048074323E-4</v>
      </c>
      <c r="T1181" s="17">
        <f t="shared" si="221"/>
        <v>0.10630395384998648</v>
      </c>
      <c r="U1181" s="16">
        <f t="shared" si="222"/>
        <v>153.92745627767567</v>
      </c>
      <c r="V1181" s="17">
        <f t="shared" si="223"/>
        <v>0.31794608712537925</v>
      </c>
      <c r="W1181" s="16">
        <f t="shared" si="219"/>
        <v>1144605.9136513653</v>
      </c>
      <c r="X1181">
        <f>('Hybrid Info'!$A$2-Track!P1181)*(L1181-L1180)*1000+X1180</f>
        <v>-31421.961985848775</v>
      </c>
    </row>
    <row r="1182" spans="1:24">
      <c r="A1182" s="16">
        <f t="shared" si="220"/>
        <v>1181</v>
      </c>
      <c r="B1182" s="17">
        <f t="shared" si="214"/>
        <v>13.411199999999999</v>
      </c>
      <c r="C1182" s="16">
        <f>Specification!$G$29</f>
        <v>164.943378</v>
      </c>
      <c r="D1182" s="17">
        <f>0.5*Specification!$K$4*Track!B1182^2*Specification!$K$3*Specification!$K$2</f>
        <v>93.159842569492653</v>
      </c>
      <c r="E1182" s="16">
        <v>0</v>
      </c>
      <c r="F1182" s="17">
        <f>Specification!$C$23*9.81*SIN((E1182*PI()/180))</f>
        <v>0</v>
      </c>
      <c r="G1182" s="18">
        <f>IF(J1182=1,VLOOKUP(K1182,RPM!$E$2:$H$62,3,FALSE)-F1182-E1182-D1182,IF(J1182=2,VLOOKUP(K1182,RPM!$H$2:$K$62,3,FALSE)-F1182-E1182-D1182,IF(J1182=3,VLOOKUP(K1182,RPM!$K$2:$N$62,3,FALSE)-F1182-E1182-D1182)))</f>
        <v>688.48526429214962</v>
      </c>
      <c r="H1182" s="19">
        <f>IF(J1182=1,Specification!$I$14,IF(J1182=2,Specification!$I$15,IF(J1182=3,Specification!$I$16)))</f>
        <v>582.50936296077191</v>
      </c>
      <c r="I1182" s="16">
        <f t="shared" si="213"/>
        <v>0</v>
      </c>
      <c r="J1182" s="17">
        <v>2</v>
      </c>
      <c r="K1182" s="16">
        <f>IF(J1182=1,VLOOKUP(B1182,RPM!$F$2:$H$62,3,TRUE),IF(J1182=2,VLOOKUP(B1182,RPM!$I$2:$K$62,3,TRUE),IF(J1182=3,VLOOKUP(B1182,RPM!$L$2:$N$62,3,TRUE))))</f>
        <v>7000</v>
      </c>
      <c r="L1182" s="17">
        <f t="shared" si="224"/>
        <v>92.336065742353554</v>
      </c>
      <c r="M1182" s="16">
        <f t="shared" si="215"/>
        <v>0</v>
      </c>
      <c r="N1182" s="17">
        <f>VLOOKUP(K1182,RPM!$A$2:$D$62,3,FALSE)</f>
        <v>13</v>
      </c>
      <c r="O1182" s="16">
        <f>VLOOKUP(K1182,RPM!$A$2:$D$62,4,FALSE)</f>
        <v>13.235857142857142</v>
      </c>
      <c r="P1182" s="17">
        <f t="shared" si="216"/>
        <v>9.8699786714285711</v>
      </c>
      <c r="Q1182" s="16" cm="1">
        <f t="array" ref="Q1182">_xlfn.XLOOKUP(O1182,BSFC!$A$2:$A$24,_xlfn.XLOOKUP(K1182,BSFC!$B$1:$O$1,BSFC!$B$2:$O$24,,-1),,-1)</f>
        <v>520</v>
      </c>
      <c r="R1182" s="17">
        <f t="shared" si="217"/>
        <v>1.425663585873016</v>
      </c>
      <c r="S1182" s="16">
        <f t="shared" si="218"/>
        <v>2.0443068048074323E-4</v>
      </c>
      <c r="T1182" s="17">
        <f t="shared" si="221"/>
        <v>0.10630395384998648</v>
      </c>
      <c r="U1182" s="16">
        <f t="shared" si="222"/>
        <v>154.03376023152566</v>
      </c>
      <c r="V1182" s="17">
        <f t="shared" si="223"/>
        <v>0.31815051780586001</v>
      </c>
      <c r="W1182" s="16">
        <f t="shared" si="219"/>
        <v>1145341.8641010961</v>
      </c>
      <c r="X1182">
        <f>('Hybrid Info'!$A$2-Track!P1182)*(L1182-L1181)*1000+X1181</f>
        <v>-31254.156276862523</v>
      </c>
    </row>
    <row r="1183" spans="1:24">
      <c r="A1183" s="16">
        <f t="shared" si="220"/>
        <v>1182</v>
      </c>
      <c r="B1183" s="17">
        <f t="shared" si="214"/>
        <v>13.411199999999999</v>
      </c>
      <c r="C1183" s="16">
        <f>Specification!$G$29</f>
        <v>164.943378</v>
      </c>
      <c r="D1183" s="17">
        <f>0.5*Specification!$K$4*Track!B1183^2*Specification!$K$3*Specification!$K$2</f>
        <v>93.159842569492653</v>
      </c>
      <c r="E1183" s="16">
        <v>0</v>
      </c>
      <c r="F1183" s="17">
        <f>Specification!$C$23*9.81*SIN((E1183*PI()/180))</f>
        <v>0</v>
      </c>
      <c r="G1183" s="18">
        <f>IF(J1183=1,VLOOKUP(K1183,RPM!$E$2:$H$62,3,FALSE)-F1183-E1183-D1183,IF(J1183=2,VLOOKUP(K1183,RPM!$H$2:$K$62,3,FALSE)-F1183-E1183-D1183,IF(J1183=3,VLOOKUP(K1183,RPM!$K$2:$N$62,3,FALSE)-F1183-E1183-D1183)))</f>
        <v>688.48526429214962</v>
      </c>
      <c r="H1183" s="19">
        <f>IF(J1183=1,Specification!$I$14,IF(J1183=2,Specification!$I$15,IF(J1183=3,Specification!$I$16)))</f>
        <v>582.50936296077191</v>
      </c>
      <c r="I1183" s="16">
        <f t="shared" si="213"/>
        <v>0</v>
      </c>
      <c r="J1183" s="17">
        <v>2</v>
      </c>
      <c r="K1183" s="16">
        <f>IF(J1183=1,VLOOKUP(B1183,RPM!$F$2:$H$62,3,TRUE),IF(J1183=2,VLOOKUP(B1183,RPM!$I$2:$K$62,3,TRUE),IF(J1183=3,VLOOKUP(B1183,RPM!$L$2:$N$62,3,TRUE))))</f>
        <v>7000</v>
      </c>
      <c r="L1183" s="17">
        <f t="shared" si="224"/>
        <v>92.41063028542203</v>
      </c>
      <c r="M1183" s="16">
        <f t="shared" si="215"/>
        <v>0</v>
      </c>
      <c r="N1183" s="17">
        <f>VLOOKUP(K1183,RPM!$A$2:$D$62,3,FALSE)</f>
        <v>13</v>
      </c>
      <c r="O1183" s="16">
        <f>VLOOKUP(K1183,RPM!$A$2:$D$62,4,FALSE)</f>
        <v>13.235857142857142</v>
      </c>
      <c r="P1183" s="17">
        <f t="shared" si="216"/>
        <v>9.8699786714285711</v>
      </c>
      <c r="Q1183" s="16" cm="1">
        <f t="array" ref="Q1183">_xlfn.XLOOKUP(O1183,BSFC!$A$2:$A$24,_xlfn.XLOOKUP(K1183,BSFC!$B$1:$O$1,BSFC!$B$2:$O$24,,-1),,-1)</f>
        <v>520</v>
      </c>
      <c r="R1183" s="17">
        <f t="shared" si="217"/>
        <v>1.425663585873016</v>
      </c>
      <c r="S1183" s="16">
        <f t="shared" si="218"/>
        <v>2.0443068048074323E-4</v>
      </c>
      <c r="T1183" s="17">
        <f t="shared" si="221"/>
        <v>0.10630395384998648</v>
      </c>
      <c r="U1183" s="16">
        <f t="shared" si="222"/>
        <v>154.14006418537565</v>
      </c>
      <c r="V1183" s="17">
        <f t="shared" si="223"/>
        <v>0.31835494848634077</v>
      </c>
      <c r="W1183" s="16">
        <f t="shared" si="219"/>
        <v>1146077.8145508268</v>
      </c>
      <c r="X1183">
        <f>('Hybrid Info'!$A$2-Track!P1183)*(L1183-L1182)*1000+X1182</f>
        <v>-31086.35056787627</v>
      </c>
    </row>
    <row r="1184" spans="1:24">
      <c r="A1184" s="16">
        <f t="shared" si="220"/>
        <v>1183</v>
      </c>
      <c r="B1184" s="17">
        <f t="shared" si="214"/>
        <v>13.411199999999999</v>
      </c>
      <c r="C1184" s="16">
        <f>Specification!$G$29</f>
        <v>164.943378</v>
      </c>
      <c r="D1184" s="17">
        <f>0.5*Specification!$K$4*Track!B1184^2*Specification!$K$3*Specification!$K$2</f>
        <v>93.159842569492653</v>
      </c>
      <c r="E1184" s="16">
        <v>0</v>
      </c>
      <c r="F1184" s="17">
        <f>Specification!$C$23*9.81*SIN((E1184*PI()/180))</f>
        <v>0</v>
      </c>
      <c r="G1184" s="18">
        <f>IF(J1184=1,VLOOKUP(K1184,RPM!$E$2:$H$62,3,FALSE)-F1184-E1184-D1184,IF(J1184=2,VLOOKUP(K1184,RPM!$H$2:$K$62,3,FALSE)-F1184-E1184-D1184,IF(J1184=3,VLOOKUP(K1184,RPM!$K$2:$N$62,3,FALSE)-F1184-E1184-D1184)))</f>
        <v>688.48526429214962</v>
      </c>
      <c r="H1184" s="19">
        <f>IF(J1184=1,Specification!$I$14,IF(J1184=2,Specification!$I$15,IF(J1184=3,Specification!$I$16)))</f>
        <v>582.50936296077191</v>
      </c>
      <c r="I1184" s="16">
        <f t="shared" si="213"/>
        <v>0</v>
      </c>
      <c r="J1184" s="17">
        <v>2</v>
      </c>
      <c r="K1184" s="16">
        <f>IF(J1184=1,VLOOKUP(B1184,RPM!$F$2:$H$62,3,TRUE),IF(J1184=2,VLOOKUP(B1184,RPM!$I$2:$K$62,3,TRUE),IF(J1184=3,VLOOKUP(B1184,RPM!$L$2:$N$62,3,TRUE))))</f>
        <v>7000</v>
      </c>
      <c r="L1184" s="17">
        <f t="shared" si="224"/>
        <v>92.485194828490506</v>
      </c>
      <c r="M1184" s="16">
        <f t="shared" si="215"/>
        <v>0</v>
      </c>
      <c r="N1184" s="17">
        <f>VLOOKUP(K1184,RPM!$A$2:$D$62,3,FALSE)</f>
        <v>13</v>
      </c>
      <c r="O1184" s="16">
        <f>VLOOKUP(K1184,RPM!$A$2:$D$62,4,FALSE)</f>
        <v>13.235857142857142</v>
      </c>
      <c r="P1184" s="17">
        <f t="shared" si="216"/>
        <v>9.8699786714285711</v>
      </c>
      <c r="Q1184" s="16" cm="1">
        <f t="array" ref="Q1184">_xlfn.XLOOKUP(O1184,BSFC!$A$2:$A$24,_xlfn.XLOOKUP(K1184,BSFC!$B$1:$O$1,BSFC!$B$2:$O$24,,-1),,-1)</f>
        <v>520</v>
      </c>
      <c r="R1184" s="17">
        <f t="shared" si="217"/>
        <v>1.425663585873016</v>
      </c>
      <c r="S1184" s="16">
        <f t="shared" si="218"/>
        <v>2.0443068048074323E-4</v>
      </c>
      <c r="T1184" s="17">
        <f t="shared" si="221"/>
        <v>0.10630395384998648</v>
      </c>
      <c r="U1184" s="16">
        <f t="shared" si="222"/>
        <v>154.24636813922564</v>
      </c>
      <c r="V1184" s="17">
        <f t="shared" si="223"/>
        <v>0.31855937916682153</v>
      </c>
      <c r="W1184" s="16">
        <f t="shared" si="219"/>
        <v>1146813.7650005575</v>
      </c>
      <c r="X1184">
        <f>('Hybrid Info'!$A$2-Track!P1184)*(L1184-L1183)*1000+X1183</f>
        <v>-30918.544858890018</v>
      </c>
    </row>
    <row r="1185" spans="1:24">
      <c r="A1185" s="16">
        <f t="shared" si="220"/>
        <v>1184</v>
      </c>
      <c r="B1185" s="17">
        <f t="shared" si="214"/>
        <v>13.411199999999999</v>
      </c>
      <c r="C1185" s="16">
        <f>Specification!$G$29</f>
        <v>164.943378</v>
      </c>
      <c r="D1185" s="17">
        <f>0.5*Specification!$K$4*Track!B1185^2*Specification!$K$3*Specification!$K$2</f>
        <v>93.159842569492653</v>
      </c>
      <c r="E1185" s="16">
        <v>0</v>
      </c>
      <c r="F1185" s="17">
        <f>Specification!$C$23*9.81*SIN((E1185*PI()/180))</f>
        <v>0</v>
      </c>
      <c r="G1185" s="18">
        <f>IF(J1185=1,VLOOKUP(K1185,RPM!$E$2:$H$62,3,FALSE)-F1185-E1185-D1185,IF(J1185=2,VLOOKUP(K1185,RPM!$H$2:$K$62,3,FALSE)-F1185-E1185-D1185,IF(J1185=3,VLOOKUP(K1185,RPM!$K$2:$N$62,3,FALSE)-F1185-E1185-D1185)))</f>
        <v>688.48526429214962</v>
      </c>
      <c r="H1185" s="19">
        <f>IF(J1185=1,Specification!$I$14,IF(J1185=2,Specification!$I$15,IF(J1185=3,Specification!$I$16)))</f>
        <v>582.50936296077191</v>
      </c>
      <c r="I1185" s="16">
        <f t="shared" si="213"/>
        <v>0</v>
      </c>
      <c r="J1185" s="17">
        <v>2</v>
      </c>
      <c r="K1185" s="16">
        <f>IF(J1185=1,VLOOKUP(B1185,RPM!$F$2:$H$62,3,TRUE),IF(J1185=2,VLOOKUP(B1185,RPM!$I$2:$K$62,3,TRUE),IF(J1185=3,VLOOKUP(B1185,RPM!$L$2:$N$62,3,TRUE))))</f>
        <v>7000</v>
      </c>
      <c r="L1185" s="17">
        <f t="shared" si="224"/>
        <v>92.559759371558982</v>
      </c>
      <c r="M1185" s="16">
        <f t="shared" si="215"/>
        <v>0</v>
      </c>
      <c r="N1185" s="17">
        <f>VLOOKUP(K1185,RPM!$A$2:$D$62,3,FALSE)</f>
        <v>13</v>
      </c>
      <c r="O1185" s="16">
        <f>VLOOKUP(K1185,RPM!$A$2:$D$62,4,FALSE)</f>
        <v>13.235857142857142</v>
      </c>
      <c r="P1185" s="17">
        <f t="shared" si="216"/>
        <v>9.8699786714285711</v>
      </c>
      <c r="Q1185" s="16" cm="1">
        <f t="array" ref="Q1185">_xlfn.XLOOKUP(O1185,BSFC!$A$2:$A$24,_xlfn.XLOOKUP(K1185,BSFC!$B$1:$O$1,BSFC!$B$2:$O$24,,-1),,-1)</f>
        <v>520</v>
      </c>
      <c r="R1185" s="17">
        <f t="shared" si="217"/>
        <v>1.425663585873016</v>
      </c>
      <c r="S1185" s="16">
        <f t="shared" si="218"/>
        <v>2.0443068048074323E-4</v>
      </c>
      <c r="T1185" s="17">
        <f t="shared" si="221"/>
        <v>0.10630395384998648</v>
      </c>
      <c r="U1185" s="16">
        <f t="shared" si="222"/>
        <v>154.35267209307563</v>
      </c>
      <c r="V1185" s="17">
        <f t="shared" si="223"/>
        <v>0.31876380984730229</v>
      </c>
      <c r="W1185" s="16">
        <f t="shared" si="219"/>
        <v>1147549.7154502883</v>
      </c>
      <c r="X1185">
        <f>('Hybrid Info'!$A$2-Track!P1185)*(L1185-L1184)*1000+X1184</f>
        <v>-30750.739149903766</v>
      </c>
    </row>
    <row r="1186" spans="1:24">
      <c r="A1186" s="16">
        <f t="shared" si="220"/>
        <v>1185</v>
      </c>
      <c r="B1186" s="17">
        <f t="shared" si="214"/>
        <v>13.411199999999999</v>
      </c>
      <c r="C1186" s="16">
        <f>Specification!$G$29</f>
        <v>164.943378</v>
      </c>
      <c r="D1186" s="17">
        <f>0.5*Specification!$K$4*Track!B1186^2*Specification!$K$3*Specification!$K$2</f>
        <v>93.159842569492653</v>
      </c>
      <c r="E1186" s="16">
        <v>0</v>
      </c>
      <c r="F1186" s="17">
        <f>Specification!$C$23*9.81*SIN((E1186*PI()/180))</f>
        <v>0</v>
      </c>
      <c r="G1186" s="18">
        <f>IF(J1186=1,VLOOKUP(K1186,RPM!$E$2:$H$62,3,FALSE)-F1186-E1186-D1186,IF(J1186=2,VLOOKUP(K1186,RPM!$H$2:$K$62,3,FALSE)-F1186-E1186-D1186,IF(J1186=3,VLOOKUP(K1186,RPM!$K$2:$N$62,3,FALSE)-F1186-E1186-D1186)))</f>
        <v>688.48526429214962</v>
      </c>
      <c r="H1186" s="19">
        <f>IF(J1186=1,Specification!$I$14,IF(J1186=2,Specification!$I$15,IF(J1186=3,Specification!$I$16)))</f>
        <v>582.50936296077191</v>
      </c>
      <c r="I1186" s="16">
        <f t="shared" si="213"/>
        <v>0</v>
      </c>
      <c r="J1186" s="17">
        <v>2</v>
      </c>
      <c r="K1186" s="16">
        <f>IF(J1186=1,VLOOKUP(B1186,RPM!$F$2:$H$62,3,TRUE),IF(J1186=2,VLOOKUP(B1186,RPM!$I$2:$K$62,3,TRUE),IF(J1186=3,VLOOKUP(B1186,RPM!$L$2:$N$62,3,TRUE))))</f>
        <v>7000</v>
      </c>
      <c r="L1186" s="17">
        <f t="shared" si="224"/>
        <v>92.634323914627458</v>
      </c>
      <c r="M1186" s="16">
        <f t="shared" si="215"/>
        <v>0</v>
      </c>
      <c r="N1186" s="17">
        <f>VLOOKUP(K1186,RPM!$A$2:$D$62,3,FALSE)</f>
        <v>13</v>
      </c>
      <c r="O1186" s="16">
        <f>VLOOKUP(K1186,RPM!$A$2:$D$62,4,FALSE)</f>
        <v>13.235857142857142</v>
      </c>
      <c r="P1186" s="17">
        <f t="shared" si="216"/>
        <v>9.8699786714285711</v>
      </c>
      <c r="Q1186" s="16" cm="1">
        <f t="array" ref="Q1186">_xlfn.XLOOKUP(O1186,BSFC!$A$2:$A$24,_xlfn.XLOOKUP(K1186,BSFC!$B$1:$O$1,BSFC!$B$2:$O$24,,-1),,-1)</f>
        <v>520</v>
      </c>
      <c r="R1186" s="17">
        <f t="shared" si="217"/>
        <v>1.425663585873016</v>
      </c>
      <c r="S1186" s="16">
        <f t="shared" si="218"/>
        <v>2.0443068048074323E-4</v>
      </c>
      <c r="T1186" s="17">
        <f t="shared" si="221"/>
        <v>0.10630395384998648</v>
      </c>
      <c r="U1186" s="16">
        <f t="shared" si="222"/>
        <v>154.45897604692561</v>
      </c>
      <c r="V1186" s="17">
        <f t="shared" si="223"/>
        <v>0.31896824052778305</v>
      </c>
      <c r="W1186" s="16">
        <f t="shared" si="219"/>
        <v>1148285.665900019</v>
      </c>
      <c r="X1186">
        <f>('Hybrid Info'!$A$2-Track!P1186)*(L1186-L1185)*1000+X1185</f>
        <v>-30582.933440917514</v>
      </c>
    </row>
    <row r="1187" spans="1:24">
      <c r="A1187" s="16">
        <f t="shared" si="220"/>
        <v>1186</v>
      </c>
      <c r="B1187" s="17">
        <f t="shared" si="214"/>
        <v>13.411199999999999</v>
      </c>
      <c r="C1187" s="16">
        <f>Specification!$G$29</f>
        <v>164.943378</v>
      </c>
      <c r="D1187" s="17">
        <f>0.5*Specification!$K$4*Track!B1187^2*Specification!$K$3*Specification!$K$2</f>
        <v>93.159842569492653</v>
      </c>
      <c r="E1187" s="16">
        <v>0</v>
      </c>
      <c r="F1187" s="17">
        <f>Specification!$C$23*9.81*SIN((E1187*PI()/180))</f>
        <v>0</v>
      </c>
      <c r="G1187" s="18">
        <f>IF(J1187=1,VLOOKUP(K1187,RPM!$E$2:$H$62,3,FALSE)-F1187-E1187-D1187,IF(J1187=2,VLOOKUP(K1187,RPM!$H$2:$K$62,3,FALSE)-F1187-E1187-D1187,IF(J1187=3,VLOOKUP(K1187,RPM!$K$2:$N$62,3,FALSE)-F1187-E1187-D1187)))</f>
        <v>688.48526429214962</v>
      </c>
      <c r="H1187" s="19">
        <f>IF(J1187=1,Specification!$I$14,IF(J1187=2,Specification!$I$15,IF(J1187=3,Specification!$I$16)))</f>
        <v>582.50936296077191</v>
      </c>
      <c r="I1187" s="16">
        <f t="shared" si="213"/>
        <v>0</v>
      </c>
      <c r="J1187" s="17">
        <v>2</v>
      </c>
      <c r="K1187" s="16">
        <f>IF(J1187=1,VLOOKUP(B1187,RPM!$F$2:$H$62,3,TRUE),IF(J1187=2,VLOOKUP(B1187,RPM!$I$2:$K$62,3,TRUE),IF(J1187=3,VLOOKUP(B1187,RPM!$L$2:$N$62,3,TRUE))))</f>
        <v>7000</v>
      </c>
      <c r="L1187" s="17">
        <f t="shared" si="224"/>
        <v>92.708888457695934</v>
      </c>
      <c r="M1187" s="16">
        <f t="shared" si="215"/>
        <v>0</v>
      </c>
      <c r="N1187" s="17">
        <f>VLOOKUP(K1187,RPM!$A$2:$D$62,3,FALSE)</f>
        <v>13</v>
      </c>
      <c r="O1187" s="16">
        <f>VLOOKUP(K1187,RPM!$A$2:$D$62,4,FALSE)</f>
        <v>13.235857142857142</v>
      </c>
      <c r="P1187" s="17">
        <f t="shared" si="216"/>
        <v>9.8699786714285711</v>
      </c>
      <c r="Q1187" s="16" cm="1">
        <f t="array" ref="Q1187">_xlfn.XLOOKUP(O1187,BSFC!$A$2:$A$24,_xlfn.XLOOKUP(K1187,BSFC!$B$1:$O$1,BSFC!$B$2:$O$24,,-1),,-1)</f>
        <v>520</v>
      </c>
      <c r="R1187" s="17">
        <f t="shared" si="217"/>
        <v>1.425663585873016</v>
      </c>
      <c r="S1187" s="16">
        <f t="shared" si="218"/>
        <v>2.0443068048074323E-4</v>
      </c>
      <c r="T1187" s="17">
        <f t="shared" si="221"/>
        <v>0.10630395384998648</v>
      </c>
      <c r="U1187" s="16">
        <f t="shared" si="222"/>
        <v>154.5652800007756</v>
      </c>
      <c r="V1187" s="17">
        <f t="shared" si="223"/>
        <v>0.31917267120826381</v>
      </c>
      <c r="W1187" s="16">
        <f t="shared" si="219"/>
        <v>1149021.6163497497</v>
      </c>
      <c r="X1187">
        <f>('Hybrid Info'!$A$2-Track!P1187)*(L1187-L1186)*1000+X1186</f>
        <v>-30415.127731931261</v>
      </c>
    </row>
    <row r="1188" spans="1:24">
      <c r="A1188" s="16">
        <f t="shared" si="220"/>
        <v>1187</v>
      </c>
      <c r="B1188" s="17">
        <f t="shared" si="214"/>
        <v>13.411199999999999</v>
      </c>
      <c r="C1188" s="16">
        <f>Specification!$G$29</f>
        <v>164.943378</v>
      </c>
      <c r="D1188" s="17">
        <f>0.5*Specification!$K$4*Track!B1188^2*Specification!$K$3*Specification!$K$2</f>
        <v>93.159842569492653</v>
      </c>
      <c r="E1188" s="16">
        <v>0</v>
      </c>
      <c r="F1188" s="17">
        <f>Specification!$C$23*9.81*SIN((E1188*PI()/180))</f>
        <v>0</v>
      </c>
      <c r="G1188" s="18">
        <f>IF(J1188=1,VLOOKUP(K1188,RPM!$E$2:$H$62,3,FALSE)-F1188-E1188-D1188,IF(J1188=2,VLOOKUP(K1188,RPM!$H$2:$K$62,3,FALSE)-F1188-E1188-D1188,IF(J1188=3,VLOOKUP(K1188,RPM!$K$2:$N$62,3,FALSE)-F1188-E1188-D1188)))</f>
        <v>688.48526429214962</v>
      </c>
      <c r="H1188" s="19">
        <f>IF(J1188=1,Specification!$I$14,IF(J1188=2,Specification!$I$15,IF(J1188=3,Specification!$I$16)))</f>
        <v>582.50936296077191</v>
      </c>
      <c r="I1188" s="16">
        <f t="shared" ref="I1188:I1251" si="225">IF(B1188=13.4112,0,G1188/H1188)</f>
        <v>0</v>
      </c>
      <c r="J1188" s="17">
        <v>2</v>
      </c>
      <c r="K1188" s="16">
        <f>IF(J1188=1,VLOOKUP(B1188,RPM!$F$2:$H$62,3,TRUE),IF(J1188=2,VLOOKUP(B1188,RPM!$I$2:$K$62,3,TRUE),IF(J1188=3,VLOOKUP(B1188,RPM!$L$2:$N$62,3,TRUE))))</f>
        <v>7000</v>
      </c>
      <c r="L1188" s="17">
        <f t="shared" si="224"/>
        <v>92.78345300076441</v>
      </c>
      <c r="M1188" s="16">
        <f t="shared" si="215"/>
        <v>0</v>
      </c>
      <c r="N1188" s="17">
        <f>VLOOKUP(K1188,RPM!$A$2:$D$62,3,FALSE)</f>
        <v>13</v>
      </c>
      <c r="O1188" s="16">
        <f>VLOOKUP(K1188,RPM!$A$2:$D$62,4,FALSE)</f>
        <v>13.235857142857142</v>
      </c>
      <c r="P1188" s="17">
        <f t="shared" si="216"/>
        <v>9.8699786714285711</v>
      </c>
      <c r="Q1188" s="16" cm="1">
        <f t="array" ref="Q1188">_xlfn.XLOOKUP(O1188,BSFC!$A$2:$A$24,_xlfn.XLOOKUP(K1188,BSFC!$B$1:$O$1,BSFC!$B$2:$O$24,,-1),,-1)</f>
        <v>520</v>
      </c>
      <c r="R1188" s="17">
        <f t="shared" si="217"/>
        <v>1.425663585873016</v>
      </c>
      <c r="S1188" s="16">
        <f t="shared" si="218"/>
        <v>2.0443068048074323E-4</v>
      </c>
      <c r="T1188" s="17">
        <f t="shared" si="221"/>
        <v>0.10630395384998648</v>
      </c>
      <c r="U1188" s="16">
        <f t="shared" si="222"/>
        <v>154.67158395462559</v>
      </c>
      <c r="V1188" s="17">
        <f t="shared" si="223"/>
        <v>0.31937710188874457</v>
      </c>
      <c r="W1188" s="16">
        <f t="shared" si="219"/>
        <v>1149757.5667994805</v>
      </c>
      <c r="X1188">
        <f>('Hybrid Info'!$A$2-Track!P1188)*(L1188-L1187)*1000+X1187</f>
        <v>-30247.322022945009</v>
      </c>
    </row>
    <row r="1189" spans="1:24">
      <c r="A1189" s="16">
        <f t="shared" si="220"/>
        <v>1188</v>
      </c>
      <c r="B1189" s="17">
        <f t="shared" si="214"/>
        <v>13.411199999999999</v>
      </c>
      <c r="C1189" s="16">
        <f>Specification!$G$29</f>
        <v>164.943378</v>
      </c>
      <c r="D1189" s="17">
        <f>0.5*Specification!$K$4*Track!B1189^2*Specification!$K$3*Specification!$K$2</f>
        <v>93.159842569492653</v>
      </c>
      <c r="E1189" s="16">
        <v>0</v>
      </c>
      <c r="F1189" s="17">
        <f>Specification!$C$23*9.81*SIN((E1189*PI()/180))</f>
        <v>0</v>
      </c>
      <c r="G1189" s="18">
        <f>IF(J1189=1,VLOOKUP(K1189,RPM!$E$2:$H$62,3,FALSE)-F1189-E1189-D1189,IF(J1189=2,VLOOKUP(K1189,RPM!$H$2:$K$62,3,FALSE)-F1189-E1189-D1189,IF(J1189=3,VLOOKUP(K1189,RPM!$K$2:$N$62,3,FALSE)-F1189-E1189-D1189)))</f>
        <v>688.48526429214962</v>
      </c>
      <c r="H1189" s="19">
        <f>IF(J1189=1,Specification!$I$14,IF(J1189=2,Specification!$I$15,IF(J1189=3,Specification!$I$16)))</f>
        <v>582.50936296077191</v>
      </c>
      <c r="I1189" s="16">
        <f t="shared" si="225"/>
        <v>0</v>
      </c>
      <c r="J1189" s="17">
        <v>2</v>
      </c>
      <c r="K1189" s="16">
        <f>IF(J1189=1,VLOOKUP(B1189,RPM!$F$2:$H$62,3,TRUE),IF(J1189=2,VLOOKUP(B1189,RPM!$I$2:$K$62,3,TRUE),IF(J1189=3,VLOOKUP(B1189,RPM!$L$2:$N$62,3,TRUE))))</f>
        <v>7000</v>
      </c>
      <c r="L1189" s="17">
        <f t="shared" si="224"/>
        <v>92.858017543832887</v>
      </c>
      <c r="M1189" s="16">
        <f t="shared" si="215"/>
        <v>0</v>
      </c>
      <c r="N1189" s="17">
        <f>VLOOKUP(K1189,RPM!$A$2:$D$62,3,FALSE)</f>
        <v>13</v>
      </c>
      <c r="O1189" s="16">
        <f>VLOOKUP(K1189,RPM!$A$2:$D$62,4,FALSE)</f>
        <v>13.235857142857142</v>
      </c>
      <c r="P1189" s="17">
        <f t="shared" si="216"/>
        <v>9.8699786714285711</v>
      </c>
      <c r="Q1189" s="16" cm="1">
        <f t="array" ref="Q1189">_xlfn.XLOOKUP(O1189,BSFC!$A$2:$A$24,_xlfn.XLOOKUP(K1189,BSFC!$B$1:$O$1,BSFC!$B$2:$O$24,,-1),,-1)</f>
        <v>520</v>
      </c>
      <c r="R1189" s="17">
        <f t="shared" si="217"/>
        <v>1.425663585873016</v>
      </c>
      <c r="S1189" s="16">
        <f t="shared" si="218"/>
        <v>2.0443068048074323E-4</v>
      </c>
      <c r="T1189" s="17">
        <f t="shared" si="221"/>
        <v>0.10630395384998648</v>
      </c>
      <c r="U1189" s="16">
        <f t="shared" si="222"/>
        <v>154.77788790847558</v>
      </c>
      <c r="V1189" s="17">
        <f t="shared" si="223"/>
        <v>0.31958153256922534</v>
      </c>
      <c r="W1189" s="16">
        <f t="shared" si="219"/>
        <v>1150493.5172492112</v>
      </c>
      <c r="X1189">
        <f>('Hybrid Info'!$A$2-Track!P1189)*(L1189-L1188)*1000+X1188</f>
        <v>-30079.516313958757</v>
      </c>
    </row>
    <row r="1190" spans="1:24">
      <c r="A1190" s="16">
        <f t="shared" si="220"/>
        <v>1189</v>
      </c>
      <c r="B1190" s="17">
        <f t="shared" si="214"/>
        <v>13.411199999999999</v>
      </c>
      <c r="C1190" s="16">
        <f>Specification!$G$29</f>
        <v>164.943378</v>
      </c>
      <c r="D1190" s="17">
        <f>0.5*Specification!$K$4*Track!B1190^2*Specification!$K$3*Specification!$K$2</f>
        <v>93.159842569492653</v>
      </c>
      <c r="E1190" s="16">
        <v>0</v>
      </c>
      <c r="F1190" s="17">
        <f>Specification!$C$23*9.81*SIN((E1190*PI()/180))</f>
        <v>0</v>
      </c>
      <c r="G1190" s="18">
        <f>IF(J1190=1,VLOOKUP(K1190,RPM!$E$2:$H$62,3,FALSE)-F1190-E1190-D1190,IF(J1190=2,VLOOKUP(K1190,RPM!$H$2:$K$62,3,FALSE)-F1190-E1190-D1190,IF(J1190=3,VLOOKUP(K1190,RPM!$K$2:$N$62,3,FALSE)-F1190-E1190-D1190)))</f>
        <v>688.48526429214962</v>
      </c>
      <c r="H1190" s="19">
        <f>IF(J1190=1,Specification!$I$14,IF(J1190=2,Specification!$I$15,IF(J1190=3,Specification!$I$16)))</f>
        <v>582.50936296077191</v>
      </c>
      <c r="I1190" s="16">
        <f t="shared" si="225"/>
        <v>0</v>
      </c>
      <c r="J1190" s="17">
        <v>2</v>
      </c>
      <c r="K1190" s="16">
        <f>IF(J1190=1,VLOOKUP(B1190,RPM!$F$2:$H$62,3,TRUE),IF(J1190=2,VLOOKUP(B1190,RPM!$I$2:$K$62,3,TRUE),IF(J1190=3,VLOOKUP(B1190,RPM!$L$2:$N$62,3,TRUE))))</f>
        <v>7000</v>
      </c>
      <c r="L1190" s="17">
        <f t="shared" si="224"/>
        <v>92.932582086901363</v>
      </c>
      <c r="M1190" s="16">
        <f t="shared" si="215"/>
        <v>0</v>
      </c>
      <c r="N1190" s="17">
        <f>VLOOKUP(K1190,RPM!$A$2:$D$62,3,FALSE)</f>
        <v>13</v>
      </c>
      <c r="O1190" s="16">
        <f>VLOOKUP(K1190,RPM!$A$2:$D$62,4,FALSE)</f>
        <v>13.235857142857142</v>
      </c>
      <c r="P1190" s="17">
        <f t="shared" si="216"/>
        <v>9.8699786714285711</v>
      </c>
      <c r="Q1190" s="16" cm="1">
        <f t="array" ref="Q1190">_xlfn.XLOOKUP(O1190,BSFC!$A$2:$A$24,_xlfn.XLOOKUP(K1190,BSFC!$B$1:$O$1,BSFC!$B$2:$O$24,,-1),,-1)</f>
        <v>520</v>
      </c>
      <c r="R1190" s="17">
        <f t="shared" si="217"/>
        <v>1.425663585873016</v>
      </c>
      <c r="S1190" s="16">
        <f t="shared" si="218"/>
        <v>2.0443068048074323E-4</v>
      </c>
      <c r="T1190" s="17">
        <f t="shared" si="221"/>
        <v>0.10630395384998648</v>
      </c>
      <c r="U1190" s="16">
        <f t="shared" si="222"/>
        <v>154.88419186232557</v>
      </c>
      <c r="V1190" s="17">
        <f t="shared" si="223"/>
        <v>0.3197859632497061</v>
      </c>
      <c r="W1190" s="16">
        <f t="shared" si="219"/>
        <v>1151229.4676989419</v>
      </c>
      <c r="X1190">
        <f>('Hybrid Info'!$A$2-Track!P1190)*(L1190-L1189)*1000+X1189</f>
        <v>-29911.710604972504</v>
      </c>
    </row>
    <row r="1191" spans="1:24">
      <c r="A1191" s="16">
        <f t="shared" si="220"/>
        <v>1190</v>
      </c>
      <c r="B1191" s="17">
        <f t="shared" si="214"/>
        <v>13.411199999999999</v>
      </c>
      <c r="C1191" s="16">
        <f>Specification!$G$29</f>
        <v>164.943378</v>
      </c>
      <c r="D1191" s="17">
        <f>0.5*Specification!$K$4*Track!B1191^2*Specification!$K$3*Specification!$K$2</f>
        <v>93.159842569492653</v>
      </c>
      <c r="E1191" s="16">
        <v>0</v>
      </c>
      <c r="F1191" s="17">
        <f>Specification!$C$23*9.81*SIN((E1191*PI()/180))</f>
        <v>0</v>
      </c>
      <c r="G1191" s="18">
        <f>IF(J1191=1,VLOOKUP(K1191,RPM!$E$2:$H$62,3,FALSE)-F1191-E1191-D1191,IF(J1191=2,VLOOKUP(K1191,RPM!$H$2:$K$62,3,FALSE)-F1191-E1191-D1191,IF(J1191=3,VLOOKUP(K1191,RPM!$K$2:$N$62,3,FALSE)-F1191-E1191-D1191)))</f>
        <v>688.48526429214962</v>
      </c>
      <c r="H1191" s="19">
        <f>IF(J1191=1,Specification!$I$14,IF(J1191=2,Specification!$I$15,IF(J1191=3,Specification!$I$16)))</f>
        <v>582.50936296077191</v>
      </c>
      <c r="I1191" s="16">
        <f t="shared" si="225"/>
        <v>0</v>
      </c>
      <c r="J1191" s="17">
        <v>2</v>
      </c>
      <c r="K1191" s="16">
        <f>IF(J1191=1,VLOOKUP(B1191,RPM!$F$2:$H$62,3,TRUE),IF(J1191=2,VLOOKUP(B1191,RPM!$I$2:$K$62,3,TRUE),IF(J1191=3,VLOOKUP(B1191,RPM!$L$2:$N$62,3,TRUE))))</f>
        <v>7000</v>
      </c>
      <c r="L1191" s="17">
        <f t="shared" si="224"/>
        <v>93.007146629969839</v>
      </c>
      <c r="M1191" s="16">
        <f t="shared" si="215"/>
        <v>0</v>
      </c>
      <c r="N1191" s="17">
        <f>VLOOKUP(K1191,RPM!$A$2:$D$62,3,FALSE)</f>
        <v>13</v>
      </c>
      <c r="O1191" s="16">
        <f>VLOOKUP(K1191,RPM!$A$2:$D$62,4,FALSE)</f>
        <v>13.235857142857142</v>
      </c>
      <c r="P1191" s="17">
        <f t="shared" si="216"/>
        <v>9.8699786714285711</v>
      </c>
      <c r="Q1191" s="16" cm="1">
        <f t="array" ref="Q1191">_xlfn.XLOOKUP(O1191,BSFC!$A$2:$A$24,_xlfn.XLOOKUP(K1191,BSFC!$B$1:$O$1,BSFC!$B$2:$O$24,,-1),,-1)</f>
        <v>520</v>
      </c>
      <c r="R1191" s="17">
        <f t="shared" si="217"/>
        <v>1.425663585873016</v>
      </c>
      <c r="S1191" s="16">
        <f t="shared" si="218"/>
        <v>2.0443068048074323E-4</v>
      </c>
      <c r="T1191" s="17">
        <f t="shared" si="221"/>
        <v>0.10630395384998648</v>
      </c>
      <c r="U1191" s="16">
        <f t="shared" si="222"/>
        <v>154.99049581617555</v>
      </c>
      <c r="V1191" s="17">
        <f t="shared" si="223"/>
        <v>0.31999039393018686</v>
      </c>
      <c r="W1191" s="16">
        <f t="shared" si="219"/>
        <v>1151965.4181486727</v>
      </c>
      <c r="X1191">
        <f>('Hybrid Info'!$A$2-Track!P1191)*(L1191-L1190)*1000+X1190</f>
        <v>-29743.904895986252</v>
      </c>
    </row>
    <row r="1192" spans="1:24">
      <c r="A1192" s="16">
        <f t="shared" si="220"/>
        <v>1191</v>
      </c>
      <c r="B1192" s="17">
        <f t="shared" si="214"/>
        <v>13.411199999999999</v>
      </c>
      <c r="C1192" s="16">
        <f>Specification!$G$29</f>
        <v>164.943378</v>
      </c>
      <c r="D1192" s="17">
        <f>0.5*Specification!$K$4*Track!B1192^2*Specification!$K$3*Specification!$K$2</f>
        <v>93.159842569492653</v>
      </c>
      <c r="E1192" s="16">
        <v>0</v>
      </c>
      <c r="F1192" s="17">
        <f>Specification!$C$23*9.81*SIN((E1192*PI()/180))</f>
        <v>0</v>
      </c>
      <c r="G1192" s="18">
        <f>IF(J1192=1,VLOOKUP(K1192,RPM!$E$2:$H$62,3,FALSE)-F1192-E1192-D1192,IF(J1192=2,VLOOKUP(K1192,RPM!$H$2:$K$62,3,FALSE)-F1192-E1192-D1192,IF(J1192=3,VLOOKUP(K1192,RPM!$K$2:$N$62,3,FALSE)-F1192-E1192-D1192)))</f>
        <v>688.48526429214962</v>
      </c>
      <c r="H1192" s="19">
        <f>IF(J1192=1,Specification!$I$14,IF(J1192=2,Specification!$I$15,IF(J1192=3,Specification!$I$16)))</f>
        <v>582.50936296077191</v>
      </c>
      <c r="I1192" s="16">
        <f t="shared" si="225"/>
        <v>0</v>
      </c>
      <c r="J1192" s="17">
        <v>2</v>
      </c>
      <c r="K1192" s="16">
        <f>IF(J1192=1,VLOOKUP(B1192,RPM!$F$2:$H$62,3,TRUE),IF(J1192=2,VLOOKUP(B1192,RPM!$I$2:$K$62,3,TRUE),IF(J1192=3,VLOOKUP(B1192,RPM!$L$2:$N$62,3,TRUE))))</f>
        <v>7000</v>
      </c>
      <c r="L1192" s="17">
        <f t="shared" si="224"/>
        <v>93.081711173038315</v>
      </c>
      <c r="M1192" s="16">
        <f t="shared" si="215"/>
        <v>0</v>
      </c>
      <c r="N1192" s="17">
        <f>VLOOKUP(K1192,RPM!$A$2:$D$62,3,FALSE)</f>
        <v>13</v>
      </c>
      <c r="O1192" s="16">
        <f>VLOOKUP(K1192,RPM!$A$2:$D$62,4,FALSE)</f>
        <v>13.235857142857142</v>
      </c>
      <c r="P1192" s="17">
        <f t="shared" si="216"/>
        <v>9.8699786714285711</v>
      </c>
      <c r="Q1192" s="16" cm="1">
        <f t="array" ref="Q1192">_xlfn.XLOOKUP(O1192,BSFC!$A$2:$A$24,_xlfn.XLOOKUP(K1192,BSFC!$B$1:$O$1,BSFC!$B$2:$O$24,,-1),,-1)</f>
        <v>520</v>
      </c>
      <c r="R1192" s="17">
        <f t="shared" si="217"/>
        <v>1.425663585873016</v>
      </c>
      <c r="S1192" s="16">
        <f t="shared" si="218"/>
        <v>2.0443068048074323E-4</v>
      </c>
      <c r="T1192" s="17">
        <f t="shared" si="221"/>
        <v>0.10630395384998648</v>
      </c>
      <c r="U1192" s="16">
        <f t="shared" si="222"/>
        <v>155.09679977002554</v>
      </c>
      <c r="V1192" s="17">
        <f t="shared" si="223"/>
        <v>0.32019482461066762</v>
      </c>
      <c r="W1192" s="16">
        <f t="shared" si="219"/>
        <v>1152701.3685984034</v>
      </c>
      <c r="X1192">
        <f>('Hybrid Info'!$A$2-Track!P1192)*(L1192-L1191)*1000+X1191</f>
        <v>-29576.099187</v>
      </c>
    </row>
    <row r="1193" spans="1:24">
      <c r="A1193" s="16">
        <f t="shared" si="220"/>
        <v>1192</v>
      </c>
      <c r="B1193" s="17">
        <f t="shared" si="214"/>
        <v>13.411199999999999</v>
      </c>
      <c r="C1193" s="16">
        <f>Specification!$G$29</f>
        <v>164.943378</v>
      </c>
      <c r="D1193" s="17">
        <f>0.5*Specification!$K$4*Track!B1193^2*Specification!$K$3*Specification!$K$2</f>
        <v>93.159842569492653</v>
      </c>
      <c r="E1193" s="16">
        <v>0</v>
      </c>
      <c r="F1193" s="17">
        <f>Specification!$C$23*9.81*SIN((E1193*PI()/180))</f>
        <v>0</v>
      </c>
      <c r="G1193" s="18">
        <f>IF(J1193=1,VLOOKUP(K1193,RPM!$E$2:$H$62,3,FALSE)-F1193-E1193-D1193,IF(J1193=2,VLOOKUP(K1193,RPM!$H$2:$K$62,3,FALSE)-F1193-E1193-D1193,IF(J1193=3,VLOOKUP(K1193,RPM!$K$2:$N$62,3,FALSE)-F1193-E1193-D1193)))</f>
        <v>688.48526429214962</v>
      </c>
      <c r="H1193" s="19">
        <f>IF(J1193=1,Specification!$I$14,IF(J1193=2,Specification!$I$15,IF(J1193=3,Specification!$I$16)))</f>
        <v>582.50936296077191</v>
      </c>
      <c r="I1193" s="16">
        <f t="shared" si="225"/>
        <v>0</v>
      </c>
      <c r="J1193" s="17">
        <v>2</v>
      </c>
      <c r="K1193" s="16">
        <f>IF(J1193=1,VLOOKUP(B1193,RPM!$F$2:$H$62,3,TRUE),IF(J1193=2,VLOOKUP(B1193,RPM!$I$2:$K$62,3,TRUE),IF(J1193=3,VLOOKUP(B1193,RPM!$L$2:$N$62,3,TRUE))))</f>
        <v>7000</v>
      </c>
      <c r="L1193" s="17">
        <f t="shared" si="224"/>
        <v>93.156275716106791</v>
      </c>
      <c r="M1193" s="16">
        <f t="shared" si="215"/>
        <v>0</v>
      </c>
      <c r="N1193" s="17">
        <f>VLOOKUP(K1193,RPM!$A$2:$D$62,3,FALSE)</f>
        <v>13</v>
      </c>
      <c r="O1193" s="16">
        <f>VLOOKUP(K1193,RPM!$A$2:$D$62,4,FALSE)</f>
        <v>13.235857142857142</v>
      </c>
      <c r="P1193" s="17">
        <f t="shared" si="216"/>
        <v>9.8699786714285711</v>
      </c>
      <c r="Q1193" s="16" cm="1">
        <f t="array" ref="Q1193">_xlfn.XLOOKUP(O1193,BSFC!$A$2:$A$24,_xlfn.XLOOKUP(K1193,BSFC!$B$1:$O$1,BSFC!$B$2:$O$24,,-1),,-1)</f>
        <v>520</v>
      </c>
      <c r="R1193" s="17">
        <f t="shared" si="217"/>
        <v>1.425663585873016</v>
      </c>
      <c r="S1193" s="16">
        <f t="shared" si="218"/>
        <v>2.0443068048074323E-4</v>
      </c>
      <c r="T1193" s="17">
        <f t="shared" si="221"/>
        <v>0.10630395384998648</v>
      </c>
      <c r="U1193" s="16">
        <f t="shared" si="222"/>
        <v>155.20310372387553</v>
      </c>
      <c r="V1193" s="17">
        <f t="shared" si="223"/>
        <v>0.32039925529114838</v>
      </c>
      <c r="W1193" s="16">
        <f t="shared" si="219"/>
        <v>1153437.3190481341</v>
      </c>
      <c r="X1193">
        <f>('Hybrid Info'!$A$2-Track!P1193)*(L1193-L1192)*1000+X1192</f>
        <v>-29408.293478013748</v>
      </c>
    </row>
    <row r="1194" spans="1:24">
      <c r="A1194" s="16">
        <f t="shared" si="220"/>
        <v>1193</v>
      </c>
      <c r="B1194" s="17">
        <f t="shared" si="214"/>
        <v>13.411199999999999</v>
      </c>
      <c r="C1194" s="16">
        <f>Specification!$G$29</f>
        <v>164.943378</v>
      </c>
      <c r="D1194" s="17">
        <f>0.5*Specification!$K$4*Track!B1194^2*Specification!$K$3*Specification!$K$2</f>
        <v>93.159842569492653</v>
      </c>
      <c r="E1194" s="16">
        <v>0</v>
      </c>
      <c r="F1194" s="17">
        <f>Specification!$C$23*9.81*SIN((E1194*PI()/180))</f>
        <v>0</v>
      </c>
      <c r="G1194" s="18">
        <f>IF(J1194=1,VLOOKUP(K1194,RPM!$E$2:$H$62,3,FALSE)-F1194-E1194-D1194,IF(J1194=2,VLOOKUP(K1194,RPM!$H$2:$K$62,3,FALSE)-F1194-E1194-D1194,IF(J1194=3,VLOOKUP(K1194,RPM!$K$2:$N$62,3,FALSE)-F1194-E1194-D1194)))</f>
        <v>688.48526429214962</v>
      </c>
      <c r="H1194" s="19">
        <f>IF(J1194=1,Specification!$I$14,IF(J1194=2,Specification!$I$15,IF(J1194=3,Specification!$I$16)))</f>
        <v>582.50936296077191</v>
      </c>
      <c r="I1194" s="16">
        <f t="shared" si="225"/>
        <v>0</v>
      </c>
      <c r="J1194" s="17">
        <v>2</v>
      </c>
      <c r="K1194" s="16">
        <f>IF(J1194=1,VLOOKUP(B1194,RPM!$F$2:$H$62,3,TRUE),IF(J1194=2,VLOOKUP(B1194,RPM!$I$2:$K$62,3,TRUE),IF(J1194=3,VLOOKUP(B1194,RPM!$L$2:$N$62,3,TRUE))))</f>
        <v>7000</v>
      </c>
      <c r="L1194" s="17">
        <f t="shared" si="224"/>
        <v>93.230840259175267</v>
      </c>
      <c r="M1194" s="16">
        <f t="shared" si="215"/>
        <v>0</v>
      </c>
      <c r="N1194" s="17">
        <f>VLOOKUP(K1194,RPM!$A$2:$D$62,3,FALSE)</f>
        <v>13</v>
      </c>
      <c r="O1194" s="16">
        <f>VLOOKUP(K1194,RPM!$A$2:$D$62,4,FALSE)</f>
        <v>13.235857142857142</v>
      </c>
      <c r="P1194" s="17">
        <f t="shared" si="216"/>
        <v>9.8699786714285711</v>
      </c>
      <c r="Q1194" s="16" cm="1">
        <f t="array" ref="Q1194">_xlfn.XLOOKUP(O1194,BSFC!$A$2:$A$24,_xlfn.XLOOKUP(K1194,BSFC!$B$1:$O$1,BSFC!$B$2:$O$24,,-1),,-1)</f>
        <v>520</v>
      </c>
      <c r="R1194" s="17">
        <f t="shared" si="217"/>
        <v>1.425663585873016</v>
      </c>
      <c r="S1194" s="16">
        <f t="shared" si="218"/>
        <v>2.0443068048074323E-4</v>
      </c>
      <c r="T1194" s="17">
        <f t="shared" si="221"/>
        <v>0.10630395384998648</v>
      </c>
      <c r="U1194" s="16">
        <f t="shared" si="222"/>
        <v>155.30940767772552</v>
      </c>
      <c r="V1194" s="17">
        <f t="shared" si="223"/>
        <v>0.32060368597162914</v>
      </c>
      <c r="W1194" s="16">
        <f t="shared" si="219"/>
        <v>1154173.2694978649</v>
      </c>
      <c r="X1194">
        <f>('Hybrid Info'!$A$2-Track!P1194)*(L1194-L1193)*1000+X1193</f>
        <v>-29240.487769027495</v>
      </c>
    </row>
    <row r="1195" spans="1:24">
      <c r="A1195" s="16">
        <f t="shared" si="220"/>
        <v>1194</v>
      </c>
      <c r="B1195" s="17">
        <f t="shared" si="214"/>
        <v>13.411199999999999</v>
      </c>
      <c r="C1195" s="16">
        <f>Specification!$G$29</f>
        <v>164.943378</v>
      </c>
      <c r="D1195" s="17">
        <f>0.5*Specification!$K$4*Track!B1195^2*Specification!$K$3*Specification!$K$2</f>
        <v>93.159842569492653</v>
      </c>
      <c r="E1195" s="16">
        <v>0</v>
      </c>
      <c r="F1195" s="17">
        <f>Specification!$C$23*9.81*SIN((E1195*PI()/180))</f>
        <v>0</v>
      </c>
      <c r="G1195" s="18">
        <f>IF(J1195=1,VLOOKUP(K1195,RPM!$E$2:$H$62,3,FALSE)-F1195-E1195-D1195,IF(J1195=2,VLOOKUP(K1195,RPM!$H$2:$K$62,3,FALSE)-F1195-E1195-D1195,IF(J1195=3,VLOOKUP(K1195,RPM!$K$2:$N$62,3,FALSE)-F1195-E1195-D1195)))</f>
        <v>688.48526429214962</v>
      </c>
      <c r="H1195" s="19">
        <f>IF(J1195=1,Specification!$I$14,IF(J1195=2,Specification!$I$15,IF(J1195=3,Specification!$I$16)))</f>
        <v>582.50936296077191</v>
      </c>
      <c r="I1195" s="16">
        <f t="shared" si="225"/>
        <v>0</v>
      </c>
      <c r="J1195" s="17">
        <v>2</v>
      </c>
      <c r="K1195" s="16">
        <f>IF(J1195=1,VLOOKUP(B1195,RPM!$F$2:$H$62,3,TRUE),IF(J1195=2,VLOOKUP(B1195,RPM!$I$2:$K$62,3,TRUE),IF(J1195=3,VLOOKUP(B1195,RPM!$L$2:$N$62,3,TRUE))))</f>
        <v>7000</v>
      </c>
      <c r="L1195" s="17">
        <f t="shared" si="224"/>
        <v>93.305404802243743</v>
      </c>
      <c r="M1195" s="16">
        <f t="shared" si="215"/>
        <v>0</v>
      </c>
      <c r="N1195" s="17">
        <f>VLOOKUP(K1195,RPM!$A$2:$D$62,3,FALSE)</f>
        <v>13</v>
      </c>
      <c r="O1195" s="16">
        <f>VLOOKUP(K1195,RPM!$A$2:$D$62,4,FALSE)</f>
        <v>13.235857142857142</v>
      </c>
      <c r="P1195" s="17">
        <f t="shared" si="216"/>
        <v>9.8699786714285711</v>
      </c>
      <c r="Q1195" s="16" cm="1">
        <f t="array" ref="Q1195">_xlfn.XLOOKUP(O1195,BSFC!$A$2:$A$24,_xlfn.XLOOKUP(K1195,BSFC!$B$1:$O$1,BSFC!$B$2:$O$24,,-1),,-1)</f>
        <v>520</v>
      </c>
      <c r="R1195" s="17">
        <f t="shared" si="217"/>
        <v>1.425663585873016</v>
      </c>
      <c r="S1195" s="16">
        <f t="shared" si="218"/>
        <v>2.0443068048074323E-4</v>
      </c>
      <c r="T1195" s="17">
        <f t="shared" si="221"/>
        <v>0.10630395384998648</v>
      </c>
      <c r="U1195" s="16">
        <f t="shared" si="222"/>
        <v>155.4157116315755</v>
      </c>
      <c r="V1195" s="17">
        <f t="shared" si="223"/>
        <v>0.3208081166521099</v>
      </c>
      <c r="W1195" s="16">
        <f t="shared" si="219"/>
        <v>1154909.2199475956</v>
      </c>
      <c r="X1195">
        <f>('Hybrid Info'!$A$2-Track!P1195)*(L1195-L1194)*1000+X1194</f>
        <v>-29072.682060041243</v>
      </c>
    </row>
    <row r="1196" spans="1:24">
      <c r="A1196" s="16">
        <f t="shared" si="220"/>
        <v>1195</v>
      </c>
      <c r="B1196" s="17">
        <f t="shared" si="214"/>
        <v>13.411199999999999</v>
      </c>
      <c r="C1196" s="16">
        <f>Specification!$G$29</f>
        <v>164.943378</v>
      </c>
      <c r="D1196" s="17">
        <f>0.5*Specification!$K$4*Track!B1196^2*Specification!$K$3*Specification!$K$2</f>
        <v>93.159842569492653</v>
      </c>
      <c r="E1196" s="16">
        <v>0</v>
      </c>
      <c r="F1196" s="17">
        <f>Specification!$C$23*9.81*SIN((E1196*PI()/180))</f>
        <v>0</v>
      </c>
      <c r="G1196" s="18">
        <f>IF(J1196=1,VLOOKUP(K1196,RPM!$E$2:$H$62,3,FALSE)-F1196-E1196-D1196,IF(J1196=2,VLOOKUP(K1196,RPM!$H$2:$K$62,3,FALSE)-F1196-E1196-D1196,IF(J1196=3,VLOOKUP(K1196,RPM!$K$2:$N$62,3,FALSE)-F1196-E1196-D1196)))</f>
        <v>688.48526429214962</v>
      </c>
      <c r="H1196" s="19">
        <f>IF(J1196=1,Specification!$I$14,IF(J1196=2,Specification!$I$15,IF(J1196=3,Specification!$I$16)))</f>
        <v>582.50936296077191</v>
      </c>
      <c r="I1196" s="16">
        <f t="shared" si="225"/>
        <v>0</v>
      </c>
      <c r="J1196" s="17">
        <v>2</v>
      </c>
      <c r="K1196" s="16">
        <f>IF(J1196=1,VLOOKUP(B1196,RPM!$F$2:$H$62,3,TRUE),IF(J1196=2,VLOOKUP(B1196,RPM!$I$2:$K$62,3,TRUE),IF(J1196=3,VLOOKUP(B1196,RPM!$L$2:$N$62,3,TRUE))))</f>
        <v>7000</v>
      </c>
      <c r="L1196" s="17">
        <f t="shared" si="224"/>
        <v>93.379969345312219</v>
      </c>
      <c r="M1196" s="16">
        <f t="shared" si="215"/>
        <v>0</v>
      </c>
      <c r="N1196" s="17">
        <f>VLOOKUP(K1196,RPM!$A$2:$D$62,3,FALSE)</f>
        <v>13</v>
      </c>
      <c r="O1196" s="16">
        <f>VLOOKUP(K1196,RPM!$A$2:$D$62,4,FALSE)</f>
        <v>13.235857142857142</v>
      </c>
      <c r="P1196" s="17">
        <f t="shared" si="216"/>
        <v>9.8699786714285711</v>
      </c>
      <c r="Q1196" s="16" cm="1">
        <f t="array" ref="Q1196">_xlfn.XLOOKUP(O1196,BSFC!$A$2:$A$24,_xlfn.XLOOKUP(K1196,BSFC!$B$1:$O$1,BSFC!$B$2:$O$24,,-1),,-1)</f>
        <v>520</v>
      </c>
      <c r="R1196" s="17">
        <f t="shared" si="217"/>
        <v>1.425663585873016</v>
      </c>
      <c r="S1196" s="16">
        <f t="shared" si="218"/>
        <v>2.0443068048074323E-4</v>
      </c>
      <c r="T1196" s="17">
        <f t="shared" si="221"/>
        <v>0.10630395384998648</v>
      </c>
      <c r="U1196" s="16">
        <f t="shared" si="222"/>
        <v>155.52201558542549</v>
      </c>
      <c r="V1196" s="17">
        <f t="shared" si="223"/>
        <v>0.32101254733259066</v>
      </c>
      <c r="W1196" s="16">
        <f t="shared" si="219"/>
        <v>1155645.1703973264</v>
      </c>
      <c r="X1196">
        <f>('Hybrid Info'!$A$2-Track!P1196)*(L1196-L1195)*1000+X1195</f>
        <v>-28904.876351054991</v>
      </c>
    </row>
    <row r="1197" spans="1:24">
      <c r="A1197" s="16">
        <f t="shared" si="220"/>
        <v>1196</v>
      </c>
      <c r="B1197" s="17">
        <f t="shared" si="214"/>
        <v>13.411199999999999</v>
      </c>
      <c r="C1197" s="16">
        <f>Specification!$G$29</f>
        <v>164.943378</v>
      </c>
      <c r="D1197" s="17">
        <f>0.5*Specification!$K$4*Track!B1197^2*Specification!$K$3*Specification!$K$2</f>
        <v>93.159842569492653</v>
      </c>
      <c r="E1197" s="16">
        <v>0</v>
      </c>
      <c r="F1197" s="17">
        <f>Specification!$C$23*9.81*SIN((E1197*PI()/180))</f>
        <v>0</v>
      </c>
      <c r="G1197" s="18">
        <f>IF(J1197=1,VLOOKUP(K1197,RPM!$E$2:$H$62,3,FALSE)-F1197-E1197-D1197,IF(J1197=2,VLOOKUP(K1197,RPM!$H$2:$K$62,3,FALSE)-F1197-E1197-D1197,IF(J1197=3,VLOOKUP(K1197,RPM!$K$2:$N$62,3,FALSE)-F1197-E1197-D1197)))</f>
        <v>688.48526429214962</v>
      </c>
      <c r="H1197" s="19">
        <f>IF(J1197=1,Specification!$I$14,IF(J1197=2,Specification!$I$15,IF(J1197=3,Specification!$I$16)))</f>
        <v>582.50936296077191</v>
      </c>
      <c r="I1197" s="16">
        <f t="shared" si="225"/>
        <v>0</v>
      </c>
      <c r="J1197" s="17">
        <v>2</v>
      </c>
      <c r="K1197" s="16">
        <f>IF(J1197=1,VLOOKUP(B1197,RPM!$F$2:$H$62,3,TRUE),IF(J1197=2,VLOOKUP(B1197,RPM!$I$2:$K$62,3,TRUE),IF(J1197=3,VLOOKUP(B1197,RPM!$L$2:$N$62,3,TRUE))))</f>
        <v>7000</v>
      </c>
      <c r="L1197" s="17">
        <f t="shared" si="224"/>
        <v>93.454533888380695</v>
      </c>
      <c r="M1197" s="16">
        <f t="shared" si="215"/>
        <v>0</v>
      </c>
      <c r="N1197" s="17">
        <f>VLOOKUP(K1197,RPM!$A$2:$D$62,3,FALSE)</f>
        <v>13</v>
      </c>
      <c r="O1197" s="16">
        <f>VLOOKUP(K1197,RPM!$A$2:$D$62,4,FALSE)</f>
        <v>13.235857142857142</v>
      </c>
      <c r="P1197" s="17">
        <f t="shared" si="216"/>
        <v>9.8699786714285711</v>
      </c>
      <c r="Q1197" s="16" cm="1">
        <f t="array" ref="Q1197">_xlfn.XLOOKUP(O1197,BSFC!$A$2:$A$24,_xlfn.XLOOKUP(K1197,BSFC!$B$1:$O$1,BSFC!$B$2:$O$24,,-1),,-1)</f>
        <v>520</v>
      </c>
      <c r="R1197" s="17">
        <f t="shared" si="217"/>
        <v>1.425663585873016</v>
      </c>
      <c r="S1197" s="16">
        <f t="shared" si="218"/>
        <v>2.0443068048074323E-4</v>
      </c>
      <c r="T1197" s="17">
        <f t="shared" si="221"/>
        <v>0.10630395384998648</v>
      </c>
      <c r="U1197" s="16">
        <f t="shared" si="222"/>
        <v>155.62831953927548</v>
      </c>
      <c r="V1197" s="17">
        <f t="shared" si="223"/>
        <v>0.32121697801307142</v>
      </c>
      <c r="W1197" s="16">
        <f t="shared" si="219"/>
        <v>1156381.1208470571</v>
      </c>
      <c r="X1197">
        <f>('Hybrid Info'!$A$2-Track!P1197)*(L1197-L1196)*1000+X1196</f>
        <v>-28737.070642068738</v>
      </c>
    </row>
    <row r="1198" spans="1:24">
      <c r="A1198" s="16">
        <f t="shared" si="220"/>
        <v>1197</v>
      </c>
      <c r="B1198" s="17">
        <f t="shared" si="214"/>
        <v>13.411199999999999</v>
      </c>
      <c r="C1198" s="16">
        <f>Specification!$G$29</f>
        <v>164.943378</v>
      </c>
      <c r="D1198" s="17">
        <f>0.5*Specification!$K$4*Track!B1198^2*Specification!$K$3*Specification!$K$2</f>
        <v>93.159842569492653</v>
      </c>
      <c r="E1198" s="16">
        <v>0</v>
      </c>
      <c r="F1198" s="17">
        <f>Specification!$C$23*9.81*SIN((E1198*PI()/180))</f>
        <v>0</v>
      </c>
      <c r="G1198" s="18">
        <f>IF(J1198=1,VLOOKUP(K1198,RPM!$E$2:$H$62,3,FALSE)-F1198-E1198-D1198,IF(J1198=2,VLOOKUP(K1198,RPM!$H$2:$K$62,3,FALSE)-F1198-E1198-D1198,IF(J1198=3,VLOOKUP(K1198,RPM!$K$2:$N$62,3,FALSE)-F1198-E1198-D1198)))</f>
        <v>688.48526429214962</v>
      </c>
      <c r="H1198" s="19">
        <f>IF(J1198=1,Specification!$I$14,IF(J1198=2,Specification!$I$15,IF(J1198=3,Specification!$I$16)))</f>
        <v>582.50936296077191</v>
      </c>
      <c r="I1198" s="16">
        <f t="shared" si="225"/>
        <v>0</v>
      </c>
      <c r="J1198" s="17">
        <v>2</v>
      </c>
      <c r="K1198" s="16">
        <f>IF(J1198=1,VLOOKUP(B1198,RPM!$F$2:$H$62,3,TRUE),IF(J1198=2,VLOOKUP(B1198,RPM!$I$2:$K$62,3,TRUE),IF(J1198=3,VLOOKUP(B1198,RPM!$L$2:$N$62,3,TRUE))))</f>
        <v>7000</v>
      </c>
      <c r="L1198" s="17">
        <f t="shared" si="224"/>
        <v>93.529098431449171</v>
      </c>
      <c r="M1198" s="16">
        <f t="shared" si="215"/>
        <v>0</v>
      </c>
      <c r="N1198" s="17">
        <f>VLOOKUP(K1198,RPM!$A$2:$D$62,3,FALSE)</f>
        <v>13</v>
      </c>
      <c r="O1198" s="16">
        <f>VLOOKUP(K1198,RPM!$A$2:$D$62,4,FALSE)</f>
        <v>13.235857142857142</v>
      </c>
      <c r="P1198" s="17">
        <f t="shared" si="216"/>
        <v>9.8699786714285711</v>
      </c>
      <c r="Q1198" s="16" cm="1">
        <f t="array" ref="Q1198">_xlfn.XLOOKUP(O1198,BSFC!$A$2:$A$24,_xlfn.XLOOKUP(K1198,BSFC!$B$1:$O$1,BSFC!$B$2:$O$24,,-1),,-1)</f>
        <v>520</v>
      </c>
      <c r="R1198" s="17">
        <f t="shared" si="217"/>
        <v>1.425663585873016</v>
      </c>
      <c r="S1198" s="16">
        <f t="shared" si="218"/>
        <v>2.0443068048074323E-4</v>
      </c>
      <c r="T1198" s="17">
        <f t="shared" si="221"/>
        <v>0.10630395384998648</v>
      </c>
      <c r="U1198" s="16">
        <f t="shared" si="222"/>
        <v>155.73462349312547</v>
      </c>
      <c r="V1198" s="17">
        <f t="shared" si="223"/>
        <v>0.32142140869355218</v>
      </c>
      <c r="W1198" s="16">
        <f t="shared" si="219"/>
        <v>1157117.0712967878</v>
      </c>
      <c r="X1198">
        <f>('Hybrid Info'!$A$2-Track!P1198)*(L1198-L1197)*1000+X1197</f>
        <v>-28569.264933082486</v>
      </c>
    </row>
    <row r="1199" spans="1:24">
      <c r="A1199" s="16">
        <f t="shared" si="220"/>
        <v>1198</v>
      </c>
      <c r="B1199" s="17">
        <f t="shared" si="214"/>
        <v>13.411199999999999</v>
      </c>
      <c r="C1199" s="16">
        <f>Specification!$G$29</f>
        <v>164.943378</v>
      </c>
      <c r="D1199" s="17">
        <f>0.5*Specification!$K$4*Track!B1199^2*Specification!$K$3*Specification!$K$2</f>
        <v>93.159842569492653</v>
      </c>
      <c r="E1199" s="16">
        <v>0</v>
      </c>
      <c r="F1199" s="17">
        <f>Specification!$C$23*9.81*SIN((E1199*PI()/180))</f>
        <v>0</v>
      </c>
      <c r="G1199" s="18">
        <f>IF(J1199=1,VLOOKUP(K1199,RPM!$E$2:$H$62,3,FALSE)-F1199-E1199-D1199,IF(J1199=2,VLOOKUP(K1199,RPM!$H$2:$K$62,3,FALSE)-F1199-E1199-D1199,IF(J1199=3,VLOOKUP(K1199,RPM!$K$2:$N$62,3,FALSE)-F1199-E1199-D1199)))</f>
        <v>688.48526429214962</v>
      </c>
      <c r="H1199" s="19">
        <f>IF(J1199=1,Specification!$I$14,IF(J1199=2,Specification!$I$15,IF(J1199=3,Specification!$I$16)))</f>
        <v>582.50936296077191</v>
      </c>
      <c r="I1199" s="16">
        <f t="shared" si="225"/>
        <v>0</v>
      </c>
      <c r="J1199" s="17">
        <v>2</v>
      </c>
      <c r="K1199" s="16">
        <f>IF(J1199=1,VLOOKUP(B1199,RPM!$F$2:$H$62,3,TRUE),IF(J1199=2,VLOOKUP(B1199,RPM!$I$2:$K$62,3,TRUE),IF(J1199=3,VLOOKUP(B1199,RPM!$L$2:$N$62,3,TRUE))))</f>
        <v>7000</v>
      </c>
      <c r="L1199" s="17">
        <f t="shared" si="224"/>
        <v>93.603662974517647</v>
      </c>
      <c r="M1199" s="16">
        <f t="shared" si="215"/>
        <v>0</v>
      </c>
      <c r="N1199" s="17">
        <f>VLOOKUP(K1199,RPM!$A$2:$D$62,3,FALSE)</f>
        <v>13</v>
      </c>
      <c r="O1199" s="16">
        <f>VLOOKUP(K1199,RPM!$A$2:$D$62,4,FALSE)</f>
        <v>13.235857142857142</v>
      </c>
      <c r="P1199" s="17">
        <f t="shared" si="216"/>
        <v>9.8699786714285711</v>
      </c>
      <c r="Q1199" s="16" cm="1">
        <f t="array" ref="Q1199">_xlfn.XLOOKUP(O1199,BSFC!$A$2:$A$24,_xlfn.XLOOKUP(K1199,BSFC!$B$1:$O$1,BSFC!$B$2:$O$24,,-1),,-1)</f>
        <v>520</v>
      </c>
      <c r="R1199" s="17">
        <f t="shared" si="217"/>
        <v>1.425663585873016</v>
      </c>
      <c r="S1199" s="16">
        <f t="shared" si="218"/>
        <v>2.0443068048074323E-4</v>
      </c>
      <c r="T1199" s="17">
        <f t="shared" si="221"/>
        <v>0.10630395384998648</v>
      </c>
      <c r="U1199" s="16">
        <f t="shared" si="222"/>
        <v>155.84092744697546</v>
      </c>
      <c r="V1199" s="17">
        <f t="shared" si="223"/>
        <v>0.32162583937403294</v>
      </c>
      <c r="W1199" s="16">
        <f t="shared" si="219"/>
        <v>1157853.0217465186</v>
      </c>
      <c r="X1199">
        <f>('Hybrid Info'!$A$2-Track!P1199)*(L1199-L1198)*1000+X1198</f>
        <v>-28401.459224096234</v>
      </c>
    </row>
    <row r="1200" spans="1:24">
      <c r="A1200" s="16">
        <f t="shared" si="220"/>
        <v>1199</v>
      </c>
      <c r="B1200" s="17">
        <f t="shared" si="214"/>
        <v>13.411199999999999</v>
      </c>
      <c r="C1200" s="16">
        <f>Specification!$G$29</f>
        <v>164.943378</v>
      </c>
      <c r="D1200" s="17">
        <f>0.5*Specification!$K$4*Track!B1200^2*Specification!$K$3*Specification!$K$2</f>
        <v>93.159842569492653</v>
      </c>
      <c r="E1200" s="16">
        <v>0</v>
      </c>
      <c r="F1200" s="17">
        <f>Specification!$C$23*9.81*SIN((E1200*PI()/180))</f>
        <v>0</v>
      </c>
      <c r="G1200" s="18">
        <f>IF(J1200=1,VLOOKUP(K1200,RPM!$E$2:$H$62,3,FALSE)-F1200-E1200-D1200,IF(J1200=2,VLOOKUP(K1200,RPM!$H$2:$K$62,3,FALSE)-F1200-E1200-D1200,IF(J1200=3,VLOOKUP(K1200,RPM!$K$2:$N$62,3,FALSE)-F1200-E1200-D1200)))</f>
        <v>688.48526429214962</v>
      </c>
      <c r="H1200" s="19">
        <f>IF(J1200=1,Specification!$I$14,IF(J1200=2,Specification!$I$15,IF(J1200=3,Specification!$I$16)))</f>
        <v>582.50936296077191</v>
      </c>
      <c r="I1200" s="16">
        <f t="shared" si="225"/>
        <v>0</v>
      </c>
      <c r="J1200" s="17">
        <v>2</v>
      </c>
      <c r="K1200" s="16">
        <f>IF(J1200=1,VLOOKUP(B1200,RPM!$F$2:$H$62,3,TRUE),IF(J1200=2,VLOOKUP(B1200,RPM!$I$2:$K$62,3,TRUE),IF(J1200=3,VLOOKUP(B1200,RPM!$L$2:$N$62,3,TRUE))))</f>
        <v>7000</v>
      </c>
      <c r="L1200" s="17">
        <f t="shared" si="224"/>
        <v>93.678227517586123</v>
      </c>
      <c r="M1200" s="16">
        <f t="shared" si="215"/>
        <v>0</v>
      </c>
      <c r="N1200" s="17">
        <f>VLOOKUP(K1200,RPM!$A$2:$D$62,3,FALSE)</f>
        <v>13</v>
      </c>
      <c r="O1200" s="16">
        <f>VLOOKUP(K1200,RPM!$A$2:$D$62,4,FALSE)</f>
        <v>13.235857142857142</v>
      </c>
      <c r="P1200" s="17">
        <f t="shared" si="216"/>
        <v>9.8699786714285711</v>
      </c>
      <c r="Q1200" s="16" cm="1">
        <f t="array" ref="Q1200">_xlfn.XLOOKUP(O1200,BSFC!$A$2:$A$24,_xlfn.XLOOKUP(K1200,BSFC!$B$1:$O$1,BSFC!$B$2:$O$24,,-1),,-1)</f>
        <v>520</v>
      </c>
      <c r="R1200" s="17">
        <f t="shared" si="217"/>
        <v>1.425663585873016</v>
      </c>
      <c r="S1200" s="16">
        <f t="shared" si="218"/>
        <v>2.0443068048074323E-4</v>
      </c>
      <c r="T1200" s="17">
        <f t="shared" si="221"/>
        <v>0.10630395384998648</v>
      </c>
      <c r="U1200" s="16">
        <f t="shared" si="222"/>
        <v>155.94723140082544</v>
      </c>
      <c r="V1200" s="17">
        <f t="shared" si="223"/>
        <v>0.3218302700545137</v>
      </c>
      <c r="W1200" s="16">
        <f t="shared" si="219"/>
        <v>1158588.9721962493</v>
      </c>
      <c r="X1200">
        <f>('Hybrid Info'!$A$2-Track!P1200)*(L1200-L1199)*1000+X1199</f>
        <v>-28233.653515109982</v>
      </c>
    </row>
    <row r="1201" spans="1:24">
      <c r="A1201" s="16">
        <f t="shared" si="220"/>
        <v>1200</v>
      </c>
      <c r="B1201" s="17">
        <f t="shared" ref="B1201:B1264" si="226">IF(SQRT(B1200^2+2*I1200)&gt;13.4112,13.4112,SQRT(B1200^2+2*I1200))</f>
        <v>13.411199999999999</v>
      </c>
      <c r="C1201" s="16">
        <f>Specification!$G$29</f>
        <v>164.943378</v>
      </c>
      <c r="D1201" s="17">
        <f>0.5*Specification!$K$4*Track!B1201^2*Specification!$K$3*Specification!$K$2</f>
        <v>93.159842569492653</v>
      </c>
      <c r="E1201" s="16">
        <v>0</v>
      </c>
      <c r="F1201" s="17">
        <f>Specification!$C$23*9.81*SIN((E1201*PI()/180))</f>
        <v>0</v>
      </c>
      <c r="G1201" s="18">
        <f>IF(J1201=1,VLOOKUP(K1201,RPM!$E$2:$H$62,3,FALSE)-F1201-E1201-D1201,IF(J1201=2,VLOOKUP(K1201,RPM!$H$2:$K$62,3,FALSE)-F1201-E1201-D1201,IF(J1201=3,VLOOKUP(K1201,RPM!$K$2:$N$62,3,FALSE)-F1201-E1201-D1201)))</f>
        <v>688.48526429214962</v>
      </c>
      <c r="H1201" s="19">
        <f>IF(J1201=1,Specification!$I$14,IF(J1201=2,Specification!$I$15,IF(J1201=3,Specification!$I$16)))</f>
        <v>582.50936296077191</v>
      </c>
      <c r="I1201" s="16">
        <f t="shared" si="225"/>
        <v>0</v>
      </c>
      <c r="J1201" s="17">
        <v>2</v>
      </c>
      <c r="K1201" s="16">
        <f>IF(J1201=1,VLOOKUP(B1201,RPM!$F$2:$H$62,3,TRUE),IF(J1201=2,VLOOKUP(B1201,RPM!$I$2:$K$62,3,TRUE),IF(J1201=3,VLOOKUP(B1201,RPM!$L$2:$N$62,3,TRUE))))</f>
        <v>7000</v>
      </c>
      <c r="L1201" s="17">
        <f t="shared" si="224"/>
        <v>93.752792060654599</v>
      </c>
      <c r="M1201" s="16">
        <f t="shared" ref="M1201:M1261" si="227">TAN(E1201*PI()/180)+M1200</f>
        <v>0</v>
      </c>
      <c r="N1201" s="17">
        <f>VLOOKUP(K1201,RPM!$A$2:$D$62,3,FALSE)</f>
        <v>13</v>
      </c>
      <c r="O1201" s="16">
        <f>VLOOKUP(K1201,RPM!$A$2:$D$62,4,FALSE)</f>
        <v>13.235857142857142</v>
      </c>
      <c r="P1201" s="17">
        <f t="shared" si="216"/>
        <v>9.8699786714285711</v>
      </c>
      <c r="Q1201" s="16" cm="1">
        <f t="array" ref="Q1201">_xlfn.XLOOKUP(O1201,BSFC!$A$2:$A$24,_xlfn.XLOOKUP(K1201,BSFC!$B$1:$O$1,BSFC!$B$2:$O$24,,-1),,-1)</f>
        <v>520</v>
      </c>
      <c r="R1201" s="17">
        <f t="shared" si="217"/>
        <v>1.425663585873016</v>
      </c>
      <c r="S1201" s="16">
        <f t="shared" si="218"/>
        <v>2.0443068048074323E-4</v>
      </c>
      <c r="T1201" s="17">
        <f t="shared" si="221"/>
        <v>0.10630395384998648</v>
      </c>
      <c r="U1201" s="16">
        <f t="shared" si="222"/>
        <v>156.05353535467543</v>
      </c>
      <c r="V1201" s="17">
        <f t="shared" si="223"/>
        <v>0.32203470073499446</v>
      </c>
      <c r="W1201" s="16">
        <f t="shared" si="219"/>
        <v>1159324.9226459803</v>
      </c>
      <c r="X1201">
        <f>('Hybrid Info'!$A$2-Track!P1201)*(L1201-L1200)*1000+X1200</f>
        <v>-28065.847806123729</v>
      </c>
    </row>
    <row r="1202" spans="1:24">
      <c r="A1202" s="16">
        <f t="shared" si="220"/>
        <v>1201</v>
      </c>
      <c r="B1202" s="17">
        <f t="shared" si="226"/>
        <v>13.411199999999999</v>
      </c>
      <c r="C1202" s="16">
        <f>Specification!$G$29</f>
        <v>164.943378</v>
      </c>
      <c r="D1202" s="17">
        <f>0.5*Specification!$K$4*Track!B1202^2*Specification!$K$3*Specification!$K$2</f>
        <v>93.159842569492653</v>
      </c>
      <c r="E1202" s="16">
        <v>0</v>
      </c>
      <c r="F1202" s="17">
        <f>Specification!$C$23*9.81*SIN((E1202*PI()/180))</f>
        <v>0</v>
      </c>
      <c r="G1202" s="18">
        <f>IF(J1202=1,VLOOKUP(K1202,RPM!$E$2:$H$62,3,FALSE)-F1202-E1202-D1202,IF(J1202=2,VLOOKUP(K1202,RPM!$H$2:$K$62,3,FALSE)-F1202-E1202-D1202,IF(J1202=3,VLOOKUP(K1202,RPM!$K$2:$N$62,3,FALSE)-F1202-E1202-D1202)))</f>
        <v>688.48526429214962</v>
      </c>
      <c r="H1202" s="19">
        <f>IF(J1202=1,Specification!$I$14,IF(J1202=2,Specification!$I$15,IF(J1202=3,Specification!$I$16)))</f>
        <v>582.50936296077191</v>
      </c>
      <c r="I1202" s="16">
        <f t="shared" si="225"/>
        <v>0</v>
      </c>
      <c r="J1202" s="17">
        <v>2</v>
      </c>
      <c r="K1202" s="16">
        <f>IF(J1202=1,VLOOKUP(B1202,RPM!$F$2:$H$62,3,TRUE),IF(J1202=2,VLOOKUP(B1202,RPM!$I$2:$K$62,3,TRUE),IF(J1202=3,VLOOKUP(B1202,RPM!$L$2:$N$62,3,TRUE))))</f>
        <v>7000</v>
      </c>
      <c r="L1202" s="17">
        <f t="shared" si="224"/>
        <v>93.827356603723075</v>
      </c>
      <c r="M1202" s="16">
        <f t="shared" si="227"/>
        <v>0</v>
      </c>
      <c r="N1202" s="17">
        <f>VLOOKUP(K1202,RPM!$A$2:$D$62,3,FALSE)</f>
        <v>13</v>
      </c>
      <c r="O1202" s="16">
        <f>VLOOKUP(K1202,RPM!$A$2:$D$62,4,FALSE)</f>
        <v>13.235857142857142</v>
      </c>
      <c r="P1202" s="17">
        <f t="shared" si="216"/>
        <v>9.8699786714285711</v>
      </c>
      <c r="Q1202" s="16" cm="1">
        <f t="array" ref="Q1202">_xlfn.XLOOKUP(O1202,BSFC!$A$2:$A$24,_xlfn.XLOOKUP(K1202,BSFC!$B$1:$O$1,BSFC!$B$2:$O$24,,-1),,-1)</f>
        <v>520</v>
      </c>
      <c r="R1202" s="17">
        <f t="shared" si="217"/>
        <v>1.425663585873016</v>
      </c>
      <c r="S1202" s="16">
        <f t="shared" si="218"/>
        <v>2.0443068048074323E-4</v>
      </c>
      <c r="T1202" s="17">
        <f t="shared" si="221"/>
        <v>0.10630395384998648</v>
      </c>
      <c r="U1202" s="16">
        <f t="shared" si="222"/>
        <v>156.15983930852542</v>
      </c>
      <c r="V1202" s="17">
        <f t="shared" si="223"/>
        <v>0.32223913141547522</v>
      </c>
      <c r="W1202" s="16">
        <f t="shared" si="219"/>
        <v>1160060.8730957108</v>
      </c>
      <c r="X1202">
        <f>('Hybrid Info'!$A$2-Track!P1202)*(L1202-L1201)*1000+X1201</f>
        <v>-27898.042097137477</v>
      </c>
    </row>
    <row r="1203" spans="1:24">
      <c r="A1203" s="16">
        <f t="shared" si="220"/>
        <v>1202</v>
      </c>
      <c r="B1203" s="17">
        <f t="shared" si="226"/>
        <v>13.411199999999999</v>
      </c>
      <c r="C1203" s="16">
        <f>Specification!$G$29</f>
        <v>164.943378</v>
      </c>
      <c r="D1203" s="17">
        <f>0.5*Specification!$K$4*Track!B1203^2*Specification!$K$3*Specification!$K$2</f>
        <v>93.159842569492653</v>
      </c>
      <c r="E1203" s="16">
        <v>0</v>
      </c>
      <c r="F1203" s="17">
        <f>Specification!$C$23*9.81*SIN((E1203*PI()/180))</f>
        <v>0</v>
      </c>
      <c r="G1203" s="18">
        <f>IF(J1203=1,VLOOKUP(K1203,RPM!$E$2:$H$62,3,FALSE)-F1203-E1203-D1203,IF(J1203=2,VLOOKUP(K1203,RPM!$H$2:$K$62,3,FALSE)-F1203-E1203-D1203,IF(J1203=3,VLOOKUP(K1203,RPM!$K$2:$N$62,3,FALSE)-F1203-E1203-D1203)))</f>
        <v>688.48526429214962</v>
      </c>
      <c r="H1203" s="19">
        <f>IF(J1203=1,Specification!$I$14,IF(J1203=2,Specification!$I$15,IF(J1203=3,Specification!$I$16)))</f>
        <v>582.50936296077191</v>
      </c>
      <c r="I1203" s="16">
        <f t="shared" si="225"/>
        <v>0</v>
      </c>
      <c r="J1203" s="17">
        <v>2</v>
      </c>
      <c r="K1203" s="16">
        <f>IF(J1203=1,VLOOKUP(B1203,RPM!$F$2:$H$62,3,TRUE),IF(J1203=2,VLOOKUP(B1203,RPM!$I$2:$K$62,3,TRUE),IF(J1203=3,VLOOKUP(B1203,RPM!$L$2:$N$62,3,TRUE))))</f>
        <v>7000</v>
      </c>
      <c r="L1203" s="17">
        <f t="shared" si="224"/>
        <v>93.901921146791551</v>
      </c>
      <c r="M1203" s="16">
        <f t="shared" si="227"/>
        <v>0</v>
      </c>
      <c r="N1203" s="17">
        <f>VLOOKUP(K1203,RPM!$A$2:$D$62,3,FALSE)</f>
        <v>13</v>
      </c>
      <c r="O1203" s="16">
        <f>VLOOKUP(K1203,RPM!$A$2:$D$62,4,FALSE)</f>
        <v>13.235857142857142</v>
      </c>
      <c r="P1203" s="17">
        <f t="shared" si="216"/>
        <v>9.8699786714285711</v>
      </c>
      <c r="Q1203" s="16" cm="1">
        <f t="array" ref="Q1203">_xlfn.XLOOKUP(O1203,BSFC!$A$2:$A$24,_xlfn.XLOOKUP(K1203,BSFC!$B$1:$O$1,BSFC!$B$2:$O$24,,-1),,-1)</f>
        <v>520</v>
      </c>
      <c r="R1203" s="17">
        <f t="shared" si="217"/>
        <v>1.425663585873016</v>
      </c>
      <c r="S1203" s="16">
        <f t="shared" si="218"/>
        <v>2.0443068048074323E-4</v>
      </c>
      <c r="T1203" s="17">
        <f t="shared" si="221"/>
        <v>0.10630395384998648</v>
      </c>
      <c r="U1203" s="16">
        <f t="shared" si="222"/>
        <v>156.26614326237541</v>
      </c>
      <c r="V1203" s="17">
        <f t="shared" si="223"/>
        <v>0.32244356209595598</v>
      </c>
      <c r="W1203" s="16">
        <f t="shared" si="219"/>
        <v>1160796.8235454415</v>
      </c>
      <c r="X1203">
        <f>('Hybrid Info'!$A$2-Track!P1203)*(L1203-L1202)*1000+X1202</f>
        <v>-27730.236388151225</v>
      </c>
    </row>
    <row r="1204" spans="1:24">
      <c r="A1204" s="16">
        <f t="shared" si="220"/>
        <v>1203</v>
      </c>
      <c r="B1204" s="17">
        <f t="shared" si="226"/>
        <v>13.411199999999999</v>
      </c>
      <c r="C1204" s="16">
        <f>Specification!$G$29</f>
        <v>164.943378</v>
      </c>
      <c r="D1204" s="17">
        <f>0.5*Specification!$K$4*Track!B1204^2*Specification!$K$3*Specification!$K$2</f>
        <v>93.159842569492653</v>
      </c>
      <c r="E1204" s="16">
        <v>0</v>
      </c>
      <c r="F1204" s="17">
        <f>Specification!$C$23*9.81*SIN((E1204*PI()/180))</f>
        <v>0</v>
      </c>
      <c r="G1204" s="18">
        <f>IF(J1204=1,VLOOKUP(K1204,RPM!$E$2:$H$62,3,FALSE)-F1204-E1204-D1204,IF(J1204=2,VLOOKUP(K1204,RPM!$H$2:$K$62,3,FALSE)-F1204-E1204-D1204,IF(J1204=3,VLOOKUP(K1204,RPM!$K$2:$N$62,3,FALSE)-F1204-E1204-D1204)))</f>
        <v>688.48526429214962</v>
      </c>
      <c r="H1204" s="19">
        <f>IF(J1204=1,Specification!$I$14,IF(J1204=2,Specification!$I$15,IF(J1204=3,Specification!$I$16)))</f>
        <v>582.50936296077191</v>
      </c>
      <c r="I1204" s="16">
        <f t="shared" si="225"/>
        <v>0</v>
      </c>
      <c r="J1204" s="17">
        <v>2</v>
      </c>
      <c r="K1204" s="16">
        <f>IF(J1204=1,VLOOKUP(B1204,RPM!$F$2:$H$62,3,TRUE),IF(J1204=2,VLOOKUP(B1204,RPM!$I$2:$K$62,3,TRUE),IF(J1204=3,VLOOKUP(B1204,RPM!$L$2:$N$62,3,TRUE))))</f>
        <v>7000</v>
      </c>
      <c r="L1204" s="17">
        <f t="shared" si="224"/>
        <v>93.976485689860027</v>
      </c>
      <c r="M1204" s="16">
        <f t="shared" si="227"/>
        <v>0</v>
      </c>
      <c r="N1204" s="17">
        <f>VLOOKUP(K1204,RPM!$A$2:$D$62,3,FALSE)</f>
        <v>13</v>
      </c>
      <c r="O1204" s="16">
        <f>VLOOKUP(K1204,RPM!$A$2:$D$62,4,FALSE)</f>
        <v>13.235857142857142</v>
      </c>
      <c r="P1204" s="17">
        <f t="shared" si="216"/>
        <v>9.8699786714285711</v>
      </c>
      <c r="Q1204" s="16" cm="1">
        <f t="array" ref="Q1204">_xlfn.XLOOKUP(O1204,BSFC!$A$2:$A$24,_xlfn.XLOOKUP(K1204,BSFC!$B$1:$O$1,BSFC!$B$2:$O$24,,-1),,-1)</f>
        <v>520</v>
      </c>
      <c r="R1204" s="17">
        <f t="shared" si="217"/>
        <v>1.425663585873016</v>
      </c>
      <c r="S1204" s="16">
        <f t="shared" si="218"/>
        <v>2.0443068048074323E-4</v>
      </c>
      <c r="T1204" s="17">
        <f t="shared" si="221"/>
        <v>0.10630395384998648</v>
      </c>
      <c r="U1204" s="16">
        <f t="shared" si="222"/>
        <v>156.3724472162254</v>
      </c>
      <c r="V1204" s="17">
        <f t="shared" si="223"/>
        <v>0.32264799277643674</v>
      </c>
      <c r="W1204" s="16">
        <f t="shared" si="219"/>
        <v>1161532.7739951722</v>
      </c>
      <c r="X1204">
        <f>('Hybrid Info'!$A$2-Track!P1204)*(L1204-L1203)*1000+X1203</f>
        <v>-27562.430679164972</v>
      </c>
    </row>
    <row r="1205" spans="1:24">
      <c r="A1205" s="16">
        <f t="shared" si="220"/>
        <v>1204</v>
      </c>
      <c r="B1205" s="17">
        <f t="shared" si="226"/>
        <v>13.411199999999999</v>
      </c>
      <c r="C1205" s="16">
        <f>Specification!$G$29</f>
        <v>164.943378</v>
      </c>
      <c r="D1205" s="17">
        <f>0.5*Specification!$K$4*Track!B1205^2*Specification!$K$3*Specification!$K$2</f>
        <v>93.159842569492653</v>
      </c>
      <c r="E1205" s="16">
        <v>0</v>
      </c>
      <c r="F1205" s="17">
        <f>Specification!$C$23*9.81*SIN((E1205*PI()/180))</f>
        <v>0</v>
      </c>
      <c r="G1205" s="18">
        <f>IF(J1205=1,VLOOKUP(K1205,RPM!$E$2:$H$62,3,FALSE)-F1205-E1205-D1205,IF(J1205=2,VLOOKUP(K1205,RPM!$H$2:$K$62,3,FALSE)-F1205-E1205-D1205,IF(J1205=3,VLOOKUP(K1205,RPM!$K$2:$N$62,3,FALSE)-F1205-E1205-D1205)))</f>
        <v>688.48526429214962</v>
      </c>
      <c r="H1205" s="19">
        <f>IF(J1205=1,Specification!$I$14,IF(J1205=2,Specification!$I$15,IF(J1205=3,Specification!$I$16)))</f>
        <v>582.50936296077191</v>
      </c>
      <c r="I1205" s="16">
        <f t="shared" si="225"/>
        <v>0</v>
      </c>
      <c r="J1205" s="17">
        <v>2</v>
      </c>
      <c r="K1205" s="16">
        <f>IF(J1205=1,VLOOKUP(B1205,RPM!$F$2:$H$62,3,TRUE),IF(J1205=2,VLOOKUP(B1205,RPM!$I$2:$K$62,3,TRUE),IF(J1205=3,VLOOKUP(B1205,RPM!$L$2:$N$62,3,TRUE))))</f>
        <v>7000</v>
      </c>
      <c r="L1205" s="17">
        <f t="shared" si="224"/>
        <v>94.051050232928503</v>
      </c>
      <c r="M1205" s="16">
        <f t="shared" si="227"/>
        <v>0</v>
      </c>
      <c r="N1205" s="17">
        <f>VLOOKUP(K1205,RPM!$A$2:$D$62,3,FALSE)</f>
        <v>13</v>
      </c>
      <c r="O1205" s="16">
        <f>VLOOKUP(K1205,RPM!$A$2:$D$62,4,FALSE)</f>
        <v>13.235857142857142</v>
      </c>
      <c r="P1205" s="17">
        <f t="shared" si="216"/>
        <v>9.8699786714285711</v>
      </c>
      <c r="Q1205" s="16" cm="1">
        <f t="array" ref="Q1205">_xlfn.XLOOKUP(O1205,BSFC!$A$2:$A$24,_xlfn.XLOOKUP(K1205,BSFC!$B$1:$O$1,BSFC!$B$2:$O$24,,-1),,-1)</f>
        <v>520</v>
      </c>
      <c r="R1205" s="17">
        <f t="shared" si="217"/>
        <v>1.425663585873016</v>
      </c>
      <c r="S1205" s="16">
        <f t="shared" si="218"/>
        <v>2.0443068048074323E-4</v>
      </c>
      <c r="T1205" s="17">
        <f t="shared" si="221"/>
        <v>0.10630395384998648</v>
      </c>
      <c r="U1205" s="16">
        <f t="shared" si="222"/>
        <v>156.47875117007538</v>
      </c>
      <c r="V1205" s="17">
        <f t="shared" si="223"/>
        <v>0.3228524234569175</v>
      </c>
      <c r="W1205" s="16">
        <f t="shared" si="219"/>
        <v>1162268.724444903</v>
      </c>
      <c r="X1205">
        <f>('Hybrid Info'!$A$2-Track!P1205)*(L1205-L1204)*1000+X1204</f>
        <v>-27394.62497017872</v>
      </c>
    </row>
    <row r="1206" spans="1:24">
      <c r="A1206" s="16">
        <f t="shared" si="220"/>
        <v>1205</v>
      </c>
      <c r="B1206" s="17">
        <f t="shared" si="226"/>
        <v>13.411199999999999</v>
      </c>
      <c r="C1206" s="16">
        <f>Specification!$G$29</f>
        <v>164.943378</v>
      </c>
      <c r="D1206" s="17">
        <f>0.5*Specification!$K$4*Track!B1206^2*Specification!$K$3*Specification!$K$2</f>
        <v>93.159842569492653</v>
      </c>
      <c r="E1206" s="16">
        <v>0</v>
      </c>
      <c r="F1206" s="17">
        <f>Specification!$C$23*9.81*SIN((E1206*PI()/180))</f>
        <v>0</v>
      </c>
      <c r="G1206" s="18">
        <f>IF(J1206=1,VLOOKUP(K1206,RPM!$E$2:$H$62,3,FALSE)-F1206-E1206-D1206,IF(J1206=2,VLOOKUP(K1206,RPM!$H$2:$K$62,3,FALSE)-F1206-E1206-D1206,IF(J1206=3,VLOOKUP(K1206,RPM!$K$2:$N$62,3,FALSE)-F1206-E1206-D1206)))</f>
        <v>688.48526429214962</v>
      </c>
      <c r="H1206" s="19">
        <f>IF(J1206=1,Specification!$I$14,IF(J1206=2,Specification!$I$15,IF(J1206=3,Specification!$I$16)))</f>
        <v>582.50936296077191</v>
      </c>
      <c r="I1206" s="16">
        <f t="shared" si="225"/>
        <v>0</v>
      </c>
      <c r="J1206" s="17">
        <v>2</v>
      </c>
      <c r="K1206" s="16">
        <f>IF(J1206=1,VLOOKUP(B1206,RPM!$F$2:$H$62,3,TRUE),IF(J1206=2,VLOOKUP(B1206,RPM!$I$2:$K$62,3,TRUE),IF(J1206=3,VLOOKUP(B1206,RPM!$L$2:$N$62,3,TRUE))))</f>
        <v>7000</v>
      </c>
      <c r="L1206" s="17">
        <f t="shared" si="224"/>
        <v>94.125614775996979</v>
      </c>
      <c r="M1206" s="16">
        <f t="shared" si="227"/>
        <v>0</v>
      </c>
      <c r="N1206" s="17">
        <f>VLOOKUP(K1206,RPM!$A$2:$D$62,3,FALSE)</f>
        <v>13</v>
      </c>
      <c r="O1206" s="16">
        <f>VLOOKUP(K1206,RPM!$A$2:$D$62,4,FALSE)</f>
        <v>13.235857142857142</v>
      </c>
      <c r="P1206" s="17">
        <f t="shared" si="216"/>
        <v>9.8699786714285711</v>
      </c>
      <c r="Q1206" s="16" cm="1">
        <f t="array" ref="Q1206">_xlfn.XLOOKUP(O1206,BSFC!$A$2:$A$24,_xlfn.XLOOKUP(K1206,BSFC!$B$1:$O$1,BSFC!$B$2:$O$24,,-1),,-1)</f>
        <v>520</v>
      </c>
      <c r="R1206" s="17">
        <f t="shared" si="217"/>
        <v>1.425663585873016</v>
      </c>
      <c r="S1206" s="16">
        <f t="shared" si="218"/>
        <v>2.0443068048074323E-4</v>
      </c>
      <c r="T1206" s="17">
        <f t="shared" si="221"/>
        <v>0.10630395384998648</v>
      </c>
      <c r="U1206" s="16">
        <f t="shared" si="222"/>
        <v>156.58505512392537</v>
      </c>
      <c r="V1206" s="17">
        <f t="shared" si="223"/>
        <v>0.32305685413739826</v>
      </c>
      <c r="W1206" s="16">
        <f t="shared" si="219"/>
        <v>1163004.6748946337</v>
      </c>
      <c r="X1206">
        <f>('Hybrid Info'!$A$2-Track!P1206)*(L1206-L1205)*1000+X1205</f>
        <v>-27226.819261192468</v>
      </c>
    </row>
    <row r="1207" spans="1:24">
      <c r="A1207" s="16">
        <f t="shared" si="220"/>
        <v>1206</v>
      </c>
      <c r="B1207" s="17">
        <f t="shared" si="226"/>
        <v>13.411199999999999</v>
      </c>
      <c r="C1207" s="16">
        <f>Specification!$G$29</f>
        <v>164.943378</v>
      </c>
      <c r="D1207" s="17">
        <f>0.5*Specification!$K$4*Track!B1207^2*Specification!$K$3*Specification!$K$2</f>
        <v>93.159842569492653</v>
      </c>
      <c r="E1207" s="16">
        <v>0</v>
      </c>
      <c r="F1207" s="17">
        <f>Specification!$C$23*9.81*SIN((E1207*PI()/180))</f>
        <v>0</v>
      </c>
      <c r="G1207" s="18">
        <f>IF(J1207=1,VLOOKUP(K1207,RPM!$E$2:$H$62,3,FALSE)-F1207-E1207-D1207,IF(J1207=2,VLOOKUP(K1207,RPM!$H$2:$K$62,3,FALSE)-F1207-E1207-D1207,IF(J1207=3,VLOOKUP(K1207,RPM!$K$2:$N$62,3,FALSE)-F1207-E1207-D1207)))</f>
        <v>688.48526429214962</v>
      </c>
      <c r="H1207" s="19">
        <f>IF(J1207=1,Specification!$I$14,IF(J1207=2,Specification!$I$15,IF(J1207=3,Specification!$I$16)))</f>
        <v>582.50936296077191</v>
      </c>
      <c r="I1207" s="16">
        <f t="shared" si="225"/>
        <v>0</v>
      </c>
      <c r="J1207" s="17">
        <v>2</v>
      </c>
      <c r="K1207" s="16">
        <f>IF(J1207=1,VLOOKUP(B1207,RPM!$F$2:$H$62,3,TRUE),IF(J1207=2,VLOOKUP(B1207,RPM!$I$2:$K$62,3,TRUE),IF(J1207=3,VLOOKUP(B1207,RPM!$L$2:$N$62,3,TRUE))))</f>
        <v>7000</v>
      </c>
      <c r="L1207" s="17">
        <f t="shared" si="224"/>
        <v>94.200179319065455</v>
      </c>
      <c r="M1207" s="16">
        <f t="shared" si="227"/>
        <v>0</v>
      </c>
      <c r="N1207" s="17">
        <f>VLOOKUP(K1207,RPM!$A$2:$D$62,3,FALSE)</f>
        <v>13</v>
      </c>
      <c r="O1207" s="16">
        <f>VLOOKUP(K1207,RPM!$A$2:$D$62,4,FALSE)</f>
        <v>13.235857142857142</v>
      </c>
      <c r="P1207" s="17">
        <f t="shared" si="216"/>
        <v>9.8699786714285711</v>
      </c>
      <c r="Q1207" s="16" cm="1">
        <f t="array" ref="Q1207">_xlfn.XLOOKUP(O1207,BSFC!$A$2:$A$24,_xlfn.XLOOKUP(K1207,BSFC!$B$1:$O$1,BSFC!$B$2:$O$24,,-1),,-1)</f>
        <v>520</v>
      </c>
      <c r="R1207" s="17">
        <f t="shared" si="217"/>
        <v>1.425663585873016</v>
      </c>
      <c r="S1207" s="16">
        <f t="shared" si="218"/>
        <v>2.0443068048074323E-4</v>
      </c>
      <c r="T1207" s="17">
        <f t="shared" si="221"/>
        <v>0.10630395384998648</v>
      </c>
      <c r="U1207" s="16">
        <f t="shared" si="222"/>
        <v>156.69135907777536</v>
      </c>
      <c r="V1207" s="17">
        <f t="shared" si="223"/>
        <v>0.32326128481787902</v>
      </c>
      <c r="W1207" s="16">
        <f t="shared" si="219"/>
        <v>1163740.6253443644</v>
      </c>
      <c r="X1207">
        <f>('Hybrid Info'!$A$2-Track!P1207)*(L1207-L1206)*1000+X1206</f>
        <v>-27059.013552206216</v>
      </c>
    </row>
    <row r="1208" spans="1:24">
      <c r="A1208" s="16">
        <f t="shared" si="220"/>
        <v>1207</v>
      </c>
      <c r="B1208" s="17">
        <f t="shared" si="226"/>
        <v>13.411199999999999</v>
      </c>
      <c r="C1208" s="16">
        <f>Specification!$G$29</f>
        <v>164.943378</v>
      </c>
      <c r="D1208" s="17">
        <f>0.5*Specification!$K$4*Track!B1208^2*Specification!$K$3*Specification!$K$2</f>
        <v>93.159842569492653</v>
      </c>
      <c r="E1208" s="16">
        <v>0</v>
      </c>
      <c r="F1208" s="17">
        <f>Specification!$C$23*9.81*SIN((E1208*PI()/180))</f>
        <v>0</v>
      </c>
      <c r="G1208" s="18">
        <f>IF(J1208=1,VLOOKUP(K1208,RPM!$E$2:$H$62,3,FALSE)-F1208-E1208-D1208,IF(J1208=2,VLOOKUP(K1208,RPM!$H$2:$K$62,3,FALSE)-F1208-E1208-D1208,IF(J1208=3,VLOOKUP(K1208,RPM!$K$2:$N$62,3,FALSE)-F1208-E1208-D1208)))</f>
        <v>688.48526429214962</v>
      </c>
      <c r="H1208" s="19">
        <f>IF(J1208=1,Specification!$I$14,IF(J1208=2,Specification!$I$15,IF(J1208=3,Specification!$I$16)))</f>
        <v>582.50936296077191</v>
      </c>
      <c r="I1208" s="16">
        <f t="shared" si="225"/>
        <v>0</v>
      </c>
      <c r="J1208" s="17">
        <v>2</v>
      </c>
      <c r="K1208" s="16">
        <f>IF(J1208=1,VLOOKUP(B1208,RPM!$F$2:$H$62,3,TRUE),IF(J1208=2,VLOOKUP(B1208,RPM!$I$2:$K$62,3,TRUE),IF(J1208=3,VLOOKUP(B1208,RPM!$L$2:$N$62,3,TRUE))))</f>
        <v>7000</v>
      </c>
      <c r="L1208" s="17">
        <f t="shared" si="224"/>
        <v>94.274743862133931</v>
      </c>
      <c r="M1208" s="16">
        <f t="shared" si="227"/>
        <v>0</v>
      </c>
      <c r="N1208" s="17">
        <f>VLOOKUP(K1208,RPM!$A$2:$D$62,3,FALSE)</f>
        <v>13</v>
      </c>
      <c r="O1208" s="16">
        <f>VLOOKUP(K1208,RPM!$A$2:$D$62,4,FALSE)</f>
        <v>13.235857142857142</v>
      </c>
      <c r="P1208" s="17">
        <f t="shared" si="216"/>
        <v>9.8699786714285711</v>
      </c>
      <c r="Q1208" s="16" cm="1">
        <f t="array" ref="Q1208">_xlfn.XLOOKUP(O1208,BSFC!$A$2:$A$24,_xlfn.XLOOKUP(K1208,BSFC!$B$1:$O$1,BSFC!$B$2:$O$24,,-1),,-1)</f>
        <v>520</v>
      </c>
      <c r="R1208" s="17">
        <f t="shared" si="217"/>
        <v>1.425663585873016</v>
      </c>
      <c r="S1208" s="16">
        <f t="shared" si="218"/>
        <v>2.0443068048074323E-4</v>
      </c>
      <c r="T1208" s="17">
        <f t="shared" si="221"/>
        <v>0.10630395384998648</v>
      </c>
      <c r="U1208" s="16">
        <f t="shared" si="222"/>
        <v>156.79766303162535</v>
      </c>
      <c r="V1208" s="17">
        <f t="shared" si="223"/>
        <v>0.32346571549835978</v>
      </c>
      <c r="W1208" s="16">
        <f t="shared" si="219"/>
        <v>1164476.5757940952</v>
      </c>
      <c r="X1208">
        <f>('Hybrid Info'!$A$2-Track!P1208)*(L1208-L1207)*1000+X1207</f>
        <v>-26891.207843219963</v>
      </c>
    </row>
    <row r="1209" spans="1:24">
      <c r="A1209" s="16">
        <f t="shared" si="220"/>
        <v>1208</v>
      </c>
      <c r="B1209" s="17">
        <f t="shared" si="226"/>
        <v>13.411199999999999</v>
      </c>
      <c r="C1209" s="16">
        <f>Specification!$G$29</f>
        <v>164.943378</v>
      </c>
      <c r="D1209" s="17">
        <f>0.5*Specification!$K$4*Track!B1209^2*Specification!$K$3*Specification!$K$2</f>
        <v>93.159842569492653</v>
      </c>
      <c r="E1209" s="16">
        <v>0</v>
      </c>
      <c r="F1209" s="17">
        <f>Specification!$C$23*9.81*SIN((E1209*PI()/180))</f>
        <v>0</v>
      </c>
      <c r="G1209" s="18">
        <f>IF(J1209=1,VLOOKUP(K1209,RPM!$E$2:$H$62,3,FALSE)-F1209-E1209-D1209,IF(J1209=2,VLOOKUP(K1209,RPM!$H$2:$K$62,3,FALSE)-F1209-E1209-D1209,IF(J1209=3,VLOOKUP(K1209,RPM!$K$2:$N$62,3,FALSE)-F1209-E1209-D1209)))</f>
        <v>688.48526429214962</v>
      </c>
      <c r="H1209" s="19">
        <f>IF(J1209=1,Specification!$I$14,IF(J1209=2,Specification!$I$15,IF(J1209=3,Specification!$I$16)))</f>
        <v>582.50936296077191</v>
      </c>
      <c r="I1209" s="16">
        <f t="shared" si="225"/>
        <v>0</v>
      </c>
      <c r="J1209" s="17">
        <v>2</v>
      </c>
      <c r="K1209" s="16">
        <f>IF(J1209=1,VLOOKUP(B1209,RPM!$F$2:$H$62,3,TRUE),IF(J1209=2,VLOOKUP(B1209,RPM!$I$2:$K$62,3,TRUE),IF(J1209=3,VLOOKUP(B1209,RPM!$L$2:$N$62,3,TRUE))))</f>
        <v>7000</v>
      </c>
      <c r="L1209" s="17">
        <f t="shared" si="224"/>
        <v>94.349308405202407</v>
      </c>
      <c r="M1209" s="16">
        <f t="shared" si="227"/>
        <v>0</v>
      </c>
      <c r="N1209" s="17">
        <f>VLOOKUP(K1209,RPM!$A$2:$D$62,3,FALSE)</f>
        <v>13</v>
      </c>
      <c r="O1209" s="16">
        <f>VLOOKUP(K1209,RPM!$A$2:$D$62,4,FALSE)</f>
        <v>13.235857142857142</v>
      </c>
      <c r="P1209" s="17">
        <f t="shared" si="216"/>
        <v>9.8699786714285711</v>
      </c>
      <c r="Q1209" s="16" cm="1">
        <f t="array" ref="Q1209">_xlfn.XLOOKUP(O1209,BSFC!$A$2:$A$24,_xlfn.XLOOKUP(K1209,BSFC!$B$1:$O$1,BSFC!$B$2:$O$24,,-1),,-1)</f>
        <v>520</v>
      </c>
      <c r="R1209" s="17">
        <f t="shared" si="217"/>
        <v>1.425663585873016</v>
      </c>
      <c r="S1209" s="16">
        <f t="shared" si="218"/>
        <v>2.0443068048074323E-4</v>
      </c>
      <c r="T1209" s="17">
        <f t="shared" si="221"/>
        <v>0.10630395384998648</v>
      </c>
      <c r="U1209" s="16">
        <f t="shared" si="222"/>
        <v>156.90396698547534</v>
      </c>
      <c r="V1209" s="17">
        <f t="shared" si="223"/>
        <v>0.32367014617884055</v>
      </c>
      <c r="W1209" s="16">
        <f t="shared" si="219"/>
        <v>1165212.5262438259</v>
      </c>
      <c r="X1209">
        <f>('Hybrid Info'!$A$2-Track!P1209)*(L1209-L1208)*1000+X1208</f>
        <v>-26723.402134233711</v>
      </c>
    </row>
    <row r="1210" spans="1:24">
      <c r="A1210" s="16">
        <f t="shared" si="220"/>
        <v>1209</v>
      </c>
      <c r="B1210" s="17">
        <f t="shared" si="226"/>
        <v>13.411199999999999</v>
      </c>
      <c r="C1210" s="16">
        <f>Specification!$G$29</f>
        <v>164.943378</v>
      </c>
      <c r="D1210" s="17">
        <f>0.5*Specification!$K$4*Track!B1210^2*Specification!$K$3*Specification!$K$2</f>
        <v>93.159842569492653</v>
      </c>
      <c r="E1210" s="16">
        <v>0</v>
      </c>
      <c r="F1210" s="17">
        <f>Specification!$C$23*9.81*SIN((E1210*PI()/180))</f>
        <v>0</v>
      </c>
      <c r="G1210" s="18">
        <f>IF(J1210=1,VLOOKUP(K1210,RPM!$E$2:$H$62,3,FALSE)-F1210-E1210-D1210,IF(J1210=2,VLOOKUP(K1210,RPM!$H$2:$K$62,3,FALSE)-F1210-E1210-D1210,IF(J1210=3,VLOOKUP(K1210,RPM!$K$2:$N$62,3,FALSE)-F1210-E1210-D1210)))</f>
        <v>688.48526429214962</v>
      </c>
      <c r="H1210" s="19">
        <f>IF(J1210=1,Specification!$I$14,IF(J1210=2,Specification!$I$15,IF(J1210=3,Specification!$I$16)))</f>
        <v>582.50936296077191</v>
      </c>
      <c r="I1210" s="16">
        <f t="shared" si="225"/>
        <v>0</v>
      </c>
      <c r="J1210" s="17">
        <v>2</v>
      </c>
      <c r="K1210" s="16">
        <f>IF(J1210=1,VLOOKUP(B1210,RPM!$F$2:$H$62,3,TRUE),IF(J1210=2,VLOOKUP(B1210,RPM!$I$2:$K$62,3,TRUE),IF(J1210=3,VLOOKUP(B1210,RPM!$L$2:$N$62,3,TRUE))))</f>
        <v>7000</v>
      </c>
      <c r="L1210" s="17">
        <f t="shared" si="224"/>
        <v>94.423872948270883</v>
      </c>
      <c r="M1210" s="16">
        <f t="shared" si="227"/>
        <v>0</v>
      </c>
      <c r="N1210" s="17">
        <f>VLOOKUP(K1210,RPM!$A$2:$D$62,3,FALSE)</f>
        <v>13</v>
      </c>
      <c r="O1210" s="16">
        <f>VLOOKUP(K1210,RPM!$A$2:$D$62,4,FALSE)</f>
        <v>13.235857142857142</v>
      </c>
      <c r="P1210" s="17">
        <f t="shared" si="216"/>
        <v>9.8699786714285711</v>
      </c>
      <c r="Q1210" s="16" cm="1">
        <f t="array" ref="Q1210">_xlfn.XLOOKUP(O1210,BSFC!$A$2:$A$24,_xlfn.XLOOKUP(K1210,BSFC!$B$1:$O$1,BSFC!$B$2:$O$24,,-1),,-1)</f>
        <v>520</v>
      </c>
      <c r="R1210" s="17">
        <f t="shared" si="217"/>
        <v>1.425663585873016</v>
      </c>
      <c r="S1210" s="16">
        <f t="shared" si="218"/>
        <v>2.0443068048074323E-4</v>
      </c>
      <c r="T1210" s="17">
        <f t="shared" si="221"/>
        <v>0.10630395384998648</v>
      </c>
      <c r="U1210" s="16">
        <f t="shared" si="222"/>
        <v>157.01027093932532</v>
      </c>
      <c r="V1210" s="17">
        <f t="shared" si="223"/>
        <v>0.32387457685932131</v>
      </c>
      <c r="W1210" s="16">
        <f t="shared" si="219"/>
        <v>1165948.4766935566</v>
      </c>
      <c r="X1210">
        <f>('Hybrid Info'!$A$2-Track!P1210)*(L1210-L1209)*1000+X1209</f>
        <v>-26555.596425247459</v>
      </c>
    </row>
    <row r="1211" spans="1:24">
      <c r="A1211" s="16">
        <f t="shared" si="220"/>
        <v>1210</v>
      </c>
      <c r="B1211" s="17">
        <f t="shared" si="226"/>
        <v>13.411199999999999</v>
      </c>
      <c r="C1211" s="16">
        <f>Specification!$G$29</f>
        <v>164.943378</v>
      </c>
      <c r="D1211" s="17">
        <f>0.5*Specification!$K$4*Track!B1211^2*Specification!$K$3*Specification!$K$2</f>
        <v>93.159842569492653</v>
      </c>
      <c r="E1211" s="16">
        <v>0</v>
      </c>
      <c r="F1211" s="17">
        <f>Specification!$C$23*9.81*SIN((E1211*PI()/180))</f>
        <v>0</v>
      </c>
      <c r="G1211" s="18">
        <f>IF(J1211=1,VLOOKUP(K1211,RPM!$E$2:$H$62,3,FALSE)-F1211-E1211-D1211,IF(J1211=2,VLOOKUP(K1211,RPM!$H$2:$K$62,3,FALSE)-F1211-E1211-D1211,IF(J1211=3,VLOOKUP(K1211,RPM!$K$2:$N$62,3,FALSE)-F1211-E1211-D1211)))</f>
        <v>688.48526429214962</v>
      </c>
      <c r="H1211" s="19">
        <f>IF(J1211=1,Specification!$I$14,IF(J1211=2,Specification!$I$15,IF(J1211=3,Specification!$I$16)))</f>
        <v>582.50936296077191</v>
      </c>
      <c r="I1211" s="16">
        <f t="shared" si="225"/>
        <v>0</v>
      </c>
      <c r="J1211" s="17">
        <v>2</v>
      </c>
      <c r="K1211" s="16">
        <f>IF(J1211=1,VLOOKUP(B1211,RPM!$F$2:$H$62,3,TRUE),IF(J1211=2,VLOOKUP(B1211,RPM!$I$2:$K$62,3,TRUE),IF(J1211=3,VLOOKUP(B1211,RPM!$L$2:$N$62,3,TRUE))))</f>
        <v>7000</v>
      </c>
      <c r="L1211" s="17">
        <f t="shared" si="224"/>
        <v>94.498437491339359</v>
      </c>
      <c r="M1211" s="16">
        <f t="shared" si="227"/>
        <v>0</v>
      </c>
      <c r="N1211" s="17">
        <f>VLOOKUP(K1211,RPM!$A$2:$D$62,3,FALSE)</f>
        <v>13</v>
      </c>
      <c r="O1211" s="16">
        <f>VLOOKUP(K1211,RPM!$A$2:$D$62,4,FALSE)</f>
        <v>13.235857142857142</v>
      </c>
      <c r="P1211" s="17">
        <f t="shared" si="216"/>
        <v>9.8699786714285711</v>
      </c>
      <c r="Q1211" s="16" cm="1">
        <f t="array" ref="Q1211">_xlfn.XLOOKUP(O1211,BSFC!$A$2:$A$24,_xlfn.XLOOKUP(K1211,BSFC!$B$1:$O$1,BSFC!$B$2:$O$24,,-1),,-1)</f>
        <v>520</v>
      </c>
      <c r="R1211" s="17">
        <f t="shared" si="217"/>
        <v>1.425663585873016</v>
      </c>
      <c r="S1211" s="16">
        <f t="shared" si="218"/>
        <v>2.0443068048074323E-4</v>
      </c>
      <c r="T1211" s="17">
        <f t="shared" si="221"/>
        <v>0.10630395384998648</v>
      </c>
      <c r="U1211" s="16">
        <f t="shared" si="222"/>
        <v>157.11657489317531</v>
      </c>
      <c r="V1211" s="17">
        <f t="shared" si="223"/>
        <v>0.32407900753980207</v>
      </c>
      <c r="W1211" s="16">
        <f t="shared" si="219"/>
        <v>1166684.4271432876</v>
      </c>
      <c r="X1211">
        <f>('Hybrid Info'!$A$2-Track!P1211)*(L1211-L1210)*1000+X1210</f>
        <v>-26387.790716261206</v>
      </c>
    </row>
    <row r="1212" spans="1:24">
      <c r="A1212" s="16">
        <f t="shared" si="220"/>
        <v>1211</v>
      </c>
      <c r="B1212" s="17">
        <f t="shared" si="226"/>
        <v>13.411199999999999</v>
      </c>
      <c r="C1212" s="16">
        <f>Specification!$G$29</f>
        <v>164.943378</v>
      </c>
      <c r="D1212" s="17">
        <f>0.5*Specification!$K$4*Track!B1212^2*Specification!$K$3*Specification!$K$2</f>
        <v>93.159842569492653</v>
      </c>
      <c r="E1212" s="16">
        <v>0</v>
      </c>
      <c r="F1212" s="17">
        <f>Specification!$C$23*9.81*SIN((E1212*PI()/180))</f>
        <v>0</v>
      </c>
      <c r="G1212" s="18">
        <f>IF(J1212=1,VLOOKUP(K1212,RPM!$E$2:$H$62,3,FALSE)-F1212-E1212-D1212,IF(J1212=2,VLOOKUP(K1212,RPM!$H$2:$K$62,3,FALSE)-F1212-E1212-D1212,IF(J1212=3,VLOOKUP(K1212,RPM!$K$2:$N$62,3,FALSE)-F1212-E1212-D1212)))</f>
        <v>688.48526429214962</v>
      </c>
      <c r="H1212" s="19">
        <f>IF(J1212=1,Specification!$I$14,IF(J1212=2,Specification!$I$15,IF(J1212=3,Specification!$I$16)))</f>
        <v>582.50936296077191</v>
      </c>
      <c r="I1212" s="16">
        <f t="shared" si="225"/>
        <v>0</v>
      </c>
      <c r="J1212" s="17">
        <v>2</v>
      </c>
      <c r="K1212" s="16">
        <f>IF(J1212=1,VLOOKUP(B1212,RPM!$F$2:$H$62,3,TRUE),IF(J1212=2,VLOOKUP(B1212,RPM!$I$2:$K$62,3,TRUE),IF(J1212=3,VLOOKUP(B1212,RPM!$L$2:$N$62,3,TRUE))))</f>
        <v>7000</v>
      </c>
      <c r="L1212" s="17">
        <f t="shared" si="224"/>
        <v>94.573002034407835</v>
      </c>
      <c r="M1212" s="16">
        <f t="shared" si="227"/>
        <v>0</v>
      </c>
      <c r="N1212" s="17">
        <f>VLOOKUP(K1212,RPM!$A$2:$D$62,3,FALSE)</f>
        <v>13</v>
      </c>
      <c r="O1212" s="16">
        <f>VLOOKUP(K1212,RPM!$A$2:$D$62,4,FALSE)</f>
        <v>13.235857142857142</v>
      </c>
      <c r="P1212" s="17">
        <f t="shared" si="216"/>
        <v>9.8699786714285711</v>
      </c>
      <c r="Q1212" s="16" cm="1">
        <f t="array" ref="Q1212">_xlfn.XLOOKUP(O1212,BSFC!$A$2:$A$24,_xlfn.XLOOKUP(K1212,BSFC!$B$1:$O$1,BSFC!$B$2:$O$24,,-1),,-1)</f>
        <v>520</v>
      </c>
      <c r="R1212" s="17">
        <f t="shared" si="217"/>
        <v>1.425663585873016</v>
      </c>
      <c r="S1212" s="16">
        <f t="shared" si="218"/>
        <v>2.0443068048074323E-4</v>
      </c>
      <c r="T1212" s="17">
        <f t="shared" si="221"/>
        <v>0.10630395384998648</v>
      </c>
      <c r="U1212" s="16">
        <f t="shared" si="222"/>
        <v>157.2228788470253</v>
      </c>
      <c r="V1212" s="17">
        <f t="shared" si="223"/>
        <v>0.32428343822028283</v>
      </c>
      <c r="W1212" s="16">
        <f t="shared" si="219"/>
        <v>1167420.3775930183</v>
      </c>
      <c r="X1212">
        <f>('Hybrid Info'!$A$2-Track!P1212)*(L1212-L1211)*1000+X1211</f>
        <v>-26219.985007274954</v>
      </c>
    </row>
    <row r="1213" spans="1:24">
      <c r="A1213" s="16">
        <f t="shared" si="220"/>
        <v>1212</v>
      </c>
      <c r="B1213" s="17">
        <f t="shared" si="226"/>
        <v>13.411199999999999</v>
      </c>
      <c r="C1213" s="16">
        <f>Specification!$G$29</f>
        <v>164.943378</v>
      </c>
      <c r="D1213" s="17">
        <f>0.5*Specification!$K$4*Track!B1213^2*Specification!$K$3*Specification!$K$2</f>
        <v>93.159842569492653</v>
      </c>
      <c r="E1213" s="16">
        <v>0</v>
      </c>
      <c r="F1213" s="17">
        <f>Specification!$C$23*9.81*SIN((E1213*PI()/180))</f>
        <v>0</v>
      </c>
      <c r="G1213" s="18">
        <f>IF(J1213=1,VLOOKUP(K1213,RPM!$E$2:$H$62,3,FALSE)-F1213-E1213-D1213,IF(J1213=2,VLOOKUP(K1213,RPM!$H$2:$K$62,3,FALSE)-F1213-E1213-D1213,IF(J1213=3,VLOOKUP(K1213,RPM!$K$2:$N$62,3,FALSE)-F1213-E1213-D1213)))</f>
        <v>688.48526429214962</v>
      </c>
      <c r="H1213" s="19">
        <f>IF(J1213=1,Specification!$I$14,IF(J1213=2,Specification!$I$15,IF(J1213=3,Specification!$I$16)))</f>
        <v>582.50936296077191</v>
      </c>
      <c r="I1213" s="16">
        <f t="shared" si="225"/>
        <v>0</v>
      </c>
      <c r="J1213" s="17">
        <v>2</v>
      </c>
      <c r="K1213" s="16">
        <f>IF(J1213=1,VLOOKUP(B1213,RPM!$F$2:$H$62,3,TRUE),IF(J1213=2,VLOOKUP(B1213,RPM!$I$2:$K$62,3,TRUE),IF(J1213=3,VLOOKUP(B1213,RPM!$L$2:$N$62,3,TRUE))))</f>
        <v>7000</v>
      </c>
      <c r="L1213" s="17">
        <f t="shared" si="224"/>
        <v>94.647566577476312</v>
      </c>
      <c r="M1213" s="16">
        <f t="shared" si="227"/>
        <v>0</v>
      </c>
      <c r="N1213" s="17">
        <f>VLOOKUP(K1213,RPM!$A$2:$D$62,3,FALSE)</f>
        <v>13</v>
      </c>
      <c r="O1213" s="16">
        <f>VLOOKUP(K1213,RPM!$A$2:$D$62,4,FALSE)</f>
        <v>13.235857142857142</v>
      </c>
      <c r="P1213" s="17">
        <f t="shared" si="216"/>
        <v>9.8699786714285711</v>
      </c>
      <c r="Q1213" s="16" cm="1">
        <f t="array" ref="Q1213">_xlfn.XLOOKUP(O1213,BSFC!$A$2:$A$24,_xlfn.XLOOKUP(K1213,BSFC!$B$1:$O$1,BSFC!$B$2:$O$24,,-1),,-1)</f>
        <v>520</v>
      </c>
      <c r="R1213" s="17">
        <f t="shared" si="217"/>
        <v>1.425663585873016</v>
      </c>
      <c r="S1213" s="16">
        <f t="shared" si="218"/>
        <v>2.0443068048074323E-4</v>
      </c>
      <c r="T1213" s="17">
        <f t="shared" si="221"/>
        <v>0.10630395384998648</v>
      </c>
      <c r="U1213" s="16">
        <f t="shared" si="222"/>
        <v>157.32918280087529</v>
      </c>
      <c r="V1213" s="17">
        <f t="shared" si="223"/>
        <v>0.32448786890076359</v>
      </c>
      <c r="W1213" s="16">
        <f t="shared" si="219"/>
        <v>1168156.3280427488</v>
      </c>
      <c r="X1213">
        <f>('Hybrid Info'!$A$2-Track!P1213)*(L1213-L1212)*1000+X1212</f>
        <v>-26052.179298288702</v>
      </c>
    </row>
    <row r="1214" spans="1:24">
      <c r="A1214" s="16">
        <f t="shared" si="220"/>
        <v>1213</v>
      </c>
      <c r="B1214" s="17">
        <f t="shared" si="226"/>
        <v>13.411199999999999</v>
      </c>
      <c r="C1214" s="16">
        <f>Specification!$G$29</f>
        <v>164.943378</v>
      </c>
      <c r="D1214" s="17">
        <f>0.5*Specification!$K$4*Track!B1214^2*Specification!$K$3*Specification!$K$2</f>
        <v>93.159842569492653</v>
      </c>
      <c r="E1214" s="16">
        <v>0</v>
      </c>
      <c r="F1214" s="17">
        <f>Specification!$C$23*9.81*SIN((E1214*PI()/180))</f>
        <v>0</v>
      </c>
      <c r="G1214" s="18">
        <f>IF(J1214=1,VLOOKUP(K1214,RPM!$E$2:$H$62,3,FALSE)-F1214-E1214-D1214,IF(J1214=2,VLOOKUP(K1214,RPM!$H$2:$K$62,3,FALSE)-F1214-E1214-D1214,IF(J1214=3,VLOOKUP(K1214,RPM!$K$2:$N$62,3,FALSE)-F1214-E1214-D1214)))</f>
        <v>688.48526429214962</v>
      </c>
      <c r="H1214" s="19">
        <f>IF(J1214=1,Specification!$I$14,IF(J1214=2,Specification!$I$15,IF(J1214=3,Specification!$I$16)))</f>
        <v>582.50936296077191</v>
      </c>
      <c r="I1214" s="16">
        <f t="shared" si="225"/>
        <v>0</v>
      </c>
      <c r="J1214" s="17">
        <v>2</v>
      </c>
      <c r="K1214" s="16">
        <f>IF(J1214=1,VLOOKUP(B1214,RPM!$F$2:$H$62,3,TRUE),IF(J1214=2,VLOOKUP(B1214,RPM!$I$2:$K$62,3,TRUE),IF(J1214=3,VLOOKUP(B1214,RPM!$L$2:$N$62,3,TRUE))))</f>
        <v>7000</v>
      </c>
      <c r="L1214" s="17">
        <f t="shared" si="224"/>
        <v>94.722131120544788</v>
      </c>
      <c r="M1214" s="16">
        <f t="shared" si="227"/>
        <v>0</v>
      </c>
      <c r="N1214" s="17">
        <f>VLOOKUP(K1214,RPM!$A$2:$D$62,3,FALSE)</f>
        <v>13</v>
      </c>
      <c r="O1214" s="16">
        <f>VLOOKUP(K1214,RPM!$A$2:$D$62,4,FALSE)</f>
        <v>13.235857142857142</v>
      </c>
      <c r="P1214" s="17">
        <f t="shared" si="216"/>
        <v>9.8699786714285711</v>
      </c>
      <c r="Q1214" s="16" cm="1">
        <f t="array" ref="Q1214">_xlfn.XLOOKUP(O1214,BSFC!$A$2:$A$24,_xlfn.XLOOKUP(K1214,BSFC!$B$1:$O$1,BSFC!$B$2:$O$24,,-1),,-1)</f>
        <v>520</v>
      </c>
      <c r="R1214" s="17">
        <f t="shared" si="217"/>
        <v>1.425663585873016</v>
      </c>
      <c r="S1214" s="16">
        <f t="shared" si="218"/>
        <v>2.0443068048074323E-4</v>
      </c>
      <c r="T1214" s="17">
        <f t="shared" si="221"/>
        <v>0.10630395384998648</v>
      </c>
      <c r="U1214" s="16">
        <f t="shared" si="222"/>
        <v>157.43548675472528</v>
      </c>
      <c r="V1214" s="17">
        <f t="shared" si="223"/>
        <v>0.32469229958124435</v>
      </c>
      <c r="W1214" s="16">
        <f t="shared" si="219"/>
        <v>1168892.2784924796</v>
      </c>
      <c r="X1214">
        <f>('Hybrid Info'!$A$2-Track!P1214)*(L1214-L1213)*1000+X1213</f>
        <v>-25884.37358930245</v>
      </c>
    </row>
    <row r="1215" spans="1:24">
      <c r="A1215" s="16">
        <f t="shared" si="220"/>
        <v>1214</v>
      </c>
      <c r="B1215" s="17">
        <f t="shared" si="226"/>
        <v>13.411199999999999</v>
      </c>
      <c r="C1215" s="16">
        <f>Specification!$G$29</f>
        <v>164.943378</v>
      </c>
      <c r="D1215" s="17">
        <f>0.5*Specification!$K$4*Track!B1215^2*Specification!$K$3*Specification!$K$2</f>
        <v>93.159842569492653</v>
      </c>
      <c r="E1215" s="16">
        <v>0</v>
      </c>
      <c r="F1215" s="17">
        <f>Specification!$C$23*9.81*SIN((E1215*PI()/180))</f>
        <v>0</v>
      </c>
      <c r="G1215" s="18">
        <f>IF(J1215=1,VLOOKUP(K1215,RPM!$E$2:$H$62,3,FALSE)-F1215-E1215-D1215,IF(J1215=2,VLOOKUP(K1215,RPM!$H$2:$K$62,3,FALSE)-F1215-E1215-D1215,IF(J1215=3,VLOOKUP(K1215,RPM!$K$2:$N$62,3,FALSE)-F1215-E1215-D1215)))</f>
        <v>688.48526429214962</v>
      </c>
      <c r="H1215" s="19">
        <f>IF(J1215=1,Specification!$I$14,IF(J1215=2,Specification!$I$15,IF(J1215=3,Specification!$I$16)))</f>
        <v>582.50936296077191</v>
      </c>
      <c r="I1215" s="16">
        <f t="shared" si="225"/>
        <v>0</v>
      </c>
      <c r="J1215" s="17">
        <v>2</v>
      </c>
      <c r="K1215" s="16">
        <f>IF(J1215=1,VLOOKUP(B1215,RPM!$F$2:$H$62,3,TRUE),IF(J1215=2,VLOOKUP(B1215,RPM!$I$2:$K$62,3,TRUE),IF(J1215=3,VLOOKUP(B1215,RPM!$L$2:$N$62,3,TRUE))))</f>
        <v>7000</v>
      </c>
      <c r="L1215" s="17">
        <f t="shared" si="224"/>
        <v>94.796695663613264</v>
      </c>
      <c r="M1215" s="16">
        <f t="shared" si="227"/>
        <v>0</v>
      </c>
      <c r="N1215" s="17">
        <f>VLOOKUP(K1215,RPM!$A$2:$D$62,3,FALSE)</f>
        <v>13</v>
      </c>
      <c r="O1215" s="16">
        <f>VLOOKUP(K1215,RPM!$A$2:$D$62,4,FALSE)</f>
        <v>13.235857142857142</v>
      </c>
      <c r="P1215" s="17">
        <f t="shared" si="216"/>
        <v>9.8699786714285711</v>
      </c>
      <c r="Q1215" s="16" cm="1">
        <f t="array" ref="Q1215">_xlfn.XLOOKUP(O1215,BSFC!$A$2:$A$24,_xlfn.XLOOKUP(K1215,BSFC!$B$1:$O$1,BSFC!$B$2:$O$24,,-1),,-1)</f>
        <v>520</v>
      </c>
      <c r="R1215" s="17">
        <f t="shared" si="217"/>
        <v>1.425663585873016</v>
      </c>
      <c r="S1215" s="16">
        <f t="shared" si="218"/>
        <v>2.0443068048074323E-4</v>
      </c>
      <c r="T1215" s="17">
        <f t="shared" si="221"/>
        <v>0.10630395384998648</v>
      </c>
      <c r="U1215" s="16">
        <f t="shared" si="222"/>
        <v>157.54179070857526</v>
      </c>
      <c r="V1215" s="17">
        <f t="shared" si="223"/>
        <v>0.32489673026172511</v>
      </c>
      <c r="W1215" s="16">
        <f t="shared" si="219"/>
        <v>1169628.2289422103</v>
      </c>
      <c r="X1215">
        <f>('Hybrid Info'!$A$2-Track!P1215)*(L1215-L1214)*1000+X1214</f>
        <v>-25716.567880316197</v>
      </c>
    </row>
    <row r="1216" spans="1:24">
      <c r="A1216" s="16">
        <f t="shared" si="220"/>
        <v>1215</v>
      </c>
      <c r="B1216" s="17">
        <f t="shared" si="226"/>
        <v>13.411199999999999</v>
      </c>
      <c r="C1216" s="16">
        <f>Specification!$G$29</f>
        <v>164.943378</v>
      </c>
      <c r="D1216" s="17">
        <f>0.5*Specification!$K$4*Track!B1216^2*Specification!$K$3*Specification!$K$2</f>
        <v>93.159842569492653</v>
      </c>
      <c r="E1216" s="16">
        <v>0</v>
      </c>
      <c r="F1216" s="17">
        <f>Specification!$C$23*9.81*SIN((E1216*PI()/180))</f>
        <v>0</v>
      </c>
      <c r="G1216" s="18">
        <f>IF(J1216=1,VLOOKUP(K1216,RPM!$E$2:$H$62,3,FALSE)-F1216-E1216-D1216,IF(J1216=2,VLOOKUP(K1216,RPM!$H$2:$K$62,3,FALSE)-F1216-E1216-D1216,IF(J1216=3,VLOOKUP(K1216,RPM!$K$2:$N$62,3,FALSE)-F1216-E1216-D1216)))</f>
        <v>688.48526429214962</v>
      </c>
      <c r="H1216" s="19">
        <f>IF(J1216=1,Specification!$I$14,IF(J1216=2,Specification!$I$15,IF(J1216=3,Specification!$I$16)))</f>
        <v>582.50936296077191</v>
      </c>
      <c r="I1216" s="16">
        <f t="shared" si="225"/>
        <v>0</v>
      </c>
      <c r="J1216" s="17">
        <v>2</v>
      </c>
      <c r="K1216" s="16">
        <f>IF(J1216=1,VLOOKUP(B1216,RPM!$F$2:$H$62,3,TRUE),IF(J1216=2,VLOOKUP(B1216,RPM!$I$2:$K$62,3,TRUE),IF(J1216=3,VLOOKUP(B1216,RPM!$L$2:$N$62,3,TRUE))))</f>
        <v>7000</v>
      </c>
      <c r="L1216" s="17">
        <f t="shared" si="224"/>
        <v>94.87126020668174</v>
      </c>
      <c r="M1216" s="16">
        <f t="shared" si="227"/>
        <v>0</v>
      </c>
      <c r="N1216" s="17">
        <f>VLOOKUP(K1216,RPM!$A$2:$D$62,3,FALSE)</f>
        <v>13</v>
      </c>
      <c r="O1216" s="16">
        <f>VLOOKUP(K1216,RPM!$A$2:$D$62,4,FALSE)</f>
        <v>13.235857142857142</v>
      </c>
      <c r="P1216" s="17">
        <f t="shared" si="216"/>
        <v>9.8699786714285711</v>
      </c>
      <c r="Q1216" s="16" cm="1">
        <f t="array" ref="Q1216">_xlfn.XLOOKUP(O1216,BSFC!$A$2:$A$24,_xlfn.XLOOKUP(K1216,BSFC!$B$1:$O$1,BSFC!$B$2:$O$24,,-1),,-1)</f>
        <v>520</v>
      </c>
      <c r="R1216" s="17">
        <f t="shared" si="217"/>
        <v>1.425663585873016</v>
      </c>
      <c r="S1216" s="16">
        <f t="shared" si="218"/>
        <v>2.0443068048074323E-4</v>
      </c>
      <c r="T1216" s="17">
        <f t="shared" si="221"/>
        <v>0.10630395384998648</v>
      </c>
      <c r="U1216" s="16">
        <f t="shared" si="222"/>
        <v>157.64809466242525</v>
      </c>
      <c r="V1216" s="17">
        <f t="shared" si="223"/>
        <v>0.32510116094220587</v>
      </c>
      <c r="W1216" s="16">
        <f t="shared" si="219"/>
        <v>1170364.1793919411</v>
      </c>
      <c r="X1216">
        <f>('Hybrid Info'!$A$2-Track!P1216)*(L1216-L1215)*1000+X1215</f>
        <v>-25548.762171329945</v>
      </c>
    </row>
    <row r="1217" spans="1:24">
      <c r="A1217" s="16">
        <f t="shared" si="220"/>
        <v>1216</v>
      </c>
      <c r="B1217" s="17">
        <f t="shared" si="226"/>
        <v>13.411199999999999</v>
      </c>
      <c r="C1217" s="16">
        <f>Specification!$G$29</f>
        <v>164.943378</v>
      </c>
      <c r="D1217" s="17">
        <f>0.5*Specification!$K$4*Track!B1217^2*Specification!$K$3*Specification!$K$2</f>
        <v>93.159842569492653</v>
      </c>
      <c r="E1217" s="16">
        <v>0</v>
      </c>
      <c r="F1217" s="17">
        <f>Specification!$C$23*9.81*SIN((E1217*PI()/180))</f>
        <v>0</v>
      </c>
      <c r="G1217" s="18">
        <f>IF(J1217=1,VLOOKUP(K1217,RPM!$E$2:$H$62,3,FALSE)-F1217-E1217-D1217,IF(J1217=2,VLOOKUP(K1217,RPM!$H$2:$K$62,3,FALSE)-F1217-E1217-D1217,IF(J1217=3,VLOOKUP(K1217,RPM!$K$2:$N$62,3,FALSE)-F1217-E1217-D1217)))</f>
        <v>688.48526429214962</v>
      </c>
      <c r="H1217" s="19">
        <f>IF(J1217=1,Specification!$I$14,IF(J1217=2,Specification!$I$15,IF(J1217=3,Specification!$I$16)))</f>
        <v>582.50936296077191</v>
      </c>
      <c r="I1217" s="16">
        <f t="shared" si="225"/>
        <v>0</v>
      </c>
      <c r="J1217" s="17">
        <v>2</v>
      </c>
      <c r="K1217" s="16">
        <f>IF(J1217=1,VLOOKUP(B1217,RPM!$F$2:$H$62,3,TRUE),IF(J1217=2,VLOOKUP(B1217,RPM!$I$2:$K$62,3,TRUE),IF(J1217=3,VLOOKUP(B1217,RPM!$L$2:$N$62,3,TRUE))))</f>
        <v>7000</v>
      </c>
      <c r="L1217" s="17">
        <f t="shared" si="224"/>
        <v>94.945824749750216</v>
      </c>
      <c r="M1217" s="16">
        <f t="shared" si="227"/>
        <v>0</v>
      </c>
      <c r="N1217" s="17">
        <f>VLOOKUP(K1217,RPM!$A$2:$D$62,3,FALSE)</f>
        <v>13</v>
      </c>
      <c r="O1217" s="16">
        <f>VLOOKUP(K1217,RPM!$A$2:$D$62,4,FALSE)</f>
        <v>13.235857142857142</v>
      </c>
      <c r="P1217" s="17">
        <f t="shared" si="216"/>
        <v>9.8699786714285711</v>
      </c>
      <c r="Q1217" s="16" cm="1">
        <f t="array" ref="Q1217">_xlfn.XLOOKUP(O1217,BSFC!$A$2:$A$24,_xlfn.XLOOKUP(K1217,BSFC!$B$1:$O$1,BSFC!$B$2:$O$24,,-1),,-1)</f>
        <v>520</v>
      </c>
      <c r="R1217" s="17">
        <f t="shared" si="217"/>
        <v>1.425663585873016</v>
      </c>
      <c r="S1217" s="16">
        <f t="shared" si="218"/>
        <v>2.0443068048074323E-4</v>
      </c>
      <c r="T1217" s="17">
        <f t="shared" si="221"/>
        <v>0.10630395384998648</v>
      </c>
      <c r="U1217" s="16">
        <f t="shared" si="222"/>
        <v>157.75439861627524</v>
      </c>
      <c r="V1217" s="17">
        <f t="shared" si="223"/>
        <v>0.32530559162268663</v>
      </c>
      <c r="W1217" s="16">
        <f t="shared" si="219"/>
        <v>1171100.1298416718</v>
      </c>
      <c r="X1217">
        <f>('Hybrid Info'!$A$2-Track!P1217)*(L1217-L1216)*1000+X1216</f>
        <v>-25380.956462343693</v>
      </c>
    </row>
    <row r="1218" spans="1:24">
      <c r="A1218" s="16">
        <f t="shared" si="220"/>
        <v>1217</v>
      </c>
      <c r="B1218" s="17">
        <f t="shared" si="226"/>
        <v>13.411199999999999</v>
      </c>
      <c r="C1218" s="16">
        <f>Specification!$G$29</f>
        <v>164.943378</v>
      </c>
      <c r="D1218" s="17">
        <f>0.5*Specification!$K$4*Track!B1218^2*Specification!$K$3*Specification!$K$2</f>
        <v>93.159842569492653</v>
      </c>
      <c r="E1218" s="16">
        <v>0</v>
      </c>
      <c r="F1218" s="17">
        <f>Specification!$C$23*9.81*SIN((E1218*PI()/180))</f>
        <v>0</v>
      </c>
      <c r="G1218" s="18">
        <f>IF(J1218=1,VLOOKUP(K1218,RPM!$E$2:$H$62,3,FALSE)-F1218-E1218-D1218,IF(J1218=2,VLOOKUP(K1218,RPM!$H$2:$K$62,3,FALSE)-F1218-E1218-D1218,IF(J1218=3,VLOOKUP(K1218,RPM!$K$2:$N$62,3,FALSE)-F1218-E1218-D1218)))</f>
        <v>688.48526429214962</v>
      </c>
      <c r="H1218" s="19">
        <f>IF(J1218=1,Specification!$I$14,IF(J1218=2,Specification!$I$15,IF(J1218=3,Specification!$I$16)))</f>
        <v>582.50936296077191</v>
      </c>
      <c r="I1218" s="16">
        <f t="shared" si="225"/>
        <v>0</v>
      </c>
      <c r="J1218" s="17">
        <v>2</v>
      </c>
      <c r="K1218" s="16">
        <f>IF(J1218=1,VLOOKUP(B1218,RPM!$F$2:$H$62,3,TRUE),IF(J1218=2,VLOOKUP(B1218,RPM!$I$2:$K$62,3,TRUE),IF(J1218=3,VLOOKUP(B1218,RPM!$L$2:$N$62,3,TRUE))))</f>
        <v>7000</v>
      </c>
      <c r="L1218" s="17">
        <f t="shared" si="224"/>
        <v>95.020389292818692</v>
      </c>
      <c r="M1218" s="16">
        <f t="shared" si="227"/>
        <v>0</v>
      </c>
      <c r="N1218" s="17">
        <f>VLOOKUP(K1218,RPM!$A$2:$D$62,3,FALSE)</f>
        <v>13</v>
      </c>
      <c r="O1218" s="16">
        <f>VLOOKUP(K1218,RPM!$A$2:$D$62,4,FALSE)</f>
        <v>13.235857142857142</v>
      </c>
      <c r="P1218" s="17">
        <f t="shared" ref="P1218:P1281" si="228">O1218*0.7457</f>
        <v>9.8699786714285711</v>
      </c>
      <c r="Q1218" s="16" cm="1">
        <f t="array" ref="Q1218">_xlfn.XLOOKUP(O1218,BSFC!$A$2:$A$24,_xlfn.XLOOKUP(K1218,BSFC!$B$1:$O$1,BSFC!$B$2:$O$24,,-1),,-1)</f>
        <v>520</v>
      </c>
      <c r="R1218" s="17">
        <f t="shared" ref="R1218:R1281" si="229">Q1218*P1218/3600</f>
        <v>1.425663585873016</v>
      </c>
      <c r="S1218" s="16">
        <f t="shared" si="218"/>
        <v>2.0443068048074323E-4</v>
      </c>
      <c r="T1218" s="17">
        <f t="shared" si="221"/>
        <v>0.10630395384998648</v>
      </c>
      <c r="U1218" s="16">
        <f t="shared" si="222"/>
        <v>157.86070257012523</v>
      </c>
      <c r="V1218" s="17">
        <f t="shared" si="223"/>
        <v>0.32551002230316739</v>
      </c>
      <c r="W1218" s="16">
        <f t="shared" si="219"/>
        <v>1171836.0802914025</v>
      </c>
      <c r="X1218">
        <f>('Hybrid Info'!$A$2-Track!P1218)*(L1218-L1217)*1000+X1217</f>
        <v>-25213.15075335744</v>
      </c>
    </row>
    <row r="1219" spans="1:24">
      <c r="A1219" s="16">
        <f t="shared" si="220"/>
        <v>1218</v>
      </c>
      <c r="B1219" s="17">
        <f t="shared" si="226"/>
        <v>13.411199999999999</v>
      </c>
      <c r="C1219" s="16">
        <f>Specification!$G$29</f>
        <v>164.943378</v>
      </c>
      <c r="D1219" s="17">
        <f>0.5*Specification!$K$4*Track!B1219^2*Specification!$K$3*Specification!$K$2</f>
        <v>93.159842569492653</v>
      </c>
      <c r="E1219" s="16">
        <v>0</v>
      </c>
      <c r="F1219" s="17">
        <f>Specification!$C$23*9.81*SIN((E1219*PI()/180))</f>
        <v>0</v>
      </c>
      <c r="G1219" s="18">
        <f>IF(J1219=1,VLOOKUP(K1219,RPM!$E$2:$H$62,3,FALSE)-F1219-E1219-D1219,IF(J1219=2,VLOOKUP(K1219,RPM!$H$2:$K$62,3,FALSE)-F1219-E1219-D1219,IF(J1219=3,VLOOKUP(K1219,RPM!$K$2:$N$62,3,FALSE)-F1219-E1219-D1219)))</f>
        <v>688.48526429214962</v>
      </c>
      <c r="H1219" s="19">
        <f>IF(J1219=1,Specification!$I$14,IF(J1219=2,Specification!$I$15,IF(J1219=3,Specification!$I$16)))</f>
        <v>582.50936296077191</v>
      </c>
      <c r="I1219" s="16">
        <f t="shared" si="225"/>
        <v>0</v>
      </c>
      <c r="J1219" s="17">
        <v>2</v>
      </c>
      <c r="K1219" s="16">
        <f>IF(J1219=1,VLOOKUP(B1219,RPM!$F$2:$H$62,3,TRUE),IF(J1219=2,VLOOKUP(B1219,RPM!$I$2:$K$62,3,TRUE),IF(J1219=3,VLOOKUP(B1219,RPM!$L$2:$N$62,3,TRUE))))</f>
        <v>7000</v>
      </c>
      <c r="L1219" s="17">
        <f t="shared" si="224"/>
        <v>95.094953835887168</v>
      </c>
      <c r="M1219" s="16">
        <f t="shared" si="227"/>
        <v>0</v>
      </c>
      <c r="N1219" s="17">
        <f>VLOOKUP(K1219,RPM!$A$2:$D$62,3,FALSE)</f>
        <v>13</v>
      </c>
      <c r="O1219" s="16">
        <f>VLOOKUP(K1219,RPM!$A$2:$D$62,4,FALSE)</f>
        <v>13.235857142857142</v>
      </c>
      <c r="P1219" s="17">
        <f t="shared" si="228"/>
        <v>9.8699786714285711</v>
      </c>
      <c r="Q1219" s="16" cm="1">
        <f t="array" ref="Q1219">_xlfn.XLOOKUP(O1219,BSFC!$A$2:$A$24,_xlfn.XLOOKUP(K1219,BSFC!$B$1:$O$1,BSFC!$B$2:$O$24,,-1),,-1)</f>
        <v>520</v>
      </c>
      <c r="R1219" s="17">
        <f t="shared" si="229"/>
        <v>1.425663585873016</v>
      </c>
      <c r="S1219" s="16">
        <f t="shared" ref="S1219:S1282" si="230">(L1219-L1218)/3600*P1219</f>
        <v>2.0443068048074323E-4</v>
      </c>
      <c r="T1219" s="17">
        <f t="shared" si="221"/>
        <v>0.10630395384998648</v>
      </c>
      <c r="U1219" s="16">
        <f t="shared" si="222"/>
        <v>157.96700652397521</v>
      </c>
      <c r="V1219" s="17">
        <f t="shared" si="223"/>
        <v>0.32571445298364815</v>
      </c>
      <c r="W1219" s="16">
        <f t="shared" ref="W1219:W1282" si="231">V1219*1000*3600</f>
        <v>1172572.0307411333</v>
      </c>
      <c r="X1219">
        <f>('Hybrid Info'!$A$2-Track!P1219)*(L1219-L1218)*1000+X1218</f>
        <v>-25045.345044371188</v>
      </c>
    </row>
    <row r="1220" spans="1:24">
      <c r="A1220" s="16">
        <f t="shared" ref="A1220:A1283" si="232">A1219+1</f>
        <v>1219</v>
      </c>
      <c r="B1220" s="17">
        <f t="shared" si="226"/>
        <v>13.411199999999999</v>
      </c>
      <c r="C1220" s="16">
        <f>Specification!$G$29</f>
        <v>164.943378</v>
      </c>
      <c r="D1220" s="17">
        <f>0.5*Specification!$K$4*Track!B1220^2*Specification!$K$3*Specification!$K$2</f>
        <v>93.159842569492653</v>
      </c>
      <c r="E1220" s="16">
        <v>0</v>
      </c>
      <c r="F1220" s="17">
        <f>Specification!$C$23*9.81*SIN((E1220*PI()/180))</f>
        <v>0</v>
      </c>
      <c r="G1220" s="18">
        <f>IF(J1220=1,VLOOKUP(K1220,RPM!$E$2:$H$62,3,FALSE)-F1220-E1220-D1220,IF(J1220=2,VLOOKUP(K1220,RPM!$H$2:$K$62,3,FALSE)-F1220-E1220-D1220,IF(J1220=3,VLOOKUP(K1220,RPM!$K$2:$N$62,3,FALSE)-F1220-E1220-D1220)))</f>
        <v>688.48526429214962</v>
      </c>
      <c r="H1220" s="19">
        <f>IF(J1220=1,Specification!$I$14,IF(J1220=2,Specification!$I$15,IF(J1220=3,Specification!$I$16)))</f>
        <v>582.50936296077191</v>
      </c>
      <c r="I1220" s="16">
        <f t="shared" si="225"/>
        <v>0</v>
      </c>
      <c r="J1220" s="17">
        <v>2</v>
      </c>
      <c r="K1220" s="16">
        <f>IF(J1220=1,VLOOKUP(B1220,RPM!$F$2:$H$62,3,TRUE),IF(J1220=2,VLOOKUP(B1220,RPM!$I$2:$K$62,3,TRUE),IF(J1220=3,VLOOKUP(B1220,RPM!$L$2:$N$62,3,TRUE))))</f>
        <v>7000</v>
      </c>
      <c r="L1220" s="17">
        <f t="shared" si="224"/>
        <v>95.169518378955644</v>
      </c>
      <c r="M1220" s="16">
        <f t="shared" si="227"/>
        <v>0</v>
      </c>
      <c r="N1220" s="17">
        <f>VLOOKUP(K1220,RPM!$A$2:$D$62,3,FALSE)</f>
        <v>13</v>
      </c>
      <c r="O1220" s="16">
        <f>VLOOKUP(K1220,RPM!$A$2:$D$62,4,FALSE)</f>
        <v>13.235857142857142</v>
      </c>
      <c r="P1220" s="17">
        <f t="shared" si="228"/>
        <v>9.8699786714285711</v>
      </c>
      <c r="Q1220" s="16" cm="1">
        <f t="array" ref="Q1220">_xlfn.XLOOKUP(O1220,BSFC!$A$2:$A$24,_xlfn.XLOOKUP(K1220,BSFC!$B$1:$O$1,BSFC!$B$2:$O$24,,-1),,-1)</f>
        <v>520</v>
      </c>
      <c r="R1220" s="17">
        <f t="shared" si="229"/>
        <v>1.425663585873016</v>
      </c>
      <c r="S1220" s="16">
        <f t="shared" si="230"/>
        <v>2.0443068048074323E-4</v>
      </c>
      <c r="T1220" s="17">
        <f t="shared" ref="T1220:T1283" si="233">S1220*Q1220</f>
        <v>0.10630395384998648</v>
      </c>
      <c r="U1220" s="16">
        <f t="shared" ref="U1220:U1283" si="234">U1219+T1220</f>
        <v>158.0733104778252</v>
      </c>
      <c r="V1220" s="17">
        <f t="shared" si="223"/>
        <v>0.32591888366412891</v>
      </c>
      <c r="W1220" s="16">
        <f t="shared" si="231"/>
        <v>1173307.981190864</v>
      </c>
      <c r="X1220">
        <f>('Hybrid Info'!$A$2-Track!P1220)*(L1220-L1219)*1000+X1219</f>
        <v>-24877.539335384936</v>
      </c>
    </row>
    <row r="1221" spans="1:24">
      <c r="A1221" s="16">
        <f t="shared" si="232"/>
        <v>1220</v>
      </c>
      <c r="B1221" s="17">
        <f t="shared" si="226"/>
        <v>13.411199999999999</v>
      </c>
      <c r="C1221" s="16">
        <f>Specification!$G$29</f>
        <v>164.943378</v>
      </c>
      <c r="D1221" s="17">
        <f>0.5*Specification!$K$4*Track!B1221^2*Specification!$K$3*Specification!$K$2</f>
        <v>93.159842569492653</v>
      </c>
      <c r="E1221" s="16">
        <v>0</v>
      </c>
      <c r="F1221" s="17">
        <f>Specification!$C$23*9.81*SIN((E1221*PI()/180))</f>
        <v>0</v>
      </c>
      <c r="G1221" s="18">
        <f>IF(J1221=1,VLOOKUP(K1221,RPM!$E$2:$H$62,3,FALSE)-F1221-E1221-D1221,IF(J1221=2,VLOOKUP(K1221,RPM!$H$2:$K$62,3,FALSE)-F1221-E1221-D1221,IF(J1221=3,VLOOKUP(K1221,RPM!$K$2:$N$62,3,FALSE)-F1221-E1221-D1221)))</f>
        <v>688.48526429214962</v>
      </c>
      <c r="H1221" s="19">
        <f>IF(J1221=1,Specification!$I$14,IF(J1221=2,Specification!$I$15,IF(J1221=3,Specification!$I$16)))</f>
        <v>582.50936296077191</v>
      </c>
      <c r="I1221" s="16">
        <f t="shared" si="225"/>
        <v>0</v>
      </c>
      <c r="J1221" s="17">
        <v>2</v>
      </c>
      <c r="K1221" s="16">
        <f>IF(J1221=1,VLOOKUP(B1221,RPM!$F$2:$H$62,3,TRUE),IF(J1221=2,VLOOKUP(B1221,RPM!$I$2:$K$62,3,TRUE),IF(J1221=3,VLOOKUP(B1221,RPM!$L$2:$N$62,3,TRUE))))</f>
        <v>7000</v>
      </c>
      <c r="L1221" s="17">
        <f t="shared" si="224"/>
        <v>95.24408292202412</v>
      </c>
      <c r="M1221" s="16">
        <f t="shared" si="227"/>
        <v>0</v>
      </c>
      <c r="N1221" s="17">
        <f>VLOOKUP(K1221,RPM!$A$2:$D$62,3,FALSE)</f>
        <v>13</v>
      </c>
      <c r="O1221" s="16">
        <f>VLOOKUP(K1221,RPM!$A$2:$D$62,4,FALSE)</f>
        <v>13.235857142857142</v>
      </c>
      <c r="P1221" s="17">
        <f t="shared" si="228"/>
        <v>9.8699786714285711</v>
      </c>
      <c r="Q1221" s="16" cm="1">
        <f t="array" ref="Q1221">_xlfn.XLOOKUP(O1221,BSFC!$A$2:$A$24,_xlfn.XLOOKUP(K1221,BSFC!$B$1:$O$1,BSFC!$B$2:$O$24,,-1),,-1)</f>
        <v>520</v>
      </c>
      <c r="R1221" s="17">
        <f t="shared" si="229"/>
        <v>1.425663585873016</v>
      </c>
      <c r="S1221" s="16">
        <f t="shared" si="230"/>
        <v>2.0443068048074323E-4</v>
      </c>
      <c r="T1221" s="17">
        <f t="shared" si="233"/>
        <v>0.10630395384998648</v>
      </c>
      <c r="U1221" s="16">
        <f t="shared" si="234"/>
        <v>158.17961443167519</v>
      </c>
      <c r="V1221" s="17">
        <f t="shared" ref="V1221:V1284" si="235">V1220+S1221</f>
        <v>0.32612331434460967</v>
      </c>
      <c r="W1221" s="16">
        <f t="shared" si="231"/>
        <v>1174043.931640595</v>
      </c>
      <c r="X1221">
        <f>('Hybrid Info'!$A$2-Track!P1221)*(L1221-L1220)*1000+X1220</f>
        <v>-24709.733626398684</v>
      </c>
    </row>
    <row r="1222" spans="1:24">
      <c r="A1222" s="16">
        <f t="shared" si="232"/>
        <v>1221</v>
      </c>
      <c r="B1222" s="17">
        <f t="shared" si="226"/>
        <v>13.411199999999999</v>
      </c>
      <c r="C1222" s="16">
        <f>Specification!$G$29</f>
        <v>164.943378</v>
      </c>
      <c r="D1222" s="17">
        <f>0.5*Specification!$K$4*Track!B1222^2*Specification!$K$3*Specification!$K$2</f>
        <v>93.159842569492653</v>
      </c>
      <c r="E1222" s="16">
        <v>0</v>
      </c>
      <c r="F1222" s="17">
        <f>Specification!$C$23*9.81*SIN((E1222*PI()/180))</f>
        <v>0</v>
      </c>
      <c r="G1222" s="18">
        <f>IF(J1222=1,VLOOKUP(K1222,RPM!$E$2:$H$62,3,FALSE)-F1222-E1222-D1222,IF(J1222=2,VLOOKUP(K1222,RPM!$H$2:$K$62,3,FALSE)-F1222-E1222-D1222,IF(J1222=3,VLOOKUP(K1222,RPM!$K$2:$N$62,3,FALSE)-F1222-E1222-D1222)))</f>
        <v>688.48526429214962</v>
      </c>
      <c r="H1222" s="19">
        <f>IF(J1222=1,Specification!$I$14,IF(J1222=2,Specification!$I$15,IF(J1222=3,Specification!$I$16)))</f>
        <v>582.50936296077191</v>
      </c>
      <c r="I1222" s="16">
        <f t="shared" si="225"/>
        <v>0</v>
      </c>
      <c r="J1222" s="17">
        <v>2</v>
      </c>
      <c r="K1222" s="16">
        <f>IF(J1222=1,VLOOKUP(B1222,RPM!$F$2:$H$62,3,TRUE),IF(J1222=2,VLOOKUP(B1222,RPM!$I$2:$K$62,3,TRUE),IF(J1222=3,VLOOKUP(B1222,RPM!$L$2:$N$62,3,TRUE))))</f>
        <v>7000</v>
      </c>
      <c r="L1222" s="17">
        <f t="shared" si="224"/>
        <v>95.318647465092596</v>
      </c>
      <c r="M1222" s="16">
        <f t="shared" si="227"/>
        <v>0</v>
      </c>
      <c r="N1222" s="17">
        <f>VLOOKUP(K1222,RPM!$A$2:$D$62,3,FALSE)</f>
        <v>13</v>
      </c>
      <c r="O1222" s="16">
        <f>VLOOKUP(K1222,RPM!$A$2:$D$62,4,FALSE)</f>
        <v>13.235857142857142</v>
      </c>
      <c r="P1222" s="17">
        <f t="shared" si="228"/>
        <v>9.8699786714285711</v>
      </c>
      <c r="Q1222" s="16" cm="1">
        <f t="array" ref="Q1222">_xlfn.XLOOKUP(O1222,BSFC!$A$2:$A$24,_xlfn.XLOOKUP(K1222,BSFC!$B$1:$O$1,BSFC!$B$2:$O$24,,-1),,-1)</f>
        <v>520</v>
      </c>
      <c r="R1222" s="17">
        <f t="shared" si="229"/>
        <v>1.425663585873016</v>
      </c>
      <c r="S1222" s="16">
        <f t="shared" si="230"/>
        <v>2.0443068048074323E-4</v>
      </c>
      <c r="T1222" s="17">
        <f t="shared" si="233"/>
        <v>0.10630395384998648</v>
      </c>
      <c r="U1222" s="16">
        <f t="shared" si="234"/>
        <v>158.28591838552518</v>
      </c>
      <c r="V1222" s="17">
        <f t="shared" si="235"/>
        <v>0.32632774502509043</v>
      </c>
      <c r="W1222" s="16">
        <f t="shared" si="231"/>
        <v>1174779.8820903257</v>
      </c>
      <c r="X1222">
        <f>('Hybrid Info'!$A$2-Track!P1222)*(L1222-L1221)*1000+X1221</f>
        <v>-24541.927917412431</v>
      </c>
    </row>
    <row r="1223" spans="1:24">
      <c r="A1223" s="16">
        <f t="shared" si="232"/>
        <v>1222</v>
      </c>
      <c r="B1223" s="17">
        <f t="shared" si="226"/>
        <v>13.411199999999999</v>
      </c>
      <c r="C1223" s="16">
        <f>Specification!$G$29</f>
        <v>164.943378</v>
      </c>
      <c r="D1223" s="17">
        <f>0.5*Specification!$K$4*Track!B1223^2*Specification!$K$3*Specification!$K$2</f>
        <v>93.159842569492653</v>
      </c>
      <c r="E1223" s="16">
        <v>0</v>
      </c>
      <c r="F1223" s="17">
        <f>Specification!$C$23*9.81*SIN((E1223*PI()/180))</f>
        <v>0</v>
      </c>
      <c r="G1223" s="18">
        <f>IF(J1223=1,VLOOKUP(K1223,RPM!$E$2:$H$62,3,FALSE)-F1223-E1223-D1223,IF(J1223=2,VLOOKUP(K1223,RPM!$H$2:$K$62,3,FALSE)-F1223-E1223-D1223,IF(J1223=3,VLOOKUP(K1223,RPM!$K$2:$N$62,3,FALSE)-F1223-E1223-D1223)))</f>
        <v>688.48526429214962</v>
      </c>
      <c r="H1223" s="19">
        <f>IF(J1223=1,Specification!$I$14,IF(J1223=2,Specification!$I$15,IF(J1223=3,Specification!$I$16)))</f>
        <v>582.50936296077191</v>
      </c>
      <c r="I1223" s="16">
        <f t="shared" si="225"/>
        <v>0</v>
      </c>
      <c r="J1223" s="17">
        <v>2</v>
      </c>
      <c r="K1223" s="16">
        <f>IF(J1223=1,VLOOKUP(B1223,RPM!$F$2:$H$62,3,TRUE),IF(J1223=2,VLOOKUP(B1223,RPM!$I$2:$K$62,3,TRUE),IF(J1223=3,VLOOKUP(B1223,RPM!$L$2:$N$62,3,TRUE))))</f>
        <v>7000</v>
      </c>
      <c r="L1223" s="17">
        <f t="shared" si="224"/>
        <v>95.393212008161072</v>
      </c>
      <c r="M1223" s="16">
        <f t="shared" si="227"/>
        <v>0</v>
      </c>
      <c r="N1223" s="17">
        <f>VLOOKUP(K1223,RPM!$A$2:$D$62,3,FALSE)</f>
        <v>13</v>
      </c>
      <c r="O1223" s="16">
        <f>VLOOKUP(K1223,RPM!$A$2:$D$62,4,FALSE)</f>
        <v>13.235857142857142</v>
      </c>
      <c r="P1223" s="17">
        <f t="shared" si="228"/>
        <v>9.8699786714285711</v>
      </c>
      <c r="Q1223" s="16" cm="1">
        <f t="array" ref="Q1223">_xlfn.XLOOKUP(O1223,BSFC!$A$2:$A$24,_xlfn.XLOOKUP(K1223,BSFC!$B$1:$O$1,BSFC!$B$2:$O$24,,-1),,-1)</f>
        <v>520</v>
      </c>
      <c r="R1223" s="17">
        <f t="shared" si="229"/>
        <v>1.425663585873016</v>
      </c>
      <c r="S1223" s="16">
        <f t="shared" si="230"/>
        <v>2.0443068048074323E-4</v>
      </c>
      <c r="T1223" s="17">
        <f t="shared" si="233"/>
        <v>0.10630395384998648</v>
      </c>
      <c r="U1223" s="16">
        <f t="shared" si="234"/>
        <v>158.39222233937517</v>
      </c>
      <c r="V1223" s="17">
        <f t="shared" si="235"/>
        <v>0.32653217570557119</v>
      </c>
      <c r="W1223" s="16">
        <f t="shared" si="231"/>
        <v>1175515.8325400564</v>
      </c>
      <c r="X1223">
        <f>('Hybrid Info'!$A$2-Track!P1223)*(L1223-L1222)*1000+X1222</f>
        <v>-24374.122208426179</v>
      </c>
    </row>
    <row r="1224" spans="1:24">
      <c r="A1224" s="16">
        <f t="shared" si="232"/>
        <v>1223</v>
      </c>
      <c r="B1224" s="17">
        <f t="shared" si="226"/>
        <v>13.411199999999999</v>
      </c>
      <c r="C1224" s="16">
        <f>Specification!$G$29</f>
        <v>164.943378</v>
      </c>
      <c r="D1224" s="17">
        <f>0.5*Specification!$K$4*Track!B1224^2*Specification!$K$3*Specification!$K$2</f>
        <v>93.159842569492653</v>
      </c>
      <c r="E1224" s="16">
        <v>0</v>
      </c>
      <c r="F1224" s="17">
        <f>Specification!$C$23*9.81*SIN((E1224*PI()/180))</f>
        <v>0</v>
      </c>
      <c r="G1224" s="18">
        <f>IF(J1224=1,VLOOKUP(K1224,RPM!$E$2:$H$62,3,FALSE)-F1224-E1224-D1224,IF(J1224=2,VLOOKUP(K1224,RPM!$H$2:$K$62,3,FALSE)-F1224-E1224-D1224,IF(J1224=3,VLOOKUP(K1224,RPM!$K$2:$N$62,3,FALSE)-F1224-E1224-D1224)))</f>
        <v>688.48526429214962</v>
      </c>
      <c r="H1224" s="19">
        <f>IF(J1224=1,Specification!$I$14,IF(J1224=2,Specification!$I$15,IF(J1224=3,Specification!$I$16)))</f>
        <v>582.50936296077191</v>
      </c>
      <c r="I1224" s="16">
        <f t="shared" si="225"/>
        <v>0</v>
      </c>
      <c r="J1224" s="17">
        <v>2</v>
      </c>
      <c r="K1224" s="16">
        <f>IF(J1224=1,VLOOKUP(B1224,RPM!$F$2:$H$62,3,TRUE),IF(J1224=2,VLOOKUP(B1224,RPM!$I$2:$K$62,3,TRUE),IF(J1224=3,VLOOKUP(B1224,RPM!$L$2:$N$62,3,TRUE))))</f>
        <v>7000</v>
      </c>
      <c r="L1224" s="17">
        <f t="shared" si="224"/>
        <v>95.467776551229548</v>
      </c>
      <c r="M1224" s="16">
        <f t="shared" si="227"/>
        <v>0</v>
      </c>
      <c r="N1224" s="17">
        <f>VLOOKUP(K1224,RPM!$A$2:$D$62,3,FALSE)</f>
        <v>13</v>
      </c>
      <c r="O1224" s="16">
        <f>VLOOKUP(K1224,RPM!$A$2:$D$62,4,FALSE)</f>
        <v>13.235857142857142</v>
      </c>
      <c r="P1224" s="17">
        <f t="shared" si="228"/>
        <v>9.8699786714285711</v>
      </c>
      <c r="Q1224" s="16" cm="1">
        <f t="array" ref="Q1224">_xlfn.XLOOKUP(O1224,BSFC!$A$2:$A$24,_xlfn.XLOOKUP(K1224,BSFC!$B$1:$O$1,BSFC!$B$2:$O$24,,-1),,-1)</f>
        <v>520</v>
      </c>
      <c r="R1224" s="17">
        <f t="shared" si="229"/>
        <v>1.425663585873016</v>
      </c>
      <c r="S1224" s="16">
        <f t="shared" si="230"/>
        <v>2.0443068048074323E-4</v>
      </c>
      <c r="T1224" s="17">
        <f t="shared" si="233"/>
        <v>0.10630395384998648</v>
      </c>
      <c r="U1224" s="16">
        <f t="shared" si="234"/>
        <v>158.49852629322515</v>
      </c>
      <c r="V1224" s="17">
        <f t="shared" si="235"/>
        <v>0.32673660638605195</v>
      </c>
      <c r="W1224" s="16">
        <f t="shared" si="231"/>
        <v>1176251.7829897872</v>
      </c>
      <c r="X1224">
        <f>('Hybrid Info'!$A$2-Track!P1224)*(L1224-L1223)*1000+X1223</f>
        <v>-24206.316499439927</v>
      </c>
    </row>
    <row r="1225" spans="1:24">
      <c r="A1225" s="16">
        <f t="shared" si="232"/>
        <v>1224</v>
      </c>
      <c r="B1225" s="17">
        <f t="shared" si="226"/>
        <v>13.411199999999999</v>
      </c>
      <c r="C1225" s="16">
        <f>Specification!$G$29</f>
        <v>164.943378</v>
      </c>
      <c r="D1225" s="17">
        <f>0.5*Specification!$K$4*Track!B1225^2*Specification!$K$3*Specification!$K$2</f>
        <v>93.159842569492653</v>
      </c>
      <c r="E1225" s="16">
        <v>0</v>
      </c>
      <c r="F1225" s="17">
        <f>Specification!$C$23*9.81*SIN((E1225*PI()/180))</f>
        <v>0</v>
      </c>
      <c r="G1225" s="18">
        <f>IF(J1225=1,VLOOKUP(K1225,RPM!$E$2:$H$62,3,FALSE)-F1225-E1225-D1225,IF(J1225=2,VLOOKUP(K1225,RPM!$H$2:$K$62,3,FALSE)-F1225-E1225-D1225,IF(J1225=3,VLOOKUP(K1225,RPM!$K$2:$N$62,3,FALSE)-F1225-E1225-D1225)))</f>
        <v>688.48526429214962</v>
      </c>
      <c r="H1225" s="19">
        <f>IF(J1225=1,Specification!$I$14,IF(J1225=2,Specification!$I$15,IF(J1225=3,Specification!$I$16)))</f>
        <v>582.50936296077191</v>
      </c>
      <c r="I1225" s="16">
        <f t="shared" si="225"/>
        <v>0</v>
      </c>
      <c r="J1225" s="17">
        <v>2</v>
      </c>
      <c r="K1225" s="16">
        <f>IF(J1225=1,VLOOKUP(B1225,RPM!$F$2:$H$62,3,TRUE),IF(J1225=2,VLOOKUP(B1225,RPM!$I$2:$K$62,3,TRUE),IF(J1225=3,VLOOKUP(B1225,RPM!$L$2:$N$62,3,TRUE))))</f>
        <v>7000</v>
      </c>
      <c r="L1225" s="17">
        <f t="shared" si="224"/>
        <v>95.542341094298024</v>
      </c>
      <c r="M1225" s="16">
        <f t="shared" si="227"/>
        <v>0</v>
      </c>
      <c r="N1225" s="17">
        <f>VLOOKUP(K1225,RPM!$A$2:$D$62,3,FALSE)</f>
        <v>13</v>
      </c>
      <c r="O1225" s="16">
        <f>VLOOKUP(K1225,RPM!$A$2:$D$62,4,FALSE)</f>
        <v>13.235857142857142</v>
      </c>
      <c r="P1225" s="17">
        <f t="shared" si="228"/>
        <v>9.8699786714285711</v>
      </c>
      <c r="Q1225" s="16" cm="1">
        <f t="array" ref="Q1225">_xlfn.XLOOKUP(O1225,BSFC!$A$2:$A$24,_xlfn.XLOOKUP(K1225,BSFC!$B$1:$O$1,BSFC!$B$2:$O$24,,-1),,-1)</f>
        <v>520</v>
      </c>
      <c r="R1225" s="17">
        <f t="shared" si="229"/>
        <v>1.425663585873016</v>
      </c>
      <c r="S1225" s="16">
        <f t="shared" si="230"/>
        <v>2.0443068048074323E-4</v>
      </c>
      <c r="T1225" s="17">
        <f t="shared" si="233"/>
        <v>0.10630395384998648</v>
      </c>
      <c r="U1225" s="16">
        <f t="shared" si="234"/>
        <v>158.60483024707514</v>
      </c>
      <c r="V1225" s="17">
        <f t="shared" si="235"/>
        <v>0.32694103706653271</v>
      </c>
      <c r="W1225" s="16">
        <f t="shared" si="231"/>
        <v>1176987.7334395177</v>
      </c>
      <c r="X1225">
        <f>('Hybrid Info'!$A$2-Track!P1225)*(L1225-L1224)*1000+X1224</f>
        <v>-24038.510790453674</v>
      </c>
    </row>
    <row r="1226" spans="1:24">
      <c r="A1226" s="16">
        <f t="shared" si="232"/>
        <v>1225</v>
      </c>
      <c r="B1226" s="17">
        <f t="shared" si="226"/>
        <v>13.411199999999999</v>
      </c>
      <c r="C1226" s="16">
        <f>Specification!$G$29</f>
        <v>164.943378</v>
      </c>
      <c r="D1226" s="17">
        <f>0.5*Specification!$K$4*Track!B1226^2*Specification!$K$3*Specification!$K$2</f>
        <v>93.159842569492653</v>
      </c>
      <c r="E1226" s="16">
        <v>0</v>
      </c>
      <c r="F1226" s="17">
        <f>Specification!$C$23*9.81*SIN((E1226*PI()/180))</f>
        <v>0</v>
      </c>
      <c r="G1226" s="18">
        <f>IF(J1226=1,VLOOKUP(K1226,RPM!$E$2:$H$62,3,FALSE)-F1226-E1226-D1226,IF(J1226=2,VLOOKUP(K1226,RPM!$H$2:$K$62,3,FALSE)-F1226-E1226-D1226,IF(J1226=3,VLOOKUP(K1226,RPM!$K$2:$N$62,3,FALSE)-F1226-E1226-D1226)))</f>
        <v>688.48526429214962</v>
      </c>
      <c r="H1226" s="19">
        <f>IF(J1226=1,Specification!$I$14,IF(J1226=2,Specification!$I$15,IF(J1226=3,Specification!$I$16)))</f>
        <v>582.50936296077191</v>
      </c>
      <c r="I1226" s="16">
        <f t="shared" si="225"/>
        <v>0</v>
      </c>
      <c r="J1226" s="17">
        <v>2</v>
      </c>
      <c r="K1226" s="16">
        <f>IF(J1226=1,VLOOKUP(B1226,RPM!$F$2:$H$62,3,TRUE),IF(J1226=2,VLOOKUP(B1226,RPM!$I$2:$K$62,3,TRUE),IF(J1226=3,VLOOKUP(B1226,RPM!$L$2:$N$62,3,TRUE))))</f>
        <v>7000</v>
      </c>
      <c r="L1226" s="17">
        <f t="shared" si="224"/>
        <v>95.6169056373665</v>
      </c>
      <c r="M1226" s="16">
        <f t="shared" si="227"/>
        <v>0</v>
      </c>
      <c r="N1226" s="17">
        <f>VLOOKUP(K1226,RPM!$A$2:$D$62,3,FALSE)</f>
        <v>13</v>
      </c>
      <c r="O1226" s="16">
        <f>VLOOKUP(K1226,RPM!$A$2:$D$62,4,FALSE)</f>
        <v>13.235857142857142</v>
      </c>
      <c r="P1226" s="17">
        <f t="shared" si="228"/>
        <v>9.8699786714285711</v>
      </c>
      <c r="Q1226" s="16" cm="1">
        <f t="array" ref="Q1226">_xlfn.XLOOKUP(O1226,BSFC!$A$2:$A$24,_xlfn.XLOOKUP(K1226,BSFC!$B$1:$O$1,BSFC!$B$2:$O$24,,-1),,-1)</f>
        <v>520</v>
      </c>
      <c r="R1226" s="17">
        <f t="shared" si="229"/>
        <v>1.425663585873016</v>
      </c>
      <c r="S1226" s="16">
        <f t="shared" si="230"/>
        <v>2.0443068048074323E-4</v>
      </c>
      <c r="T1226" s="17">
        <f t="shared" si="233"/>
        <v>0.10630395384998648</v>
      </c>
      <c r="U1226" s="16">
        <f t="shared" si="234"/>
        <v>158.71113420092513</v>
      </c>
      <c r="V1226" s="17">
        <f t="shared" si="235"/>
        <v>0.32714546774701347</v>
      </c>
      <c r="W1226" s="16">
        <f t="shared" si="231"/>
        <v>1177723.6838892484</v>
      </c>
      <c r="X1226">
        <f>('Hybrid Info'!$A$2-Track!P1226)*(L1226-L1225)*1000+X1225</f>
        <v>-23870.705081467422</v>
      </c>
    </row>
    <row r="1227" spans="1:24">
      <c r="A1227" s="16">
        <f t="shared" si="232"/>
        <v>1226</v>
      </c>
      <c r="B1227" s="17">
        <f t="shared" si="226"/>
        <v>13.411199999999999</v>
      </c>
      <c r="C1227" s="16">
        <f>Specification!$G$29</f>
        <v>164.943378</v>
      </c>
      <c r="D1227" s="17">
        <f>0.5*Specification!$K$4*Track!B1227^2*Specification!$K$3*Specification!$K$2</f>
        <v>93.159842569492653</v>
      </c>
      <c r="E1227" s="16">
        <v>0</v>
      </c>
      <c r="F1227" s="17">
        <f>Specification!$C$23*9.81*SIN((E1227*PI()/180))</f>
        <v>0</v>
      </c>
      <c r="G1227" s="18">
        <f>IF(J1227=1,VLOOKUP(K1227,RPM!$E$2:$H$62,3,FALSE)-F1227-E1227-D1227,IF(J1227=2,VLOOKUP(K1227,RPM!$H$2:$K$62,3,FALSE)-F1227-E1227-D1227,IF(J1227=3,VLOOKUP(K1227,RPM!$K$2:$N$62,3,FALSE)-F1227-E1227-D1227)))</f>
        <v>688.48526429214962</v>
      </c>
      <c r="H1227" s="19">
        <f>IF(J1227=1,Specification!$I$14,IF(J1227=2,Specification!$I$15,IF(J1227=3,Specification!$I$16)))</f>
        <v>582.50936296077191</v>
      </c>
      <c r="I1227" s="16">
        <f t="shared" si="225"/>
        <v>0</v>
      </c>
      <c r="J1227" s="17">
        <v>2</v>
      </c>
      <c r="K1227" s="16">
        <f>IF(J1227=1,VLOOKUP(B1227,RPM!$F$2:$H$62,3,TRUE),IF(J1227=2,VLOOKUP(B1227,RPM!$I$2:$K$62,3,TRUE),IF(J1227=3,VLOOKUP(B1227,RPM!$L$2:$N$62,3,TRUE))))</f>
        <v>7000</v>
      </c>
      <c r="L1227" s="17">
        <f t="shared" si="224"/>
        <v>95.691470180434976</v>
      </c>
      <c r="M1227" s="16">
        <f t="shared" si="227"/>
        <v>0</v>
      </c>
      <c r="N1227" s="17">
        <f>VLOOKUP(K1227,RPM!$A$2:$D$62,3,FALSE)</f>
        <v>13</v>
      </c>
      <c r="O1227" s="16">
        <f>VLOOKUP(K1227,RPM!$A$2:$D$62,4,FALSE)</f>
        <v>13.235857142857142</v>
      </c>
      <c r="P1227" s="17">
        <f t="shared" si="228"/>
        <v>9.8699786714285711</v>
      </c>
      <c r="Q1227" s="16" cm="1">
        <f t="array" ref="Q1227">_xlfn.XLOOKUP(O1227,BSFC!$A$2:$A$24,_xlfn.XLOOKUP(K1227,BSFC!$B$1:$O$1,BSFC!$B$2:$O$24,,-1),,-1)</f>
        <v>520</v>
      </c>
      <c r="R1227" s="17">
        <f t="shared" si="229"/>
        <v>1.425663585873016</v>
      </c>
      <c r="S1227" s="16">
        <f t="shared" si="230"/>
        <v>2.0443068048074323E-4</v>
      </c>
      <c r="T1227" s="17">
        <f t="shared" si="233"/>
        <v>0.10630395384998648</v>
      </c>
      <c r="U1227" s="16">
        <f t="shared" si="234"/>
        <v>158.81743815477512</v>
      </c>
      <c r="V1227" s="17">
        <f t="shared" si="235"/>
        <v>0.32734989842749423</v>
      </c>
      <c r="W1227" s="16">
        <f t="shared" si="231"/>
        <v>1178459.6343389791</v>
      </c>
      <c r="X1227">
        <f>('Hybrid Info'!$A$2-Track!P1227)*(L1227-L1226)*1000+X1226</f>
        <v>-23702.89937248117</v>
      </c>
    </row>
    <row r="1228" spans="1:24">
      <c r="A1228" s="16">
        <f t="shared" si="232"/>
        <v>1227</v>
      </c>
      <c r="B1228" s="17">
        <f t="shared" si="226"/>
        <v>13.411199999999999</v>
      </c>
      <c r="C1228" s="16">
        <f>Specification!$G$29</f>
        <v>164.943378</v>
      </c>
      <c r="D1228" s="17">
        <f>0.5*Specification!$K$4*Track!B1228^2*Specification!$K$3*Specification!$K$2</f>
        <v>93.159842569492653</v>
      </c>
      <c r="E1228" s="16">
        <v>0</v>
      </c>
      <c r="F1228" s="17">
        <f>Specification!$C$23*9.81*SIN((E1228*PI()/180))</f>
        <v>0</v>
      </c>
      <c r="G1228" s="18">
        <f>IF(J1228=1,VLOOKUP(K1228,RPM!$E$2:$H$62,3,FALSE)-F1228-E1228-D1228,IF(J1228=2,VLOOKUP(K1228,RPM!$H$2:$K$62,3,FALSE)-F1228-E1228-D1228,IF(J1228=3,VLOOKUP(K1228,RPM!$K$2:$N$62,3,FALSE)-F1228-E1228-D1228)))</f>
        <v>688.48526429214962</v>
      </c>
      <c r="H1228" s="19">
        <f>IF(J1228=1,Specification!$I$14,IF(J1228=2,Specification!$I$15,IF(J1228=3,Specification!$I$16)))</f>
        <v>582.50936296077191</v>
      </c>
      <c r="I1228" s="16">
        <f t="shared" si="225"/>
        <v>0</v>
      </c>
      <c r="J1228" s="17">
        <v>2</v>
      </c>
      <c r="K1228" s="16">
        <f>IF(J1228=1,VLOOKUP(B1228,RPM!$F$2:$H$62,3,TRUE),IF(J1228=2,VLOOKUP(B1228,RPM!$I$2:$K$62,3,TRUE),IF(J1228=3,VLOOKUP(B1228,RPM!$L$2:$N$62,3,TRUE))))</f>
        <v>7000</v>
      </c>
      <c r="L1228" s="17">
        <f t="shared" si="224"/>
        <v>95.766034723503452</v>
      </c>
      <c r="M1228" s="16">
        <f t="shared" si="227"/>
        <v>0</v>
      </c>
      <c r="N1228" s="17">
        <f>VLOOKUP(K1228,RPM!$A$2:$D$62,3,FALSE)</f>
        <v>13</v>
      </c>
      <c r="O1228" s="16">
        <f>VLOOKUP(K1228,RPM!$A$2:$D$62,4,FALSE)</f>
        <v>13.235857142857142</v>
      </c>
      <c r="P1228" s="17">
        <f t="shared" si="228"/>
        <v>9.8699786714285711</v>
      </c>
      <c r="Q1228" s="16" cm="1">
        <f t="array" ref="Q1228">_xlfn.XLOOKUP(O1228,BSFC!$A$2:$A$24,_xlfn.XLOOKUP(K1228,BSFC!$B$1:$O$1,BSFC!$B$2:$O$24,,-1),,-1)</f>
        <v>520</v>
      </c>
      <c r="R1228" s="17">
        <f t="shared" si="229"/>
        <v>1.425663585873016</v>
      </c>
      <c r="S1228" s="16">
        <f t="shared" si="230"/>
        <v>2.0443068048074323E-4</v>
      </c>
      <c r="T1228" s="17">
        <f t="shared" si="233"/>
        <v>0.10630395384998648</v>
      </c>
      <c r="U1228" s="16">
        <f t="shared" si="234"/>
        <v>158.92374210862511</v>
      </c>
      <c r="V1228" s="17">
        <f t="shared" si="235"/>
        <v>0.327554329107975</v>
      </c>
      <c r="W1228" s="16">
        <f t="shared" si="231"/>
        <v>1179195.5847887099</v>
      </c>
      <c r="X1228">
        <f>('Hybrid Info'!$A$2-Track!P1228)*(L1228-L1227)*1000+X1227</f>
        <v>-23535.093663494918</v>
      </c>
    </row>
    <row r="1229" spans="1:24">
      <c r="A1229" s="16">
        <f t="shared" si="232"/>
        <v>1228</v>
      </c>
      <c r="B1229" s="17">
        <f t="shared" si="226"/>
        <v>13.411199999999999</v>
      </c>
      <c r="C1229" s="16">
        <f>Specification!$G$29</f>
        <v>164.943378</v>
      </c>
      <c r="D1229" s="17">
        <f>0.5*Specification!$K$4*Track!B1229^2*Specification!$K$3*Specification!$K$2</f>
        <v>93.159842569492653</v>
      </c>
      <c r="E1229" s="16">
        <v>0</v>
      </c>
      <c r="F1229" s="17">
        <f>Specification!$C$23*9.81*SIN((E1229*PI()/180))</f>
        <v>0</v>
      </c>
      <c r="G1229" s="18">
        <f>IF(J1229=1,VLOOKUP(K1229,RPM!$E$2:$H$62,3,FALSE)-F1229-E1229-D1229,IF(J1229=2,VLOOKUP(K1229,RPM!$H$2:$K$62,3,FALSE)-F1229-E1229-D1229,IF(J1229=3,VLOOKUP(K1229,RPM!$K$2:$N$62,3,FALSE)-F1229-E1229-D1229)))</f>
        <v>688.48526429214962</v>
      </c>
      <c r="H1229" s="19">
        <f>IF(J1229=1,Specification!$I$14,IF(J1229=2,Specification!$I$15,IF(J1229=3,Specification!$I$16)))</f>
        <v>582.50936296077191</v>
      </c>
      <c r="I1229" s="16">
        <f t="shared" si="225"/>
        <v>0</v>
      </c>
      <c r="J1229" s="17">
        <v>2</v>
      </c>
      <c r="K1229" s="16">
        <f>IF(J1229=1,VLOOKUP(B1229,RPM!$F$2:$H$62,3,TRUE),IF(J1229=2,VLOOKUP(B1229,RPM!$I$2:$K$62,3,TRUE),IF(J1229=3,VLOOKUP(B1229,RPM!$L$2:$N$62,3,TRUE))))</f>
        <v>7000</v>
      </c>
      <c r="L1229" s="17">
        <f t="shared" ref="L1229:L1292" si="236">IF(I1229=0,ABS(1/B1229)+L1228,IF(ABS(B1230-B1229)=0,1/B1229+L1228,ABS((B1230-B1229)/I1229)+L1228))</f>
        <v>95.840599266571928</v>
      </c>
      <c r="M1229" s="16">
        <f t="shared" si="227"/>
        <v>0</v>
      </c>
      <c r="N1229" s="17">
        <f>VLOOKUP(K1229,RPM!$A$2:$D$62,3,FALSE)</f>
        <v>13</v>
      </c>
      <c r="O1229" s="16">
        <f>VLOOKUP(K1229,RPM!$A$2:$D$62,4,FALSE)</f>
        <v>13.235857142857142</v>
      </c>
      <c r="P1229" s="17">
        <f t="shared" si="228"/>
        <v>9.8699786714285711</v>
      </c>
      <c r="Q1229" s="16" cm="1">
        <f t="array" ref="Q1229">_xlfn.XLOOKUP(O1229,BSFC!$A$2:$A$24,_xlfn.XLOOKUP(K1229,BSFC!$B$1:$O$1,BSFC!$B$2:$O$24,,-1),,-1)</f>
        <v>520</v>
      </c>
      <c r="R1229" s="17">
        <f t="shared" si="229"/>
        <v>1.425663585873016</v>
      </c>
      <c r="S1229" s="16">
        <f t="shared" si="230"/>
        <v>2.0443068048074323E-4</v>
      </c>
      <c r="T1229" s="17">
        <f t="shared" si="233"/>
        <v>0.10630395384998648</v>
      </c>
      <c r="U1229" s="16">
        <f t="shared" si="234"/>
        <v>159.03004606247509</v>
      </c>
      <c r="V1229" s="17">
        <f t="shared" si="235"/>
        <v>0.32775875978845576</v>
      </c>
      <c r="W1229" s="16">
        <f t="shared" si="231"/>
        <v>1179931.5352384406</v>
      </c>
      <c r="X1229">
        <f>('Hybrid Info'!$A$2-Track!P1229)*(L1229-L1228)*1000+X1228</f>
        <v>-23367.287954508665</v>
      </c>
    </row>
    <row r="1230" spans="1:24">
      <c r="A1230" s="16">
        <f t="shared" si="232"/>
        <v>1229</v>
      </c>
      <c r="B1230" s="17">
        <f t="shared" si="226"/>
        <v>13.411199999999999</v>
      </c>
      <c r="C1230" s="16">
        <f>Specification!$G$29</f>
        <v>164.943378</v>
      </c>
      <c r="D1230" s="17">
        <f>0.5*Specification!$K$4*Track!B1230^2*Specification!$K$3*Specification!$K$2</f>
        <v>93.159842569492653</v>
      </c>
      <c r="E1230" s="16">
        <v>0</v>
      </c>
      <c r="F1230" s="17">
        <f>Specification!$C$23*9.81*SIN((E1230*PI()/180))</f>
        <v>0</v>
      </c>
      <c r="G1230" s="18">
        <f>IF(J1230=1,VLOOKUP(K1230,RPM!$E$2:$H$62,3,FALSE)-F1230-E1230-D1230,IF(J1230=2,VLOOKUP(K1230,RPM!$H$2:$K$62,3,FALSE)-F1230-E1230-D1230,IF(J1230=3,VLOOKUP(K1230,RPM!$K$2:$N$62,3,FALSE)-F1230-E1230-D1230)))</f>
        <v>688.48526429214962</v>
      </c>
      <c r="H1230" s="19">
        <f>IF(J1230=1,Specification!$I$14,IF(J1230=2,Specification!$I$15,IF(J1230=3,Specification!$I$16)))</f>
        <v>582.50936296077191</v>
      </c>
      <c r="I1230" s="16">
        <f t="shared" si="225"/>
        <v>0</v>
      </c>
      <c r="J1230" s="17">
        <v>2</v>
      </c>
      <c r="K1230" s="16">
        <f>IF(J1230=1,VLOOKUP(B1230,RPM!$F$2:$H$62,3,TRUE),IF(J1230=2,VLOOKUP(B1230,RPM!$I$2:$K$62,3,TRUE),IF(J1230=3,VLOOKUP(B1230,RPM!$L$2:$N$62,3,TRUE))))</f>
        <v>7000</v>
      </c>
      <c r="L1230" s="17">
        <f t="shared" si="236"/>
        <v>95.915163809640404</v>
      </c>
      <c r="M1230" s="16">
        <f t="shared" si="227"/>
        <v>0</v>
      </c>
      <c r="N1230" s="17">
        <f>VLOOKUP(K1230,RPM!$A$2:$D$62,3,FALSE)</f>
        <v>13</v>
      </c>
      <c r="O1230" s="16">
        <f>VLOOKUP(K1230,RPM!$A$2:$D$62,4,FALSE)</f>
        <v>13.235857142857142</v>
      </c>
      <c r="P1230" s="17">
        <f t="shared" si="228"/>
        <v>9.8699786714285711</v>
      </c>
      <c r="Q1230" s="16" cm="1">
        <f t="array" ref="Q1230">_xlfn.XLOOKUP(O1230,BSFC!$A$2:$A$24,_xlfn.XLOOKUP(K1230,BSFC!$B$1:$O$1,BSFC!$B$2:$O$24,,-1),,-1)</f>
        <v>520</v>
      </c>
      <c r="R1230" s="17">
        <f t="shared" si="229"/>
        <v>1.425663585873016</v>
      </c>
      <c r="S1230" s="16">
        <f t="shared" si="230"/>
        <v>2.0443068048074323E-4</v>
      </c>
      <c r="T1230" s="17">
        <f t="shared" si="233"/>
        <v>0.10630395384998648</v>
      </c>
      <c r="U1230" s="16">
        <f t="shared" si="234"/>
        <v>159.13635001632508</v>
      </c>
      <c r="V1230" s="17">
        <f t="shared" si="235"/>
        <v>0.32796319046893652</v>
      </c>
      <c r="W1230" s="16">
        <f t="shared" si="231"/>
        <v>1180667.4856881713</v>
      </c>
      <c r="X1230">
        <f>('Hybrid Info'!$A$2-Track!P1230)*(L1230-L1229)*1000+X1229</f>
        <v>-23199.482245522413</v>
      </c>
    </row>
    <row r="1231" spans="1:24">
      <c r="A1231" s="16">
        <f t="shared" si="232"/>
        <v>1230</v>
      </c>
      <c r="B1231" s="17">
        <f t="shared" si="226"/>
        <v>13.411199999999999</v>
      </c>
      <c r="C1231" s="16">
        <f>Specification!$G$29</f>
        <v>164.943378</v>
      </c>
      <c r="D1231" s="17">
        <f>0.5*Specification!$K$4*Track!B1231^2*Specification!$K$3*Specification!$K$2</f>
        <v>93.159842569492653</v>
      </c>
      <c r="E1231" s="16">
        <v>0</v>
      </c>
      <c r="F1231" s="17">
        <f>Specification!$C$23*9.81*SIN((E1231*PI()/180))</f>
        <v>0</v>
      </c>
      <c r="G1231" s="18">
        <f>IF(J1231=1,VLOOKUP(K1231,RPM!$E$2:$H$62,3,FALSE)-F1231-E1231-D1231,IF(J1231=2,VLOOKUP(K1231,RPM!$H$2:$K$62,3,FALSE)-F1231-E1231-D1231,IF(J1231=3,VLOOKUP(K1231,RPM!$K$2:$N$62,3,FALSE)-F1231-E1231-D1231)))</f>
        <v>688.48526429214962</v>
      </c>
      <c r="H1231" s="19">
        <f>IF(J1231=1,Specification!$I$14,IF(J1231=2,Specification!$I$15,IF(J1231=3,Specification!$I$16)))</f>
        <v>582.50936296077191</v>
      </c>
      <c r="I1231" s="16">
        <f t="shared" si="225"/>
        <v>0</v>
      </c>
      <c r="J1231" s="17">
        <v>2</v>
      </c>
      <c r="K1231" s="16">
        <f>IF(J1231=1,VLOOKUP(B1231,RPM!$F$2:$H$62,3,TRUE),IF(J1231=2,VLOOKUP(B1231,RPM!$I$2:$K$62,3,TRUE),IF(J1231=3,VLOOKUP(B1231,RPM!$L$2:$N$62,3,TRUE))))</f>
        <v>7000</v>
      </c>
      <c r="L1231" s="17">
        <f t="shared" si="236"/>
        <v>95.98972835270888</v>
      </c>
      <c r="M1231" s="16">
        <f t="shared" si="227"/>
        <v>0</v>
      </c>
      <c r="N1231" s="17">
        <f>VLOOKUP(K1231,RPM!$A$2:$D$62,3,FALSE)</f>
        <v>13</v>
      </c>
      <c r="O1231" s="16">
        <f>VLOOKUP(K1231,RPM!$A$2:$D$62,4,FALSE)</f>
        <v>13.235857142857142</v>
      </c>
      <c r="P1231" s="17">
        <f t="shared" si="228"/>
        <v>9.8699786714285711</v>
      </c>
      <c r="Q1231" s="16" cm="1">
        <f t="array" ref="Q1231">_xlfn.XLOOKUP(O1231,BSFC!$A$2:$A$24,_xlfn.XLOOKUP(K1231,BSFC!$B$1:$O$1,BSFC!$B$2:$O$24,,-1),,-1)</f>
        <v>520</v>
      </c>
      <c r="R1231" s="17">
        <f t="shared" si="229"/>
        <v>1.425663585873016</v>
      </c>
      <c r="S1231" s="16">
        <f t="shared" si="230"/>
        <v>2.0443068048074323E-4</v>
      </c>
      <c r="T1231" s="17">
        <f t="shared" si="233"/>
        <v>0.10630395384998648</v>
      </c>
      <c r="U1231" s="16">
        <f t="shared" si="234"/>
        <v>159.24265397017507</v>
      </c>
      <c r="V1231" s="17">
        <f t="shared" si="235"/>
        <v>0.32816762114941728</v>
      </c>
      <c r="W1231" s="16">
        <f t="shared" si="231"/>
        <v>1181403.4361379023</v>
      </c>
      <c r="X1231">
        <f>('Hybrid Info'!$A$2-Track!P1231)*(L1231-L1230)*1000+X1230</f>
        <v>-23031.676536536161</v>
      </c>
    </row>
    <row r="1232" spans="1:24">
      <c r="A1232" s="16">
        <f t="shared" si="232"/>
        <v>1231</v>
      </c>
      <c r="B1232" s="17">
        <f t="shared" si="226"/>
        <v>13.411199999999999</v>
      </c>
      <c r="C1232" s="16">
        <f>Specification!$G$29</f>
        <v>164.943378</v>
      </c>
      <c r="D1232" s="17">
        <f>0.5*Specification!$K$4*Track!B1232^2*Specification!$K$3*Specification!$K$2</f>
        <v>93.159842569492653</v>
      </c>
      <c r="E1232" s="16">
        <v>0</v>
      </c>
      <c r="F1232" s="17">
        <f>Specification!$C$23*9.81*SIN((E1232*PI()/180))</f>
        <v>0</v>
      </c>
      <c r="G1232" s="18">
        <f>IF(J1232=1,VLOOKUP(K1232,RPM!$E$2:$H$62,3,FALSE)-F1232-E1232-D1232,IF(J1232=2,VLOOKUP(K1232,RPM!$H$2:$K$62,3,FALSE)-F1232-E1232-D1232,IF(J1232=3,VLOOKUP(K1232,RPM!$K$2:$N$62,3,FALSE)-F1232-E1232-D1232)))</f>
        <v>688.48526429214962</v>
      </c>
      <c r="H1232" s="19">
        <f>IF(J1232=1,Specification!$I$14,IF(J1232=2,Specification!$I$15,IF(J1232=3,Specification!$I$16)))</f>
        <v>582.50936296077191</v>
      </c>
      <c r="I1232" s="16">
        <f t="shared" si="225"/>
        <v>0</v>
      </c>
      <c r="J1232" s="17">
        <v>2</v>
      </c>
      <c r="K1232" s="16">
        <f>IF(J1232=1,VLOOKUP(B1232,RPM!$F$2:$H$62,3,TRUE),IF(J1232=2,VLOOKUP(B1232,RPM!$I$2:$K$62,3,TRUE),IF(J1232=3,VLOOKUP(B1232,RPM!$L$2:$N$62,3,TRUE))))</f>
        <v>7000</v>
      </c>
      <c r="L1232" s="17">
        <f t="shared" si="236"/>
        <v>96.064292895777356</v>
      </c>
      <c r="M1232" s="16">
        <f t="shared" si="227"/>
        <v>0</v>
      </c>
      <c r="N1232" s="17">
        <f>VLOOKUP(K1232,RPM!$A$2:$D$62,3,FALSE)</f>
        <v>13</v>
      </c>
      <c r="O1232" s="16">
        <f>VLOOKUP(K1232,RPM!$A$2:$D$62,4,FALSE)</f>
        <v>13.235857142857142</v>
      </c>
      <c r="P1232" s="17">
        <f t="shared" si="228"/>
        <v>9.8699786714285711</v>
      </c>
      <c r="Q1232" s="16" cm="1">
        <f t="array" ref="Q1232">_xlfn.XLOOKUP(O1232,BSFC!$A$2:$A$24,_xlfn.XLOOKUP(K1232,BSFC!$B$1:$O$1,BSFC!$B$2:$O$24,,-1),,-1)</f>
        <v>520</v>
      </c>
      <c r="R1232" s="17">
        <f t="shared" si="229"/>
        <v>1.425663585873016</v>
      </c>
      <c r="S1232" s="16">
        <f t="shared" si="230"/>
        <v>2.0443068048074323E-4</v>
      </c>
      <c r="T1232" s="17">
        <f t="shared" si="233"/>
        <v>0.10630395384998648</v>
      </c>
      <c r="U1232" s="16">
        <f t="shared" si="234"/>
        <v>159.34895792402506</v>
      </c>
      <c r="V1232" s="17">
        <f t="shared" si="235"/>
        <v>0.32837205182989804</v>
      </c>
      <c r="W1232" s="16">
        <f t="shared" si="231"/>
        <v>1182139.3865876331</v>
      </c>
      <c r="X1232">
        <f>('Hybrid Info'!$A$2-Track!P1232)*(L1232-L1231)*1000+X1231</f>
        <v>-22863.870827549908</v>
      </c>
    </row>
    <row r="1233" spans="1:24">
      <c r="A1233" s="16">
        <f t="shared" si="232"/>
        <v>1232</v>
      </c>
      <c r="B1233" s="17">
        <f t="shared" si="226"/>
        <v>13.411199999999999</v>
      </c>
      <c r="C1233" s="16">
        <f>Specification!$G$29</f>
        <v>164.943378</v>
      </c>
      <c r="D1233" s="17">
        <f>0.5*Specification!$K$4*Track!B1233^2*Specification!$K$3*Specification!$K$2</f>
        <v>93.159842569492653</v>
      </c>
      <c r="E1233" s="16">
        <v>0</v>
      </c>
      <c r="F1233" s="17">
        <f>Specification!$C$23*9.81*SIN((E1233*PI()/180))</f>
        <v>0</v>
      </c>
      <c r="G1233" s="18">
        <f>IF(J1233=1,VLOOKUP(K1233,RPM!$E$2:$H$62,3,FALSE)-F1233-E1233-D1233,IF(J1233=2,VLOOKUP(K1233,RPM!$H$2:$K$62,3,FALSE)-F1233-E1233-D1233,IF(J1233=3,VLOOKUP(K1233,RPM!$K$2:$N$62,3,FALSE)-F1233-E1233-D1233)))</f>
        <v>688.48526429214962</v>
      </c>
      <c r="H1233" s="19">
        <f>IF(J1233=1,Specification!$I$14,IF(J1233=2,Specification!$I$15,IF(J1233=3,Specification!$I$16)))</f>
        <v>582.50936296077191</v>
      </c>
      <c r="I1233" s="16">
        <f t="shared" si="225"/>
        <v>0</v>
      </c>
      <c r="J1233" s="17">
        <v>2</v>
      </c>
      <c r="K1233" s="16">
        <f>IF(J1233=1,VLOOKUP(B1233,RPM!$F$2:$H$62,3,TRUE),IF(J1233=2,VLOOKUP(B1233,RPM!$I$2:$K$62,3,TRUE),IF(J1233=3,VLOOKUP(B1233,RPM!$L$2:$N$62,3,TRUE))))</f>
        <v>7000</v>
      </c>
      <c r="L1233" s="17">
        <f t="shared" si="236"/>
        <v>96.138857438845832</v>
      </c>
      <c r="M1233" s="16">
        <f t="shared" si="227"/>
        <v>0</v>
      </c>
      <c r="N1233" s="17">
        <f>VLOOKUP(K1233,RPM!$A$2:$D$62,3,FALSE)</f>
        <v>13</v>
      </c>
      <c r="O1233" s="16">
        <f>VLOOKUP(K1233,RPM!$A$2:$D$62,4,FALSE)</f>
        <v>13.235857142857142</v>
      </c>
      <c r="P1233" s="17">
        <f t="shared" si="228"/>
        <v>9.8699786714285711</v>
      </c>
      <c r="Q1233" s="16" cm="1">
        <f t="array" ref="Q1233">_xlfn.XLOOKUP(O1233,BSFC!$A$2:$A$24,_xlfn.XLOOKUP(K1233,BSFC!$B$1:$O$1,BSFC!$B$2:$O$24,,-1),,-1)</f>
        <v>520</v>
      </c>
      <c r="R1233" s="17">
        <f t="shared" si="229"/>
        <v>1.425663585873016</v>
      </c>
      <c r="S1233" s="16">
        <f t="shared" si="230"/>
        <v>2.0443068048074323E-4</v>
      </c>
      <c r="T1233" s="17">
        <f t="shared" si="233"/>
        <v>0.10630395384998648</v>
      </c>
      <c r="U1233" s="16">
        <f t="shared" si="234"/>
        <v>159.45526187787505</v>
      </c>
      <c r="V1233" s="17">
        <f t="shared" si="235"/>
        <v>0.3285764825103788</v>
      </c>
      <c r="W1233" s="16">
        <f t="shared" si="231"/>
        <v>1182875.3370373638</v>
      </c>
      <c r="X1233">
        <f>('Hybrid Info'!$A$2-Track!P1233)*(L1233-L1232)*1000+X1232</f>
        <v>-22696.065118563656</v>
      </c>
    </row>
    <row r="1234" spans="1:24">
      <c r="A1234" s="16">
        <f t="shared" si="232"/>
        <v>1233</v>
      </c>
      <c r="B1234" s="17">
        <f t="shared" si="226"/>
        <v>13.411199999999999</v>
      </c>
      <c r="C1234" s="16">
        <f>Specification!$G$29</f>
        <v>164.943378</v>
      </c>
      <c r="D1234" s="17">
        <f>0.5*Specification!$K$4*Track!B1234^2*Specification!$K$3*Specification!$K$2</f>
        <v>93.159842569492653</v>
      </c>
      <c r="E1234" s="16">
        <v>0</v>
      </c>
      <c r="F1234" s="17">
        <f>Specification!$C$23*9.81*SIN((E1234*PI()/180))</f>
        <v>0</v>
      </c>
      <c r="G1234" s="18">
        <f>IF(J1234=1,VLOOKUP(K1234,RPM!$E$2:$H$62,3,FALSE)-F1234-E1234-D1234,IF(J1234=2,VLOOKUP(K1234,RPM!$H$2:$K$62,3,FALSE)-F1234-E1234-D1234,IF(J1234=3,VLOOKUP(K1234,RPM!$K$2:$N$62,3,FALSE)-F1234-E1234-D1234)))</f>
        <v>688.48526429214962</v>
      </c>
      <c r="H1234" s="19">
        <f>IF(J1234=1,Specification!$I$14,IF(J1234=2,Specification!$I$15,IF(J1234=3,Specification!$I$16)))</f>
        <v>582.50936296077191</v>
      </c>
      <c r="I1234" s="16">
        <f t="shared" si="225"/>
        <v>0</v>
      </c>
      <c r="J1234" s="17">
        <v>2</v>
      </c>
      <c r="K1234" s="16">
        <f>IF(J1234=1,VLOOKUP(B1234,RPM!$F$2:$H$62,3,TRUE),IF(J1234=2,VLOOKUP(B1234,RPM!$I$2:$K$62,3,TRUE),IF(J1234=3,VLOOKUP(B1234,RPM!$L$2:$N$62,3,TRUE))))</f>
        <v>7000</v>
      </c>
      <c r="L1234" s="17">
        <f t="shared" si="236"/>
        <v>96.213421981914308</v>
      </c>
      <c r="M1234" s="16">
        <f t="shared" si="227"/>
        <v>0</v>
      </c>
      <c r="N1234" s="17">
        <f>VLOOKUP(K1234,RPM!$A$2:$D$62,3,FALSE)</f>
        <v>13</v>
      </c>
      <c r="O1234" s="16">
        <f>VLOOKUP(K1234,RPM!$A$2:$D$62,4,FALSE)</f>
        <v>13.235857142857142</v>
      </c>
      <c r="P1234" s="17">
        <f t="shared" si="228"/>
        <v>9.8699786714285711</v>
      </c>
      <c r="Q1234" s="16" cm="1">
        <f t="array" ref="Q1234">_xlfn.XLOOKUP(O1234,BSFC!$A$2:$A$24,_xlfn.XLOOKUP(K1234,BSFC!$B$1:$O$1,BSFC!$B$2:$O$24,,-1),,-1)</f>
        <v>520</v>
      </c>
      <c r="R1234" s="17">
        <f t="shared" si="229"/>
        <v>1.425663585873016</v>
      </c>
      <c r="S1234" s="16">
        <f t="shared" si="230"/>
        <v>2.0443068048074323E-4</v>
      </c>
      <c r="T1234" s="17">
        <f t="shared" si="233"/>
        <v>0.10630395384998648</v>
      </c>
      <c r="U1234" s="16">
        <f t="shared" si="234"/>
        <v>159.56156583172503</v>
      </c>
      <c r="V1234" s="17">
        <f t="shared" si="235"/>
        <v>0.32878091319085956</v>
      </c>
      <c r="W1234" s="16">
        <f t="shared" si="231"/>
        <v>1183611.2874870945</v>
      </c>
      <c r="X1234">
        <f>('Hybrid Info'!$A$2-Track!P1234)*(L1234-L1233)*1000+X1233</f>
        <v>-22528.259409577404</v>
      </c>
    </row>
    <row r="1235" spans="1:24">
      <c r="A1235" s="16">
        <f t="shared" si="232"/>
        <v>1234</v>
      </c>
      <c r="B1235" s="17">
        <f t="shared" si="226"/>
        <v>13.411199999999999</v>
      </c>
      <c r="C1235" s="16">
        <f>Specification!$G$29</f>
        <v>164.943378</v>
      </c>
      <c r="D1235" s="17">
        <f>0.5*Specification!$K$4*Track!B1235^2*Specification!$K$3*Specification!$K$2</f>
        <v>93.159842569492653</v>
      </c>
      <c r="E1235" s="16">
        <v>0</v>
      </c>
      <c r="F1235" s="17">
        <f>Specification!$C$23*9.81*SIN((E1235*PI()/180))</f>
        <v>0</v>
      </c>
      <c r="G1235" s="18">
        <f>IF(J1235=1,VLOOKUP(K1235,RPM!$E$2:$H$62,3,FALSE)-F1235-E1235-D1235,IF(J1235=2,VLOOKUP(K1235,RPM!$H$2:$K$62,3,FALSE)-F1235-E1235-D1235,IF(J1235=3,VLOOKUP(K1235,RPM!$K$2:$N$62,3,FALSE)-F1235-E1235-D1235)))</f>
        <v>688.48526429214962</v>
      </c>
      <c r="H1235" s="19">
        <f>IF(J1235=1,Specification!$I$14,IF(J1235=2,Specification!$I$15,IF(J1235=3,Specification!$I$16)))</f>
        <v>582.50936296077191</v>
      </c>
      <c r="I1235" s="16">
        <f t="shared" si="225"/>
        <v>0</v>
      </c>
      <c r="J1235" s="17">
        <v>2</v>
      </c>
      <c r="K1235" s="16">
        <f>IF(J1235=1,VLOOKUP(B1235,RPM!$F$2:$H$62,3,TRUE),IF(J1235=2,VLOOKUP(B1235,RPM!$I$2:$K$62,3,TRUE),IF(J1235=3,VLOOKUP(B1235,RPM!$L$2:$N$62,3,TRUE))))</f>
        <v>7000</v>
      </c>
      <c r="L1235" s="17">
        <f t="shared" si="236"/>
        <v>96.287986524982784</v>
      </c>
      <c r="M1235" s="16">
        <f t="shared" si="227"/>
        <v>0</v>
      </c>
      <c r="N1235" s="17">
        <f>VLOOKUP(K1235,RPM!$A$2:$D$62,3,FALSE)</f>
        <v>13</v>
      </c>
      <c r="O1235" s="16">
        <f>VLOOKUP(K1235,RPM!$A$2:$D$62,4,FALSE)</f>
        <v>13.235857142857142</v>
      </c>
      <c r="P1235" s="17">
        <f t="shared" si="228"/>
        <v>9.8699786714285711</v>
      </c>
      <c r="Q1235" s="16" cm="1">
        <f t="array" ref="Q1235">_xlfn.XLOOKUP(O1235,BSFC!$A$2:$A$24,_xlfn.XLOOKUP(K1235,BSFC!$B$1:$O$1,BSFC!$B$2:$O$24,,-1),,-1)</f>
        <v>520</v>
      </c>
      <c r="R1235" s="17">
        <f t="shared" si="229"/>
        <v>1.425663585873016</v>
      </c>
      <c r="S1235" s="16">
        <f t="shared" si="230"/>
        <v>2.0443068048074323E-4</v>
      </c>
      <c r="T1235" s="17">
        <f t="shared" si="233"/>
        <v>0.10630395384998648</v>
      </c>
      <c r="U1235" s="16">
        <f t="shared" si="234"/>
        <v>159.66786978557502</v>
      </c>
      <c r="V1235" s="17">
        <f t="shared" si="235"/>
        <v>0.32898534387134032</v>
      </c>
      <c r="W1235" s="16">
        <f t="shared" si="231"/>
        <v>1184347.2379368253</v>
      </c>
      <c r="X1235">
        <f>('Hybrid Info'!$A$2-Track!P1235)*(L1235-L1234)*1000+X1234</f>
        <v>-22360.453700591152</v>
      </c>
    </row>
    <row r="1236" spans="1:24">
      <c r="A1236" s="16">
        <f t="shared" si="232"/>
        <v>1235</v>
      </c>
      <c r="B1236" s="17">
        <f t="shared" si="226"/>
        <v>13.411199999999999</v>
      </c>
      <c r="C1236" s="16">
        <f>Specification!$G$29</f>
        <v>164.943378</v>
      </c>
      <c r="D1236" s="17">
        <f>0.5*Specification!$K$4*Track!B1236^2*Specification!$K$3*Specification!$K$2</f>
        <v>93.159842569492653</v>
      </c>
      <c r="E1236" s="16">
        <v>0</v>
      </c>
      <c r="F1236" s="17">
        <f>Specification!$C$23*9.81*SIN((E1236*PI()/180))</f>
        <v>0</v>
      </c>
      <c r="G1236" s="18">
        <f>IF(J1236=1,VLOOKUP(K1236,RPM!$E$2:$H$62,3,FALSE)-F1236-E1236-D1236,IF(J1236=2,VLOOKUP(K1236,RPM!$H$2:$K$62,3,FALSE)-F1236-E1236-D1236,IF(J1236=3,VLOOKUP(K1236,RPM!$K$2:$N$62,3,FALSE)-F1236-E1236-D1236)))</f>
        <v>688.48526429214962</v>
      </c>
      <c r="H1236" s="19">
        <f>IF(J1236=1,Specification!$I$14,IF(J1236=2,Specification!$I$15,IF(J1236=3,Specification!$I$16)))</f>
        <v>582.50936296077191</v>
      </c>
      <c r="I1236" s="16">
        <f t="shared" si="225"/>
        <v>0</v>
      </c>
      <c r="J1236" s="17">
        <v>2</v>
      </c>
      <c r="K1236" s="16">
        <f>IF(J1236=1,VLOOKUP(B1236,RPM!$F$2:$H$62,3,TRUE),IF(J1236=2,VLOOKUP(B1236,RPM!$I$2:$K$62,3,TRUE),IF(J1236=3,VLOOKUP(B1236,RPM!$L$2:$N$62,3,TRUE))))</f>
        <v>7000</v>
      </c>
      <c r="L1236" s="17">
        <f t="shared" si="236"/>
        <v>96.36255106805126</v>
      </c>
      <c r="M1236" s="16">
        <f t="shared" si="227"/>
        <v>0</v>
      </c>
      <c r="N1236" s="17">
        <f>VLOOKUP(K1236,RPM!$A$2:$D$62,3,FALSE)</f>
        <v>13</v>
      </c>
      <c r="O1236" s="16">
        <f>VLOOKUP(K1236,RPM!$A$2:$D$62,4,FALSE)</f>
        <v>13.235857142857142</v>
      </c>
      <c r="P1236" s="17">
        <f t="shared" si="228"/>
        <v>9.8699786714285711</v>
      </c>
      <c r="Q1236" s="16" cm="1">
        <f t="array" ref="Q1236">_xlfn.XLOOKUP(O1236,BSFC!$A$2:$A$24,_xlfn.XLOOKUP(K1236,BSFC!$B$1:$O$1,BSFC!$B$2:$O$24,,-1),,-1)</f>
        <v>520</v>
      </c>
      <c r="R1236" s="17">
        <f t="shared" si="229"/>
        <v>1.425663585873016</v>
      </c>
      <c r="S1236" s="16">
        <f t="shared" si="230"/>
        <v>2.0443068048074323E-4</v>
      </c>
      <c r="T1236" s="17">
        <f t="shared" si="233"/>
        <v>0.10630395384998648</v>
      </c>
      <c r="U1236" s="16">
        <f t="shared" si="234"/>
        <v>159.77417373942501</v>
      </c>
      <c r="V1236" s="17">
        <f t="shared" si="235"/>
        <v>0.32918977455182108</v>
      </c>
      <c r="W1236" s="16">
        <f t="shared" si="231"/>
        <v>1185083.1883865558</v>
      </c>
      <c r="X1236">
        <f>('Hybrid Info'!$A$2-Track!P1236)*(L1236-L1235)*1000+X1235</f>
        <v>-22192.647991604899</v>
      </c>
    </row>
    <row r="1237" spans="1:24">
      <c r="A1237" s="16">
        <f t="shared" si="232"/>
        <v>1236</v>
      </c>
      <c r="B1237" s="17">
        <f t="shared" si="226"/>
        <v>13.411199999999999</v>
      </c>
      <c r="C1237" s="16">
        <f>Specification!$G$29</f>
        <v>164.943378</v>
      </c>
      <c r="D1237" s="17">
        <f>0.5*Specification!$K$4*Track!B1237^2*Specification!$K$3*Specification!$K$2</f>
        <v>93.159842569492653</v>
      </c>
      <c r="E1237" s="16">
        <v>0</v>
      </c>
      <c r="F1237" s="17">
        <f>Specification!$C$23*9.81*SIN((E1237*PI()/180))</f>
        <v>0</v>
      </c>
      <c r="G1237" s="18">
        <f>IF(J1237=1,VLOOKUP(K1237,RPM!$E$2:$H$62,3,FALSE)-F1237-E1237-D1237,IF(J1237=2,VLOOKUP(K1237,RPM!$H$2:$K$62,3,FALSE)-F1237-E1237-D1237,IF(J1237=3,VLOOKUP(K1237,RPM!$K$2:$N$62,3,FALSE)-F1237-E1237-D1237)))</f>
        <v>688.48526429214962</v>
      </c>
      <c r="H1237" s="19">
        <f>IF(J1237=1,Specification!$I$14,IF(J1237=2,Specification!$I$15,IF(J1237=3,Specification!$I$16)))</f>
        <v>582.50936296077191</v>
      </c>
      <c r="I1237" s="16">
        <f t="shared" si="225"/>
        <v>0</v>
      </c>
      <c r="J1237" s="17">
        <v>2</v>
      </c>
      <c r="K1237" s="16">
        <f>IF(J1237=1,VLOOKUP(B1237,RPM!$F$2:$H$62,3,TRUE),IF(J1237=2,VLOOKUP(B1237,RPM!$I$2:$K$62,3,TRUE),IF(J1237=3,VLOOKUP(B1237,RPM!$L$2:$N$62,3,TRUE))))</f>
        <v>7000</v>
      </c>
      <c r="L1237" s="17">
        <f t="shared" si="236"/>
        <v>96.437115611119737</v>
      </c>
      <c r="M1237" s="16">
        <f t="shared" si="227"/>
        <v>0</v>
      </c>
      <c r="N1237" s="17">
        <f>VLOOKUP(K1237,RPM!$A$2:$D$62,3,FALSE)</f>
        <v>13</v>
      </c>
      <c r="O1237" s="16">
        <f>VLOOKUP(K1237,RPM!$A$2:$D$62,4,FALSE)</f>
        <v>13.235857142857142</v>
      </c>
      <c r="P1237" s="17">
        <f t="shared" si="228"/>
        <v>9.8699786714285711</v>
      </c>
      <c r="Q1237" s="16" cm="1">
        <f t="array" ref="Q1237">_xlfn.XLOOKUP(O1237,BSFC!$A$2:$A$24,_xlfn.XLOOKUP(K1237,BSFC!$B$1:$O$1,BSFC!$B$2:$O$24,,-1),,-1)</f>
        <v>520</v>
      </c>
      <c r="R1237" s="17">
        <f t="shared" si="229"/>
        <v>1.425663585873016</v>
      </c>
      <c r="S1237" s="16">
        <f t="shared" si="230"/>
        <v>2.0443068048074323E-4</v>
      </c>
      <c r="T1237" s="17">
        <f t="shared" si="233"/>
        <v>0.10630395384998648</v>
      </c>
      <c r="U1237" s="16">
        <f t="shared" si="234"/>
        <v>159.880477693275</v>
      </c>
      <c r="V1237" s="17">
        <f t="shared" si="235"/>
        <v>0.32939420523230184</v>
      </c>
      <c r="W1237" s="16">
        <f t="shared" si="231"/>
        <v>1185819.1388362865</v>
      </c>
      <c r="X1237">
        <f>('Hybrid Info'!$A$2-Track!P1237)*(L1237-L1236)*1000+X1236</f>
        <v>-22024.842282618647</v>
      </c>
    </row>
    <row r="1238" spans="1:24">
      <c r="A1238" s="16">
        <f t="shared" si="232"/>
        <v>1237</v>
      </c>
      <c r="B1238" s="17">
        <f t="shared" si="226"/>
        <v>13.411199999999999</v>
      </c>
      <c r="C1238" s="16">
        <f>Specification!$G$29</f>
        <v>164.943378</v>
      </c>
      <c r="D1238" s="17">
        <f>0.5*Specification!$K$4*Track!B1238^2*Specification!$K$3*Specification!$K$2</f>
        <v>93.159842569492653</v>
      </c>
      <c r="E1238" s="16">
        <v>0</v>
      </c>
      <c r="F1238" s="17">
        <f>Specification!$C$23*9.81*SIN((E1238*PI()/180))</f>
        <v>0</v>
      </c>
      <c r="G1238" s="18">
        <f>IF(J1238=1,VLOOKUP(K1238,RPM!$E$2:$H$62,3,FALSE)-F1238-E1238-D1238,IF(J1238=2,VLOOKUP(K1238,RPM!$H$2:$K$62,3,FALSE)-F1238-E1238-D1238,IF(J1238=3,VLOOKUP(K1238,RPM!$K$2:$N$62,3,FALSE)-F1238-E1238-D1238)))</f>
        <v>688.48526429214962</v>
      </c>
      <c r="H1238" s="19">
        <f>IF(J1238=1,Specification!$I$14,IF(J1238=2,Specification!$I$15,IF(J1238=3,Specification!$I$16)))</f>
        <v>582.50936296077191</v>
      </c>
      <c r="I1238" s="16">
        <f t="shared" si="225"/>
        <v>0</v>
      </c>
      <c r="J1238" s="17">
        <v>2</v>
      </c>
      <c r="K1238" s="16">
        <f>IF(J1238=1,VLOOKUP(B1238,RPM!$F$2:$H$62,3,TRUE),IF(J1238=2,VLOOKUP(B1238,RPM!$I$2:$K$62,3,TRUE),IF(J1238=3,VLOOKUP(B1238,RPM!$L$2:$N$62,3,TRUE))))</f>
        <v>7000</v>
      </c>
      <c r="L1238" s="17">
        <f t="shared" si="236"/>
        <v>96.511680154188213</v>
      </c>
      <c r="M1238" s="16">
        <f t="shared" si="227"/>
        <v>0</v>
      </c>
      <c r="N1238" s="17">
        <f>VLOOKUP(K1238,RPM!$A$2:$D$62,3,FALSE)</f>
        <v>13</v>
      </c>
      <c r="O1238" s="16">
        <f>VLOOKUP(K1238,RPM!$A$2:$D$62,4,FALSE)</f>
        <v>13.235857142857142</v>
      </c>
      <c r="P1238" s="17">
        <f t="shared" si="228"/>
        <v>9.8699786714285711</v>
      </c>
      <c r="Q1238" s="16" cm="1">
        <f t="array" ref="Q1238">_xlfn.XLOOKUP(O1238,BSFC!$A$2:$A$24,_xlfn.XLOOKUP(K1238,BSFC!$B$1:$O$1,BSFC!$B$2:$O$24,,-1),,-1)</f>
        <v>520</v>
      </c>
      <c r="R1238" s="17">
        <f t="shared" si="229"/>
        <v>1.425663585873016</v>
      </c>
      <c r="S1238" s="16">
        <f t="shared" si="230"/>
        <v>2.0443068048074323E-4</v>
      </c>
      <c r="T1238" s="17">
        <f t="shared" si="233"/>
        <v>0.10630395384998648</v>
      </c>
      <c r="U1238" s="16">
        <f t="shared" si="234"/>
        <v>159.98678164712499</v>
      </c>
      <c r="V1238" s="17">
        <f t="shared" si="235"/>
        <v>0.3295986359127826</v>
      </c>
      <c r="W1238" s="16">
        <f t="shared" si="231"/>
        <v>1186555.0892860172</v>
      </c>
      <c r="X1238">
        <f>('Hybrid Info'!$A$2-Track!P1238)*(L1238-L1237)*1000+X1237</f>
        <v>-21857.036573632395</v>
      </c>
    </row>
    <row r="1239" spans="1:24">
      <c r="A1239" s="16">
        <f t="shared" si="232"/>
        <v>1238</v>
      </c>
      <c r="B1239" s="17">
        <f t="shared" si="226"/>
        <v>13.411199999999999</v>
      </c>
      <c r="C1239" s="16">
        <f>Specification!$G$29</f>
        <v>164.943378</v>
      </c>
      <c r="D1239" s="17">
        <f>0.5*Specification!$K$4*Track!B1239^2*Specification!$K$3*Specification!$K$2</f>
        <v>93.159842569492653</v>
      </c>
      <c r="E1239" s="16">
        <v>0</v>
      </c>
      <c r="F1239" s="17">
        <f>Specification!$C$23*9.81*SIN((E1239*PI()/180))</f>
        <v>0</v>
      </c>
      <c r="G1239" s="18">
        <f>IF(J1239=1,VLOOKUP(K1239,RPM!$E$2:$H$62,3,FALSE)-F1239-E1239-D1239,IF(J1239=2,VLOOKUP(K1239,RPM!$H$2:$K$62,3,FALSE)-F1239-E1239-D1239,IF(J1239=3,VLOOKUP(K1239,RPM!$K$2:$N$62,3,FALSE)-F1239-E1239-D1239)))</f>
        <v>688.48526429214962</v>
      </c>
      <c r="H1239" s="19">
        <f>IF(J1239=1,Specification!$I$14,IF(J1239=2,Specification!$I$15,IF(J1239=3,Specification!$I$16)))</f>
        <v>582.50936296077191</v>
      </c>
      <c r="I1239" s="16">
        <f t="shared" si="225"/>
        <v>0</v>
      </c>
      <c r="J1239" s="17">
        <v>2</v>
      </c>
      <c r="K1239" s="16">
        <f>IF(J1239=1,VLOOKUP(B1239,RPM!$F$2:$H$62,3,TRUE),IF(J1239=2,VLOOKUP(B1239,RPM!$I$2:$K$62,3,TRUE),IF(J1239=3,VLOOKUP(B1239,RPM!$L$2:$N$62,3,TRUE))))</f>
        <v>7000</v>
      </c>
      <c r="L1239" s="17">
        <f t="shared" si="236"/>
        <v>96.586244697256689</v>
      </c>
      <c r="M1239" s="16">
        <f t="shared" si="227"/>
        <v>0</v>
      </c>
      <c r="N1239" s="17">
        <f>VLOOKUP(K1239,RPM!$A$2:$D$62,3,FALSE)</f>
        <v>13</v>
      </c>
      <c r="O1239" s="16">
        <f>VLOOKUP(K1239,RPM!$A$2:$D$62,4,FALSE)</f>
        <v>13.235857142857142</v>
      </c>
      <c r="P1239" s="17">
        <f t="shared" si="228"/>
        <v>9.8699786714285711</v>
      </c>
      <c r="Q1239" s="16" cm="1">
        <f t="array" ref="Q1239">_xlfn.XLOOKUP(O1239,BSFC!$A$2:$A$24,_xlfn.XLOOKUP(K1239,BSFC!$B$1:$O$1,BSFC!$B$2:$O$24,,-1),,-1)</f>
        <v>520</v>
      </c>
      <c r="R1239" s="17">
        <f t="shared" si="229"/>
        <v>1.425663585873016</v>
      </c>
      <c r="S1239" s="16">
        <f t="shared" si="230"/>
        <v>2.0443068048074323E-4</v>
      </c>
      <c r="T1239" s="17">
        <f t="shared" si="233"/>
        <v>0.10630395384998648</v>
      </c>
      <c r="U1239" s="16">
        <f t="shared" si="234"/>
        <v>160.09308560097497</v>
      </c>
      <c r="V1239" s="17">
        <f t="shared" si="235"/>
        <v>0.32980306659326336</v>
      </c>
      <c r="W1239" s="16">
        <f t="shared" si="231"/>
        <v>1187291.039735748</v>
      </c>
      <c r="X1239">
        <f>('Hybrid Info'!$A$2-Track!P1239)*(L1239-L1238)*1000+X1238</f>
        <v>-21689.230864646142</v>
      </c>
    </row>
    <row r="1240" spans="1:24">
      <c r="A1240" s="16">
        <f t="shared" si="232"/>
        <v>1239</v>
      </c>
      <c r="B1240" s="17">
        <f t="shared" si="226"/>
        <v>13.411199999999999</v>
      </c>
      <c r="C1240" s="16">
        <f>Specification!$G$29</f>
        <v>164.943378</v>
      </c>
      <c r="D1240" s="17">
        <f>0.5*Specification!$K$4*Track!B1240^2*Specification!$K$3*Specification!$K$2</f>
        <v>93.159842569492653</v>
      </c>
      <c r="E1240" s="16">
        <v>0</v>
      </c>
      <c r="F1240" s="17">
        <f>Specification!$C$23*9.81*SIN((E1240*PI()/180))</f>
        <v>0</v>
      </c>
      <c r="G1240" s="18">
        <f>IF(J1240=1,VLOOKUP(K1240,RPM!$E$2:$H$62,3,FALSE)-F1240-E1240-D1240,IF(J1240=2,VLOOKUP(K1240,RPM!$H$2:$K$62,3,FALSE)-F1240-E1240-D1240,IF(J1240=3,VLOOKUP(K1240,RPM!$K$2:$N$62,3,FALSE)-F1240-E1240-D1240)))</f>
        <v>688.48526429214962</v>
      </c>
      <c r="H1240" s="19">
        <f>IF(J1240=1,Specification!$I$14,IF(J1240=2,Specification!$I$15,IF(J1240=3,Specification!$I$16)))</f>
        <v>582.50936296077191</v>
      </c>
      <c r="I1240" s="16">
        <f t="shared" si="225"/>
        <v>0</v>
      </c>
      <c r="J1240" s="17">
        <v>2</v>
      </c>
      <c r="K1240" s="16">
        <f>IF(J1240=1,VLOOKUP(B1240,RPM!$F$2:$H$62,3,TRUE),IF(J1240=2,VLOOKUP(B1240,RPM!$I$2:$K$62,3,TRUE),IF(J1240=3,VLOOKUP(B1240,RPM!$L$2:$N$62,3,TRUE))))</f>
        <v>7000</v>
      </c>
      <c r="L1240" s="17">
        <f t="shared" si="236"/>
        <v>96.660809240325165</v>
      </c>
      <c r="M1240" s="16">
        <f t="shared" si="227"/>
        <v>0</v>
      </c>
      <c r="N1240" s="17">
        <f>VLOOKUP(K1240,RPM!$A$2:$D$62,3,FALSE)</f>
        <v>13</v>
      </c>
      <c r="O1240" s="16">
        <f>VLOOKUP(K1240,RPM!$A$2:$D$62,4,FALSE)</f>
        <v>13.235857142857142</v>
      </c>
      <c r="P1240" s="17">
        <f t="shared" si="228"/>
        <v>9.8699786714285711</v>
      </c>
      <c r="Q1240" s="16" cm="1">
        <f t="array" ref="Q1240">_xlfn.XLOOKUP(O1240,BSFC!$A$2:$A$24,_xlfn.XLOOKUP(K1240,BSFC!$B$1:$O$1,BSFC!$B$2:$O$24,,-1),,-1)</f>
        <v>520</v>
      </c>
      <c r="R1240" s="17">
        <f t="shared" si="229"/>
        <v>1.425663585873016</v>
      </c>
      <c r="S1240" s="16">
        <f t="shared" si="230"/>
        <v>2.0443068048074323E-4</v>
      </c>
      <c r="T1240" s="17">
        <f t="shared" si="233"/>
        <v>0.10630395384998648</v>
      </c>
      <c r="U1240" s="16">
        <f t="shared" si="234"/>
        <v>160.19938955482496</v>
      </c>
      <c r="V1240" s="17">
        <f t="shared" si="235"/>
        <v>0.33000749727374412</v>
      </c>
      <c r="W1240" s="16">
        <f t="shared" si="231"/>
        <v>1188026.9901854787</v>
      </c>
      <c r="X1240">
        <f>('Hybrid Info'!$A$2-Track!P1240)*(L1240-L1239)*1000+X1239</f>
        <v>-21521.42515565989</v>
      </c>
    </row>
    <row r="1241" spans="1:24">
      <c r="A1241" s="16">
        <f t="shared" si="232"/>
        <v>1240</v>
      </c>
      <c r="B1241" s="17">
        <f t="shared" si="226"/>
        <v>13.411199999999999</v>
      </c>
      <c r="C1241" s="16">
        <f>Specification!$G$29</f>
        <v>164.943378</v>
      </c>
      <c r="D1241" s="17">
        <f>0.5*Specification!$K$4*Track!B1241^2*Specification!$K$3*Specification!$K$2</f>
        <v>93.159842569492653</v>
      </c>
      <c r="E1241" s="16">
        <v>0</v>
      </c>
      <c r="F1241" s="17">
        <f>Specification!$C$23*9.81*SIN((E1241*PI()/180))</f>
        <v>0</v>
      </c>
      <c r="G1241" s="18">
        <f>IF(J1241=1,VLOOKUP(K1241,RPM!$E$2:$H$62,3,FALSE)-F1241-E1241-D1241,IF(J1241=2,VLOOKUP(K1241,RPM!$H$2:$K$62,3,FALSE)-F1241-E1241-D1241,IF(J1241=3,VLOOKUP(K1241,RPM!$K$2:$N$62,3,FALSE)-F1241-E1241-D1241)))</f>
        <v>688.48526429214962</v>
      </c>
      <c r="H1241" s="19">
        <f>IF(J1241=1,Specification!$I$14,IF(J1241=2,Specification!$I$15,IF(J1241=3,Specification!$I$16)))</f>
        <v>582.50936296077191</v>
      </c>
      <c r="I1241" s="16">
        <f t="shared" si="225"/>
        <v>0</v>
      </c>
      <c r="J1241" s="17">
        <v>2</v>
      </c>
      <c r="K1241" s="16">
        <f>IF(J1241=1,VLOOKUP(B1241,RPM!$F$2:$H$62,3,TRUE),IF(J1241=2,VLOOKUP(B1241,RPM!$I$2:$K$62,3,TRUE),IF(J1241=3,VLOOKUP(B1241,RPM!$L$2:$N$62,3,TRUE))))</f>
        <v>7000</v>
      </c>
      <c r="L1241" s="17">
        <f t="shared" si="236"/>
        <v>96.735373783393641</v>
      </c>
      <c r="M1241" s="16">
        <f t="shared" si="227"/>
        <v>0</v>
      </c>
      <c r="N1241" s="17">
        <f>VLOOKUP(K1241,RPM!$A$2:$D$62,3,FALSE)</f>
        <v>13</v>
      </c>
      <c r="O1241" s="16">
        <f>VLOOKUP(K1241,RPM!$A$2:$D$62,4,FALSE)</f>
        <v>13.235857142857142</v>
      </c>
      <c r="P1241" s="17">
        <f t="shared" si="228"/>
        <v>9.8699786714285711</v>
      </c>
      <c r="Q1241" s="16" cm="1">
        <f t="array" ref="Q1241">_xlfn.XLOOKUP(O1241,BSFC!$A$2:$A$24,_xlfn.XLOOKUP(K1241,BSFC!$B$1:$O$1,BSFC!$B$2:$O$24,,-1),,-1)</f>
        <v>520</v>
      </c>
      <c r="R1241" s="17">
        <f t="shared" si="229"/>
        <v>1.425663585873016</v>
      </c>
      <c r="S1241" s="16">
        <f t="shared" si="230"/>
        <v>2.0443068048074323E-4</v>
      </c>
      <c r="T1241" s="17">
        <f t="shared" si="233"/>
        <v>0.10630395384998648</v>
      </c>
      <c r="U1241" s="16">
        <f t="shared" si="234"/>
        <v>160.30569350867495</v>
      </c>
      <c r="V1241" s="17">
        <f t="shared" si="235"/>
        <v>0.33021192795422488</v>
      </c>
      <c r="W1241" s="16">
        <f t="shared" si="231"/>
        <v>1188762.9406352097</v>
      </c>
      <c r="X1241">
        <f>('Hybrid Info'!$A$2-Track!P1241)*(L1241-L1240)*1000+X1240</f>
        <v>-21353.619446673638</v>
      </c>
    </row>
    <row r="1242" spans="1:24">
      <c r="A1242" s="16">
        <f t="shared" si="232"/>
        <v>1241</v>
      </c>
      <c r="B1242" s="17">
        <f t="shared" si="226"/>
        <v>13.411199999999999</v>
      </c>
      <c r="C1242" s="16">
        <f>Specification!$G$29</f>
        <v>164.943378</v>
      </c>
      <c r="D1242" s="17">
        <f>0.5*Specification!$K$4*Track!B1242^2*Specification!$K$3*Specification!$K$2</f>
        <v>93.159842569492653</v>
      </c>
      <c r="E1242" s="16">
        <v>0</v>
      </c>
      <c r="F1242" s="17">
        <f>Specification!$C$23*9.81*SIN((E1242*PI()/180))</f>
        <v>0</v>
      </c>
      <c r="G1242" s="18">
        <f>IF(J1242=1,VLOOKUP(K1242,RPM!$E$2:$H$62,3,FALSE)-F1242-E1242-D1242,IF(J1242=2,VLOOKUP(K1242,RPM!$H$2:$K$62,3,FALSE)-F1242-E1242-D1242,IF(J1242=3,VLOOKUP(K1242,RPM!$K$2:$N$62,3,FALSE)-F1242-E1242-D1242)))</f>
        <v>688.48526429214962</v>
      </c>
      <c r="H1242" s="19">
        <f>IF(J1242=1,Specification!$I$14,IF(J1242=2,Specification!$I$15,IF(J1242=3,Specification!$I$16)))</f>
        <v>582.50936296077191</v>
      </c>
      <c r="I1242" s="16">
        <f t="shared" si="225"/>
        <v>0</v>
      </c>
      <c r="J1242" s="17">
        <v>2</v>
      </c>
      <c r="K1242" s="16">
        <f>IF(J1242=1,VLOOKUP(B1242,RPM!$F$2:$H$62,3,TRUE),IF(J1242=2,VLOOKUP(B1242,RPM!$I$2:$K$62,3,TRUE),IF(J1242=3,VLOOKUP(B1242,RPM!$L$2:$N$62,3,TRUE))))</f>
        <v>7000</v>
      </c>
      <c r="L1242" s="17">
        <f t="shared" si="236"/>
        <v>96.809938326462117</v>
      </c>
      <c r="M1242" s="16">
        <f t="shared" si="227"/>
        <v>0</v>
      </c>
      <c r="N1242" s="17">
        <f>VLOOKUP(K1242,RPM!$A$2:$D$62,3,FALSE)</f>
        <v>13</v>
      </c>
      <c r="O1242" s="16">
        <f>VLOOKUP(K1242,RPM!$A$2:$D$62,4,FALSE)</f>
        <v>13.235857142857142</v>
      </c>
      <c r="P1242" s="17">
        <f t="shared" si="228"/>
        <v>9.8699786714285711</v>
      </c>
      <c r="Q1242" s="16" cm="1">
        <f t="array" ref="Q1242">_xlfn.XLOOKUP(O1242,BSFC!$A$2:$A$24,_xlfn.XLOOKUP(K1242,BSFC!$B$1:$O$1,BSFC!$B$2:$O$24,,-1),,-1)</f>
        <v>520</v>
      </c>
      <c r="R1242" s="17">
        <f t="shared" si="229"/>
        <v>1.425663585873016</v>
      </c>
      <c r="S1242" s="16">
        <f t="shared" si="230"/>
        <v>2.0443068048074323E-4</v>
      </c>
      <c r="T1242" s="17">
        <f t="shared" si="233"/>
        <v>0.10630395384998648</v>
      </c>
      <c r="U1242" s="16">
        <f t="shared" si="234"/>
        <v>160.41199746252494</v>
      </c>
      <c r="V1242" s="17">
        <f t="shared" si="235"/>
        <v>0.33041635863470564</v>
      </c>
      <c r="W1242" s="16">
        <f t="shared" si="231"/>
        <v>1189498.8910849404</v>
      </c>
      <c r="X1242">
        <f>('Hybrid Info'!$A$2-Track!P1242)*(L1242-L1241)*1000+X1241</f>
        <v>-21185.813737687386</v>
      </c>
    </row>
    <row r="1243" spans="1:24">
      <c r="A1243" s="16">
        <f t="shared" si="232"/>
        <v>1242</v>
      </c>
      <c r="B1243" s="17">
        <f t="shared" si="226"/>
        <v>13.411199999999999</v>
      </c>
      <c r="C1243" s="16">
        <f>Specification!$G$29</f>
        <v>164.943378</v>
      </c>
      <c r="D1243" s="17">
        <f>0.5*Specification!$K$4*Track!B1243^2*Specification!$K$3*Specification!$K$2</f>
        <v>93.159842569492653</v>
      </c>
      <c r="E1243" s="16">
        <v>0</v>
      </c>
      <c r="F1243" s="17">
        <f>Specification!$C$23*9.81*SIN((E1243*PI()/180))</f>
        <v>0</v>
      </c>
      <c r="G1243" s="18">
        <f>IF(J1243=1,VLOOKUP(K1243,RPM!$E$2:$H$62,3,FALSE)-F1243-E1243-D1243,IF(J1243=2,VLOOKUP(K1243,RPM!$H$2:$K$62,3,FALSE)-F1243-E1243-D1243,IF(J1243=3,VLOOKUP(K1243,RPM!$K$2:$N$62,3,FALSE)-F1243-E1243-D1243)))</f>
        <v>688.48526429214962</v>
      </c>
      <c r="H1243" s="19">
        <f>IF(J1243=1,Specification!$I$14,IF(J1243=2,Specification!$I$15,IF(J1243=3,Specification!$I$16)))</f>
        <v>582.50936296077191</v>
      </c>
      <c r="I1243" s="16">
        <f t="shared" si="225"/>
        <v>0</v>
      </c>
      <c r="J1243" s="17">
        <v>2</v>
      </c>
      <c r="K1243" s="16">
        <f>IF(J1243=1,VLOOKUP(B1243,RPM!$F$2:$H$62,3,TRUE),IF(J1243=2,VLOOKUP(B1243,RPM!$I$2:$K$62,3,TRUE),IF(J1243=3,VLOOKUP(B1243,RPM!$L$2:$N$62,3,TRUE))))</f>
        <v>7000</v>
      </c>
      <c r="L1243" s="17">
        <f t="shared" si="236"/>
        <v>96.884502869530593</v>
      </c>
      <c r="M1243" s="16">
        <f t="shared" si="227"/>
        <v>0</v>
      </c>
      <c r="N1243" s="17">
        <f>VLOOKUP(K1243,RPM!$A$2:$D$62,3,FALSE)</f>
        <v>13</v>
      </c>
      <c r="O1243" s="16">
        <f>VLOOKUP(K1243,RPM!$A$2:$D$62,4,FALSE)</f>
        <v>13.235857142857142</v>
      </c>
      <c r="P1243" s="17">
        <f t="shared" si="228"/>
        <v>9.8699786714285711</v>
      </c>
      <c r="Q1243" s="16" cm="1">
        <f t="array" ref="Q1243">_xlfn.XLOOKUP(O1243,BSFC!$A$2:$A$24,_xlfn.XLOOKUP(K1243,BSFC!$B$1:$O$1,BSFC!$B$2:$O$24,,-1),,-1)</f>
        <v>520</v>
      </c>
      <c r="R1243" s="17">
        <f t="shared" si="229"/>
        <v>1.425663585873016</v>
      </c>
      <c r="S1243" s="16">
        <f t="shared" si="230"/>
        <v>2.0443068048074323E-4</v>
      </c>
      <c r="T1243" s="17">
        <f t="shared" si="233"/>
        <v>0.10630395384998648</v>
      </c>
      <c r="U1243" s="16">
        <f t="shared" si="234"/>
        <v>160.51830141637492</v>
      </c>
      <c r="V1243" s="17">
        <f t="shared" si="235"/>
        <v>0.3306207893151864</v>
      </c>
      <c r="W1243" s="16">
        <f t="shared" si="231"/>
        <v>1190234.8415346711</v>
      </c>
      <c r="X1243">
        <f>('Hybrid Info'!$A$2-Track!P1243)*(L1243-L1242)*1000+X1242</f>
        <v>-21018.008028701133</v>
      </c>
    </row>
    <row r="1244" spans="1:24">
      <c r="A1244" s="16">
        <f t="shared" si="232"/>
        <v>1243</v>
      </c>
      <c r="B1244" s="17">
        <f t="shared" si="226"/>
        <v>13.411199999999999</v>
      </c>
      <c r="C1244" s="16">
        <f>Specification!$G$29</f>
        <v>164.943378</v>
      </c>
      <c r="D1244" s="17">
        <f>0.5*Specification!$K$4*Track!B1244^2*Specification!$K$3*Specification!$K$2</f>
        <v>93.159842569492653</v>
      </c>
      <c r="E1244" s="16">
        <v>0</v>
      </c>
      <c r="F1244" s="17">
        <f>Specification!$C$23*9.81*SIN((E1244*PI()/180))</f>
        <v>0</v>
      </c>
      <c r="G1244" s="18">
        <f>IF(J1244=1,VLOOKUP(K1244,RPM!$E$2:$H$62,3,FALSE)-F1244-E1244-D1244,IF(J1244=2,VLOOKUP(K1244,RPM!$H$2:$K$62,3,FALSE)-F1244-E1244-D1244,IF(J1244=3,VLOOKUP(K1244,RPM!$K$2:$N$62,3,FALSE)-F1244-E1244-D1244)))</f>
        <v>688.48526429214962</v>
      </c>
      <c r="H1244" s="19">
        <f>IF(J1244=1,Specification!$I$14,IF(J1244=2,Specification!$I$15,IF(J1244=3,Specification!$I$16)))</f>
        <v>582.50936296077191</v>
      </c>
      <c r="I1244" s="16">
        <f t="shared" si="225"/>
        <v>0</v>
      </c>
      <c r="J1244" s="17">
        <v>2</v>
      </c>
      <c r="K1244" s="16">
        <f>IF(J1244=1,VLOOKUP(B1244,RPM!$F$2:$H$62,3,TRUE),IF(J1244=2,VLOOKUP(B1244,RPM!$I$2:$K$62,3,TRUE),IF(J1244=3,VLOOKUP(B1244,RPM!$L$2:$N$62,3,TRUE))))</f>
        <v>7000</v>
      </c>
      <c r="L1244" s="17">
        <f t="shared" si="236"/>
        <v>96.959067412599069</v>
      </c>
      <c r="M1244" s="16">
        <f t="shared" si="227"/>
        <v>0</v>
      </c>
      <c r="N1244" s="17">
        <f>VLOOKUP(K1244,RPM!$A$2:$D$62,3,FALSE)</f>
        <v>13</v>
      </c>
      <c r="O1244" s="16">
        <f>VLOOKUP(K1244,RPM!$A$2:$D$62,4,FALSE)</f>
        <v>13.235857142857142</v>
      </c>
      <c r="P1244" s="17">
        <f t="shared" si="228"/>
        <v>9.8699786714285711</v>
      </c>
      <c r="Q1244" s="16" cm="1">
        <f t="array" ref="Q1244">_xlfn.XLOOKUP(O1244,BSFC!$A$2:$A$24,_xlfn.XLOOKUP(K1244,BSFC!$B$1:$O$1,BSFC!$B$2:$O$24,,-1),,-1)</f>
        <v>520</v>
      </c>
      <c r="R1244" s="17">
        <f t="shared" si="229"/>
        <v>1.425663585873016</v>
      </c>
      <c r="S1244" s="16">
        <f t="shared" si="230"/>
        <v>2.0443068048074323E-4</v>
      </c>
      <c r="T1244" s="17">
        <f t="shared" si="233"/>
        <v>0.10630395384998648</v>
      </c>
      <c r="U1244" s="16">
        <f t="shared" si="234"/>
        <v>160.62460537022491</v>
      </c>
      <c r="V1244" s="17">
        <f t="shared" si="235"/>
        <v>0.33082521999566716</v>
      </c>
      <c r="W1244" s="16">
        <f t="shared" si="231"/>
        <v>1190970.7919844019</v>
      </c>
      <c r="X1244">
        <f>('Hybrid Info'!$A$2-Track!P1244)*(L1244-L1243)*1000+X1243</f>
        <v>-20850.202319714881</v>
      </c>
    </row>
    <row r="1245" spans="1:24">
      <c r="A1245" s="16">
        <f t="shared" si="232"/>
        <v>1244</v>
      </c>
      <c r="B1245" s="17">
        <f t="shared" si="226"/>
        <v>13.411199999999999</v>
      </c>
      <c r="C1245" s="16">
        <f>Specification!$G$29</f>
        <v>164.943378</v>
      </c>
      <c r="D1245" s="17">
        <f>0.5*Specification!$K$4*Track!B1245^2*Specification!$K$3*Specification!$K$2</f>
        <v>93.159842569492653</v>
      </c>
      <c r="E1245" s="16">
        <v>0</v>
      </c>
      <c r="F1245" s="17">
        <f>Specification!$C$23*9.81*SIN((E1245*PI()/180))</f>
        <v>0</v>
      </c>
      <c r="G1245" s="18">
        <f>IF(J1245=1,VLOOKUP(K1245,RPM!$E$2:$H$62,3,FALSE)-F1245-E1245-D1245,IF(J1245=2,VLOOKUP(K1245,RPM!$H$2:$K$62,3,FALSE)-F1245-E1245-D1245,IF(J1245=3,VLOOKUP(K1245,RPM!$K$2:$N$62,3,FALSE)-F1245-E1245-D1245)))</f>
        <v>688.48526429214962</v>
      </c>
      <c r="H1245" s="19">
        <f>IF(J1245=1,Specification!$I$14,IF(J1245=2,Specification!$I$15,IF(J1245=3,Specification!$I$16)))</f>
        <v>582.50936296077191</v>
      </c>
      <c r="I1245" s="16">
        <f t="shared" si="225"/>
        <v>0</v>
      </c>
      <c r="J1245" s="17">
        <v>2</v>
      </c>
      <c r="K1245" s="16">
        <f>IF(J1245=1,VLOOKUP(B1245,RPM!$F$2:$H$62,3,TRUE),IF(J1245=2,VLOOKUP(B1245,RPM!$I$2:$K$62,3,TRUE),IF(J1245=3,VLOOKUP(B1245,RPM!$L$2:$N$62,3,TRUE))))</f>
        <v>7000</v>
      </c>
      <c r="L1245" s="17">
        <f t="shared" si="236"/>
        <v>97.033631955667545</v>
      </c>
      <c r="M1245" s="16">
        <f t="shared" si="227"/>
        <v>0</v>
      </c>
      <c r="N1245" s="17">
        <f>VLOOKUP(K1245,RPM!$A$2:$D$62,3,FALSE)</f>
        <v>13</v>
      </c>
      <c r="O1245" s="16">
        <f>VLOOKUP(K1245,RPM!$A$2:$D$62,4,FALSE)</f>
        <v>13.235857142857142</v>
      </c>
      <c r="P1245" s="17">
        <f t="shared" si="228"/>
        <v>9.8699786714285711</v>
      </c>
      <c r="Q1245" s="16" cm="1">
        <f t="array" ref="Q1245">_xlfn.XLOOKUP(O1245,BSFC!$A$2:$A$24,_xlfn.XLOOKUP(K1245,BSFC!$B$1:$O$1,BSFC!$B$2:$O$24,,-1),,-1)</f>
        <v>520</v>
      </c>
      <c r="R1245" s="17">
        <f t="shared" si="229"/>
        <v>1.425663585873016</v>
      </c>
      <c r="S1245" s="16">
        <f t="shared" si="230"/>
        <v>2.0443068048074323E-4</v>
      </c>
      <c r="T1245" s="17">
        <f t="shared" si="233"/>
        <v>0.10630395384998648</v>
      </c>
      <c r="U1245" s="16">
        <f t="shared" si="234"/>
        <v>160.7309093240749</v>
      </c>
      <c r="V1245" s="17">
        <f t="shared" si="235"/>
        <v>0.33102965067614792</v>
      </c>
      <c r="W1245" s="16">
        <f t="shared" si="231"/>
        <v>1191706.7424341326</v>
      </c>
      <c r="X1245">
        <f>('Hybrid Info'!$A$2-Track!P1245)*(L1245-L1244)*1000+X1244</f>
        <v>-20682.396610728629</v>
      </c>
    </row>
    <row r="1246" spans="1:24">
      <c r="A1246" s="16">
        <f t="shared" si="232"/>
        <v>1245</v>
      </c>
      <c r="B1246" s="17">
        <f t="shared" si="226"/>
        <v>13.411199999999999</v>
      </c>
      <c r="C1246" s="16">
        <f>Specification!$G$29</f>
        <v>164.943378</v>
      </c>
      <c r="D1246" s="17">
        <f>0.5*Specification!$K$4*Track!B1246^2*Specification!$K$3*Specification!$K$2</f>
        <v>93.159842569492653</v>
      </c>
      <c r="E1246" s="16">
        <v>0</v>
      </c>
      <c r="F1246" s="17">
        <f>Specification!$C$23*9.81*SIN((E1246*PI()/180))</f>
        <v>0</v>
      </c>
      <c r="G1246" s="18">
        <f>IF(J1246=1,VLOOKUP(K1246,RPM!$E$2:$H$62,3,FALSE)-F1246-E1246-D1246,IF(J1246=2,VLOOKUP(K1246,RPM!$H$2:$K$62,3,FALSE)-F1246-E1246-D1246,IF(J1246=3,VLOOKUP(K1246,RPM!$K$2:$N$62,3,FALSE)-F1246-E1246-D1246)))</f>
        <v>688.48526429214962</v>
      </c>
      <c r="H1246" s="19">
        <f>IF(J1246=1,Specification!$I$14,IF(J1246=2,Specification!$I$15,IF(J1246=3,Specification!$I$16)))</f>
        <v>582.50936296077191</v>
      </c>
      <c r="I1246" s="16">
        <f t="shared" si="225"/>
        <v>0</v>
      </c>
      <c r="J1246" s="17">
        <v>2</v>
      </c>
      <c r="K1246" s="16">
        <f>IF(J1246=1,VLOOKUP(B1246,RPM!$F$2:$H$62,3,TRUE),IF(J1246=2,VLOOKUP(B1246,RPM!$I$2:$K$62,3,TRUE),IF(J1246=3,VLOOKUP(B1246,RPM!$L$2:$N$62,3,TRUE))))</f>
        <v>7000</v>
      </c>
      <c r="L1246" s="17">
        <f t="shared" si="236"/>
        <v>97.108196498736021</v>
      </c>
      <c r="M1246" s="16">
        <f t="shared" si="227"/>
        <v>0</v>
      </c>
      <c r="N1246" s="17">
        <f>VLOOKUP(K1246,RPM!$A$2:$D$62,3,FALSE)</f>
        <v>13</v>
      </c>
      <c r="O1246" s="16">
        <f>VLOOKUP(K1246,RPM!$A$2:$D$62,4,FALSE)</f>
        <v>13.235857142857142</v>
      </c>
      <c r="P1246" s="17">
        <f t="shared" si="228"/>
        <v>9.8699786714285711</v>
      </c>
      <c r="Q1246" s="16" cm="1">
        <f t="array" ref="Q1246">_xlfn.XLOOKUP(O1246,BSFC!$A$2:$A$24,_xlfn.XLOOKUP(K1246,BSFC!$B$1:$O$1,BSFC!$B$2:$O$24,,-1),,-1)</f>
        <v>520</v>
      </c>
      <c r="R1246" s="17">
        <f t="shared" si="229"/>
        <v>1.425663585873016</v>
      </c>
      <c r="S1246" s="16">
        <f t="shared" si="230"/>
        <v>2.0443068048074323E-4</v>
      </c>
      <c r="T1246" s="17">
        <f t="shared" si="233"/>
        <v>0.10630395384998648</v>
      </c>
      <c r="U1246" s="16">
        <f t="shared" si="234"/>
        <v>160.83721327792489</v>
      </c>
      <c r="V1246" s="17">
        <f t="shared" si="235"/>
        <v>0.33123408135662868</v>
      </c>
      <c r="W1246" s="16">
        <f t="shared" si="231"/>
        <v>1192442.6928838633</v>
      </c>
      <c r="X1246">
        <f>('Hybrid Info'!$A$2-Track!P1246)*(L1246-L1245)*1000+X1245</f>
        <v>-20514.590901742376</v>
      </c>
    </row>
    <row r="1247" spans="1:24">
      <c r="A1247" s="16">
        <f t="shared" si="232"/>
        <v>1246</v>
      </c>
      <c r="B1247" s="17">
        <f t="shared" si="226"/>
        <v>13.411199999999999</v>
      </c>
      <c r="C1247" s="16">
        <f>Specification!$G$29</f>
        <v>164.943378</v>
      </c>
      <c r="D1247" s="17">
        <f>0.5*Specification!$K$4*Track!B1247^2*Specification!$K$3*Specification!$K$2</f>
        <v>93.159842569492653</v>
      </c>
      <c r="E1247" s="16">
        <v>0</v>
      </c>
      <c r="F1247" s="17">
        <f>Specification!$C$23*9.81*SIN((E1247*PI()/180))</f>
        <v>0</v>
      </c>
      <c r="G1247" s="18">
        <f>IF(J1247=1,VLOOKUP(K1247,RPM!$E$2:$H$62,3,FALSE)-F1247-E1247-D1247,IF(J1247=2,VLOOKUP(K1247,RPM!$H$2:$K$62,3,FALSE)-F1247-E1247-D1247,IF(J1247=3,VLOOKUP(K1247,RPM!$K$2:$N$62,3,FALSE)-F1247-E1247-D1247)))</f>
        <v>688.48526429214962</v>
      </c>
      <c r="H1247" s="19">
        <f>IF(J1247=1,Specification!$I$14,IF(J1247=2,Specification!$I$15,IF(J1247=3,Specification!$I$16)))</f>
        <v>582.50936296077191</v>
      </c>
      <c r="I1247" s="16">
        <f t="shared" si="225"/>
        <v>0</v>
      </c>
      <c r="J1247" s="17">
        <v>2</v>
      </c>
      <c r="K1247" s="16">
        <f>IF(J1247=1,VLOOKUP(B1247,RPM!$F$2:$H$62,3,TRUE),IF(J1247=2,VLOOKUP(B1247,RPM!$I$2:$K$62,3,TRUE),IF(J1247=3,VLOOKUP(B1247,RPM!$L$2:$N$62,3,TRUE))))</f>
        <v>7000</v>
      </c>
      <c r="L1247" s="17">
        <f t="shared" si="236"/>
        <v>97.182761041804497</v>
      </c>
      <c r="M1247" s="16">
        <f t="shared" si="227"/>
        <v>0</v>
      </c>
      <c r="N1247" s="17">
        <f>VLOOKUP(K1247,RPM!$A$2:$D$62,3,FALSE)</f>
        <v>13</v>
      </c>
      <c r="O1247" s="16">
        <f>VLOOKUP(K1247,RPM!$A$2:$D$62,4,FALSE)</f>
        <v>13.235857142857142</v>
      </c>
      <c r="P1247" s="17">
        <f t="shared" si="228"/>
        <v>9.8699786714285711</v>
      </c>
      <c r="Q1247" s="16" cm="1">
        <f t="array" ref="Q1247">_xlfn.XLOOKUP(O1247,BSFC!$A$2:$A$24,_xlfn.XLOOKUP(K1247,BSFC!$B$1:$O$1,BSFC!$B$2:$O$24,,-1),,-1)</f>
        <v>520</v>
      </c>
      <c r="R1247" s="17">
        <f t="shared" si="229"/>
        <v>1.425663585873016</v>
      </c>
      <c r="S1247" s="16">
        <f t="shared" si="230"/>
        <v>2.0443068048074323E-4</v>
      </c>
      <c r="T1247" s="17">
        <f t="shared" si="233"/>
        <v>0.10630395384998648</v>
      </c>
      <c r="U1247" s="16">
        <f t="shared" si="234"/>
        <v>160.94351723177488</v>
      </c>
      <c r="V1247" s="17">
        <f t="shared" si="235"/>
        <v>0.33143851203710945</v>
      </c>
      <c r="W1247" s="16">
        <f t="shared" si="231"/>
        <v>1193178.6433335938</v>
      </c>
      <c r="X1247">
        <f>('Hybrid Info'!$A$2-Track!P1247)*(L1247-L1246)*1000+X1246</f>
        <v>-20346.785192756124</v>
      </c>
    </row>
    <row r="1248" spans="1:24">
      <c r="A1248" s="16">
        <f t="shared" si="232"/>
        <v>1247</v>
      </c>
      <c r="B1248" s="17">
        <f t="shared" si="226"/>
        <v>13.411199999999999</v>
      </c>
      <c r="C1248" s="16">
        <f>Specification!$G$29</f>
        <v>164.943378</v>
      </c>
      <c r="D1248" s="17">
        <f>0.5*Specification!$K$4*Track!B1248^2*Specification!$K$3*Specification!$K$2</f>
        <v>93.159842569492653</v>
      </c>
      <c r="E1248" s="16">
        <v>0</v>
      </c>
      <c r="F1248" s="17">
        <f>Specification!$C$23*9.81*SIN((E1248*PI()/180))</f>
        <v>0</v>
      </c>
      <c r="G1248" s="18">
        <f>IF(J1248=1,VLOOKUP(K1248,RPM!$E$2:$H$62,3,FALSE)-F1248-E1248-D1248,IF(J1248=2,VLOOKUP(K1248,RPM!$H$2:$K$62,3,FALSE)-F1248-E1248-D1248,IF(J1248=3,VLOOKUP(K1248,RPM!$K$2:$N$62,3,FALSE)-F1248-E1248-D1248)))</f>
        <v>688.48526429214962</v>
      </c>
      <c r="H1248" s="19">
        <f>IF(J1248=1,Specification!$I$14,IF(J1248=2,Specification!$I$15,IF(J1248=3,Specification!$I$16)))</f>
        <v>582.50936296077191</v>
      </c>
      <c r="I1248" s="16">
        <f t="shared" si="225"/>
        <v>0</v>
      </c>
      <c r="J1248" s="17">
        <v>2</v>
      </c>
      <c r="K1248" s="16">
        <f>IF(J1248=1,VLOOKUP(B1248,RPM!$F$2:$H$62,3,TRUE),IF(J1248=2,VLOOKUP(B1248,RPM!$I$2:$K$62,3,TRUE),IF(J1248=3,VLOOKUP(B1248,RPM!$L$2:$N$62,3,TRUE))))</f>
        <v>7000</v>
      </c>
      <c r="L1248" s="17">
        <f t="shared" si="236"/>
        <v>97.257325584872973</v>
      </c>
      <c r="M1248" s="16">
        <f t="shared" si="227"/>
        <v>0</v>
      </c>
      <c r="N1248" s="17">
        <f>VLOOKUP(K1248,RPM!$A$2:$D$62,3,FALSE)</f>
        <v>13</v>
      </c>
      <c r="O1248" s="16">
        <f>VLOOKUP(K1248,RPM!$A$2:$D$62,4,FALSE)</f>
        <v>13.235857142857142</v>
      </c>
      <c r="P1248" s="17">
        <f t="shared" si="228"/>
        <v>9.8699786714285711</v>
      </c>
      <c r="Q1248" s="16" cm="1">
        <f t="array" ref="Q1248">_xlfn.XLOOKUP(O1248,BSFC!$A$2:$A$24,_xlfn.XLOOKUP(K1248,BSFC!$B$1:$O$1,BSFC!$B$2:$O$24,,-1),,-1)</f>
        <v>520</v>
      </c>
      <c r="R1248" s="17">
        <f t="shared" si="229"/>
        <v>1.425663585873016</v>
      </c>
      <c r="S1248" s="16">
        <f t="shared" si="230"/>
        <v>2.0443068048074323E-4</v>
      </c>
      <c r="T1248" s="17">
        <f t="shared" si="233"/>
        <v>0.10630395384998648</v>
      </c>
      <c r="U1248" s="16">
        <f t="shared" si="234"/>
        <v>161.04982118562486</v>
      </c>
      <c r="V1248" s="17">
        <f t="shared" si="235"/>
        <v>0.33164294271759021</v>
      </c>
      <c r="W1248" s="16">
        <f t="shared" si="231"/>
        <v>1193914.5937833246</v>
      </c>
      <c r="X1248">
        <f>('Hybrid Info'!$A$2-Track!P1248)*(L1248-L1247)*1000+X1247</f>
        <v>-20178.979483769872</v>
      </c>
    </row>
    <row r="1249" spans="1:24">
      <c r="A1249" s="16">
        <f t="shared" si="232"/>
        <v>1248</v>
      </c>
      <c r="B1249" s="17">
        <f t="shared" si="226"/>
        <v>13.411199999999999</v>
      </c>
      <c r="C1249" s="16">
        <f>Specification!$G$29</f>
        <v>164.943378</v>
      </c>
      <c r="D1249" s="17">
        <f>0.5*Specification!$K$4*Track!B1249^2*Specification!$K$3*Specification!$K$2</f>
        <v>93.159842569492653</v>
      </c>
      <c r="E1249" s="16">
        <v>0</v>
      </c>
      <c r="F1249" s="17">
        <f>Specification!$C$23*9.81*SIN((E1249*PI()/180))</f>
        <v>0</v>
      </c>
      <c r="G1249" s="18">
        <f>IF(J1249=1,VLOOKUP(K1249,RPM!$E$2:$H$62,3,FALSE)-F1249-E1249-D1249,IF(J1249=2,VLOOKUP(K1249,RPM!$H$2:$K$62,3,FALSE)-F1249-E1249-D1249,IF(J1249=3,VLOOKUP(K1249,RPM!$K$2:$N$62,3,FALSE)-F1249-E1249-D1249)))</f>
        <v>688.48526429214962</v>
      </c>
      <c r="H1249" s="19">
        <f>IF(J1249=1,Specification!$I$14,IF(J1249=2,Specification!$I$15,IF(J1249=3,Specification!$I$16)))</f>
        <v>582.50936296077191</v>
      </c>
      <c r="I1249" s="16">
        <f t="shared" si="225"/>
        <v>0</v>
      </c>
      <c r="J1249" s="17">
        <v>2</v>
      </c>
      <c r="K1249" s="16">
        <f>IF(J1249=1,VLOOKUP(B1249,RPM!$F$2:$H$62,3,TRUE),IF(J1249=2,VLOOKUP(B1249,RPM!$I$2:$K$62,3,TRUE),IF(J1249=3,VLOOKUP(B1249,RPM!$L$2:$N$62,3,TRUE))))</f>
        <v>7000</v>
      </c>
      <c r="L1249" s="17">
        <f t="shared" si="236"/>
        <v>97.331890127941449</v>
      </c>
      <c r="M1249" s="16">
        <f t="shared" si="227"/>
        <v>0</v>
      </c>
      <c r="N1249" s="17">
        <f>VLOOKUP(K1249,RPM!$A$2:$D$62,3,FALSE)</f>
        <v>13</v>
      </c>
      <c r="O1249" s="16">
        <f>VLOOKUP(K1249,RPM!$A$2:$D$62,4,FALSE)</f>
        <v>13.235857142857142</v>
      </c>
      <c r="P1249" s="17">
        <f t="shared" si="228"/>
        <v>9.8699786714285711</v>
      </c>
      <c r="Q1249" s="16" cm="1">
        <f t="array" ref="Q1249">_xlfn.XLOOKUP(O1249,BSFC!$A$2:$A$24,_xlfn.XLOOKUP(K1249,BSFC!$B$1:$O$1,BSFC!$B$2:$O$24,,-1),,-1)</f>
        <v>520</v>
      </c>
      <c r="R1249" s="17">
        <f t="shared" si="229"/>
        <v>1.425663585873016</v>
      </c>
      <c r="S1249" s="16">
        <f t="shared" si="230"/>
        <v>2.0443068048074323E-4</v>
      </c>
      <c r="T1249" s="17">
        <f t="shared" si="233"/>
        <v>0.10630395384998648</v>
      </c>
      <c r="U1249" s="16">
        <f t="shared" si="234"/>
        <v>161.15612513947485</v>
      </c>
      <c r="V1249" s="17">
        <f t="shared" si="235"/>
        <v>0.33184737339807097</v>
      </c>
      <c r="W1249" s="16">
        <f t="shared" si="231"/>
        <v>1194650.5442330553</v>
      </c>
      <c r="X1249">
        <f>('Hybrid Info'!$A$2-Track!P1249)*(L1249-L1248)*1000+X1248</f>
        <v>-20011.17377478362</v>
      </c>
    </row>
    <row r="1250" spans="1:24">
      <c r="A1250" s="16">
        <f t="shared" si="232"/>
        <v>1249</v>
      </c>
      <c r="B1250" s="17">
        <f t="shared" si="226"/>
        <v>13.411199999999999</v>
      </c>
      <c r="C1250" s="16">
        <f>Specification!$G$29</f>
        <v>164.943378</v>
      </c>
      <c r="D1250" s="17">
        <f>0.5*Specification!$K$4*Track!B1250^2*Specification!$K$3*Specification!$K$2</f>
        <v>93.159842569492653</v>
      </c>
      <c r="E1250" s="16">
        <v>0</v>
      </c>
      <c r="F1250" s="17">
        <f>Specification!$C$23*9.81*SIN((E1250*PI()/180))</f>
        <v>0</v>
      </c>
      <c r="G1250" s="18">
        <f>IF(J1250=1,VLOOKUP(K1250,RPM!$E$2:$H$62,3,FALSE)-F1250-E1250-D1250,IF(J1250=2,VLOOKUP(K1250,RPM!$H$2:$K$62,3,FALSE)-F1250-E1250-D1250,IF(J1250=3,VLOOKUP(K1250,RPM!$K$2:$N$62,3,FALSE)-F1250-E1250-D1250)))</f>
        <v>688.48526429214962</v>
      </c>
      <c r="H1250" s="19">
        <f>IF(J1250=1,Specification!$I$14,IF(J1250=2,Specification!$I$15,IF(J1250=3,Specification!$I$16)))</f>
        <v>582.50936296077191</v>
      </c>
      <c r="I1250" s="16">
        <f t="shared" si="225"/>
        <v>0</v>
      </c>
      <c r="J1250" s="17">
        <v>2</v>
      </c>
      <c r="K1250" s="16">
        <f>IF(J1250=1,VLOOKUP(B1250,RPM!$F$2:$H$62,3,TRUE),IF(J1250=2,VLOOKUP(B1250,RPM!$I$2:$K$62,3,TRUE),IF(J1250=3,VLOOKUP(B1250,RPM!$L$2:$N$62,3,TRUE))))</f>
        <v>7000</v>
      </c>
      <c r="L1250" s="17">
        <f t="shared" si="236"/>
        <v>97.406454671009925</v>
      </c>
      <c r="M1250" s="16">
        <f t="shared" si="227"/>
        <v>0</v>
      </c>
      <c r="N1250" s="17">
        <f>VLOOKUP(K1250,RPM!$A$2:$D$62,3,FALSE)</f>
        <v>13</v>
      </c>
      <c r="O1250" s="16">
        <f>VLOOKUP(K1250,RPM!$A$2:$D$62,4,FALSE)</f>
        <v>13.235857142857142</v>
      </c>
      <c r="P1250" s="17">
        <f t="shared" si="228"/>
        <v>9.8699786714285711</v>
      </c>
      <c r="Q1250" s="16" cm="1">
        <f t="array" ref="Q1250">_xlfn.XLOOKUP(O1250,BSFC!$A$2:$A$24,_xlfn.XLOOKUP(K1250,BSFC!$B$1:$O$1,BSFC!$B$2:$O$24,,-1),,-1)</f>
        <v>520</v>
      </c>
      <c r="R1250" s="17">
        <f t="shared" si="229"/>
        <v>1.425663585873016</v>
      </c>
      <c r="S1250" s="16">
        <f t="shared" si="230"/>
        <v>2.0443068048074323E-4</v>
      </c>
      <c r="T1250" s="17">
        <f t="shared" si="233"/>
        <v>0.10630395384998648</v>
      </c>
      <c r="U1250" s="16">
        <f t="shared" si="234"/>
        <v>161.26242909332484</v>
      </c>
      <c r="V1250" s="17">
        <f t="shared" si="235"/>
        <v>0.33205180407855173</v>
      </c>
      <c r="W1250" s="16">
        <f t="shared" si="231"/>
        <v>1195386.4946827863</v>
      </c>
      <c r="X1250">
        <f>('Hybrid Info'!$A$2-Track!P1250)*(L1250-L1249)*1000+X1249</f>
        <v>-19843.368065797367</v>
      </c>
    </row>
    <row r="1251" spans="1:24">
      <c r="A1251" s="16">
        <f t="shared" si="232"/>
        <v>1250</v>
      </c>
      <c r="B1251" s="17">
        <f t="shared" si="226"/>
        <v>13.411199999999999</v>
      </c>
      <c r="C1251" s="16">
        <f>Specification!$G$29</f>
        <v>164.943378</v>
      </c>
      <c r="D1251" s="17">
        <f>0.5*Specification!$K$4*Track!B1251^2*Specification!$K$3*Specification!$K$2</f>
        <v>93.159842569492653</v>
      </c>
      <c r="E1251" s="16">
        <v>0</v>
      </c>
      <c r="F1251" s="17">
        <f>Specification!$C$23*9.81*SIN((E1251*PI()/180))</f>
        <v>0</v>
      </c>
      <c r="G1251" s="18">
        <f>IF(J1251=1,VLOOKUP(K1251,RPM!$E$2:$H$62,3,FALSE)-F1251-E1251-D1251,IF(J1251=2,VLOOKUP(K1251,RPM!$H$2:$K$62,3,FALSE)-F1251-E1251-D1251,IF(J1251=3,VLOOKUP(K1251,RPM!$K$2:$N$62,3,FALSE)-F1251-E1251-D1251)))</f>
        <v>688.48526429214962</v>
      </c>
      <c r="H1251" s="19">
        <f>IF(J1251=1,Specification!$I$14,IF(J1251=2,Specification!$I$15,IF(J1251=3,Specification!$I$16)))</f>
        <v>582.50936296077191</v>
      </c>
      <c r="I1251" s="16">
        <f t="shared" si="225"/>
        <v>0</v>
      </c>
      <c r="J1251" s="17">
        <v>2</v>
      </c>
      <c r="K1251" s="16">
        <f>IF(J1251=1,VLOOKUP(B1251,RPM!$F$2:$H$62,3,TRUE),IF(J1251=2,VLOOKUP(B1251,RPM!$I$2:$K$62,3,TRUE),IF(J1251=3,VLOOKUP(B1251,RPM!$L$2:$N$62,3,TRUE))))</f>
        <v>7000</v>
      </c>
      <c r="L1251" s="17">
        <f t="shared" si="236"/>
        <v>97.481019214078401</v>
      </c>
      <c r="M1251" s="16">
        <f t="shared" si="227"/>
        <v>0</v>
      </c>
      <c r="N1251" s="17">
        <f>VLOOKUP(K1251,RPM!$A$2:$D$62,3,FALSE)</f>
        <v>13</v>
      </c>
      <c r="O1251" s="16">
        <f>VLOOKUP(K1251,RPM!$A$2:$D$62,4,FALSE)</f>
        <v>13.235857142857142</v>
      </c>
      <c r="P1251" s="17">
        <f t="shared" si="228"/>
        <v>9.8699786714285711</v>
      </c>
      <c r="Q1251" s="16" cm="1">
        <f t="array" ref="Q1251">_xlfn.XLOOKUP(O1251,BSFC!$A$2:$A$24,_xlfn.XLOOKUP(K1251,BSFC!$B$1:$O$1,BSFC!$B$2:$O$24,,-1),,-1)</f>
        <v>520</v>
      </c>
      <c r="R1251" s="17">
        <f t="shared" si="229"/>
        <v>1.425663585873016</v>
      </c>
      <c r="S1251" s="16">
        <f t="shared" si="230"/>
        <v>2.0443068048074323E-4</v>
      </c>
      <c r="T1251" s="17">
        <f t="shared" si="233"/>
        <v>0.10630395384998648</v>
      </c>
      <c r="U1251" s="16">
        <f t="shared" si="234"/>
        <v>161.36873304717483</v>
      </c>
      <c r="V1251" s="17">
        <f t="shared" si="235"/>
        <v>0.33225623475903249</v>
      </c>
      <c r="W1251" s="16">
        <f t="shared" si="231"/>
        <v>1196122.445132517</v>
      </c>
      <c r="X1251">
        <f>('Hybrid Info'!$A$2-Track!P1251)*(L1251-L1250)*1000+X1250</f>
        <v>-19675.562356811115</v>
      </c>
    </row>
    <row r="1252" spans="1:24">
      <c r="A1252" s="16">
        <f t="shared" si="232"/>
        <v>1251</v>
      </c>
      <c r="B1252" s="17">
        <f t="shared" si="226"/>
        <v>13.411199999999999</v>
      </c>
      <c r="C1252" s="16">
        <f>Specification!$G$29</f>
        <v>164.943378</v>
      </c>
      <c r="D1252" s="17">
        <f>0.5*Specification!$K$4*Track!B1252^2*Specification!$K$3*Specification!$K$2</f>
        <v>93.159842569492653</v>
      </c>
      <c r="E1252" s="16">
        <v>0</v>
      </c>
      <c r="F1252" s="17">
        <f>Specification!$C$23*9.81*SIN((E1252*PI()/180))</f>
        <v>0</v>
      </c>
      <c r="G1252" s="18">
        <f>IF(J1252=1,VLOOKUP(K1252,RPM!$E$2:$H$62,3,FALSE)-F1252-E1252-D1252,IF(J1252=2,VLOOKUP(K1252,RPM!$H$2:$K$62,3,FALSE)-F1252-E1252-D1252,IF(J1252=3,VLOOKUP(K1252,RPM!$K$2:$N$62,3,FALSE)-F1252-E1252-D1252)))</f>
        <v>688.48526429214962</v>
      </c>
      <c r="H1252" s="19">
        <f>IF(J1252=1,Specification!$I$14,IF(J1252=2,Specification!$I$15,IF(J1252=3,Specification!$I$16)))</f>
        <v>582.50936296077191</v>
      </c>
      <c r="I1252" s="16">
        <f t="shared" ref="I1252:I1315" si="237">IF(B1252=13.4112,0,G1252/H1252)</f>
        <v>0</v>
      </c>
      <c r="J1252" s="17">
        <v>2</v>
      </c>
      <c r="K1252" s="16">
        <f>IF(J1252=1,VLOOKUP(B1252,RPM!$F$2:$H$62,3,TRUE),IF(J1252=2,VLOOKUP(B1252,RPM!$I$2:$K$62,3,TRUE),IF(J1252=3,VLOOKUP(B1252,RPM!$L$2:$N$62,3,TRUE))))</f>
        <v>7000</v>
      </c>
      <c r="L1252" s="17">
        <f t="shared" si="236"/>
        <v>97.555583757146877</v>
      </c>
      <c r="M1252" s="16">
        <f t="shared" si="227"/>
        <v>0</v>
      </c>
      <c r="N1252" s="17">
        <f>VLOOKUP(K1252,RPM!$A$2:$D$62,3,FALSE)</f>
        <v>13</v>
      </c>
      <c r="O1252" s="16">
        <f>VLOOKUP(K1252,RPM!$A$2:$D$62,4,FALSE)</f>
        <v>13.235857142857142</v>
      </c>
      <c r="P1252" s="17">
        <f t="shared" si="228"/>
        <v>9.8699786714285711</v>
      </c>
      <c r="Q1252" s="16" cm="1">
        <f t="array" ref="Q1252">_xlfn.XLOOKUP(O1252,BSFC!$A$2:$A$24,_xlfn.XLOOKUP(K1252,BSFC!$B$1:$O$1,BSFC!$B$2:$O$24,,-1),,-1)</f>
        <v>520</v>
      </c>
      <c r="R1252" s="17">
        <f t="shared" si="229"/>
        <v>1.425663585873016</v>
      </c>
      <c r="S1252" s="16">
        <f t="shared" si="230"/>
        <v>2.0443068048074323E-4</v>
      </c>
      <c r="T1252" s="17">
        <f t="shared" si="233"/>
        <v>0.10630395384998648</v>
      </c>
      <c r="U1252" s="16">
        <f t="shared" si="234"/>
        <v>161.47503700102482</v>
      </c>
      <c r="V1252" s="17">
        <f t="shared" si="235"/>
        <v>0.33246066543951325</v>
      </c>
      <c r="W1252" s="16">
        <f t="shared" si="231"/>
        <v>1196858.3955822478</v>
      </c>
      <c r="X1252">
        <f>('Hybrid Info'!$A$2-Track!P1252)*(L1252-L1251)*1000+X1251</f>
        <v>-19507.756647824863</v>
      </c>
    </row>
    <row r="1253" spans="1:24">
      <c r="A1253" s="16">
        <f t="shared" si="232"/>
        <v>1252</v>
      </c>
      <c r="B1253" s="17">
        <f t="shared" si="226"/>
        <v>13.411199999999999</v>
      </c>
      <c r="C1253" s="16">
        <f>Specification!$G$29</f>
        <v>164.943378</v>
      </c>
      <c r="D1253" s="17">
        <f>0.5*Specification!$K$4*Track!B1253^2*Specification!$K$3*Specification!$K$2</f>
        <v>93.159842569492653</v>
      </c>
      <c r="E1253" s="16">
        <v>0</v>
      </c>
      <c r="F1253" s="17">
        <f>Specification!$C$23*9.81*SIN((E1253*PI()/180))</f>
        <v>0</v>
      </c>
      <c r="G1253" s="18">
        <f>IF(J1253=1,VLOOKUP(K1253,RPM!$E$2:$H$62,3,FALSE)-F1253-E1253-D1253,IF(J1253=2,VLOOKUP(K1253,RPM!$H$2:$K$62,3,FALSE)-F1253-E1253-D1253,IF(J1253=3,VLOOKUP(K1253,RPM!$K$2:$N$62,3,FALSE)-F1253-E1253-D1253)))</f>
        <v>688.48526429214962</v>
      </c>
      <c r="H1253" s="19">
        <f>IF(J1253=1,Specification!$I$14,IF(J1253=2,Specification!$I$15,IF(J1253=3,Specification!$I$16)))</f>
        <v>582.50936296077191</v>
      </c>
      <c r="I1253" s="16">
        <f t="shared" si="237"/>
        <v>0</v>
      </c>
      <c r="J1253" s="17">
        <v>2</v>
      </c>
      <c r="K1253" s="16">
        <f>IF(J1253=1,VLOOKUP(B1253,RPM!$F$2:$H$62,3,TRUE),IF(J1253=2,VLOOKUP(B1253,RPM!$I$2:$K$62,3,TRUE),IF(J1253=3,VLOOKUP(B1253,RPM!$L$2:$N$62,3,TRUE))))</f>
        <v>7000</v>
      </c>
      <c r="L1253" s="17">
        <f t="shared" si="236"/>
        <v>97.630148300215353</v>
      </c>
      <c r="M1253" s="16">
        <f t="shared" si="227"/>
        <v>0</v>
      </c>
      <c r="N1253" s="17">
        <f>VLOOKUP(K1253,RPM!$A$2:$D$62,3,FALSE)</f>
        <v>13</v>
      </c>
      <c r="O1253" s="16">
        <f>VLOOKUP(K1253,RPM!$A$2:$D$62,4,FALSE)</f>
        <v>13.235857142857142</v>
      </c>
      <c r="P1253" s="17">
        <f t="shared" si="228"/>
        <v>9.8699786714285711</v>
      </c>
      <c r="Q1253" s="16" cm="1">
        <f t="array" ref="Q1253">_xlfn.XLOOKUP(O1253,BSFC!$A$2:$A$24,_xlfn.XLOOKUP(K1253,BSFC!$B$1:$O$1,BSFC!$B$2:$O$24,,-1),,-1)</f>
        <v>520</v>
      </c>
      <c r="R1253" s="17">
        <f t="shared" si="229"/>
        <v>1.425663585873016</v>
      </c>
      <c r="S1253" s="16">
        <f t="shared" si="230"/>
        <v>2.0443068048074323E-4</v>
      </c>
      <c r="T1253" s="17">
        <f t="shared" si="233"/>
        <v>0.10630395384998648</v>
      </c>
      <c r="U1253" s="16">
        <f t="shared" si="234"/>
        <v>161.5813409548748</v>
      </c>
      <c r="V1253" s="17">
        <f t="shared" si="235"/>
        <v>0.33266509611999401</v>
      </c>
      <c r="W1253" s="16">
        <f t="shared" si="231"/>
        <v>1197594.3460319785</v>
      </c>
      <c r="X1253">
        <f>('Hybrid Info'!$A$2-Track!P1253)*(L1253-L1252)*1000+X1252</f>
        <v>-19339.95093883861</v>
      </c>
    </row>
    <row r="1254" spans="1:24">
      <c r="A1254" s="16">
        <f t="shared" si="232"/>
        <v>1253</v>
      </c>
      <c r="B1254" s="17">
        <f t="shared" si="226"/>
        <v>13.411199999999999</v>
      </c>
      <c r="C1254" s="16">
        <f>Specification!$G$29</f>
        <v>164.943378</v>
      </c>
      <c r="D1254" s="17">
        <f>0.5*Specification!$K$4*Track!B1254^2*Specification!$K$3*Specification!$K$2</f>
        <v>93.159842569492653</v>
      </c>
      <c r="E1254" s="16">
        <v>0</v>
      </c>
      <c r="F1254" s="17">
        <f>Specification!$C$23*9.81*SIN((E1254*PI()/180))</f>
        <v>0</v>
      </c>
      <c r="G1254" s="18">
        <f>IF(J1254=1,VLOOKUP(K1254,RPM!$E$2:$H$62,3,FALSE)-F1254-E1254-D1254,IF(J1254=2,VLOOKUP(K1254,RPM!$H$2:$K$62,3,FALSE)-F1254-E1254-D1254,IF(J1254=3,VLOOKUP(K1254,RPM!$K$2:$N$62,3,FALSE)-F1254-E1254-D1254)))</f>
        <v>688.48526429214962</v>
      </c>
      <c r="H1254" s="19">
        <f>IF(J1254=1,Specification!$I$14,IF(J1254=2,Specification!$I$15,IF(J1254=3,Specification!$I$16)))</f>
        <v>582.50936296077191</v>
      </c>
      <c r="I1254" s="16">
        <f t="shared" si="237"/>
        <v>0</v>
      </c>
      <c r="J1254" s="17">
        <v>2</v>
      </c>
      <c r="K1254" s="16">
        <f>IF(J1254=1,VLOOKUP(B1254,RPM!$F$2:$H$62,3,TRUE),IF(J1254=2,VLOOKUP(B1254,RPM!$I$2:$K$62,3,TRUE),IF(J1254=3,VLOOKUP(B1254,RPM!$L$2:$N$62,3,TRUE))))</f>
        <v>7000</v>
      </c>
      <c r="L1254" s="17">
        <f t="shared" si="236"/>
        <v>97.704712843283829</v>
      </c>
      <c r="M1254" s="16">
        <f t="shared" si="227"/>
        <v>0</v>
      </c>
      <c r="N1254" s="17">
        <f>VLOOKUP(K1254,RPM!$A$2:$D$62,3,FALSE)</f>
        <v>13</v>
      </c>
      <c r="O1254" s="16">
        <f>VLOOKUP(K1254,RPM!$A$2:$D$62,4,FALSE)</f>
        <v>13.235857142857142</v>
      </c>
      <c r="P1254" s="17">
        <f t="shared" si="228"/>
        <v>9.8699786714285711</v>
      </c>
      <c r="Q1254" s="16" cm="1">
        <f t="array" ref="Q1254">_xlfn.XLOOKUP(O1254,BSFC!$A$2:$A$24,_xlfn.XLOOKUP(K1254,BSFC!$B$1:$O$1,BSFC!$B$2:$O$24,,-1),,-1)</f>
        <v>520</v>
      </c>
      <c r="R1254" s="17">
        <f t="shared" si="229"/>
        <v>1.425663585873016</v>
      </c>
      <c r="S1254" s="16">
        <f t="shared" si="230"/>
        <v>2.0443068048074323E-4</v>
      </c>
      <c r="T1254" s="17">
        <f t="shared" si="233"/>
        <v>0.10630395384998648</v>
      </c>
      <c r="U1254" s="16">
        <f t="shared" si="234"/>
        <v>161.68764490872479</v>
      </c>
      <c r="V1254" s="17">
        <f t="shared" si="235"/>
        <v>0.33286952680047477</v>
      </c>
      <c r="W1254" s="16">
        <f t="shared" si="231"/>
        <v>1198330.2964817092</v>
      </c>
      <c r="X1254">
        <f>('Hybrid Info'!$A$2-Track!P1254)*(L1254-L1253)*1000+X1253</f>
        <v>-19172.145229852358</v>
      </c>
    </row>
    <row r="1255" spans="1:24">
      <c r="A1255" s="16">
        <f t="shared" si="232"/>
        <v>1254</v>
      </c>
      <c r="B1255" s="17">
        <f t="shared" si="226"/>
        <v>13.411199999999999</v>
      </c>
      <c r="C1255" s="16">
        <f>Specification!$G$29</f>
        <v>164.943378</v>
      </c>
      <c r="D1255" s="17">
        <f>0.5*Specification!$K$4*Track!B1255^2*Specification!$K$3*Specification!$K$2</f>
        <v>93.159842569492653</v>
      </c>
      <c r="E1255" s="16">
        <v>0</v>
      </c>
      <c r="F1255" s="17">
        <f>Specification!$C$23*9.81*SIN((E1255*PI()/180))</f>
        <v>0</v>
      </c>
      <c r="G1255" s="18">
        <f>IF(J1255=1,VLOOKUP(K1255,RPM!$E$2:$H$62,3,FALSE)-F1255-E1255-D1255,IF(J1255=2,VLOOKUP(K1255,RPM!$H$2:$K$62,3,FALSE)-F1255-E1255-D1255,IF(J1255=3,VLOOKUP(K1255,RPM!$K$2:$N$62,3,FALSE)-F1255-E1255-D1255)))</f>
        <v>688.48526429214962</v>
      </c>
      <c r="H1255" s="19">
        <f>IF(J1255=1,Specification!$I$14,IF(J1255=2,Specification!$I$15,IF(J1255=3,Specification!$I$16)))</f>
        <v>582.50936296077191</v>
      </c>
      <c r="I1255" s="16">
        <f t="shared" si="237"/>
        <v>0</v>
      </c>
      <c r="J1255" s="17">
        <v>2</v>
      </c>
      <c r="K1255" s="16">
        <f>IF(J1255=1,VLOOKUP(B1255,RPM!$F$2:$H$62,3,TRUE),IF(J1255=2,VLOOKUP(B1255,RPM!$I$2:$K$62,3,TRUE),IF(J1255=3,VLOOKUP(B1255,RPM!$L$2:$N$62,3,TRUE))))</f>
        <v>7000</v>
      </c>
      <c r="L1255" s="17">
        <f t="shared" si="236"/>
        <v>97.779277386352305</v>
      </c>
      <c r="M1255" s="16">
        <f t="shared" si="227"/>
        <v>0</v>
      </c>
      <c r="N1255" s="17">
        <f>VLOOKUP(K1255,RPM!$A$2:$D$62,3,FALSE)</f>
        <v>13</v>
      </c>
      <c r="O1255" s="16">
        <f>VLOOKUP(K1255,RPM!$A$2:$D$62,4,FALSE)</f>
        <v>13.235857142857142</v>
      </c>
      <c r="P1255" s="17">
        <f t="shared" si="228"/>
        <v>9.8699786714285711</v>
      </c>
      <c r="Q1255" s="16" cm="1">
        <f t="array" ref="Q1255">_xlfn.XLOOKUP(O1255,BSFC!$A$2:$A$24,_xlfn.XLOOKUP(K1255,BSFC!$B$1:$O$1,BSFC!$B$2:$O$24,,-1),,-1)</f>
        <v>520</v>
      </c>
      <c r="R1255" s="17">
        <f t="shared" si="229"/>
        <v>1.425663585873016</v>
      </c>
      <c r="S1255" s="16">
        <f t="shared" si="230"/>
        <v>2.0443068048074323E-4</v>
      </c>
      <c r="T1255" s="17">
        <f t="shared" si="233"/>
        <v>0.10630395384998648</v>
      </c>
      <c r="U1255" s="16">
        <f t="shared" si="234"/>
        <v>161.79394886257478</v>
      </c>
      <c r="V1255" s="17">
        <f t="shared" si="235"/>
        <v>0.33307395748095553</v>
      </c>
      <c r="W1255" s="16">
        <f t="shared" si="231"/>
        <v>1199066.24693144</v>
      </c>
      <c r="X1255">
        <f>('Hybrid Info'!$A$2-Track!P1255)*(L1255-L1254)*1000+X1254</f>
        <v>-19004.339520866106</v>
      </c>
    </row>
    <row r="1256" spans="1:24">
      <c r="A1256" s="16">
        <f t="shared" si="232"/>
        <v>1255</v>
      </c>
      <c r="B1256" s="17">
        <f t="shared" si="226"/>
        <v>13.411199999999999</v>
      </c>
      <c r="C1256" s="16">
        <f>Specification!$G$29</f>
        <v>164.943378</v>
      </c>
      <c r="D1256" s="17">
        <f>0.5*Specification!$K$4*Track!B1256^2*Specification!$K$3*Specification!$K$2</f>
        <v>93.159842569492653</v>
      </c>
      <c r="E1256" s="16">
        <v>0</v>
      </c>
      <c r="F1256" s="17">
        <f>Specification!$C$23*9.81*SIN((E1256*PI()/180))</f>
        <v>0</v>
      </c>
      <c r="G1256" s="18">
        <f>IF(J1256=1,VLOOKUP(K1256,RPM!$E$2:$H$62,3,FALSE)-F1256-E1256-D1256,IF(J1256=2,VLOOKUP(K1256,RPM!$H$2:$K$62,3,FALSE)-F1256-E1256-D1256,IF(J1256=3,VLOOKUP(K1256,RPM!$K$2:$N$62,3,FALSE)-F1256-E1256-D1256)))</f>
        <v>688.48526429214962</v>
      </c>
      <c r="H1256" s="19">
        <f>IF(J1256=1,Specification!$I$14,IF(J1256=2,Specification!$I$15,IF(J1256=3,Specification!$I$16)))</f>
        <v>582.50936296077191</v>
      </c>
      <c r="I1256" s="16">
        <f t="shared" si="237"/>
        <v>0</v>
      </c>
      <c r="J1256" s="17">
        <v>2</v>
      </c>
      <c r="K1256" s="16">
        <f>IF(J1256=1,VLOOKUP(B1256,RPM!$F$2:$H$62,3,TRUE),IF(J1256=2,VLOOKUP(B1256,RPM!$I$2:$K$62,3,TRUE),IF(J1256=3,VLOOKUP(B1256,RPM!$L$2:$N$62,3,TRUE))))</f>
        <v>7000</v>
      </c>
      <c r="L1256" s="17">
        <f t="shared" si="236"/>
        <v>97.853841929420781</v>
      </c>
      <c r="M1256" s="16">
        <f t="shared" si="227"/>
        <v>0</v>
      </c>
      <c r="N1256" s="17">
        <f>VLOOKUP(K1256,RPM!$A$2:$D$62,3,FALSE)</f>
        <v>13</v>
      </c>
      <c r="O1256" s="16">
        <f>VLOOKUP(K1256,RPM!$A$2:$D$62,4,FALSE)</f>
        <v>13.235857142857142</v>
      </c>
      <c r="P1256" s="17">
        <f t="shared" si="228"/>
        <v>9.8699786714285711</v>
      </c>
      <c r="Q1256" s="16" cm="1">
        <f t="array" ref="Q1256">_xlfn.XLOOKUP(O1256,BSFC!$A$2:$A$24,_xlfn.XLOOKUP(K1256,BSFC!$B$1:$O$1,BSFC!$B$2:$O$24,,-1),,-1)</f>
        <v>520</v>
      </c>
      <c r="R1256" s="17">
        <f t="shared" si="229"/>
        <v>1.425663585873016</v>
      </c>
      <c r="S1256" s="16">
        <f t="shared" si="230"/>
        <v>2.0443068048074323E-4</v>
      </c>
      <c r="T1256" s="17">
        <f t="shared" si="233"/>
        <v>0.10630395384998648</v>
      </c>
      <c r="U1256" s="16">
        <f t="shared" si="234"/>
        <v>161.90025281642477</v>
      </c>
      <c r="V1256" s="17">
        <f t="shared" si="235"/>
        <v>0.33327838816143629</v>
      </c>
      <c r="W1256" s="16">
        <f t="shared" si="231"/>
        <v>1199802.1973811707</v>
      </c>
      <c r="X1256">
        <f>('Hybrid Info'!$A$2-Track!P1256)*(L1256-L1255)*1000+X1255</f>
        <v>-18836.533811879854</v>
      </c>
    </row>
    <row r="1257" spans="1:24">
      <c r="A1257" s="16">
        <f t="shared" si="232"/>
        <v>1256</v>
      </c>
      <c r="B1257" s="17">
        <f t="shared" si="226"/>
        <v>13.411199999999999</v>
      </c>
      <c r="C1257" s="16">
        <f>Specification!$G$29</f>
        <v>164.943378</v>
      </c>
      <c r="D1257" s="17">
        <f>0.5*Specification!$K$4*Track!B1257^2*Specification!$K$3*Specification!$K$2</f>
        <v>93.159842569492653</v>
      </c>
      <c r="E1257" s="16">
        <v>0</v>
      </c>
      <c r="F1257" s="17">
        <f>Specification!$C$23*9.81*SIN((E1257*PI()/180))</f>
        <v>0</v>
      </c>
      <c r="G1257" s="18">
        <f>IF(J1257=1,VLOOKUP(K1257,RPM!$E$2:$H$62,3,FALSE)-F1257-E1257-D1257,IF(J1257=2,VLOOKUP(K1257,RPM!$H$2:$K$62,3,FALSE)-F1257-E1257-D1257,IF(J1257=3,VLOOKUP(K1257,RPM!$K$2:$N$62,3,FALSE)-F1257-E1257-D1257)))</f>
        <v>688.48526429214962</v>
      </c>
      <c r="H1257" s="19">
        <f>IF(J1257=1,Specification!$I$14,IF(J1257=2,Specification!$I$15,IF(J1257=3,Specification!$I$16)))</f>
        <v>582.50936296077191</v>
      </c>
      <c r="I1257" s="16">
        <f t="shared" si="237"/>
        <v>0</v>
      </c>
      <c r="J1257" s="17">
        <v>2</v>
      </c>
      <c r="K1257" s="16">
        <f>IF(J1257=1,VLOOKUP(B1257,RPM!$F$2:$H$62,3,TRUE),IF(J1257=2,VLOOKUP(B1257,RPM!$I$2:$K$62,3,TRUE),IF(J1257=3,VLOOKUP(B1257,RPM!$L$2:$N$62,3,TRUE))))</f>
        <v>7000</v>
      </c>
      <c r="L1257" s="17">
        <f t="shared" si="236"/>
        <v>97.928406472489257</v>
      </c>
      <c r="M1257" s="16">
        <f t="shared" si="227"/>
        <v>0</v>
      </c>
      <c r="N1257" s="17">
        <f>VLOOKUP(K1257,RPM!$A$2:$D$62,3,FALSE)</f>
        <v>13</v>
      </c>
      <c r="O1257" s="16">
        <f>VLOOKUP(K1257,RPM!$A$2:$D$62,4,FALSE)</f>
        <v>13.235857142857142</v>
      </c>
      <c r="P1257" s="17">
        <f t="shared" si="228"/>
        <v>9.8699786714285711</v>
      </c>
      <c r="Q1257" s="16" cm="1">
        <f t="array" ref="Q1257">_xlfn.XLOOKUP(O1257,BSFC!$A$2:$A$24,_xlfn.XLOOKUP(K1257,BSFC!$B$1:$O$1,BSFC!$B$2:$O$24,,-1),,-1)</f>
        <v>520</v>
      </c>
      <c r="R1257" s="17">
        <f t="shared" si="229"/>
        <v>1.425663585873016</v>
      </c>
      <c r="S1257" s="16">
        <f t="shared" si="230"/>
        <v>2.0443068048074323E-4</v>
      </c>
      <c r="T1257" s="17">
        <f t="shared" si="233"/>
        <v>0.10630395384998648</v>
      </c>
      <c r="U1257" s="16">
        <f t="shared" si="234"/>
        <v>162.00655677027476</v>
      </c>
      <c r="V1257" s="17">
        <f t="shared" si="235"/>
        <v>0.33348281884191705</v>
      </c>
      <c r="W1257" s="16">
        <f t="shared" si="231"/>
        <v>1200538.1478309014</v>
      </c>
      <c r="X1257">
        <f>('Hybrid Info'!$A$2-Track!P1257)*(L1257-L1256)*1000+X1256</f>
        <v>-18668.728102893601</v>
      </c>
    </row>
    <row r="1258" spans="1:24">
      <c r="A1258" s="16">
        <f t="shared" si="232"/>
        <v>1257</v>
      </c>
      <c r="B1258" s="17">
        <f t="shared" si="226"/>
        <v>13.411199999999999</v>
      </c>
      <c r="C1258" s="16">
        <f>Specification!$G$29</f>
        <v>164.943378</v>
      </c>
      <c r="D1258" s="17">
        <f>0.5*Specification!$K$4*Track!B1258^2*Specification!$K$3*Specification!$K$2</f>
        <v>93.159842569492653</v>
      </c>
      <c r="E1258" s="16">
        <v>0</v>
      </c>
      <c r="F1258" s="17">
        <f>Specification!$C$23*9.81*SIN((E1258*PI()/180))</f>
        <v>0</v>
      </c>
      <c r="G1258" s="18">
        <f>IF(J1258=1,VLOOKUP(K1258,RPM!$E$2:$H$62,3,FALSE)-F1258-E1258-D1258,IF(J1258=2,VLOOKUP(K1258,RPM!$H$2:$K$62,3,FALSE)-F1258-E1258-D1258,IF(J1258=3,VLOOKUP(K1258,RPM!$K$2:$N$62,3,FALSE)-F1258-E1258-D1258)))</f>
        <v>688.48526429214962</v>
      </c>
      <c r="H1258" s="19">
        <f>IF(J1258=1,Specification!$I$14,IF(J1258=2,Specification!$I$15,IF(J1258=3,Specification!$I$16)))</f>
        <v>582.50936296077191</v>
      </c>
      <c r="I1258" s="16">
        <f t="shared" si="237"/>
        <v>0</v>
      </c>
      <c r="J1258" s="17">
        <v>2</v>
      </c>
      <c r="K1258" s="16">
        <f>IF(J1258=1,VLOOKUP(B1258,RPM!$F$2:$H$62,3,TRUE),IF(J1258=2,VLOOKUP(B1258,RPM!$I$2:$K$62,3,TRUE),IF(J1258=3,VLOOKUP(B1258,RPM!$L$2:$N$62,3,TRUE))))</f>
        <v>7000</v>
      </c>
      <c r="L1258" s="17">
        <f t="shared" si="236"/>
        <v>98.002971015557733</v>
      </c>
      <c r="M1258" s="16">
        <f t="shared" si="227"/>
        <v>0</v>
      </c>
      <c r="N1258" s="17">
        <f>VLOOKUP(K1258,RPM!$A$2:$D$62,3,FALSE)</f>
        <v>13</v>
      </c>
      <c r="O1258" s="16">
        <f>VLOOKUP(K1258,RPM!$A$2:$D$62,4,FALSE)</f>
        <v>13.235857142857142</v>
      </c>
      <c r="P1258" s="17">
        <f t="shared" si="228"/>
        <v>9.8699786714285711</v>
      </c>
      <c r="Q1258" s="16" cm="1">
        <f t="array" ref="Q1258">_xlfn.XLOOKUP(O1258,BSFC!$A$2:$A$24,_xlfn.XLOOKUP(K1258,BSFC!$B$1:$O$1,BSFC!$B$2:$O$24,,-1),,-1)</f>
        <v>520</v>
      </c>
      <c r="R1258" s="17">
        <f t="shared" si="229"/>
        <v>1.425663585873016</v>
      </c>
      <c r="S1258" s="16">
        <f t="shared" si="230"/>
        <v>2.0443068048074323E-4</v>
      </c>
      <c r="T1258" s="17">
        <f t="shared" si="233"/>
        <v>0.10630395384998648</v>
      </c>
      <c r="U1258" s="16">
        <f t="shared" si="234"/>
        <v>162.11286072412474</v>
      </c>
      <c r="V1258" s="17">
        <f t="shared" si="235"/>
        <v>0.33368724952239781</v>
      </c>
      <c r="W1258" s="16">
        <f t="shared" si="231"/>
        <v>1201274.0982806319</v>
      </c>
      <c r="X1258">
        <f>('Hybrid Info'!$A$2-Track!P1258)*(L1258-L1257)*1000+X1257</f>
        <v>-18500.922393907349</v>
      </c>
    </row>
    <row r="1259" spans="1:24">
      <c r="A1259" s="16">
        <f t="shared" si="232"/>
        <v>1258</v>
      </c>
      <c r="B1259" s="17">
        <f t="shared" si="226"/>
        <v>13.411199999999999</v>
      </c>
      <c r="C1259" s="16">
        <f>Specification!$G$29</f>
        <v>164.943378</v>
      </c>
      <c r="D1259" s="17">
        <f>0.5*Specification!$K$4*Track!B1259^2*Specification!$K$3*Specification!$K$2</f>
        <v>93.159842569492653</v>
      </c>
      <c r="E1259" s="16">
        <v>0</v>
      </c>
      <c r="F1259" s="17">
        <f>Specification!$C$23*9.81*SIN((E1259*PI()/180))</f>
        <v>0</v>
      </c>
      <c r="G1259" s="18">
        <f>IF(J1259=1,VLOOKUP(K1259,RPM!$E$2:$H$62,3,FALSE)-F1259-E1259-D1259,IF(J1259=2,VLOOKUP(K1259,RPM!$H$2:$K$62,3,FALSE)-F1259-E1259-D1259,IF(J1259=3,VLOOKUP(K1259,RPM!$K$2:$N$62,3,FALSE)-F1259-E1259-D1259)))</f>
        <v>688.48526429214962</v>
      </c>
      <c r="H1259" s="19">
        <f>IF(J1259=1,Specification!$I$14,IF(J1259=2,Specification!$I$15,IF(J1259=3,Specification!$I$16)))</f>
        <v>582.50936296077191</v>
      </c>
      <c r="I1259" s="16">
        <f t="shared" si="237"/>
        <v>0</v>
      </c>
      <c r="J1259" s="17">
        <v>2</v>
      </c>
      <c r="K1259" s="16">
        <f>IF(J1259=1,VLOOKUP(B1259,RPM!$F$2:$H$62,3,TRUE),IF(J1259=2,VLOOKUP(B1259,RPM!$I$2:$K$62,3,TRUE),IF(J1259=3,VLOOKUP(B1259,RPM!$L$2:$N$62,3,TRUE))))</f>
        <v>7000</v>
      </c>
      <c r="L1259" s="17">
        <f t="shared" si="236"/>
        <v>98.077535558626209</v>
      </c>
      <c r="M1259" s="16">
        <f t="shared" si="227"/>
        <v>0</v>
      </c>
      <c r="N1259" s="17">
        <f>VLOOKUP(K1259,RPM!$A$2:$D$62,3,FALSE)</f>
        <v>13</v>
      </c>
      <c r="O1259" s="16">
        <f>VLOOKUP(K1259,RPM!$A$2:$D$62,4,FALSE)</f>
        <v>13.235857142857142</v>
      </c>
      <c r="P1259" s="17">
        <f t="shared" si="228"/>
        <v>9.8699786714285711</v>
      </c>
      <c r="Q1259" s="16" cm="1">
        <f t="array" ref="Q1259">_xlfn.XLOOKUP(O1259,BSFC!$A$2:$A$24,_xlfn.XLOOKUP(K1259,BSFC!$B$1:$O$1,BSFC!$B$2:$O$24,,-1),,-1)</f>
        <v>520</v>
      </c>
      <c r="R1259" s="17">
        <f t="shared" si="229"/>
        <v>1.425663585873016</v>
      </c>
      <c r="S1259" s="16">
        <f t="shared" si="230"/>
        <v>2.0443068048074323E-4</v>
      </c>
      <c r="T1259" s="17">
        <f t="shared" si="233"/>
        <v>0.10630395384998648</v>
      </c>
      <c r="U1259" s="16">
        <f t="shared" si="234"/>
        <v>162.21916467797473</v>
      </c>
      <c r="V1259" s="17">
        <f t="shared" si="235"/>
        <v>0.33389168020287857</v>
      </c>
      <c r="W1259" s="16">
        <f t="shared" si="231"/>
        <v>1202010.0487303627</v>
      </c>
      <c r="X1259">
        <f>('Hybrid Info'!$A$2-Track!P1259)*(L1259-L1258)*1000+X1258</f>
        <v>-18333.116684921097</v>
      </c>
    </row>
    <row r="1260" spans="1:24">
      <c r="A1260" s="16">
        <f t="shared" si="232"/>
        <v>1259</v>
      </c>
      <c r="B1260" s="17">
        <f t="shared" si="226"/>
        <v>13.411199999999999</v>
      </c>
      <c r="C1260" s="16">
        <f>Specification!$G$29</f>
        <v>164.943378</v>
      </c>
      <c r="D1260" s="17">
        <f>0.5*Specification!$K$4*Track!B1260^2*Specification!$K$3*Specification!$K$2</f>
        <v>93.159842569492653</v>
      </c>
      <c r="E1260" s="16">
        <v>0</v>
      </c>
      <c r="F1260" s="17">
        <f>Specification!$C$23*9.81*SIN((E1260*PI()/180))</f>
        <v>0</v>
      </c>
      <c r="G1260" s="18">
        <f>IF(J1260=1,VLOOKUP(K1260,RPM!$E$2:$H$62,3,FALSE)-F1260-E1260-D1260,IF(J1260=2,VLOOKUP(K1260,RPM!$H$2:$K$62,3,FALSE)-F1260-E1260-D1260,IF(J1260=3,VLOOKUP(K1260,RPM!$K$2:$N$62,3,FALSE)-F1260-E1260-D1260)))</f>
        <v>688.48526429214962</v>
      </c>
      <c r="H1260" s="19">
        <f>IF(J1260=1,Specification!$I$14,IF(J1260=2,Specification!$I$15,IF(J1260=3,Specification!$I$16)))</f>
        <v>582.50936296077191</v>
      </c>
      <c r="I1260" s="16">
        <f t="shared" si="237"/>
        <v>0</v>
      </c>
      <c r="J1260" s="17">
        <v>2</v>
      </c>
      <c r="K1260" s="16">
        <f>IF(J1260=1,VLOOKUP(B1260,RPM!$F$2:$H$62,3,TRUE),IF(J1260=2,VLOOKUP(B1260,RPM!$I$2:$K$62,3,TRUE),IF(J1260=3,VLOOKUP(B1260,RPM!$L$2:$N$62,3,TRUE))))</f>
        <v>7000</v>
      </c>
      <c r="L1260" s="17">
        <f t="shared" si="236"/>
        <v>98.152100101694685</v>
      </c>
      <c r="M1260" s="16">
        <f t="shared" si="227"/>
        <v>0</v>
      </c>
      <c r="N1260" s="17">
        <f>VLOOKUP(K1260,RPM!$A$2:$D$62,3,FALSE)</f>
        <v>13</v>
      </c>
      <c r="O1260" s="16">
        <f>VLOOKUP(K1260,RPM!$A$2:$D$62,4,FALSE)</f>
        <v>13.235857142857142</v>
      </c>
      <c r="P1260" s="17">
        <f t="shared" si="228"/>
        <v>9.8699786714285711</v>
      </c>
      <c r="Q1260" s="16" cm="1">
        <f t="array" ref="Q1260">_xlfn.XLOOKUP(O1260,BSFC!$A$2:$A$24,_xlfn.XLOOKUP(K1260,BSFC!$B$1:$O$1,BSFC!$B$2:$O$24,,-1),,-1)</f>
        <v>520</v>
      </c>
      <c r="R1260" s="17">
        <f t="shared" si="229"/>
        <v>1.425663585873016</v>
      </c>
      <c r="S1260" s="16">
        <f t="shared" si="230"/>
        <v>2.0443068048074323E-4</v>
      </c>
      <c r="T1260" s="17">
        <f t="shared" si="233"/>
        <v>0.10630395384998648</v>
      </c>
      <c r="U1260" s="16">
        <f t="shared" si="234"/>
        <v>162.32546863182472</v>
      </c>
      <c r="V1260" s="17">
        <f t="shared" si="235"/>
        <v>0.33409611088335933</v>
      </c>
      <c r="W1260" s="16">
        <f t="shared" si="231"/>
        <v>1202745.9991800936</v>
      </c>
      <c r="X1260">
        <f>('Hybrid Info'!$A$2-Track!P1260)*(L1260-L1259)*1000+X1259</f>
        <v>-18165.310975934844</v>
      </c>
    </row>
    <row r="1261" spans="1:24">
      <c r="A1261" s="16">
        <f t="shared" si="232"/>
        <v>1260</v>
      </c>
      <c r="B1261" s="17">
        <f t="shared" si="226"/>
        <v>13.411199999999999</v>
      </c>
      <c r="C1261" s="16">
        <f>Specification!$G$32</f>
        <v>219.92450400000001</v>
      </c>
      <c r="D1261" s="17">
        <f>0.5*Specification!$K$4*Track!B1261^2*Specification!$K$3*Specification!$K$2</f>
        <v>93.159842569492653</v>
      </c>
      <c r="E1261" s="16">
        <v>0</v>
      </c>
      <c r="F1261" s="17">
        <f>Specification!$C$23*9.81*SIN((E1261*PI()/180))</f>
        <v>0</v>
      </c>
      <c r="G1261" s="18">
        <f>IF(J1261=1,VLOOKUP(K1261,RPM!$E$2:$H$62,3,FALSE)-F1261-E1261-D1261,IF(J1261=2,VLOOKUP(K1261,RPM!$H$2:$K$62,3,FALSE)-F1261-E1261-D1261,IF(J1261=3,VLOOKUP(K1261,RPM!$K$2:$N$62,3,FALSE)-F1261-E1261-D1261)))</f>
        <v>688.48526429214962</v>
      </c>
      <c r="H1261" s="19">
        <f>IF(J1261=1,Specification!$I$14,IF(J1261=2,Specification!$I$15,IF(J1261=3,Specification!$I$16)))</f>
        <v>582.50936296077191</v>
      </c>
      <c r="I1261" s="16">
        <f t="shared" si="237"/>
        <v>0</v>
      </c>
      <c r="J1261" s="17">
        <v>2</v>
      </c>
      <c r="K1261" s="16">
        <f>IF(J1261=1,VLOOKUP(B1261,RPM!$F$2:$H$62,3,TRUE),IF(J1261=2,VLOOKUP(B1261,RPM!$I$2:$K$62,3,TRUE),IF(J1261=3,VLOOKUP(B1261,RPM!$L$2:$N$62,3,TRUE))))</f>
        <v>7000</v>
      </c>
      <c r="L1261" s="17">
        <f t="shared" si="236"/>
        <v>98.226664644763162</v>
      </c>
      <c r="M1261" s="16">
        <f t="shared" si="227"/>
        <v>0</v>
      </c>
      <c r="N1261" s="17">
        <f>VLOOKUP(K1261,RPM!$A$2:$D$62,3,FALSE)</f>
        <v>13</v>
      </c>
      <c r="O1261" s="16">
        <f>VLOOKUP(K1261,RPM!$A$2:$D$62,4,FALSE)</f>
        <v>13.235857142857142</v>
      </c>
      <c r="P1261" s="17">
        <f t="shared" si="228"/>
        <v>9.8699786714285711</v>
      </c>
      <c r="Q1261" s="16" cm="1">
        <f t="array" ref="Q1261">_xlfn.XLOOKUP(O1261,BSFC!$A$2:$A$24,_xlfn.XLOOKUP(K1261,BSFC!$B$1:$O$1,BSFC!$B$2:$O$24,,-1),,-1)</f>
        <v>520</v>
      </c>
      <c r="R1261" s="17">
        <f t="shared" si="229"/>
        <v>1.425663585873016</v>
      </c>
      <c r="S1261" s="16">
        <f t="shared" si="230"/>
        <v>2.0443068048074323E-4</v>
      </c>
      <c r="T1261" s="17">
        <f t="shared" si="233"/>
        <v>0.10630395384998648</v>
      </c>
      <c r="U1261" s="16">
        <f t="shared" si="234"/>
        <v>162.43177258567471</v>
      </c>
      <c r="V1261" s="17">
        <f t="shared" si="235"/>
        <v>0.33430054156384009</v>
      </c>
      <c r="W1261" s="16">
        <f t="shared" si="231"/>
        <v>1203481.9496298244</v>
      </c>
      <c r="X1261">
        <f>('Hybrid Info'!$A$2-Track!P1261)*(L1261-L1260)*1000+X1260</f>
        <v>-17997.505266948592</v>
      </c>
    </row>
    <row r="1262" spans="1:24">
      <c r="A1262" s="16">
        <f t="shared" si="232"/>
        <v>1261</v>
      </c>
      <c r="B1262" s="17">
        <f t="shared" si="226"/>
        <v>13.411199999999999</v>
      </c>
      <c r="C1262" s="16">
        <f>Specification!$G$32</f>
        <v>219.92450400000001</v>
      </c>
      <c r="D1262" s="17">
        <f>0.5*Specification!$K$4*Track!B1262^2*Specification!$K$3*Specification!$K$2</f>
        <v>93.159842569492653</v>
      </c>
      <c r="E1262" s="16">
        <v>0</v>
      </c>
      <c r="F1262" s="17">
        <f>Specification!$C$23*9.81*SIN((E1262*PI()/180))</f>
        <v>0</v>
      </c>
      <c r="G1262" s="18">
        <f>IF(J1262=1,VLOOKUP(K1262,RPM!$E$2:$H$62,3,FALSE)-F1262-E1262-D1262,IF(J1262=2,VLOOKUP(K1262,RPM!$H$2:$K$62,3,FALSE)-F1262-E1262-D1262,IF(J1262=3,VLOOKUP(K1262,RPM!$K$2:$N$62,3,FALSE)-F1262-E1262-D1262)))</f>
        <v>688.48526429214962</v>
      </c>
      <c r="H1262" s="19">
        <f>IF(J1262=1,Specification!$I$14,IF(J1262=2,Specification!$I$15,IF(J1262=3,Specification!$I$16)))</f>
        <v>582.50936296077191</v>
      </c>
      <c r="I1262" s="16">
        <f t="shared" si="237"/>
        <v>0</v>
      </c>
      <c r="J1262" s="17">
        <v>2</v>
      </c>
      <c r="K1262" s="16">
        <f>IF(J1262=1,VLOOKUP(B1262,RPM!$F$2:$H$62,3,TRUE),IF(J1262=2,VLOOKUP(B1262,RPM!$I$2:$K$62,3,TRUE),IF(J1262=3,VLOOKUP(B1262,RPM!$L$2:$N$62,3,TRUE))))</f>
        <v>7000</v>
      </c>
      <c r="L1262" s="17">
        <f t="shared" si="236"/>
        <v>98.301229187831638</v>
      </c>
      <c r="M1262" s="16">
        <f t="shared" ref="M1262:M1325" si="238">TAN(E1262*PI()/180)+M1261</f>
        <v>0</v>
      </c>
      <c r="N1262" s="17">
        <f>VLOOKUP(K1262,RPM!$A$2:$D$62,3,FALSE)</f>
        <v>13</v>
      </c>
      <c r="O1262" s="16">
        <f>VLOOKUP(K1262,RPM!$A$2:$D$62,4,FALSE)</f>
        <v>13.235857142857142</v>
      </c>
      <c r="P1262" s="17">
        <f t="shared" si="228"/>
        <v>9.8699786714285711</v>
      </c>
      <c r="Q1262" s="16" cm="1">
        <f t="array" ref="Q1262">_xlfn.XLOOKUP(O1262,BSFC!$A$2:$A$24,_xlfn.XLOOKUP(K1262,BSFC!$B$1:$O$1,BSFC!$B$2:$O$24,,-1),,-1)</f>
        <v>520</v>
      </c>
      <c r="R1262" s="17">
        <f t="shared" si="229"/>
        <v>1.425663585873016</v>
      </c>
      <c r="S1262" s="16">
        <f t="shared" si="230"/>
        <v>2.0443068048074323E-4</v>
      </c>
      <c r="T1262" s="17">
        <f t="shared" si="233"/>
        <v>0.10630395384998648</v>
      </c>
      <c r="U1262" s="16">
        <f t="shared" si="234"/>
        <v>162.5380765395247</v>
      </c>
      <c r="V1262" s="17">
        <f t="shared" si="235"/>
        <v>0.33450497224432085</v>
      </c>
      <c r="W1262" s="16">
        <f t="shared" si="231"/>
        <v>1204217.9000795551</v>
      </c>
      <c r="X1262">
        <f>('Hybrid Info'!$A$2-Track!P1262)*(L1262-L1261)*1000+X1261</f>
        <v>-17829.69955796234</v>
      </c>
    </row>
    <row r="1263" spans="1:24">
      <c r="A1263" s="16">
        <f t="shared" si="232"/>
        <v>1262</v>
      </c>
      <c r="B1263" s="17">
        <f t="shared" si="226"/>
        <v>13.411199999999999</v>
      </c>
      <c r="C1263" s="16">
        <f>Specification!$G$32</f>
        <v>219.92450400000001</v>
      </c>
      <c r="D1263" s="17">
        <f>0.5*Specification!$K$4*Track!B1263^2*Specification!$K$3*Specification!$K$2</f>
        <v>93.159842569492653</v>
      </c>
      <c r="E1263" s="16">
        <v>0</v>
      </c>
      <c r="F1263" s="17">
        <f>Specification!$C$23*9.81*SIN((E1263*PI()/180))</f>
        <v>0</v>
      </c>
      <c r="G1263" s="18">
        <f>IF(J1263=1,VLOOKUP(K1263,RPM!$E$2:$H$62,3,FALSE)-F1263-E1263-D1263,IF(J1263=2,VLOOKUP(K1263,RPM!$H$2:$K$62,3,FALSE)-F1263-E1263-D1263,IF(J1263=3,VLOOKUP(K1263,RPM!$K$2:$N$62,3,FALSE)-F1263-E1263-D1263)))</f>
        <v>688.48526429214962</v>
      </c>
      <c r="H1263" s="19">
        <f>IF(J1263=1,Specification!$I$14,IF(J1263=2,Specification!$I$15,IF(J1263=3,Specification!$I$16)))</f>
        <v>582.50936296077191</v>
      </c>
      <c r="I1263" s="16">
        <f t="shared" si="237"/>
        <v>0</v>
      </c>
      <c r="J1263" s="17">
        <v>2</v>
      </c>
      <c r="K1263" s="16">
        <f>IF(J1263=1,VLOOKUP(B1263,RPM!$F$2:$H$62,3,TRUE),IF(J1263=2,VLOOKUP(B1263,RPM!$I$2:$K$62,3,TRUE),IF(J1263=3,VLOOKUP(B1263,RPM!$L$2:$N$62,3,TRUE))))</f>
        <v>7000</v>
      </c>
      <c r="L1263" s="17">
        <f t="shared" si="236"/>
        <v>98.375793730900114</v>
      </c>
      <c r="M1263" s="16">
        <f t="shared" si="238"/>
        <v>0</v>
      </c>
      <c r="N1263" s="17">
        <f>VLOOKUP(K1263,RPM!$A$2:$D$62,3,FALSE)</f>
        <v>13</v>
      </c>
      <c r="O1263" s="16">
        <f>VLOOKUP(K1263,RPM!$A$2:$D$62,4,FALSE)</f>
        <v>13.235857142857142</v>
      </c>
      <c r="P1263" s="17">
        <f t="shared" si="228"/>
        <v>9.8699786714285711</v>
      </c>
      <c r="Q1263" s="16" cm="1">
        <f t="array" ref="Q1263">_xlfn.XLOOKUP(O1263,BSFC!$A$2:$A$24,_xlfn.XLOOKUP(K1263,BSFC!$B$1:$O$1,BSFC!$B$2:$O$24,,-1),,-1)</f>
        <v>520</v>
      </c>
      <c r="R1263" s="17">
        <f t="shared" si="229"/>
        <v>1.425663585873016</v>
      </c>
      <c r="S1263" s="16">
        <f t="shared" si="230"/>
        <v>2.0443068048074323E-4</v>
      </c>
      <c r="T1263" s="17">
        <f t="shared" si="233"/>
        <v>0.10630395384998648</v>
      </c>
      <c r="U1263" s="16">
        <f t="shared" si="234"/>
        <v>162.64438049337468</v>
      </c>
      <c r="V1263" s="17">
        <f t="shared" si="235"/>
        <v>0.33470940292480161</v>
      </c>
      <c r="W1263" s="16">
        <f t="shared" si="231"/>
        <v>1204953.8505292858</v>
      </c>
      <c r="X1263">
        <f>('Hybrid Info'!$A$2-Track!P1263)*(L1263-L1262)*1000+X1262</f>
        <v>-17661.893848976088</v>
      </c>
    </row>
    <row r="1264" spans="1:24">
      <c r="A1264" s="16">
        <f t="shared" si="232"/>
        <v>1263</v>
      </c>
      <c r="B1264" s="17">
        <f t="shared" si="226"/>
        <v>13.411199999999999</v>
      </c>
      <c r="C1264" s="16">
        <f>Specification!$G$32</f>
        <v>219.92450400000001</v>
      </c>
      <c r="D1264" s="17">
        <f>0.5*Specification!$K$4*Track!B1264^2*Specification!$K$3*Specification!$K$2</f>
        <v>93.159842569492653</v>
      </c>
      <c r="E1264" s="16">
        <v>0</v>
      </c>
      <c r="F1264" s="17">
        <f>Specification!$C$23*9.81*SIN((E1264*PI()/180))</f>
        <v>0</v>
      </c>
      <c r="G1264" s="18">
        <f>IF(J1264=1,VLOOKUP(K1264,RPM!$E$2:$H$62,3,FALSE)-F1264-E1264-D1264,IF(J1264=2,VLOOKUP(K1264,RPM!$H$2:$K$62,3,FALSE)-F1264-E1264-D1264,IF(J1264=3,VLOOKUP(K1264,RPM!$K$2:$N$62,3,FALSE)-F1264-E1264-D1264)))</f>
        <v>688.48526429214962</v>
      </c>
      <c r="H1264" s="19">
        <f>IF(J1264=1,Specification!$I$14,IF(J1264=2,Specification!$I$15,IF(J1264=3,Specification!$I$16)))</f>
        <v>582.50936296077191</v>
      </c>
      <c r="I1264" s="16">
        <f t="shared" si="237"/>
        <v>0</v>
      </c>
      <c r="J1264" s="17">
        <v>2</v>
      </c>
      <c r="K1264" s="16">
        <f>IF(J1264=1,VLOOKUP(B1264,RPM!$F$2:$H$62,3,TRUE),IF(J1264=2,VLOOKUP(B1264,RPM!$I$2:$K$62,3,TRUE),IF(J1264=3,VLOOKUP(B1264,RPM!$L$2:$N$62,3,TRUE))))</f>
        <v>7000</v>
      </c>
      <c r="L1264" s="17">
        <f t="shared" si="236"/>
        <v>98.45035827396859</v>
      </c>
      <c r="M1264" s="16">
        <f t="shared" si="238"/>
        <v>0</v>
      </c>
      <c r="N1264" s="17">
        <f>VLOOKUP(K1264,RPM!$A$2:$D$62,3,FALSE)</f>
        <v>13</v>
      </c>
      <c r="O1264" s="16">
        <f>VLOOKUP(K1264,RPM!$A$2:$D$62,4,FALSE)</f>
        <v>13.235857142857142</v>
      </c>
      <c r="P1264" s="17">
        <f t="shared" si="228"/>
        <v>9.8699786714285711</v>
      </c>
      <c r="Q1264" s="16" cm="1">
        <f t="array" ref="Q1264">_xlfn.XLOOKUP(O1264,BSFC!$A$2:$A$24,_xlfn.XLOOKUP(K1264,BSFC!$B$1:$O$1,BSFC!$B$2:$O$24,,-1),,-1)</f>
        <v>520</v>
      </c>
      <c r="R1264" s="17">
        <f t="shared" si="229"/>
        <v>1.425663585873016</v>
      </c>
      <c r="S1264" s="16">
        <f t="shared" si="230"/>
        <v>2.0443068048074323E-4</v>
      </c>
      <c r="T1264" s="17">
        <f t="shared" si="233"/>
        <v>0.10630395384998648</v>
      </c>
      <c r="U1264" s="16">
        <f t="shared" si="234"/>
        <v>162.75068444722467</v>
      </c>
      <c r="V1264" s="17">
        <f t="shared" si="235"/>
        <v>0.33491383360528237</v>
      </c>
      <c r="W1264" s="16">
        <f t="shared" si="231"/>
        <v>1205689.8009790166</v>
      </c>
      <c r="X1264">
        <f>('Hybrid Info'!$A$2-Track!P1264)*(L1264-L1263)*1000+X1263</f>
        <v>-17494.088139989835</v>
      </c>
    </row>
    <row r="1265" spans="1:24">
      <c r="A1265" s="16">
        <f t="shared" si="232"/>
        <v>1264</v>
      </c>
      <c r="B1265" s="17">
        <f t="shared" ref="B1265:B1328" si="239">IF(SQRT(B1264^2+2*I1264)&gt;13.4112,13.4112,SQRT(B1264^2+2*I1264))</f>
        <v>13.411199999999999</v>
      </c>
      <c r="C1265" s="16">
        <f>Specification!$G$32</f>
        <v>219.92450400000001</v>
      </c>
      <c r="D1265" s="17">
        <f>0.5*Specification!$K$4*Track!B1265^2*Specification!$K$3*Specification!$K$2</f>
        <v>93.159842569492653</v>
      </c>
      <c r="E1265" s="16">
        <v>0</v>
      </c>
      <c r="F1265" s="17">
        <f>Specification!$C$23*9.81*SIN((E1265*PI()/180))</f>
        <v>0</v>
      </c>
      <c r="G1265" s="18">
        <f>IF(J1265=1,VLOOKUP(K1265,RPM!$E$2:$H$62,3,FALSE)-F1265-E1265-D1265,IF(J1265=2,VLOOKUP(K1265,RPM!$H$2:$K$62,3,FALSE)-F1265-E1265-D1265,IF(J1265=3,VLOOKUP(K1265,RPM!$K$2:$N$62,3,FALSE)-F1265-E1265-D1265)))</f>
        <v>688.48526429214962</v>
      </c>
      <c r="H1265" s="19">
        <f>IF(J1265=1,Specification!$I$14,IF(J1265=2,Specification!$I$15,IF(J1265=3,Specification!$I$16)))</f>
        <v>582.50936296077191</v>
      </c>
      <c r="I1265" s="16">
        <f t="shared" si="237"/>
        <v>0</v>
      </c>
      <c r="J1265" s="17">
        <v>2</v>
      </c>
      <c r="K1265" s="16">
        <f>IF(J1265=1,VLOOKUP(B1265,RPM!$F$2:$H$62,3,TRUE),IF(J1265=2,VLOOKUP(B1265,RPM!$I$2:$K$62,3,TRUE),IF(J1265=3,VLOOKUP(B1265,RPM!$L$2:$N$62,3,TRUE))))</f>
        <v>7000</v>
      </c>
      <c r="L1265" s="17">
        <f t="shared" si="236"/>
        <v>98.524922817037066</v>
      </c>
      <c r="M1265" s="16">
        <f t="shared" si="238"/>
        <v>0</v>
      </c>
      <c r="N1265" s="17">
        <f>VLOOKUP(K1265,RPM!$A$2:$D$62,3,FALSE)</f>
        <v>13</v>
      </c>
      <c r="O1265" s="16">
        <f>VLOOKUP(K1265,RPM!$A$2:$D$62,4,FALSE)</f>
        <v>13.235857142857142</v>
      </c>
      <c r="P1265" s="17">
        <f t="shared" si="228"/>
        <v>9.8699786714285711</v>
      </c>
      <c r="Q1265" s="16" cm="1">
        <f t="array" ref="Q1265">_xlfn.XLOOKUP(O1265,BSFC!$A$2:$A$24,_xlfn.XLOOKUP(K1265,BSFC!$B$1:$O$1,BSFC!$B$2:$O$24,,-1),,-1)</f>
        <v>520</v>
      </c>
      <c r="R1265" s="17">
        <f t="shared" si="229"/>
        <v>1.425663585873016</v>
      </c>
      <c r="S1265" s="16">
        <f t="shared" si="230"/>
        <v>2.0443068048074323E-4</v>
      </c>
      <c r="T1265" s="17">
        <f t="shared" si="233"/>
        <v>0.10630395384998648</v>
      </c>
      <c r="U1265" s="16">
        <f t="shared" si="234"/>
        <v>162.85698840107466</v>
      </c>
      <c r="V1265" s="17">
        <f t="shared" si="235"/>
        <v>0.33511826428576313</v>
      </c>
      <c r="W1265" s="16">
        <f t="shared" si="231"/>
        <v>1206425.7514287473</v>
      </c>
      <c r="X1265">
        <f>('Hybrid Info'!$A$2-Track!P1265)*(L1265-L1264)*1000+X1264</f>
        <v>-17326.282431003583</v>
      </c>
    </row>
    <row r="1266" spans="1:24">
      <c r="A1266" s="16">
        <f t="shared" si="232"/>
        <v>1265</v>
      </c>
      <c r="B1266" s="17">
        <f t="shared" si="239"/>
        <v>13.411199999999999</v>
      </c>
      <c r="C1266" s="16">
        <f>Specification!$G$32</f>
        <v>219.92450400000001</v>
      </c>
      <c r="D1266" s="17">
        <f>0.5*Specification!$K$4*Track!B1266^2*Specification!$K$3*Specification!$K$2</f>
        <v>93.159842569492653</v>
      </c>
      <c r="E1266" s="16">
        <v>0</v>
      </c>
      <c r="F1266" s="17">
        <f>Specification!$C$23*9.81*SIN((E1266*PI()/180))</f>
        <v>0</v>
      </c>
      <c r="G1266" s="18">
        <f>IF(J1266=1,VLOOKUP(K1266,RPM!$E$2:$H$62,3,FALSE)-F1266-E1266-D1266,IF(J1266=2,VLOOKUP(K1266,RPM!$H$2:$K$62,3,FALSE)-F1266-E1266-D1266,IF(J1266=3,VLOOKUP(K1266,RPM!$K$2:$N$62,3,FALSE)-F1266-E1266-D1266)))</f>
        <v>688.48526429214962</v>
      </c>
      <c r="H1266" s="19">
        <f>IF(J1266=1,Specification!$I$14,IF(J1266=2,Specification!$I$15,IF(J1266=3,Specification!$I$16)))</f>
        <v>582.50936296077191</v>
      </c>
      <c r="I1266" s="16">
        <f t="shared" si="237"/>
        <v>0</v>
      </c>
      <c r="J1266" s="17">
        <v>2</v>
      </c>
      <c r="K1266" s="16">
        <f>IF(J1266=1,VLOOKUP(B1266,RPM!$F$2:$H$62,3,TRUE),IF(J1266=2,VLOOKUP(B1266,RPM!$I$2:$K$62,3,TRUE),IF(J1266=3,VLOOKUP(B1266,RPM!$L$2:$N$62,3,TRUE))))</f>
        <v>7000</v>
      </c>
      <c r="L1266" s="17">
        <f t="shared" si="236"/>
        <v>98.599487360105542</v>
      </c>
      <c r="M1266" s="16">
        <f t="shared" si="238"/>
        <v>0</v>
      </c>
      <c r="N1266" s="17">
        <f>VLOOKUP(K1266,RPM!$A$2:$D$62,3,FALSE)</f>
        <v>13</v>
      </c>
      <c r="O1266" s="16">
        <f>VLOOKUP(K1266,RPM!$A$2:$D$62,4,FALSE)</f>
        <v>13.235857142857142</v>
      </c>
      <c r="P1266" s="17">
        <f t="shared" si="228"/>
        <v>9.8699786714285711</v>
      </c>
      <c r="Q1266" s="16" cm="1">
        <f t="array" ref="Q1266">_xlfn.XLOOKUP(O1266,BSFC!$A$2:$A$24,_xlfn.XLOOKUP(K1266,BSFC!$B$1:$O$1,BSFC!$B$2:$O$24,,-1),,-1)</f>
        <v>520</v>
      </c>
      <c r="R1266" s="17">
        <f t="shared" si="229"/>
        <v>1.425663585873016</v>
      </c>
      <c r="S1266" s="16">
        <f t="shared" si="230"/>
        <v>2.0443068048074323E-4</v>
      </c>
      <c r="T1266" s="17">
        <f t="shared" si="233"/>
        <v>0.10630395384998648</v>
      </c>
      <c r="U1266" s="16">
        <f t="shared" si="234"/>
        <v>162.96329235492465</v>
      </c>
      <c r="V1266" s="17">
        <f t="shared" si="235"/>
        <v>0.33532269496624389</v>
      </c>
      <c r="W1266" s="16">
        <f t="shared" si="231"/>
        <v>1207161.7018784781</v>
      </c>
      <c r="X1266">
        <f>('Hybrid Info'!$A$2-Track!P1266)*(L1266-L1265)*1000+X1265</f>
        <v>-17158.476722017331</v>
      </c>
    </row>
    <row r="1267" spans="1:24">
      <c r="A1267" s="16">
        <f t="shared" si="232"/>
        <v>1266</v>
      </c>
      <c r="B1267" s="17">
        <f t="shared" si="239"/>
        <v>13.411199999999999</v>
      </c>
      <c r="C1267" s="16">
        <f>Specification!$G$32</f>
        <v>219.92450400000001</v>
      </c>
      <c r="D1267" s="17">
        <f>0.5*Specification!$K$4*Track!B1267^2*Specification!$K$3*Specification!$K$2</f>
        <v>93.159842569492653</v>
      </c>
      <c r="E1267" s="16">
        <v>0</v>
      </c>
      <c r="F1267" s="17">
        <f>Specification!$C$23*9.81*SIN((E1267*PI()/180))</f>
        <v>0</v>
      </c>
      <c r="G1267" s="18">
        <f>IF(J1267=1,VLOOKUP(K1267,RPM!$E$2:$H$62,3,FALSE)-F1267-E1267-D1267,IF(J1267=2,VLOOKUP(K1267,RPM!$H$2:$K$62,3,FALSE)-F1267-E1267-D1267,IF(J1267=3,VLOOKUP(K1267,RPM!$K$2:$N$62,3,FALSE)-F1267-E1267-D1267)))</f>
        <v>688.48526429214962</v>
      </c>
      <c r="H1267" s="19">
        <f>IF(J1267=1,Specification!$I$14,IF(J1267=2,Specification!$I$15,IF(J1267=3,Specification!$I$16)))</f>
        <v>582.50936296077191</v>
      </c>
      <c r="I1267" s="16">
        <f t="shared" si="237"/>
        <v>0</v>
      </c>
      <c r="J1267" s="17">
        <v>2</v>
      </c>
      <c r="K1267" s="16">
        <f>IF(J1267=1,VLOOKUP(B1267,RPM!$F$2:$H$62,3,TRUE),IF(J1267=2,VLOOKUP(B1267,RPM!$I$2:$K$62,3,TRUE),IF(J1267=3,VLOOKUP(B1267,RPM!$L$2:$N$62,3,TRUE))))</f>
        <v>7000</v>
      </c>
      <c r="L1267" s="17">
        <f t="shared" si="236"/>
        <v>98.674051903174018</v>
      </c>
      <c r="M1267" s="16">
        <f t="shared" si="238"/>
        <v>0</v>
      </c>
      <c r="N1267" s="17">
        <f>VLOOKUP(K1267,RPM!$A$2:$D$62,3,FALSE)</f>
        <v>13</v>
      </c>
      <c r="O1267" s="16">
        <f>VLOOKUP(K1267,RPM!$A$2:$D$62,4,FALSE)</f>
        <v>13.235857142857142</v>
      </c>
      <c r="P1267" s="17">
        <f t="shared" si="228"/>
        <v>9.8699786714285711</v>
      </c>
      <c r="Q1267" s="16" cm="1">
        <f t="array" ref="Q1267">_xlfn.XLOOKUP(O1267,BSFC!$A$2:$A$24,_xlfn.XLOOKUP(K1267,BSFC!$B$1:$O$1,BSFC!$B$2:$O$24,,-1),,-1)</f>
        <v>520</v>
      </c>
      <c r="R1267" s="17">
        <f t="shared" si="229"/>
        <v>1.425663585873016</v>
      </c>
      <c r="S1267" s="16">
        <f t="shared" si="230"/>
        <v>2.0443068048074323E-4</v>
      </c>
      <c r="T1267" s="17">
        <f t="shared" si="233"/>
        <v>0.10630395384998648</v>
      </c>
      <c r="U1267" s="16">
        <f t="shared" si="234"/>
        <v>163.06959630877463</v>
      </c>
      <c r="V1267" s="17">
        <f t="shared" si="235"/>
        <v>0.33552712564672466</v>
      </c>
      <c r="W1267" s="16">
        <f t="shared" si="231"/>
        <v>1207897.6523282088</v>
      </c>
      <c r="X1267">
        <f>('Hybrid Info'!$A$2-Track!P1267)*(L1267-L1266)*1000+X1266</f>
        <v>-16990.671013031078</v>
      </c>
    </row>
    <row r="1268" spans="1:24">
      <c r="A1268" s="16">
        <f t="shared" si="232"/>
        <v>1267</v>
      </c>
      <c r="B1268" s="17">
        <f t="shared" si="239"/>
        <v>13.411199999999999</v>
      </c>
      <c r="C1268" s="16">
        <f>Specification!$G$32</f>
        <v>219.92450400000001</v>
      </c>
      <c r="D1268" s="17">
        <f>0.5*Specification!$K$4*Track!B1268^2*Specification!$K$3*Specification!$K$2</f>
        <v>93.159842569492653</v>
      </c>
      <c r="E1268" s="16">
        <v>0</v>
      </c>
      <c r="F1268" s="17">
        <f>Specification!$C$23*9.81*SIN((E1268*PI()/180))</f>
        <v>0</v>
      </c>
      <c r="G1268" s="18">
        <f>IF(J1268=1,VLOOKUP(K1268,RPM!$E$2:$H$62,3,FALSE)-F1268-E1268-D1268,IF(J1268=2,VLOOKUP(K1268,RPM!$H$2:$K$62,3,FALSE)-F1268-E1268-D1268,IF(J1268=3,VLOOKUP(K1268,RPM!$K$2:$N$62,3,FALSE)-F1268-E1268-D1268)))</f>
        <v>688.48526429214962</v>
      </c>
      <c r="H1268" s="19">
        <f>IF(J1268=1,Specification!$I$14,IF(J1268=2,Specification!$I$15,IF(J1268=3,Specification!$I$16)))</f>
        <v>582.50936296077191</v>
      </c>
      <c r="I1268" s="16">
        <f t="shared" si="237"/>
        <v>0</v>
      </c>
      <c r="J1268" s="17">
        <v>2</v>
      </c>
      <c r="K1268" s="16">
        <f>IF(J1268=1,VLOOKUP(B1268,RPM!$F$2:$H$62,3,TRUE),IF(J1268=2,VLOOKUP(B1268,RPM!$I$2:$K$62,3,TRUE),IF(J1268=3,VLOOKUP(B1268,RPM!$L$2:$N$62,3,TRUE))))</f>
        <v>7000</v>
      </c>
      <c r="L1268" s="17">
        <f t="shared" si="236"/>
        <v>98.748616446242494</v>
      </c>
      <c r="M1268" s="16">
        <f t="shared" si="238"/>
        <v>0</v>
      </c>
      <c r="N1268" s="17">
        <f>VLOOKUP(K1268,RPM!$A$2:$D$62,3,FALSE)</f>
        <v>13</v>
      </c>
      <c r="O1268" s="16">
        <f>VLOOKUP(K1268,RPM!$A$2:$D$62,4,FALSE)</f>
        <v>13.235857142857142</v>
      </c>
      <c r="P1268" s="17">
        <f t="shared" si="228"/>
        <v>9.8699786714285711</v>
      </c>
      <c r="Q1268" s="16" cm="1">
        <f t="array" ref="Q1268">_xlfn.XLOOKUP(O1268,BSFC!$A$2:$A$24,_xlfn.XLOOKUP(K1268,BSFC!$B$1:$O$1,BSFC!$B$2:$O$24,,-1),,-1)</f>
        <v>520</v>
      </c>
      <c r="R1268" s="17">
        <f t="shared" si="229"/>
        <v>1.425663585873016</v>
      </c>
      <c r="S1268" s="16">
        <f t="shared" si="230"/>
        <v>2.0443068048074323E-4</v>
      </c>
      <c r="T1268" s="17">
        <f t="shared" si="233"/>
        <v>0.10630395384998648</v>
      </c>
      <c r="U1268" s="16">
        <f t="shared" si="234"/>
        <v>163.17590026262462</v>
      </c>
      <c r="V1268" s="17">
        <f t="shared" si="235"/>
        <v>0.33573155632720542</v>
      </c>
      <c r="W1268" s="16">
        <f t="shared" si="231"/>
        <v>1208633.6027779395</v>
      </c>
      <c r="X1268">
        <f>('Hybrid Info'!$A$2-Track!P1268)*(L1268-L1267)*1000+X1267</f>
        <v>-16822.865304044826</v>
      </c>
    </row>
    <row r="1269" spans="1:24">
      <c r="A1269" s="16">
        <f t="shared" si="232"/>
        <v>1268</v>
      </c>
      <c r="B1269" s="17">
        <f t="shared" si="239"/>
        <v>13.411199999999999</v>
      </c>
      <c r="C1269" s="16">
        <f>Specification!$G$32</f>
        <v>219.92450400000001</v>
      </c>
      <c r="D1269" s="17">
        <f>0.5*Specification!$K$4*Track!B1269^2*Specification!$K$3*Specification!$K$2</f>
        <v>93.159842569492653</v>
      </c>
      <c r="E1269" s="16">
        <v>0</v>
      </c>
      <c r="F1269" s="17">
        <f>Specification!$C$23*9.81*SIN((E1269*PI()/180))</f>
        <v>0</v>
      </c>
      <c r="G1269" s="18">
        <f>IF(J1269=1,VLOOKUP(K1269,RPM!$E$2:$H$62,3,FALSE)-F1269-E1269-D1269,IF(J1269=2,VLOOKUP(K1269,RPM!$H$2:$K$62,3,FALSE)-F1269-E1269-D1269,IF(J1269=3,VLOOKUP(K1269,RPM!$K$2:$N$62,3,FALSE)-F1269-E1269-D1269)))</f>
        <v>688.48526429214962</v>
      </c>
      <c r="H1269" s="19">
        <f>IF(J1269=1,Specification!$I$14,IF(J1269=2,Specification!$I$15,IF(J1269=3,Specification!$I$16)))</f>
        <v>582.50936296077191</v>
      </c>
      <c r="I1269" s="16">
        <f t="shared" si="237"/>
        <v>0</v>
      </c>
      <c r="J1269" s="17">
        <v>2</v>
      </c>
      <c r="K1269" s="16">
        <f>IF(J1269=1,VLOOKUP(B1269,RPM!$F$2:$H$62,3,TRUE),IF(J1269=2,VLOOKUP(B1269,RPM!$I$2:$K$62,3,TRUE),IF(J1269=3,VLOOKUP(B1269,RPM!$L$2:$N$62,3,TRUE))))</f>
        <v>7000</v>
      </c>
      <c r="L1269" s="17">
        <f t="shared" si="236"/>
        <v>98.82318098931097</v>
      </c>
      <c r="M1269" s="16">
        <f t="shared" si="238"/>
        <v>0</v>
      </c>
      <c r="N1269" s="17">
        <f>VLOOKUP(K1269,RPM!$A$2:$D$62,3,FALSE)</f>
        <v>13</v>
      </c>
      <c r="O1269" s="16">
        <f>VLOOKUP(K1269,RPM!$A$2:$D$62,4,FALSE)</f>
        <v>13.235857142857142</v>
      </c>
      <c r="P1269" s="17">
        <f t="shared" si="228"/>
        <v>9.8699786714285711</v>
      </c>
      <c r="Q1269" s="16" cm="1">
        <f t="array" ref="Q1269">_xlfn.XLOOKUP(O1269,BSFC!$A$2:$A$24,_xlfn.XLOOKUP(K1269,BSFC!$B$1:$O$1,BSFC!$B$2:$O$24,,-1),,-1)</f>
        <v>520</v>
      </c>
      <c r="R1269" s="17">
        <f t="shared" si="229"/>
        <v>1.425663585873016</v>
      </c>
      <c r="S1269" s="16">
        <f t="shared" si="230"/>
        <v>2.0443068048074323E-4</v>
      </c>
      <c r="T1269" s="17">
        <f t="shared" si="233"/>
        <v>0.10630395384998648</v>
      </c>
      <c r="U1269" s="16">
        <f t="shared" si="234"/>
        <v>163.28220421647461</v>
      </c>
      <c r="V1269" s="17">
        <f t="shared" si="235"/>
        <v>0.33593598700768618</v>
      </c>
      <c r="W1269" s="16">
        <f t="shared" si="231"/>
        <v>1209369.5532276703</v>
      </c>
      <c r="X1269">
        <f>('Hybrid Info'!$A$2-Track!P1269)*(L1269-L1268)*1000+X1268</f>
        <v>-16655.059595058574</v>
      </c>
    </row>
    <row r="1270" spans="1:24">
      <c r="A1270" s="16">
        <f t="shared" si="232"/>
        <v>1269</v>
      </c>
      <c r="B1270" s="17">
        <f t="shared" si="239"/>
        <v>13.411199999999999</v>
      </c>
      <c r="C1270" s="16">
        <f>Specification!$G$32</f>
        <v>219.92450400000001</v>
      </c>
      <c r="D1270" s="17">
        <f>0.5*Specification!$K$4*Track!B1270^2*Specification!$K$3*Specification!$K$2</f>
        <v>93.159842569492653</v>
      </c>
      <c r="E1270" s="16">
        <v>0</v>
      </c>
      <c r="F1270" s="17">
        <f>Specification!$C$23*9.81*SIN((E1270*PI()/180))</f>
        <v>0</v>
      </c>
      <c r="G1270" s="18">
        <f>IF(J1270=1,VLOOKUP(K1270,RPM!$E$2:$H$62,3,FALSE)-F1270-E1270-D1270,IF(J1270=2,VLOOKUP(K1270,RPM!$H$2:$K$62,3,FALSE)-F1270-E1270-D1270,IF(J1270=3,VLOOKUP(K1270,RPM!$K$2:$N$62,3,FALSE)-F1270-E1270-D1270)))</f>
        <v>688.48526429214962</v>
      </c>
      <c r="H1270" s="19">
        <f>IF(J1270=1,Specification!$I$14,IF(J1270=2,Specification!$I$15,IF(J1270=3,Specification!$I$16)))</f>
        <v>582.50936296077191</v>
      </c>
      <c r="I1270" s="16">
        <f t="shared" si="237"/>
        <v>0</v>
      </c>
      <c r="J1270" s="17">
        <v>2</v>
      </c>
      <c r="K1270" s="16">
        <f>IF(J1270=1,VLOOKUP(B1270,RPM!$F$2:$H$62,3,TRUE),IF(J1270=2,VLOOKUP(B1270,RPM!$I$2:$K$62,3,TRUE),IF(J1270=3,VLOOKUP(B1270,RPM!$L$2:$N$62,3,TRUE))))</f>
        <v>7000</v>
      </c>
      <c r="L1270" s="17">
        <f t="shared" si="236"/>
        <v>98.897745532379446</v>
      </c>
      <c r="M1270" s="16">
        <f t="shared" si="238"/>
        <v>0</v>
      </c>
      <c r="N1270" s="17">
        <f>VLOOKUP(K1270,RPM!$A$2:$D$62,3,FALSE)</f>
        <v>13</v>
      </c>
      <c r="O1270" s="16">
        <f>VLOOKUP(K1270,RPM!$A$2:$D$62,4,FALSE)</f>
        <v>13.235857142857142</v>
      </c>
      <c r="P1270" s="17">
        <f t="shared" si="228"/>
        <v>9.8699786714285711</v>
      </c>
      <c r="Q1270" s="16" cm="1">
        <f t="array" ref="Q1270">_xlfn.XLOOKUP(O1270,BSFC!$A$2:$A$24,_xlfn.XLOOKUP(K1270,BSFC!$B$1:$O$1,BSFC!$B$2:$O$24,,-1),,-1)</f>
        <v>520</v>
      </c>
      <c r="R1270" s="17">
        <f t="shared" si="229"/>
        <v>1.425663585873016</v>
      </c>
      <c r="S1270" s="16">
        <f t="shared" si="230"/>
        <v>2.0443068048074323E-4</v>
      </c>
      <c r="T1270" s="17">
        <f t="shared" si="233"/>
        <v>0.10630395384998648</v>
      </c>
      <c r="U1270" s="16">
        <f t="shared" si="234"/>
        <v>163.3885081703246</v>
      </c>
      <c r="V1270" s="17">
        <f t="shared" si="235"/>
        <v>0.33614041768816694</v>
      </c>
      <c r="W1270" s="16">
        <f t="shared" si="231"/>
        <v>1210105.503677401</v>
      </c>
      <c r="X1270">
        <f>('Hybrid Info'!$A$2-Track!P1270)*(L1270-L1269)*1000+X1269</f>
        <v>-16487.253886072322</v>
      </c>
    </row>
    <row r="1271" spans="1:24">
      <c r="A1271" s="16">
        <f t="shared" si="232"/>
        <v>1270</v>
      </c>
      <c r="B1271" s="17">
        <f t="shared" si="239"/>
        <v>13.411199999999999</v>
      </c>
      <c r="C1271" s="16">
        <f>Specification!$G$32</f>
        <v>219.92450400000001</v>
      </c>
      <c r="D1271" s="17">
        <f>0.5*Specification!$K$4*Track!B1271^2*Specification!$K$3*Specification!$K$2</f>
        <v>93.159842569492653</v>
      </c>
      <c r="E1271" s="16">
        <v>0</v>
      </c>
      <c r="F1271" s="17">
        <f>Specification!$C$23*9.81*SIN((E1271*PI()/180))</f>
        <v>0</v>
      </c>
      <c r="G1271" s="18">
        <f>IF(J1271=1,VLOOKUP(K1271,RPM!$E$2:$H$62,3,FALSE)-F1271-E1271-D1271,IF(J1271=2,VLOOKUP(K1271,RPM!$H$2:$K$62,3,FALSE)-F1271-E1271-D1271,IF(J1271=3,VLOOKUP(K1271,RPM!$K$2:$N$62,3,FALSE)-F1271-E1271-D1271)))</f>
        <v>688.48526429214962</v>
      </c>
      <c r="H1271" s="19">
        <f>IF(J1271=1,Specification!$I$14,IF(J1271=2,Specification!$I$15,IF(J1271=3,Specification!$I$16)))</f>
        <v>582.50936296077191</v>
      </c>
      <c r="I1271" s="16">
        <f t="shared" si="237"/>
        <v>0</v>
      </c>
      <c r="J1271" s="17">
        <v>2</v>
      </c>
      <c r="K1271" s="16">
        <f>IF(J1271=1,VLOOKUP(B1271,RPM!$F$2:$H$62,3,TRUE),IF(J1271=2,VLOOKUP(B1271,RPM!$I$2:$K$62,3,TRUE),IF(J1271=3,VLOOKUP(B1271,RPM!$L$2:$N$62,3,TRUE))))</f>
        <v>7000</v>
      </c>
      <c r="L1271" s="17">
        <f t="shared" si="236"/>
        <v>98.972310075447922</v>
      </c>
      <c r="M1271" s="16">
        <f t="shared" si="238"/>
        <v>0</v>
      </c>
      <c r="N1271" s="17">
        <f>VLOOKUP(K1271,RPM!$A$2:$D$62,3,FALSE)</f>
        <v>13</v>
      </c>
      <c r="O1271" s="16">
        <f>VLOOKUP(K1271,RPM!$A$2:$D$62,4,FALSE)</f>
        <v>13.235857142857142</v>
      </c>
      <c r="P1271" s="17">
        <f t="shared" si="228"/>
        <v>9.8699786714285711</v>
      </c>
      <c r="Q1271" s="16" cm="1">
        <f t="array" ref="Q1271">_xlfn.XLOOKUP(O1271,BSFC!$A$2:$A$24,_xlfn.XLOOKUP(K1271,BSFC!$B$1:$O$1,BSFC!$B$2:$O$24,,-1),,-1)</f>
        <v>520</v>
      </c>
      <c r="R1271" s="17">
        <f t="shared" si="229"/>
        <v>1.425663585873016</v>
      </c>
      <c r="S1271" s="16">
        <f t="shared" si="230"/>
        <v>2.0443068048074323E-4</v>
      </c>
      <c r="T1271" s="17">
        <f t="shared" si="233"/>
        <v>0.10630395384998648</v>
      </c>
      <c r="U1271" s="16">
        <f t="shared" si="234"/>
        <v>163.49481212417459</v>
      </c>
      <c r="V1271" s="17">
        <f t="shared" si="235"/>
        <v>0.3363448483686477</v>
      </c>
      <c r="W1271" s="16">
        <f t="shared" si="231"/>
        <v>1210841.4541271317</v>
      </c>
      <c r="X1271">
        <f>('Hybrid Info'!$A$2-Track!P1271)*(L1271-L1270)*1000+X1270</f>
        <v>-16319.448177086069</v>
      </c>
    </row>
    <row r="1272" spans="1:24">
      <c r="A1272" s="16">
        <f t="shared" si="232"/>
        <v>1271</v>
      </c>
      <c r="B1272" s="17">
        <f t="shared" si="239"/>
        <v>13.411199999999999</v>
      </c>
      <c r="C1272" s="16">
        <f>Specification!$G$32</f>
        <v>219.92450400000001</v>
      </c>
      <c r="D1272" s="17">
        <f>0.5*Specification!$K$4*Track!B1272^2*Specification!$K$3*Specification!$K$2</f>
        <v>93.159842569492653</v>
      </c>
      <c r="E1272" s="16">
        <v>0</v>
      </c>
      <c r="F1272" s="17">
        <f>Specification!$C$23*9.81*SIN((E1272*PI()/180))</f>
        <v>0</v>
      </c>
      <c r="G1272" s="18">
        <f>IF(J1272=1,VLOOKUP(K1272,RPM!$E$2:$H$62,3,FALSE)-F1272-E1272-D1272,IF(J1272=2,VLOOKUP(K1272,RPM!$H$2:$K$62,3,FALSE)-F1272-E1272-D1272,IF(J1272=3,VLOOKUP(K1272,RPM!$K$2:$N$62,3,FALSE)-F1272-E1272-D1272)))</f>
        <v>688.48526429214962</v>
      </c>
      <c r="H1272" s="19">
        <f>IF(J1272=1,Specification!$I$14,IF(J1272=2,Specification!$I$15,IF(J1272=3,Specification!$I$16)))</f>
        <v>582.50936296077191</v>
      </c>
      <c r="I1272" s="16">
        <f t="shared" si="237"/>
        <v>0</v>
      </c>
      <c r="J1272" s="17">
        <v>2</v>
      </c>
      <c r="K1272" s="16">
        <f>IF(J1272=1,VLOOKUP(B1272,RPM!$F$2:$H$62,3,TRUE),IF(J1272=2,VLOOKUP(B1272,RPM!$I$2:$K$62,3,TRUE),IF(J1272=3,VLOOKUP(B1272,RPM!$L$2:$N$62,3,TRUE))))</f>
        <v>7000</v>
      </c>
      <c r="L1272" s="17">
        <f t="shared" si="236"/>
        <v>99.046874618516398</v>
      </c>
      <c r="M1272" s="16">
        <f t="shared" si="238"/>
        <v>0</v>
      </c>
      <c r="N1272" s="17">
        <f>VLOOKUP(K1272,RPM!$A$2:$D$62,3,FALSE)</f>
        <v>13</v>
      </c>
      <c r="O1272" s="16">
        <f>VLOOKUP(K1272,RPM!$A$2:$D$62,4,FALSE)</f>
        <v>13.235857142857142</v>
      </c>
      <c r="P1272" s="17">
        <f t="shared" si="228"/>
        <v>9.8699786714285711</v>
      </c>
      <c r="Q1272" s="16" cm="1">
        <f t="array" ref="Q1272">_xlfn.XLOOKUP(O1272,BSFC!$A$2:$A$24,_xlfn.XLOOKUP(K1272,BSFC!$B$1:$O$1,BSFC!$B$2:$O$24,,-1),,-1)</f>
        <v>520</v>
      </c>
      <c r="R1272" s="17">
        <f t="shared" si="229"/>
        <v>1.425663585873016</v>
      </c>
      <c r="S1272" s="16">
        <f t="shared" si="230"/>
        <v>2.0443068048074323E-4</v>
      </c>
      <c r="T1272" s="17">
        <f t="shared" si="233"/>
        <v>0.10630395384998648</v>
      </c>
      <c r="U1272" s="16">
        <f t="shared" si="234"/>
        <v>163.60111607802457</v>
      </c>
      <c r="V1272" s="17">
        <f t="shared" si="235"/>
        <v>0.33654927904912846</v>
      </c>
      <c r="W1272" s="16">
        <f t="shared" si="231"/>
        <v>1211577.4045768625</v>
      </c>
      <c r="X1272">
        <f>('Hybrid Info'!$A$2-Track!P1272)*(L1272-L1271)*1000+X1271</f>
        <v>-16151.642468099817</v>
      </c>
    </row>
    <row r="1273" spans="1:24">
      <c r="A1273" s="16">
        <f t="shared" si="232"/>
        <v>1272</v>
      </c>
      <c r="B1273" s="17">
        <f t="shared" si="239"/>
        <v>13.411199999999999</v>
      </c>
      <c r="C1273" s="16">
        <f>Specification!$G$32</f>
        <v>219.92450400000001</v>
      </c>
      <c r="D1273" s="17">
        <f>0.5*Specification!$K$4*Track!B1273^2*Specification!$K$3*Specification!$K$2</f>
        <v>93.159842569492653</v>
      </c>
      <c r="E1273" s="16">
        <v>0</v>
      </c>
      <c r="F1273" s="17">
        <f>Specification!$C$23*9.81*SIN((E1273*PI()/180))</f>
        <v>0</v>
      </c>
      <c r="G1273" s="18">
        <f>IF(J1273=1,VLOOKUP(K1273,RPM!$E$2:$H$62,3,FALSE)-F1273-E1273-D1273,IF(J1273=2,VLOOKUP(K1273,RPM!$H$2:$K$62,3,FALSE)-F1273-E1273-D1273,IF(J1273=3,VLOOKUP(K1273,RPM!$K$2:$N$62,3,FALSE)-F1273-E1273-D1273)))</f>
        <v>688.48526429214962</v>
      </c>
      <c r="H1273" s="19">
        <f>IF(J1273=1,Specification!$I$14,IF(J1273=2,Specification!$I$15,IF(J1273=3,Specification!$I$16)))</f>
        <v>582.50936296077191</v>
      </c>
      <c r="I1273" s="16">
        <f t="shared" si="237"/>
        <v>0</v>
      </c>
      <c r="J1273" s="17">
        <v>2</v>
      </c>
      <c r="K1273" s="16">
        <f>IF(J1273=1,VLOOKUP(B1273,RPM!$F$2:$H$62,3,TRUE),IF(J1273=2,VLOOKUP(B1273,RPM!$I$2:$K$62,3,TRUE),IF(J1273=3,VLOOKUP(B1273,RPM!$L$2:$N$62,3,TRUE))))</f>
        <v>7000</v>
      </c>
      <c r="L1273" s="17">
        <f t="shared" si="236"/>
        <v>99.121439161584874</v>
      </c>
      <c r="M1273" s="16">
        <f t="shared" si="238"/>
        <v>0</v>
      </c>
      <c r="N1273" s="17">
        <f>VLOOKUP(K1273,RPM!$A$2:$D$62,3,FALSE)</f>
        <v>13</v>
      </c>
      <c r="O1273" s="16">
        <f>VLOOKUP(K1273,RPM!$A$2:$D$62,4,FALSE)</f>
        <v>13.235857142857142</v>
      </c>
      <c r="P1273" s="17">
        <f t="shared" si="228"/>
        <v>9.8699786714285711</v>
      </c>
      <c r="Q1273" s="16" cm="1">
        <f t="array" ref="Q1273">_xlfn.XLOOKUP(O1273,BSFC!$A$2:$A$24,_xlfn.XLOOKUP(K1273,BSFC!$B$1:$O$1,BSFC!$B$2:$O$24,,-1),,-1)</f>
        <v>520</v>
      </c>
      <c r="R1273" s="17">
        <f t="shared" si="229"/>
        <v>1.425663585873016</v>
      </c>
      <c r="S1273" s="16">
        <f t="shared" si="230"/>
        <v>2.0443068048074323E-4</v>
      </c>
      <c r="T1273" s="17">
        <f t="shared" si="233"/>
        <v>0.10630395384998648</v>
      </c>
      <c r="U1273" s="16">
        <f t="shared" si="234"/>
        <v>163.70742003187456</v>
      </c>
      <c r="V1273" s="17">
        <f t="shared" si="235"/>
        <v>0.33675370972960922</v>
      </c>
      <c r="W1273" s="16">
        <f t="shared" si="231"/>
        <v>1212313.3550265932</v>
      </c>
      <c r="X1273">
        <f>('Hybrid Info'!$A$2-Track!P1273)*(L1273-L1272)*1000+X1272</f>
        <v>-15983.836759113565</v>
      </c>
    </row>
    <row r="1274" spans="1:24">
      <c r="A1274" s="16">
        <f t="shared" si="232"/>
        <v>1273</v>
      </c>
      <c r="B1274" s="17">
        <f t="shared" si="239"/>
        <v>13.411199999999999</v>
      </c>
      <c r="C1274" s="16">
        <f>Specification!$G$32</f>
        <v>219.92450400000001</v>
      </c>
      <c r="D1274" s="17">
        <f>0.5*Specification!$K$4*Track!B1274^2*Specification!$K$3*Specification!$K$2</f>
        <v>93.159842569492653</v>
      </c>
      <c r="E1274" s="16">
        <v>0</v>
      </c>
      <c r="F1274" s="17">
        <f>Specification!$C$23*9.81*SIN((E1274*PI()/180))</f>
        <v>0</v>
      </c>
      <c r="G1274" s="18">
        <f>IF(J1274=1,VLOOKUP(K1274,RPM!$E$2:$H$62,3,FALSE)-F1274-E1274-D1274,IF(J1274=2,VLOOKUP(K1274,RPM!$H$2:$K$62,3,FALSE)-F1274-E1274-D1274,IF(J1274=3,VLOOKUP(K1274,RPM!$K$2:$N$62,3,FALSE)-F1274-E1274-D1274)))</f>
        <v>688.48526429214962</v>
      </c>
      <c r="H1274" s="19">
        <f>IF(J1274=1,Specification!$I$14,IF(J1274=2,Specification!$I$15,IF(J1274=3,Specification!$I$16)))</f>
        <v>582.50936296077191</v>
      </c>
      <c r="I1274" s="16">
        <f t="shared" si="237"/>
        <v>0</v>
      </c>
      <c r="J1274" s="17">
        <v>2</v>
      </c>
      <c r="K1274" s="16">
        <f>IF(J1274=1,VLOOKUP(B1274,RPM!$F$2:$H$62,3,TRUE),IF(J1274=2,VLOOKUP(B1274,RPM!$I$2:$K$62,3,TRUE),IF(J1274=3,VLOOKUP(B1274,RPM!$L$2:$N$62,3,TRUE))))</f>
        <v>7000</v>
      </c>
      <c r="L1274" s="17">
        <f t="shared" si="236"/>
        <v>99.19600370465335</v>
      </c>
      <c r="M1274" s="16">
        <f t="shared" si="238"/>
        <v>0</v>
      </c>
      <c r="N1274" s="17">
        <f>VLOOKUP(K1274,RPM!$A$2:$D$62,3,FALSE)</f>
        <v>13</v>
      </c>
      <c r="O1274" s="16">
        <f>VLOOKUP(K1274,RPM!$A$2:$D$62,4,FALSE)</f>
        <v>13.235857142857142</v>
      </c>
      <c r="P1274" s="17">
        <f t="shared" si="228"/>
        <v>9.8699786714285711</v>
      </c>
      <c r="Q1274" s="16" cm="1">
        <f t="array" ref="Q1274">_xlfn.XLOOKUP(O1274,BSFC!$A$2:$A$24,_xlfn.XLOOKUP(K1274,BSFC!$B$1:$O$1,BSFC!$B$2:$O$24,,-1),,-1)</f>
        <v>520</v>
      </c>
      <c r="R1274" s="17">
        <f t="shared" si="229"/>
        <v>1.425663585873016</v>
      </c>
      <c r="S1274" s="16">
        <f t="shared" si="230"/>
        <v>2.0443068048074323E-4</v>
      </c>
      <c r="T1274" s="17">
        <f t="shared" si="233"/>
        <v>0.10630395384998648</v>
      </c>
      <c r="U1274" s="16">
        <f t="shared" si="234"/>
        <v>163.81372398572455</v>
      </c>
      <c r="V1274" s="17">
        <f t="shared" si="235"/>
        <v>0.33695814041008998</v>
      </c>
      <c r="W1274" s="16">
        <f t="shared" si="231"/>
        <v>1213049.3054763239</v>
      </c>
      <c r="X1274">
        <f>('Hybrid Info'!$A$2-Track!P1274)*(L1274-L1273)*1000+X1273</f>
        <v>-15816.031050127312</v>
      </c>
    </row>
    <row r="1275" spans="1:24">
      <c r="A1275" s="16">
        <f t="shared" si="232"/>
        <v>1274</v>
      </c>
      <c r="B1275" s="17">
        <f t="shared" si="239"/>
        <v>13.411199999999999</v>
      </c>
      <c r="C1275" s="16">
        <f>Specification!$G$32</f>
        <v>219.92450400000001</v>
      </c>
      <c r="D1275" s="17">
        <f>0.5*Specification!$K$4*Track!B1275^2*Specification!$K$3*Specification!$K$2</f>
        <v>93.159842569492653</v>
      </c>
      <c r="E1275" s="16">
        <v>0</v>
      </c>
      <c r="F1275" s="17">
        <f>Specification!$C$23*9.81*SIN((E1275*PI()/180))</f>
        <v>0</v>
      </c>
      <c r="G1275" s="18">
        <f>IF(J1275=1,VLOOKUP(K1275,RPM!$E$2:$H$62,3,FALSE)-F1275-E1275-D1275,IF(J1275=2,VLOOKUP(K1275,RPM!$H$2:$K$62,3,FALSE)-F1275-E1275-D1275,IF(J1275=3,VLOOKUP(K1275,RPM!$K$2:$N$62,3,FALSE)-F1275-E1275-D1275)))</f>
        <v>688.48526429214962</v>
      </c>
      <c r="H1275" s="19">
        <f>IF(J1275=1,Specification!$I$14,IF(J1275=2,Specification!$I$15,IF(J1275=3,Specification!$I$16)))</f>
        <v>582.50936296077191</v>
      </c>
      <c r="I1275" s="16">
        <f t="shared" si="237"/>
        <v>0</v>
      </c>
      <c r="J1275" s="17">
        <v>2</v>
      </c>
      <c r="K1275" s="16">
        <f>IF(J1275=1,VLOOKUP(B1275,RPM!$F$2:$H$62,3,TRUE),IF(J1275=2,VLOOKUP(B1275,RPM!$I$2:$K$62,3,TRUE),IF(J1275=3,VLOOKUP(B1275,RPM!$L$2:$N$62,3,TRUE))))</f>
        <v>7000</v>
      </c>
      <c r="L1275" s="17">
        <f t="shared" si="236"/>
        <v>99.270568247721826</v>
      </c>
      <c r="M1275" s="16">
        <f t="shared" si="238"/>
        <v>0</v>
      </c>
      <c r="N1275" s="17">
        <f>VLOOKUP(K1275,RPM!$A$2:$D$62,3,FALSE)</f>
        <v>13</v>
      </c>
      <c r="O1275" s="16">
        <f>VLOOKUP(K1275,RPM!$A$2:$D$62,4,FALSE)</f>
        <v>13.235857142857142</v>
      </c>
      <c r="P1275" s="17">
        <f t="shared" si="228"/>
        <v>9.8699786714285711</v>
      </c>
      <c r="Q1275" s="16" cm="1">
        <f t="array" ref="Q1275">_xlfn.XLOOKUP(O1275,BSFC!$A$2:$A$24,_xlfn.XLOOKUP(K1275,BSFC!$B$1:$O$1,BSFC!$B$2:$O$24,,-1),,-1)</f>
        <v>520</v>
      </c>
      <c r="R1275" s="17">
        <f t="shared" si="229"/>
        <v>1.425663585873016</v>
      </c>
      <c r="S1275" s="16">
        <f t="shared" si="230"/>
        <v>2.0443068048074323E-4</v>
      </c>
      <c r="T1275" s="17">
        <f t="shared" si="233"/>
        <v>0.10630395384998648</v>
      </c>
      <c r="U1275" s="16">
        <f t="shared" si="234"/>
        <v>163.92002793957454</v>
      </c>
      <c r="V1275" s="17">
        <f t="shared" si="235"/>
        <v>0.33716257109057074</v>
      </c>
      <c r="W1275" s="16">
        <f t="shared" si="231"/>
        <v>1213785.2559260547</v>
      </c>
      <c r="X1275">
        <f>('Hybrid Info'!$A$2-Track!P1275)*(L1275-L1274)*1000+X1274</f>
        <v>-15648.22534114106</v>
      </c>
    </row>
    <row r="1276" spans="1:24">
      <c r="A1276" s="16">
        <f t="shared" si="232"/>
        <v>1275</v>
      </c>
      <c r="B1276" s="17">
        <f t="shared" si="239"/>
        <v>13.411199999999999</v>
      </c>
      <c r="C1276" s="16">
        <f>Specification!$G$32</f>
        <v>219.92450400000001</v>
      </c>
      <c r="D1276" s="17">
        <f>0.5*Specification!$K$4*Track!B1276^2*Specification!$K$3*Specification!$K$2</f>
        <v>93.159842569492653</v>
      </c>
      <c r="E1276" s="16">
        <v>0</v>
      </c>
      <c r="F1276" s="17">
        <f>Specification!$C$23*9.81*SIN((E1276*PI()/180))</f>
        <v>0</v>
      </c>
      <c r="G1276" s="18">
        <f>IF(J1276=1,VLOOKUP(K1276,RPM!$E$2:$H$62,3,FALSE)-F1276-E1276-D1276,IF(J1276=2,VLOOKUP(K1276,RPM!$H$2:$K$62,3,FALSE)-F1276-E1276-D1276,IF(J1276=3,VLOOKUP(K1276,RPM!$K$2:$N$62,3,FALSE)-F1276-E1276-D1276)))</f>
        <v>688.48526429214962</v>
      </c>
      <c r="H1276" s="19">
        <f>IF(J1276=1,Specification!$I$14,IF(J1276=2,Specification!$I$15,IF(J1276=3,Specification!$I$16)))</f>
        <v>582.50936296077191</v>
      </c>
      <c r="I1276" s="16">
        <f t="shared" si="237"/>
        <v>0</v>
      </c>
      <c r="J1276" s="17">
        <v>2</v>
      </c>
      <c r="K1276" s="16">
        <f>IF(J1276=1,VLOOKUP(B1276,RPM!$F$2:$H$62,3,TRUE),IF(J1276=2,VLOOKUP(B1276,RPM!$I$2:$K$62,3,TRUE),IF(J1276=3,VLOOKUP(B1276,RPM!$L$2:$N$62,3,TRUE))))</f>
        <v>7000</v>
      </c>
      <c r="L1276" s="17">
        <f t="shared" si="236"/>
        <v>99.345132790790302</v>
      </c>
      <c r="M1276" s="16">
        <f t="shared" si="238"/>
        <v>0</v>
      </c>
      <c r="N1276" s="17">
        <f>VLOOKUP(K1276,RPM!$A$2:$D$62,3,FALSE)</f>
        <v>13</v>
      </c>
      <c r="O1276" s="16">
        <f>VLOOKUP(K1276,RPM!$A$2:$D$62,4,FALSE)</f>
        <v>13.235857142857142</v>
      </c>
      <c r="P1276" s="17">
        <f t="shared" si="228"/>
        <v>9.8699786714285711</v>
      </c>
      <c r="Q1276" s="16" cm="1">
        <f t="array" ref="Q1276">_xlfn.XLOOKUP(O1276,BSFC!$A$2:$A$24,_xlfn.XLOOKUP(K1276,BSFC!$B$1:$O$1,BSFC!$B$2:$O$24,,-1),,-1)</f>
        <v>520</v>
      </c>
      <c r="R1276" s="17">
        <f t="shared" si="229"/>
        <v>1.425663585873016</v>
      </c>
      <c r="S1276" s="16">
        <f t="shared" si="230"/>
        <v>2.0443068048074323E-4</v>
      </c>
      <c r="T1276" s="17">
        <f t="shared" si="233"/>
        <v>0.10630395384998648</v>
      </c>
      <c r="U1276" s="16">
        <f t="shared" si="234"/>
        <v>164.02633189342453</v>
      </c>
      <c r="V1276" s="17">
        <f t="shared" si="235"/>
        <v>0.3373670017710515</v>
      </c>
      <c r="W1276" s="16">
        <f t="shared" si="231"/>
        <v>1214521.2063757854</v>
      </c>
      <c r="X1276">
        <f>('Hybrid Info'!$A$2-Track!P1276)*(L1276-L1275)*1000+X1275</f>
        <v>-15480.419632154808</v>
      </c>
    </row>
    <row r="1277" spans="1:24">
      <c r="A1277" s="16">
        <f t="shared" si="232"/>
        <v>1276</v>
      </c>
      <c r="B1277" s="17">
        <f t="shared" si="239"/>
        <v>13.411199999999999</v>
      </c>
      <c r="C1277" s="16">
        <f>Specification!$G$32</f>
        <v>219.92450400000001</v>
      </c>
      <c r="D1277" s="17">
        <f>0.5*Specification!$K$4*Track!B1277^2*Specification!$K$3*Specification!$K$2</f>
        <v>93.159842569492653</v>
      </c>
      <c r="E1277" s="16">
        <v>0</v>
      </c>
      <c r="F1277" s="17">
        <f>Specification!$C$23*9.81*SIN((E1277*PI()/180))</f>
        <v>0</v>
      </c>
      <c r="G1277" s="18">
        <f>IF(J1277=1,VLOOKUP(K1277,RPM!$E$2:$H$62,3,FALSE)-F1277-E1277-D1277,IF(J1277=2,VLOOKUP(K1277,RPM!$H$2:$K$62,3,FALSE)-F1277-E1277-D1277,IF(J1277=3,VLOOKUP(K1277,RPM!$K$2:$N$62,3,FALSE)-F1277-E1277-D1277)))</f>
        <v>688.48526429214962</v>
      </c>
      <c r="H1277" s="19">
        <f>IF(J1277=1,Specification!$I$14,IF(J1277=2,Specification!$I$15,IF(J1277=3,Specification!$I$16)))</f>
        <v>582.50936296077191</v>
      </c>
      <c r="I1277" s="16">
        <f t="shared" si="237"/>
        <v>0</v>
      </c>
      <c r="J1277" s="17">
        <v>2</v>
      </c>
      <c r="K1277" s="16">
        <f>IF(J1277=1,VLOOKUP(B1277,RPM!$F$2:$H$62,3,TRUE),IF(J1277=2,VLOOKUP(B1277,RPM!$I$2:$K$62,3,TRUE),IF(J1277=3,VLOOKUP(B1277,RPM!$L$2:$N$62,3,TRUE))))</f>
        <v>7000</v>
      </c>
      <c r="L1277" s="17">
        <f t="shared" si="236"/>
        <v>99.419697333858778</v>
      </c>
      <c r="M1277" s="16">
        <f t="shared" si="238"/>
        <v>0</v>
      </c>
      <c r="N1277" s="17">
        <f>VLOOKUP(K1277,RPM!$A$2:$D$62,3,FALSE)</f>
        <v>13</v>
      </c>
      <c r="O1277" s="16">
        <f>VLOOKUP(K1277,RPM!$A$2:$D$62,4,FALSE)</f>
        <v>13.235857142857142</v>
      </c>
      <c r="P1277" s="17">
        <f t="shared" si="228"/>
        <v>9.8699786714285711</v>
      </c>
      <c r="Q1277" s="16" cm="1">
        <f t="array" ref="Q1277">_xlfn.XLOOKUP(O1277,BSFC!$A$2:$A$24,_xlfn.XLOOKUP(K1277,BSFC!$B$1:$O$1,BSFC!$B$2:$O$24,,-1),,-1)</f>
        <v>520</v>
      </c>
      <c r="R1277" s="17">
        <f t="shared" si="229"/>
        <v>1.425663585873016</v>
      </c>
      <c r="S1277" s="16">
        <f t="shared" si="230"/>
        <v>2.0443068048074323E-4</v>
      </c>
      <c r="T1277" s="17">
        <f t="shared" si="233"/>
        <v>0.10630395384998648</v>
      </c>
      <c r="U1277" s="16">
        <f t="shared" si="234"/>
        <v>164.13263584727451</v>
      </c>
      <c r="V1277" s="17">
        <f t="shared" si="235"/>
        <v>0.33757143245153226</v>
      </c>
      <c r="W1277" s="16">
        <f t="shared" si="231"/>
        <v>1215257.1568255161</v>
      </c>
      <c r="X1277">
        <f>('Hybrid Info'!$A$2-Track!P1277)*(L1277-L1276)*1000+X1276</f>
        <v>-15312.613923168556</v>
      </c>
    </row>
    <row r="1278" spans="1:24">
      <c r="A1278" s="16">
        <f t="shared" si="232"/>
        <v>1277</v>
      </c>
      <c r="B1278" s="17">
        <f t="shared" si="239"/>
        <v>13.411199999999999</v>
      </c>
      <c r="C1278" s="16">
        <f>Specification!$G$32</f>
        <v>219.92450400000001</v>
      </c>
      <c r="D1278" s="17">
        <f>0.5*Specification!$K$4*Track!B1278^2*Specification!$K$3*Specification!$K$2</f>
        <v>93.159842569492653</v>
      </c>
      <c r="E1278" s="16">
        <v>0</v>
      </c>
      <c r="F1278" s="17">
        <f>Specification!$C$23*9.81*SIN((E1278*PI()/180))</f>
        <v>0</v>
      </c>
      <c r="G1278" s="18">
        <f>IF(J1278=1,VLOOKUP(K1278,RPM!$E$2:$H$62,3,FALSE)-F1278-E1278-D1278,IF(J1278=2,VLOOKUP(K1278,RPM!$H$2:$K$62,3,FALSE)-F1278-E1278-D1278,IF(J1278=3,VLOOKUP(K1278,RPM!$K$2:$N$62,3,FALSE)-F1278-E1278-D1278)))</f>
        <v>688.48526429214962</v>
      </c>
      <c r="H1278" s="19">
        <f>IF(J1278=1,Specification!$I$14,IF(J1278=2,Specification!$I$15,IF(J1278=3,Specification!$I$16)))</f>
        <v>582.50936296077191</v>
      </c>
      <c r="I1278" s="16">
        <f t="shared" si="237"/>
        <v>0</v>
      </c>
      <c r="J1278" s="17">
        <v>2</v>
      </c>
      <c r="K1278" s="16">
        <f>IF(J1278=1,VLOOKUP(B1278,RPM!$F$2:$H$62,3,TRUE),IF(J1278=2,VLOOKUP(B1278,RPM!$I$2:$K$62,3,TRUE),IF(J1278=3,VLOOKUP(B1278,RPM!$L$2:$N$62,3,TRUE))))</f>
        <v>7000</v>
      </c>
      <c r="L1278" s="17">
        <f t="shared" si="236"/>
        <v>99.494261876927254</v>
      </c>
      <c r="M1278" s="16">
        <f t="shared" si="238"/>
        <v>0</v>
      </c>
      <c r="N1278" s="17">
        <f>VLOOKUP(K1278,RPM!$A$2:$D$62,3,FALSE)</f>
        <v>13</v>
      </c>
      <c r="O1278" s="16">
        <f>VLOOKUP(K1278,RPM!$A$2:$D$62,4,FALSE)</f>
        <v>13.235857142857142</v>
      </c>
      <c r="P1278" s="17">
        <f t="shared" si="228"/>
        <v>9.8699786714285711</v>
      </c>
      <c r="Q1278" s="16" cm="1">
        <f t="array" ref="Q1278">_xlfn.XLOOKUP(O1278,BSFC!$A$2:$A$24,_xlfn.XLOOKUP(K1278,BSFC!$B$1:$O$1,BSFC!$B$2:$O$24,,-1),,-1)</f>
        <v>520</v>
      </c>
      <c r="R1278" s="17">
        <f t="shared" si="229"/>
        <v>1.425663585873016</v>
      </c>
      <c r="S1278" s="16">
        <f t="shared" si="230"/>
        <v>2.0443068048074323E-4</v>
      </c>
      <c r="T1278" s="17">
        <f t="shared" si="233"/>
        <v>0.10630395384998648</v>
      </c>
      <c r="U1278" s="16">
        <f t="shared" si="234"/>
        <v>164.2389398011245</v>
      </c>
      <c r="V1278" s="17">
        <f t="shared" si="235"/>
        <v>0.33777586313201302</v>
      </c>
      <c r="W1278" s="16">
        <f t="shared" si="231"/>
        <v>1215993.1072752469</v>
      </c>
      <c r="X1278">
        <f>('Hybrid Info'!$A$2-Track!P1278)*(L1278-L1277)*1000+X1277</f>
        <v>-15144.808214182303</v>
      </c>
    </row>
    <row r="1279" spans="1:24">
      <c r="A1279" s="16">
        <f t="shared" si="232"/>
        <v>1278</v>
      </c>
      <c r="B1279" s="17">
        <f t="shared" si="239"/>
        <v>13.411199999999999</v>
      </c>
      <c r="C1279" s="16">
        <f>Specification!$G$32</f>
        <v>219.92450400000001</v>
      </c>
      <c r="D1279" s="17">
        <f>0.5*Specification!$K$4*Track!B1279^2*Specification!$K$3*Specification!$K$2</f>
        <v>93.159842569492653</v>
      </c>
      <c r="E1279" s="16">
        <v>0</v>
      </c>
      <c r="F1279" s="17">
        <f>Specification!$C$23*9.81*SIN((E1279*PI()/180))</f>
        <v>0</v>
      </c>
      <c r="G1279" s="18">
        <f>IF(J1279=1,VLOOKUP(K1279,RPM!$E$2:$H$62,3,FALSE)-F1279-E1279-D1279,IF(J1279=2,VLOOKUP(K1279,RPM!$H$2:$K$62,3,FALSE)-F1279-E1279-D1279,IF(J1279=3,VLOOKUP(K1279,RPM!$K$2:$N$62,3,FALSE)-F1279-E1279-D1279)))</f>
        <v>688.48526429214962</v>
      </c>
      <c r="H1279" s="19">
        <f>IF(J1279=1,Specification!$I$14,IF(J1279=2,Specification!$I$15,IF(J1279=3,Specification!$I$16)))</f>
        <v>582.50936296077191</v>
      </c>
      <c r="I1279" s="16">
        <f t="shared" si="237"/>
        <v>0</v>
      </c>
      <c r="J1279" s="17">
        <v>2</v>
      </c>
      <c r="K1279" s="16">
        <f>IF(J1279=1,VLOOKUP(B1279,RPM!$F$2:$H$62,3,TRUE),IF(J1279=2,VLOOKUP(B1279,RPM!$I$2:$K$62,3,TRUE),IF(J1279=3,VLOOKUP(B1279,RPM!$L$2:$N$62,3,TRUE))))</f>
        <v>7000</v>
      </c>
      <c r="L1279" s="17">
        <f t="shared" si="236"/>
        <v>99.56882641999573</v>
      </c>
      <c r="M1279" s="16">
        <f t="shared" si="238"/>
        <v>0</v>
      </c>
      <c r="N1279" s="17">
        <f>VLOOKUP(K1279,RPM!$A$2:$D$62,3,FALSE)</f>
        <v>13</v>
      </c>
      <c r="O1279" s="16">
        <f>VLOOKUP(K1279,RPM!$A$2:$D$62,4,FALSE)</f>
        <v>13.235857142857142</v>
      </c>
      <c r="P1279" s="17">
        <f t="shared" si="228"/>
        <v>9.8699786714285711</v>
      </c>
      <c r="Q1279" s="16" cm="1">
        <f t="array" ref="Q1279">_xlfn.XLOOKUP(O1279,BSFC!$A$2:$A$24,_xlfn.XLOOKUP(K1279,BSFC!$B$1:$O$1,BSFC!$B$2:$O$24,,-1),,-1)</f>
        <v>520</v>
      </c>
      <c r="R1279" s="17">
        <f t="shared" si="229"/>
        <v>1.425663585873016</v>
      </c>
      <c r="S1279" s="16">
        <f t="shared" si="230"/>
        <v>2.0443068048074323E-4</v>
      </c>
      <c r="T1279" s="17">
        <f t="shared" si="233"/>
        <v>0.10630395384998648</v>
      </c>
      <c r="U1279" s="16">
        <f t="shared" si="234"/>
        <v>164.34524375497449</v>
      </c>
      <c r="V1279" s="17">
        <f t="shared" si="235"/>
        <v>0.33798029381249378</v>
      </c>
      <c r="W1279" s="16">
        <f t="shared" si="231"/>
        <v>1216729.0577249776</v>
      </c>
      <c r="X1279">
        <f>('Hybrid Info'!$A$2-Track!P1279)*(L1279-L1278)*1000+X1278</f>
        <v>-14977.002505196051</v>
      </c>
    </row>
    <row r="1280" spans="1:24">
      <c r="A1280" s="16">
        <f t="shared" si="232"/>
        <v>1279</v>
      </c>
      <c r="B1280" s="17">
        <f t="shared" si="239"/>
        <v>13.411199999999999</v>
      </c>
      <c r="C1280" s="16">
        <f>Specification!$G$32</f>
        <v>219.92450400000001</v>
      </c>
      <c r="D1280" s="17">
        <f>0.5*Specification!$K$4*Track!B1280^2*Specification!$K$3*Specification!$K$2</f>
        <v>93.159842569492653</v>
      </c>
      <c r="E1280" s="16">
        <v>0</v>
      </c>
      <c r="F1280" s="17">
        <f>Specification!$C$23*9.81*SIN((E1280*PI()/180))</f>
        <v>0</v>
      </c>
      <c r="G1280" s="18">
        <f>IF(J1280=1,VLOOKUP(K1280,RPM!$E$2:$H$62,3,FALSE)-F1280-E1280-D1280,IF(J1280=2,VLOOKUP(K1280,RPM!$H$2:$K$62,3,FALSE)-F1280-E1280-D1280,IF(J1280=3,VLOOKUP(K1280,RPM!$K$2:$N$62,3,FALSE)-F1280-E1280-D1280)))</f>
        <v>688.48526429214962</v>
      </c>
      <c r="H1280" s="19">
        <f>IF(J1280=1,Specification!$I$14,IF(J1280=2,Specification!$I$15,IF(J1280=3,Specification!$I$16)))</f>
        <v>582.50936296077191</v>
      </c>
      <c r="I1280" s="16">
        <f t="shared" si="237"/>
        <v>0</v>
      </c>
      <c r="J1280" s="17">
        <v>2</v>
      </c>
      <c r="K1280" s="16">
        <f>IF(J1280=1,VLOOKUP(B1280,RPM!$F$2:$H$62,3,TRUE),IF(J1280=2,VLOOKUP(B1280,RPM!$I$2:$K$62,3,TRUE),IF(J1280=3,VLOOKUP(B1280,RPM!$L$2:$N$62,3,TRUE))))</f>
        <v>7000</v>
      </c>
      <c r="L1280" s="17">
        <f t="shared" si="236"/>
        <v>99.643390963064206</v>
      </c>
      <c r="M1280" s="16">
        <f t="shared" si="238"/>
        <v>0</v>
      </c>
      <c r="N1280" s="17">
        <f>VLOOKUP(K1280,RPM!$A$2:$D$62,3,FALSE)</f>
        <v>13</v>
      </c>
      <c r="O1280" s="16">
        <f>VLOOKUP(K1280,RPM!$A$2:$D$62,4,FALSE)</f>
        <v>13.235857142857142</v>
      </c>
      <c r="P1280" s="17">
        <f t="shared" si="228"/>
        <v>9.8699786714285711</v>
      </c>
      <c r="Q1280" s="16" cm="1">
        <f t="array" ref="Q1280">_xlfn.XLOOKUP(O1280,BSFC!$A$2:$A$24,_xlfn.XLOOKUP(K1280,BSFC!$B$1:$O$1,BSFC!$B$2:$O$24,,-1),,-1)</f>
        <v>520</v>
      </c>
      <c r="R1280" s="17">
        <f t="shared" si="229"/>
        <v>1.425663585873016</v>
      </c>
      <c r="S1280" s="16">
        <f t="shared" si="230"/>
        <v>2.0443068048074323E-4</v>
      </c>
      <c r="T1280" s="17">
        <f t="shared" si="233"/>
        <v>0.10630395384998648</v>
      </c>
      <c r="U1280" s="16">
        <f t="shared" si="234"/>
        <v>164.45154770882448</v>
      </c>
      <c r="V1280" s="17">
        <f t="shared" si="235"/>
        <v>0.33818472449297454</v>
      </c>
      <c r="W1280" s="16">
        <f t="shared" si="231"/>
        <v>1217465.0081747083</v>
      </c>
      <c r="X1280">
        <f>('Hybrid Info'!$A$2-Track!P1280)*(L1280-L1279)*1000+X1279</f>
        <v>-14809.196796209799</v>
      </c>
    </row>
    <row r="1281" spans="1:24">
      <c r="A1281" s="16">
        <f t="shared" si="232"/>
        <v>1280</v>
      </c>
      <c r="B1281" s="17">
        <f t="shared" si="239"/>
        <v>13.411199999999999</v>
      </c>
      <c r="C1281" s="16">
        <f>Specification!$G$32</f>
        <v>219.92450400000001</v>
      </c>
      <c r="D1281" s="17">
        <f>0.5*Specification!$K$4*Track!B1281^2*Specification!$K$3*Specification!$K$2</f>
        <v>93.159842569492653</v>
      </c>
      <c r="E1281" s="16">
        <v>0</v>
      </c>
      <c r="F1281" s="17">
        <f>Specification!$C$23*9.81*SIN((E1281*PI()/180))</f>
        <v>0</v>
      </c>
      <c r="G1281" s="18">
        <f>IF(J1281=1,VLOOKUP(K1281,RPM!$E$2:$H$62,3,FALSE)-F1281-E1281-D1281,IF(J1281=2,VLOOKUP(K1281,RPM!$H$2:$K$62,3,FALSE)-F1281-E1281-D1281,IF(J1281=3,VLOOKUP(K1281,RPM!$K$2:$N$62,3,FALSE)-F1281-E1281-D1281)))</f>
        <v>688.48526429214962</v>
      </c>
      <c r="H1281" s="19">
        <f>IF(J1281=1,Specification!$I$14,IF(J1281=2,Specification!$I$15,IF(J1281=3,Specification!$I$16)))</f>
        <v>582.50936296077191</v>
      </c>
      <c r="I1281" s="16">
        <f t="shared" si="237"/>
        <v>0</v>
      </c>
      <c r="J1281" s="17">
        <v>2</v>
      </c>
      <c r="K1281" s="16">
        <f>IF(J1281=1,VLOOKUP(B1281,RPM!$F$2:$H$62,3,TRUE),IF(J1281=2,VLOOKUP(B1281,RPM!$I$2:$K$62,3,TRUE),IF(J1281=3,VLOOKUP(B1281,RPM!$L$2:$N$62,3,TRUE))))</f>
        <v>7000</v>
      </c>
      <c r="L1281" s="17">
        <f t="shared" si="236"/>
        <v>99.717955506132682</v>
      </c>
      <c r="M1281" s="16">
        <f t="shared" si="238"/>
        <v>0</v>
      </c>
      <c r="N1281" s="17">
        <f>VLOOKUP(K1281,RPM!$A$2:$D$62,3,FALSE)</f>
        <v>13</v>
      </c>
      <c r="O1281" s="16">
        <f>VLOOKUP(K1281,RPM!$A$2:$D$62,4,FALSE)</f>
        <v>13.235857142857142</v>
      </c>
      <c r="P1281" s="17">
        <f t="shared" si="228"/>
        <v>9.8699786714285711</v>
      </c>
      <c r="Q1281" s="16" cm="1">
        <f t="array" ref="Q1281">_xlfn.XLOOKUP(O1281,BSFC!$A$2:$A$24,_xlfn.XLOOKUP(K1281,BSFC!$B$1:$O$1,BSFC!$B$2:$O$24,,-1),,-1)</f>
        <v>520</v>
      </c>
      <c r="R1281" s="17">
        <f t="shared" si="229"/>
        <v>1.425663585873016</v>
      </c>
      <c r="S1281" s="16">
        <f t="shared" si="230"/>
        <v>2.0443068048074323E-4</v>
      </c>
      <c r="T1281" s="17">
        <f t="shared" si="233"/>
        <v>0.10630395384998648</v>
      </c>
      <c r="U1281" s="16">
        <f t="shared" si="234"/>
        <v>164.55785166267447</v>
      </c>
      <c r="V1281" s="17">
        <f t="shared" si="235"/>
        <v>0.3383891551734553</v>
      </c>
      <c r="W1281" s="16">
        <f t="shared" si="231"/>
        <v>1218200.9586244391</v>
      </c>
      <c r="X1281">
        <f>('Hybrid Info'!$A$2-Track!P1281)*(L1281-L1280)*1000+X1280</f>
        <v>-14641.391087223546</v>
      </c>
    </row>
    <row r="1282" spans="1:24">
      <c r="A1282" s="16">
        <f t="shared" si="232"/>
        <v>1281</v>
      </c>
      <c r="B1282" s="17">
        <f t="shared" si="239"/>
        <v>13.411199999999999</v>
      </c>
      <c r="C1282" s="16">
        <f>Specification!$G$32</f>
        <v>219.92450400000001</v>
      </c>
      <c r="D1282" s="17">
        <f>0.5*Specification!$K$4*Track!B1282^2*Specification!$K$3*Specification!$K$2</f>
        <v>93.159842569492653</v>
      </c>
      <c r="E1282" s="16">
        <v>0</v>
      </c>
      <c r="F1282" s="17">
        <f>Specification!$C$23*9.81*SIN((E1282*PI()/180))</f>
        <v>0</v>
      </c>
      <c r="G1282" s="18">
        <f>IF(J1282=1,VLOOKUP(K1282,RPM!$E$2:$H$62,3,FALSE)-F1282-E1282-D1282,IF(J1282=2,VLOOKUP(K1282,RPM!$H$2:$K$62,3,FALSE)-F1282-E1282-D1282,IF(J1282=3,VLOOKUP(K1282,RPM!$K$2:$N$62,3,FALSE)-F1282-E1282-D1282)))</f>
        <v>688.48526429214962</v>
      </c>
      <c r="H1282" s="19">
        <f>IF(J1282=1,Specification!$I$14,IF(J1282=2,Specification!$I$15,IF(J1282=3,Specification!$I$16)))</f>
        <v>582.50936296077191</v>
      </c>
      <c r="I1282" s="16">
        <f t="shared" si="237"/>
        <v>0</v>
      </c>
      <c r="J1282" s="17">
        <v>2</v>
      </c>
      <c r="K1282" s="16">
        <f>IF(J1282=1,VLOOKUP(B1282,RPM!$F$2:$H$62,3,TRUE),IF(J1282=2,VLOOKUP(B1282,RPM!$I$2:$K$62,3,TRUE),IF(J1282=3,VLOOKUP(B1282,RPM!$L$2:$N$62,3,TRUE))))</f>
        <v>7000</v>
      </c>
      <c r="L1282" s="17">
        <f t="shared" si="236"/>
        <v>99.792520049201158</v>
      </c>
      <c r="M1282" s="16">
        <f t="shared" si="238"/>
        <v>0</v>
      </c>
      <c r="N1282" s="17">
        <f>VLOOKUP(K1282,RPM!$A$2:$D$62,3,FALSE)</f>
        <v>13</v>
      </c>
      <c r="O1282" s="16">
        <f>VLOOKUP(K1282,RPM!$A$2:$D$62,4,FALSE)</f>
        <v>13.235857142857142</v>
      </c>
      <c r="P1282" s="17">
        <f t="shared" ref="P1282:P1345" si="240">O1282*0.7457</f>
        <v>9.8699786714285711</v>
      </c>
      <c r="Q1282" s="16" cm="1">
        <f t="array" ref="Q1282">_xlfn.XLOOKUP(O1282,BSFC!$A$2:$A$24,_xlfn.XLOOKUP(K1282,BSFC!$B$1:$O$1,BSFC!$B$2:$O$24,,-1),,-1)</f>
        <v>520</v>
      </c>
      <c r="R1282" s="17">
        <f t="shared" ref="R1282:R1345" si="241">Q1282*P1282/3600</f>
        <v>1.425663585873016</v>
      </c>
      <c r="S1282" s="16">
        <f t="shared" si="230"/>
        <v>2.0443068048074323E-4</v>
      </c>
      <c r="T1282" s="17">
        <f t="shared" si="233"/>
        <v>0.10630395384998648</v>
      </c>
      <c r="U1282" s="16">
        <f t="shared" si="234"/>
        <v>164.66415561652445</v>
      </c>
      <c r="V1282" s="17">
        <f t="shared" si="235"/>
        <v>0.33859358585393606</v>
      </c>
      <c r="W1282" s="16">
        <f t="shared" si="231"/>
        <v>1218936.9090741698</v>
      </c>
      <c r="X1282">
        <f>('Hybrid Info'!$A$2-Track!P1282)*(L1282-L1281)*1000+X1281</f>
        <v>-14473.585378237294</v>
      </c>
    </row>
    <row r="1283" spans="1:24">
      <c r="A1283" s="16">
        <f t="shared" si="232"/>
        <v>1282</v>
      </c>
      <c r="B1283" s="17">
        <f t="shared" si="239"/>
        <v>13.411199999999999</v>
      </c>
      <c r="C1283" s="16">
        <f>Specification!$G$32</f>
        <v>219.92450400000001</v>
      </c>
      <c r="D1283" s="17">
        <f>0.5*Specification!$K$4*Track!B1283^2*Specification!$K$3*Specification!$K$2</f>
        <v>93.159842569492653</v>
      </c>
      <c r="E1283" s="16">
        <v>0</v>
      </c>
      <c r="F1283" s="17">
        <f>Specification!$C$23*9.81*SIN((E1283*PI()/180))</f>
        <v>0</v>
      </c>
      <c r="G1283" s="18">
        <f>IF(J1283=1,VLOOKUP(K1283,RPM!$E$2:$H$62,3,FALSE)-F1283-E1283-D1283,IF(J1283=2,VLOOKUP(K1283,RPM!$H$2:$K$62,3,FALSE)-F1283-E1283-D1283,IF(J1283=3,VLOOKUP(K1283,RPM!$K$2:$N$62,3,FALSE)-F1283-E1283-D1283)))</f>
        <v>688.48526429214962</v>
      </c>
      <c r="H1283" s="19">
        <f>IF(J1283=1,Specification!$I$14,IF(J1283=2,Specification!$I$15,IF(J1283=3,Specification!$I$16)))</f>
        <v>582.50936296077191</v>
      </c>
      <c r="I1283" s="16">
        <f t="shared" si="237"/>
        <v>0</v>
      </c>
      <c r="J1283" s="17">
        <v>2</v>
      </c>
      <c r="K1283" s="16">
        <f>IF(J1283=1,VLOOKUP(B1283,RPM!$F$2:$H$62,3,TRUE),IF(J1283=2,VLOOKUP(B1283,RPM!$I$2:$K$62,3,TRUE),IF(J1283=3,VLOOKUP(B1283,RPM!$L$2:$N$62,3,TRUE))))</f>
        <v>7000</v>
      </c>
      <c r="L1283" s="17">
        <f t="shared" si="236"/>
        <v>99.867084592269634</v>
      </c>
      <c r="M1283" s="16">
        <f t="shared" si="238"/>
        <v>0</v>
      </c>
      <c r="N1283" s="17">
        <f>VLOOKUP(K1283,RPM!$A$2:$D$62,3,FALSE)</f>
        <v>13</v>
      </c>
      <c r="O1283" s="16">
        <f>VLOOKUP(K1283,RPM!$A$2:$D$62,4,FALSE)</f>
        <v>13.235857142857142</v>
      </c>
      <c r="P1283" s="17">
        <f t="shared" si="240"/>
        <v>9.8699786714285711</v>
      </c>
      <c r="Q1283" s="16" cm="1">
        <f t="array" ref="Q1283">_xlfn.XLOOKUP(O1283,BSFC!$A$2:$A$24,_xlfn.XLOOKUP(K1283,BSFC!$B$1:$O$1,BSFC!$B$2:$O$24,,-1),,-1)</f>
        <v>520</v>
      </c>
      <c r="R1283" s="17">
        <f t="shared" si="241"/>
        <v>1.425663585873016</v>
      </c>
      <c r="S1283" s="16">
        <f t="shared" ref="S1283:S1346" si="242">(L1283-L1282)/3600*P1283</f>
        <v>2.0443068048074323E-4</v>
      </c>
      <c r="T1283" s="17">
        <f t="shared" si="233"/>
        <v>0.10630395384998648</v>
      </c>
      <c r="U1283" s="16">
        <f t="shared" si="234"/>
        <v>164.77045957037444</v>
      </c>
      <c r="V1283" s="17">
        <f t="shared" si="235"/>
        <v>0.33879801653441682</v>
      </c>
      <c r="W1283" s="16">
        <f t="shared" ref="W1283:W1346" si="243">V1283*1000*3600</f>
        <v>1219672.8595239006</v>
      </c>
      <c r="X1283">
        <f>('Hybrid Info'!$A$2-Track!P1283)*(L1283-L1282)*1000+X1282</f>
        <v>-14305.779669251042</v>
      </c>
    </row>
    <row r="1284" spans="1:24">
      <c r="A1284" s="16">
        <f t="shared" ref="A1284:A1347" si="244">A1283+1</f>
        <v>1283</v>
      </c>
      <c r="B1284" s="17">
        <f t="shared" si="239"/>
        <v>13.411199999999999</v>
      </c>
      <c r="C1284" s="16">
        <f>Specification!$G$32</f>
        <v>219.92450400000001</v>
      </c>
      <c r="D1284" s="17">
        <f>0.5*Specification!$K$4*Track!B1284^2*Specification!$K$3*Specification!$K$2</f>
        <v>93.159842569492653</v>
      </c>
      <c r="E1284" s="16">
        <v>0</v>
      </c>
      <c r="F1284" s="17">
        <f>Specification!$C$23*9.81*SIN((E1284*PI()/180))</f>
        <v>0</v>
      </c>
      <c r="G1284" s="18">
        <f>IF(J1284=1,VLOOKUP(K1284,RPM!$E$2:$H$62,3,FALSE)-F1284-E1284-D1284,IF(J1284=2,VLOOKUP(K1284,RPM!$H$2:$K$62,3,FALSE)-F1284-E1284-D1284,IF(J1284=3,VLOOKUP(K1284,RPM!$K$2:$N$62,3,FALSE)-F1284-E1284-D1284)))</f>
        <v>688.48526429214962</v>
      </c>
      <c r="H1284" s="19">
        <f>IF(J1284=1,Specification!$I$14,IF(J1284=2,Specification!$I$15,IF(J1284=3,Specification!$I$16)))</f>
        <v>582.50936296077191</v>
      </c>
      <c r="I1284" s="16">
        <f t="shared" si="237"/>
        <v>0</v>
      </c>
      <c r="J1284" s="17">
        <v>2</v>
      </c>
      <c r="K1284" s="16">
        <f>IF(J1284=1,VLOOKUP(B1284,RPM!$F$2:$H$62,3,TRUE),IF(J1284=2,VLOOKUP(B1284,RPM!$I$2:$K$62,3,TRUE),IF(J1284=3,VLOOKUP(B1284,RPM!$L$2:$N$62,3,TRUE))))</f>
        <v>7000</v>
      </c>
      <c r="L1284" s="17">
        <f t="shared" si="236"/>
        <v>99.94164913533811</v>
      </c>
      <c r="M1284" s="16">
        <f t="shared" si="238"/>
        <v>0</v>
      </c>
      <c r="N1284" s="17">
        <f>VLOOKUP(K1284,RPM!$A$2:$D$62,3,FALSE)</f>
        <v>13</v>
      </c>
      <c r="O1284" s="16">
        <f>VLOOKUP(K1284,RPM!$A$2:$D$62,4,FALSE)</f>
        <v>13.235857142857142</v>
      </c>
      <c r="P1284" s="17">
        <f t="shared" si="240"/>
        <v>9.8699786714285711</v>
      </c>
      <c r="Q1284" s="16" cm="1">
        <f t="array" ref="Q1284">_xlfn.XLOOKUP(O1284,BSFC!$A$2:$A$24,_xlfn.XLOOKUP(K1284,BSFC!$B$1:$O$1,BSFC!$B$2:$O$24,,-1),,-1)</f>
        <v>520</v>
      </c>
      <c r="R1284" s="17">
        <f t="shared" si="241"/>
        <v>1.425663585873016</v>
      </c>
      <c r="S1284" s="16">
        <f t="shared" si="242"/>
        <v>2.0443068048074323E-4</v>
      </c>
      <c r="T1284" s="17">
        <f t="shared" ref="T1284:T1347" si="245">S1284*Q1284</f>
        <v>0.10630395384998648</v>
      </c>
      <c r="U1284" s="16">
        <f t="shared" ref="U1284:U1347" si="246">U1283+T1284</f>
        <v>164.87676352422443</v>
      </c>
      <c r="V1284" s="17">
        <f t="shared" si="235"/>
        <v>0.33900244721489758</v>
      </c>
      <c r="W1284" s="16">
        <f t="shared" si="243"/>
        <v>1220408.8099736313</v>
      </c>
      <c r="X1284">
        <f>('Hybrid Info'!$A$2-Track!P1284)*(L1284-L1283)*1000+X1283</f>
        <v>-14137.97396026479</v>
      </c>
    </row>
    <row r="1285" spans="1:24">
      <c r="A1285" s="16">
        <f t="shared" si="244"/>
        <v>1284</v>
      </c>
      <c r="B1285" s="17">
        <f t="shared" si="239"/>
        <v>13.411199999999999</v>
      </c>
      <c r="C1285" s="16">
        <f>Specification!$G$32</f>
        <v>219.92450400000001</v>
      </c>
      <c r="D1285" s="17">
        <f>0.5*Specification!$K$4*Track!B1285^2*Specification!$K$3*Specification!$K$2</f>
        <v>93.159842569492653</v>
      </c>
      <c r="E1285" s="16">
        <v>0</v>
      </c>
      <c r="F1285" s="17">
        <f>Specification!$C$23*9.81*SIN((E1285*PI()/180))</f>
        <v>0</v>
      </c>
      <c r="G1285" s="18">
        <f>IF(J1285=1,VLOOKUP(K1285,RPM!$E$2:$H$62,3,FALSE)-F1285-E1285-D1285,IF(J1285=2,VLOOKUP(K1285,RPM!$H$2:$K$62,3,FALSE)-F1285-E1285-D1285,IF(J1285=3,VLOOKUP(K1285,RPM!$K$2:$N$62,3,FALSE)-F1285-E1285-D1285)))</f>
        <v>688.48526429214962</v>
      </c>
      <c r="H1285" s="19">
        <f>IF(J1285=1,Specification!$I$14,IF(J1285=2,Specification!$I$15,IF(J1285=3,Specification!$I$16)))</f>
        <v>582.50936296077191</v>
      </c>
      <c r="I1285" s="16">
        <f t="shared" si="237"/>
        <v>0</v>
      </c>
      <c r="J1285" s="17">
        <v>2</v>
      </c>
      <c r="K1285" s="16">
        <f>IF(J1285=1,VLOOKUP(B1285,RPM!$F$2:$H$62,3,TRUE),IF(J1285=2,VLOOKUP(B1285,RPM!$I$2:$K$62,3,TRUE),IF(J1285=3,VLOOKUP(B1285,RPM!$L$2:$N$62,3,TRUE))))</f>
        <v>7000</v>
      </c>
      <c r="L1285" s="17">
        <f t="shared" si="236"/>
        <v>100.01621367840659</v>
      </c>
      <c r="M1285" s="16">
        <f t="shared" si="238"/>
        <v>0</v>
      </c>
      <c r="N1285" s="17">
        <f>VLOOKUP(K1285,RPM!$A$2:$D$62,3,FALSE)</f>
        <v>13</v>
      </c>
      <c r="O1285" s="16">
        <f>VLOOKUP(K1285,RPM!$A$2:$D$62,4,FALSE)</f>
        <v>13.235857142857142</v>
      </c>
      <c r="P1285" s="17">
        <f t="shared" si="240"/>
        <v>9.8699786714285711</v>
      </c>
      <c r="Q1285" s="16" cm="1">
        <f t="array" ref="Q1285">_xlfn.XLOOKUP(O1285,BSFC!$A$2:$A$24,_xlfn.XLOOKUP(K1285,BSFC!$B$1:$O$1,BSFC!$B$2:$O$24,,-1),,-1)</f>
        <v>520</v>
      </c>
      <c r="R1285" s="17">
        <f t="shared" si="241"/>
        <v>1.425663585873016</v>
      </c>
      <c r="S1285" s="16">
        <f t="shared" si="242"/>
        <v>2.0443068048074323E-4</v>
      </c>
      <c r="T1285" s="17">
        <f t="shared" si="245"/>
        <v>0.10630395384998648</v>
      </c>
      <c r="U1285" s="16">
        <f t="shared" si="246"/>
        <v>164.98306747807442</v>
      </c>
      <c r="V1285" s="17">
        <f t="shared" ref="V1285:V1348" si="247">V1284+S1285</f>
        <v>0.33920687789537834</v>
      </c>
      <c r="W1285" s="16">
        <f t="shared" si="243"/>
        <v>1221144.760423362</v>
      </c>
      <c r="X1285">
        <f>('Hybrid Info'!$A$2-Track!P1285)*(L1285-L1284)*1000+X1284</f>
        <v>-13970.168251278537</v>
      </c>
    </row>
    <row r="1286" spans="1:24">
      <c r="A1286" s="16">
        <f t="shared" si="244"/>
        <v>1285</v>
      </c>
      <c r="B1286" s="17">
        <f t="shared" si="239"/>
        <v>13.411199999999999</v>
      </c>
      <c r="C1286" s="16">
        <f>Specification!$G$32</f>
        <v>219.92450400000001</v>
      </c>
      <c r="D1286" s="17">
        <f>0.5*Specification!$K$4*Track!B1286^2*Specification!$K$3*Specification!$K$2</f>
        <v>93.159842569492653</v>
      </c>
      <c r="E1286" s="16">
        <v>0</v>
      </c>
      <c r="F1286" s="17">
        <f>Specification!$C$23*9.81*SIN((E1286*PI()/180))</f>
        <v>0</v>
      </c>
      <c r="G1286" s="18">
        <f>IF(J1286=1,VLOOKUP(K1286,RPM!$E$2:$H$62,3,FALSE)-F1286-E1286-D1286,IF(J1286=2,VLOOKUP(K1286,RPM!$H$2:$K$62,3,FALSE)-F1286-E1286-D1286,IF(J1286=3,VLOOKUP(K1286,RPM!$K$2:$N$62,3,FALSE)-F1286-E1286-D1286)))</f>
        <v>688.48526429214962</v>
      </c>
      <c r="H1286" s="19">
        <f>IF(J1286=1,Specification!$I$14,IF(J1286=2,Specification!$I$15,IF(J1286=3,Specification!$I$16)))</f>
        <v>582.50936296077191</v>
      </c>
      <c r="I1286" s="16">
        <f t="shared" si="237"/>
        <v>0</v>
      </c>
      <c r="J1286" s="17">
        <v>2</v>
      </c>
      <c r="K1286" s="16">
        <f>IF(J1286=1,VLOOKUP(B1286,RPM!$F$2:$H$62,3,TRUE),IF(J1286=2,VLOOKUP(B1286,RPM!$I$2:$K$62,3,TRUE),IF(J1286=3,VLOOKUP(B1286,RPM!$L$2:$N$62,3,TRUE))))</f>
        <v>7000</v>
      </c>
      <c r="L1286" s="17">
        <f t="shared" si="236"/>
        <v>100.09077822147506</v>
      </c>
      <c r="M1286" s="16">
        <f t="shared" si="238"/>
        <v>0</v>
      </c>
      <c r="N1286" s="17">
        <f>VLOOKUP(K1286,RPM!$A$2:$D$62,3,FALSE)</f>
        <v>13</v>
      </c>
      <c r="O1286" s="16">
        <f>VLOOKUP(K1286,RPM!$A$2:$D$62,4,FALSE)</f>
        <v>13.235857142857142</v>
      </c>
      <c r="P1286" s="17">
        <f t="shared" si="240"/>
        <v>9.8699786714285711</v>
      </c>
      <c r="Q1286" s="16" cm="1">
        <f t="array" ref="Q1286">_xlfn.XLOOKUP(O1286,BSFC!$A$2:$A$24,_xlfn.XLOOKUP(K1286,BSFC!$B$1:$O$1,BSFC!$B$2:$O$24,,-1),,-1)</f>
        <v>520</v>
      </c>
      <c r="R1286" s="17">
        <f t="shared" si="241"/>
        <v>1.425663585873016</v>
      </c>
      <c r="S1286" s="16">
        <f t="shared" si="242"/>
        <v>2.0443068048074323E-4</v>
      </c>
      <c r="T1286" s="17">
        <f t="shared" si="245"/>
        <v>0.10630395384998648</v>
      </c>
      <c r="U1286" s="16">
        <f t="shared" si="246"/>
        <v>165.08937143192441</v>
      </c>
      <c r="V1286" s="17">
        <f t="shared" si="247"/>
        <v>0.33941130857585911</v>
      </c>
      <c r="W1286" s="16">
        <f t="shared" si="243"/>
        <v>1221880.7108730928</v>
      </c>
      <c r="X1286">
        <f>('Hybrid Info'!$A$2-Track!P1286)*(L1286-L1285)*1000+X1285</f>
        <v>-13802.362542292285</v>
      </c>
    </row>
    <row r="1287" spans="1:24">
      <c r="A1287" s="16">
        <f t="shared" si="244"/>
        <v>1286</v>
      </c>
      <c r="B1287" s="17">
        <f t="shared" si="239"/>
        <v>13.411199999999999</v>
      </c>
      <c r="C1287" s="16">
        <f>Specification!$G$32</f>
        <v>219.92450400000001</v>
      </c>
      <c r="D1287" s="17">
        <f>0.5*Specification!$K$4*Track!B1287^2*Specification!$K$3*Specification!$K$2</f>
        <v>93.159842569492653</v>
      </c>
      <c r="E1287" s="16">
        <v>0</v>
      </c>
      <c r="F1287" s="17">
        <f>Specification!$C$23*9.81*SIN((E1287*PI()/180))</f>
        <v>0</v>
      </c>
      <c r="G1287" s="18">
        <f>IF(J1287=1,VLOOKUP(K1287,RPM!$E$2:$H$62,3,FALSE)-F1287-E1287-D1287,IF(J1287=2,VLOOKUP(K1287,RPM!$H$2:$K$62,3,FALSE)-F1287-E1287-D1287,IF(J1287=3,VLOOKUP(K1287,RPM!$K$2:$N$62,3,FALSE)-F1287-E1287-D1287)))</f>
        <v>688.48526429214962</v>
      </c>
      <c r="H1287" s="19">
        <f>IF(J1287=1,Specification!$I$14,IF(J1287=2,Specification!$I$15,IF(J1287=3,Specification!$I$16)))</f>
        <v>582.50936296077191</v>
      </c>
      <c r="I1287" s="16">
        <f t="shared" si="237"/>
        <v>0</v>
      </c>
      <c r="J1287" s="17">
        <v>2</v>
      </c>
      <c r="K1287" s="16">
        <f>IF(J1287=1,VLOOKUP(B1287,RPM!$F$2:$H$62,3,TRUE),IF(J1287=2,VLOOKUP(B1287,RPM!$I$2:$K$62,3,TRUE),IF(J1287=3,VLOOKUP(B1287,RPM!$L$2:$N$62,3,TRUE))))</f>
        <v>7000</v>
      </c>
      <c r="L1287" s="17">
        <f t="shared" si="236"/>
        <v>100.16534276454354</v>
      </c>
      <c r="M1287" s="16">
        <f t="shared" si="238"/>
        <v>0</v>
      </c>
      <c r="N1287" s="17">
        <f>VLOOKUP(K1287,RPM!$A$2:$D$62,3,FALSE)</f>
        <v>13</v>
      </c>
      <c r="O1287" s="16">
        <f>VLOOKUP(K1287,RPM!$A$2:$D$62,4,FALSE)</f>
        <v>13.235857142857142</v>
      </c>
      <c r="P1287" s="17">
        <f t="shared" si="240"/>
        <v>9.8699786714285711</v>
      </c>
      <c r="Q1287" s="16" cm="1">
        <f t="array" ref="Q1287">_xlfn.XLOOKUP(O1287,BSFC!$A$2:$A$24,_xlfn.XLOOKUP(K1287,BSFC!$B$1:$O$1,BSFC!$B$2:$O$24,,-1),,-1)</f>
        <v>520</v>
      </c>
      <c r="R1287" s="17">
        <f t="shared" si="241"/>
        <v>1.425663585873016</v>
      </c>
      <c r="S1287" s="16">
        <f t="shared" si="242"/>
        <v>2.0443068048074323E-4</v>
      </c>
      <c r="T1287" s="17">
        <f t="shared" si="245"/>
        <v>0.10630395384998648</v>
      </c>
      <c r="U1287" s="16">
        <f t="shared" si="246"/>
        <v>165.19567538577439</v>
      </c>
      <c r="V1287" s="17">
        <f t="shared" si="247"/>
        <v>0.33961573925633987</v>
      </c>
      <c r="W1287" s="16">
        <f t="shared" si="243"/>
        <v>1222616.6613228235</v>
      </c>
      <c r="X1287">
        <f>('Hybrid Info'!$A$2-Track!P1287)*(L1287-L1286)*1000+X1286</f>
        <v>-13634.556833306033</v>
      </c>
    </row>
    <row r="1288" spans="1:24">
      <c r="A1288" s="16">
        <f t="shared" si="244"/>
        <v>1287</v>
      </c>
      <c r="B1288" s="17">
        <f t="shared" si="239"/>
        <v>13.411199999999999</v>
      </c>
      <c r="C1288" s="16">
        <f>Specification!$G$32</f>
        <v>219.92450400000001</v>
      </c>
      <c r="D1288" s="17">
        <f>0.5*Specification!$K$4*Track!B1288^2*Specification!$K$3*Specification!$K$2</f>
        <v>93.159842569492653</v>
      </c>
      <c r="E1288" s="16">
        <v>0</v>
      </c>
      <c r="F1288" s="17">
        <f>Specification!$C$23*9.81*SIN((E1288*PI()/180))</f>
        <v>0</v>
      </c>
      <c r="G1288" s="18">
        <f>IF(J1288=1,VLOOKUP(K1288,RPM!$E$2:$H$62,3,FALSE)-F1288-E1288-D1288,IF(J1288=2,VLOOKUP(K1288,RPM!$H$2:$K$62,3,FALSE)-F1288-E1288-D1288,IF(J1288=3,VLOOKUP(K1288,RPM!$K$2:$N$62,3,FALSE)-F1288-E1288-D1288)))</f>
        <v>688.48526429214962</v>
      </c>
      <c r="H1288" s="19">
        <f>IF(J1288=1,Specification!$I$14,IF(J1288=2,Specification!$I$15,IF(J1288=3,Specification!$I$16)))</f>
        <v>582.50936296077191</v>
      </c>
      <c r="I1288" s="16">
        <f t="shared" si="237"/>
        <v>0</v>
      </c>
      <c r="J1288" s="17">
        <v>2</v>
      </c>
      <c r="K1288" s="16">
        <f>IF(J1288=1,VLOOKUP(B1288,RPM!$F$2:$H$62,3,TRUE),IF(J1288=2,VLOOKUP(B1288,RPM!$I$2:$K$62,3,TRUE),IF(J1288=3,VLOOKUP(B1288,RPM!$L$2:$N$62,3,TRUE))))</f>
        <v>7000</v>
      </c>
      <c r="L1288" s="17">
        <f t="shared" si="236"/>
        <v>100.23990730761201</v>
      </c>
      <c r="M1288" s="16">
        <f t="shared" si="238"/>
        <v>0</v>
      </c>
      <c r="N1288" s="17">
        <f>VLOOKUP(K1288,RPM!$A$2:$D$62,3,FALSE)</f>
        <v>13</v>
      </c>
      <c r="O1288" s="16">
        <f>VLOOKUP(K1288,RPM!$A$2:$D$62,4,FALSE)</f>
        <v>13.235857142857142</v>
      </c>
      <c r="P1288" s="17">
        <f t="shared" si="240"/>
        <v>9.8699786714285711</v>
      </c>
      <c r="Q1288" s="16" cm="1">
        <f t="array" ref="Q1288">_xlfn.XLOOKUP(O1288,BSFC!$A$2:$A$24,_xlfn.XLOOKUP(K1288,BSFC!$B$1:$O$1,BSFC!$B$2:$O$24,,-1),,-1)</f>
        <v>520</v>
      </c>
      <c r="R1288" s="17">
        <f t="shared" si="241"/>
        <v>1.425663585873016</v>
      </c>
      <c r="S1288" s="16">
        <f t="shared" si="242"/>
        <v>2.0443068048074323E-4</v>
      </c>
      <c r="T1288" s="17">
        <f t="shared" si="245"/>
        <v>0.10630395384998648</v>
      </c>
      <c r="U1288" s="16">
        <f t="shared" si="246"/>
        <v>165.30197933962438</v>
      </c>
      <c r="V1288" s="17">
        <f t="shared" si="247"/>
        <v>0.33982016993682063</v>
      </c>
      <c r="W1288" s="16">
        <f t="shared" si="243"/>
        <v>1223352.6117725542</v>
      </c>
      <c r="X1288">
        <f>('Hybrid Info'!$A$2-Track!P1288)*(L1288-L1287)*1000+X1287</f>
        <v>-13466.751124319781</v>
      </c>
    </row>
    <row r="1289" spans="1:24">
      <c r="A1289" s="16">
        <f t="shared" si="244"/>
        <v>1288</v>
      </c>
      <c r="B1289" s="17">
        <f t="shared" si="239"/>
        <v>13.411199999999999</v>
      </c>
      <c r="C1289" s="16">
        <f>Specification!$G$32</f>
        <v>219.92450400000001</v>
      </c>
      <c r="D1289" s="17">
        <f>0.5*Specification!$K$4*Track!B1289^2*Specification!$K$3*Specification!$K$2</f>
        <v>93.159842569492653</v>
      </c>
      <c r="E1289" s="16">
        <v>0</v>
      </c>
      <c r="F1289" s="17">
        <f>Specification!$C$23*9.81*SIN((E1289*PI()/180))</f>
        <v>0</v>
      </c>
      <c r="G1289" s="18">
        <f>IF(J1289=1,VLOOKUP(K1289,RPM!$E$2:$H$62,3,FALSE)-F1289-E1289-D1289,IF(J1289=2,VLOOKUP(K1289,RPM!$H$2:$K$62,3,FALSE)-F1289-E1289-D1289,IF(J1289=3,VLOOKUP(K1289,RPM!$K$2:$N$62,3,FALSE)-F1289-E1289-D1289)))</f>
        <v>688.48526429214962</v>
      </c>
      <c r="H1289" s="19">
        <f>IF(J1289=1,Specification!$I$14,IF(J1289=2,Specification!$I$15,IF(J1289=3,Specification!$I$16)))</f>
        <v>582.50936296077191</v>
      </c>
      <c r="I1289" s="16">
        <f t="shared" si="237"/>
        <v>0</v>
      </c>
      <c r="J1289" s="17">
        <v>2</v>
      </c>
      <c r="K1289" s="16">
        <f>IF(J1289=1,VLOOKUP(B1289,RPM!$F$2:$H$62,3,TRUE),IF(J1289=2,VLOOKUP(B1289,RPM!$I$2:$K$62,3,TRUE),IF(J1289=3,VLOOKUP(B1289,RPM!$L$2:$N$62,3,TRUE))))</f>
        <v>7000</v>
      </c>
      <c r="L1289" s="17">
        <f t="shared" si="236"/>
        <v>100.31447185068049</v>
      </c>
      <c r="M1289" s="16">
        <f t="shared" si="238"/>
        <v>0</v>
      </c>
      <c r="N1289" s="17">
        <f>VLOOKUP(K1289,RPM!$A$2:$D$62,3,FALSE)</f>
        <v>13</v>
      </c>
      <c r="O1289" s="16">
        <f>VLOOKUP(K1289,RPM!$A$2:$D$62,4,FALSE)</f>
        <v>13.235857142857142</v>
      </c>
      <c r="P1289" s="17">
        <f t="shared" si="240"/>
        <v>9.8699786714285711</v>
      </c>
      <c r="Q1289" s="16" cm="1">
        <f t="array" ref="Q1289">_xlfn.XLOOKUP(O1289,BSFC!$A$2:$A$24,_xlfn.XLOOKUP(K1289,BSFC!$B$1:$O$1,BSFC!$B$2:$O$24,,-1),,-1)</f>
        <v>520</v>
      </c>
      <c r="R1289" s="17">
        <f t="shared" si="241"/>
        <v>1.425663585873016</v>
      </c>
      <c r="S1289" s="16">
        <f t="shared" si="242"/>
        <v>2.0443068048074323E-4</v>
      </c>
      <c r="T1289" s="17">
        <f t="shared" si="245"/>
        <v>0.10630395384998648</v>
      </c>
      <c r="U1289" s="16">
        <f t="shared" si="246"/>
        <v>165.40828329347437</v>
      </c>
      <c r="V1289" s="17">
        <f t="shared" si="247"/>
        <v>0.34002460061730139</v>
      </c>
      <c r="W1289" s="16">
        <f t="shared" si="243"/>
        <v>1224088.562222285</v>
      </c>
      <c r="X1289">
        <f>('Hybrid Info'!$A$2-Track!P1289)*(L1289-L1288)*1000+X1288</f>
        <v>-13298.945415333528</v>
      </c>
    </row>
    <row r="1290" spans="1:24">
      <c r="A1290" s="16">
        <f t="shared" si="244"/>
        <v>1289</v>
      </c>
      <c r="B1290" s="17">
        <f t="shared" si="239"/>
        <v>13.411199999999999</v>
      </c>
      <c r="C1290" s="16">
        <f>Specification!$G$32</f>
        <v>219.92450400000001</v>
      </c>
      <c r="D1290" s="17">
        <f>0.5*Specification!$K$4*Track!B1290^2*Specification!$K$3*Specification!$K$2</f>
        <v>93.159842569492653</v>
      </c>
      <c r="E1290" s="16">
        <v>0</v>
      </c>
      <c r="F1290" s="17">
        <f>Specification!$C$23*9.81*SIN((E1290*PI()/180))</f>
        <v>0</v>
      </c>
      <c r="G1290" s="18">
        <f>IF(J1290=1,VLOOKUP(K1290,RPM!$E$2:$H$62,3,FALSE)-F1290-E1290-D1290,IF(J1290=2,VLOOKUP(K1290,RPM!$H$2:$K$62,3,FALSE)-F1290-E1290-D1290,IF(J1290=3,VLOOKUP(K1290,RPM!$K$2:$N$62,3,FALSE)-F1290-E1290-D1290)))</f>
        <v>688.48526429214962</v>
      </c>
      <c r="H1290" s="19">
        <f>IF(J1290=1,Specification!$I$14,IF(J1290=2,Specification!$I$15,IF(J1290=3,Specification!$I$16)))</f>
        <v>582.50936296077191</v>
      </c>
      <c r="I1290" s="16">
        <f t="shared" si="237"/>
        <v>0</v>
      </c>
      <c r="J1290" s="17">
        <v>2</v>
      </c>
      <c r="K1290" s="16">
        <f>IF(J1290=1,VLOOKUP(B1290,RPM!$F$2:$H$62,3,TRUE),IF(J1290=2,VLOOKUP(B1290,RPM!$I$2:$K$62,3,TRUE),IF(J1290=3,VLOOKUP(B1290,RPM!$L$2:$N$62,3,TRUE))))</f>
        <v>7000</v>
      </c>
      <c r="L1290" s="17">
        <f t="shared" si="236"/>
        <v>100.38903639374897</v>
      </c>
      <c r="M1290" s="16">
        <f t="shared" si="238"/>
        <v>0</v>
      </c>
      <c r="N1290" s="17">
        <f>VLOOKUP(K1290,RPM!$A$2:$D$62,3,FALSE)</f>
        <v>13</v>
      </c>
      <c r="O1290" s="16">
        <f>VLOOKUP(K1290,RPM!$A$2:$D$62,4,FALSE)</f>
        <v>13.235857142857142</v>
      </c>
      <c r="P1290" s="17">
        <f t="shared" si="240"/>
        <v>9.8699786714285711</v>
      </c>
      <c r="Q1290" s="16" cm="1">
        <f t="array" ref="Q1290">_xlfn.XLOOKUP(O1290,BSFC!$A$2:$A$24,_xlfn.XLOOKUP(K1290,BSFC!$B$1:$O$1,BSFC!$B$2:$O$24,,-1),,-1)</f>
        <v>520</v>
      </c>
      <c r="R1290" s="17">
        <f t="shared" si="241"/>
        <v>1.425663585873016</v>
      </c>
      <c r="S1290" s="16">
        <f t="shared" si="242"/>
        <v>2.0443068048074323E-4</v>
      </c>
      <c r="T1290" s="17">
        <f t="shared" si="245"/>
        <v>0.10630395384998648</v>
      </c>
      <c r="U1290" s="16">
        <f t="shared" si="246"/>
        <v>165.51458724732436</v>
      </c>
      <c r="V1290" s="17">
        <f t="shared" si="247"/>
        <v>0.34022903129778215</v>
      </c>
      <c r="W1290" s="16">
        <f t="shared" si="243"/>
        <v>1224824.5126720159</v>
      </c>
      <c r="X1290">
        <f>('Hybrid Info'!$A$2-Track!P1290)*(L1290-L1289)*1000+X1289</f>
        <v>-13131.139706347276</v>
      </c>
    </row>
    <row r="1291" spans="1:24">
      <c r="A1291" s="16">
        <f t="shared" si="244"/>
        <v>1290</v>
      </c>
      <c r="B1291" s="17">
        <f t="shared" si="239"/>
        <v>13.411199999999999</v>
      </c>
      <c r="C1291" s="16">
        <f>Specification!$G$32</f>
        <v>219.92450400000001</v>
      </c>
      <c r="D1291" s="17">
        <f>0.5*Specification!$K$4*Track!B1291^2*Specification!$K$3*Specification!$K$2</f>
        <v>93.159842569492653</v>
      </c>
      <c r="E1291" s="16">
        <v>0</v>
      </c>
      <c r="F1291" s="17">
        <f>Specification!$C$23*9.81*SIN((E1291*PI()/180))</f>
        <v>0</v>
      </c>
      <c r="G1291" s="18">
        <f>IF(J1291=1,VLOOKUP(K1291,RPM!$E$2:$H$62,3,FALSE)-F1291-E1291-D1291,IF(J1291=2,VLOOKUP(K1291,RPM!$H$2:$K$62,3,FALSE)-F1291-E1291-D1291,IF(J1291=3,VLOOKUP(K1291,RPM!$K$2:$N$62,3,FALSE)-F1291-E1291-D1291)))</f>
        <v>688.48526429214962</v>
      </c>
      <c r="H1291" s="19">
        <f>IF(J1291=1,Specification!$I$14,IF(J1291=2,Specification!$I$15,IF(J1291=3,Specification!$I$16)))</f>
        <v>582.50936296077191</v>
      </c>
      <c r="I1291" s="16">
        <f t="shared" si="237"/>
        <v>0</v>
      </c>
      <c r="J1291" s="17">
        <v>2</v>
      </c>
      <c r="K1291" s="16">
        <f>IF(J1291=1,VLOOKUP(B1291,RPM!$F$2:$H$62,3,TRUE),IF(J1291=2,VLOOKUP(B1291,RPM!$I$2:$K$62,3,TRUE),IF(J1291=3,VLOOKUP(B1291,RPM!$L$2:$N$62,3,TRUE))))</f>
        <v>7000</v>
      </c>
      <c r="L1291" s="17">
        <f t="shared" si="236"/>
        <v>100.46360093681744</v>
      </c>
      <c r="M1291" s="16">
        <f t="shared" si="238"/>
        <v>0</v>
      </c>
      <c r="N1291" s="17">
        <f>VLOOKUP(K1291,RPM!$A$2:$D$62,3,FALSE)</f>
        <v>13</v>
      </c>
      <c r="O1291" s="16">
        <f>VLOOKUP(K1291,RPM!$A$2:$D$62,4,FALSE)</f>
        <v>13.235857142857142</v>
      </c>
      <c r="P1291" s="17">
        <f t="shared" si="240"/>
        <v>9.8699786714285711</v>
      </c>
      <c r="Q1291" s="16" cm="1">
        <f t="array" ref="Q1291">_xlfn.XLOOKUP(O1291,BSFC!$A$2:$A$24,_xlfn.XLOOKUP(K1291,BSFC!$B$1:$O$1,BSFC!$B$2:$O$24,,-1),,-1)</f>
        <v>520</v>
      </c>
      <c r="R1291" s="17">
        <f t="shared" si="241"/>
        <v>1.425663585873016</v>
      </c>
      <c r="S1291" s="16">
        <f t="shared" si="242"/>
        <v>2.0443068048074323E-4</v>
      </c>
      <c r="T1291" s="17">
        <f t="shared" si="245"/>
        <v>0.10630395384998648</v>
      </c>
      <c r="U1291" s="16">
        <f t="shared" si="246"/>
        <v>165.62089120117435</v>
      </c>
      <c r="V1291" s="17">
        <f t="shared" si="247"/>
        <v>0.34043346197826291</v>
      </c>
      <c r="W1291" s="16">
        <f t="shared" si="243"/>
        <v>1225560.4631217464</v>
      </c>
      <c r="X1291">
        <f>('Hybrid Info'!$A$2-Track!P1291)*(L1291-L1290)*1000+X1290</f>
        <v>-12963.333997361024</v>
      </c>
    </row>
    <row r="1292" spans="1:24">
      <c r="A1292" s="16">
        <f t="shared" si="244"/>
        <v>1291</v>
      </c>
      <c r="B1292" s="17">
        <f t="shared" si="239"/>
        <v>13.411199999999999</v>
      </c>
      <c r="C1292" s="16">
        <f>Specification!$G$32</f>
        <v>219.92450400000001</v>
      </c>
      <c r="D1292" s="17">
        <f>0.5*Specification!$K$4*Track!B1292^2*Specification!$K$3*Specification!$K$2</f>
        <v>93.159842569492653</v>
      </c>
      <c r="E1292" s="16">
        <v>0</v>
      </c>
      <c r="F1292" s="17">
        <f>Specification!$C$23*9.81*SIN((E1292*PI()/180))</f>
        <v>0</v>
      </c>
      <c r="G1292" s="18">
        <f>IF(J1292=1,VLOOKUP(K1292,RPM!$E$2:$H$62,3,FALSE)-F1292-E1292-D1292,IF(J1292=2,VLOOKUP(K1292,RPM!$H$2:$K$62,3,FALSE)-F1292-E1292-D1292,IF(J1292=3,VLOOKUP(K1292,RPM!$K$2:$N$62,3,FALSE)-F1292-E1292-D1292)))</f>
        <v>688.48526429214962</v>
      </c>
      <c r="H1292" s="19">
        <f>IF(J1292=1,Specification!$I$14,IF(J1292=2,Specification!$I$15,IF(J1292=3,Specification!$I$16)))</f>
        <v>582.50936296077191</v>
      </c>
      <c r="I1292" s="16">
        <f t="shared" si="237"/>
        <v>0</v>
      </c>
      <c r="J1292" s="17">
        <v>2</v>
      </c>
      <c r="K1292" s="16">
        <f>IF(J1292=1,VLOOKUP(B1292,RPM!$F$2:$H$62,3,TRUE),IF(J1292=2,VLOOKUP(B1292,RPM!$I$2:$K$62,3,TRUE),IF(J1292=3,VLOOKUP(B1292,RPM!$L$2:$N$62,3,TRUE))))</f>
        <v>7000</v>
      </c>
      <c r="L1292" s="17">
        <f t="shared" si="236"/>
        <v>100.53816547988592</v>
      </c>
      <c r="M1292" s="16">
        <f t="shared" si="238"/>
        <v>0</v>
      </c>
      <c r="N1292" s="17">
        <f>VLOOKUP(K1292,RPM!$A$2:$D$62,3,FALSE)</f>
        <v>13</v>
      </c>
      <c r="O1292" s="16">
        <f>VLOOKUP(K1292,RPM!$A$2:$D$62,4,FALSE)</f>
        <v>13.235857142857142</v>
      </c>
      <c r="P1292" s="17">
        <f t="shared" si="240"/>
        <v>9.8699786714285711</v>
      </c>
      <c r="Q1292" s="16" cm="1">
        <f t="array" ref="Q1292">_xlfn.XLOOKUP(O1292,BSFC!$A$2:$A$24,_xlfn.XLOOKUP(K1292,BSFC!$B$1:$O$1,BSFC!$B$2:$O$24,,-1),,-1)</f>
        <v>520</v>
      </c>
      <c r="R1292" s="17">
        <f t="shared" si="241"/>
        <v>1.425663585873016</v>
      </c>
      <c r="S1292" s="16">
        <f t="shared" si="242"/>
        <v>2.0443068048074323E-4</v>
      </c>
      <c r="T1292" s="17">
        <f t="shared" si="245"/>
        <v>0.10630395384998648</v>
      </c>
      <c r="U1292" s="16">
        <f t="shared" si="246"/>
        <v>165.72719515502433</v>
      </c>
      <c r="V1292" s="17">
        <f t="shared" si="247"/>
        <v>0.34063789265874367</v>
      </c>
      <c r="W1292" s="16">
        <f t="shared" si="243"/>
        <v>1226296.4135714772</v>
      </c>
      <c r="X1292">
        <f>('Hybrid Info'!$A$2-Track!P1292)*(L1292-L1291)*1000+X1291</f>
        <v>-12795.528288374771</v>
      </c>
    </row>
    <row r="1293" spans="1:24">
      <c r="A1293" s="16">
        <f t="shared" si="244"/>
        <v>1292</v>
      </c>
      <c r="B1293" s="17">
        <f t="shared" si="239"/>
        <v>13.411199999999999</v>
      </c>
      <c r="C1293" s="16">
        <f>Specification!$G$32</f>
        <v>219.92450400000001</v>
      </c>
      <c r="D1293" s="17">
        <f>0.5*Specification!$K$4*Track!B1293^2*Specification!$K$3*Specification!$K$2</f>
        <v>93.159842569492653</v>
      </c>
      <c r="E1293" s="16">
        <v>0</v>
      </c>
      <c r="F1293" s="17">
        <f>Specification!$C$23*9.81*SIN((E1293*PI()/180))</f>
        <v>0</v>
      </c>
      <c r="G1293" s="18">
        <f>IF(J1293=1,VLOOKUP(K1293,RPM!$E$2:$H$62,3,FALSE)-F1293-E1293-D1293,IF(J1293=2,VLOOKUP(K1293,RPM!$H$2:$K$62,3,FALSE)-F1293-E1293-D1293,IF(J1293=3,VLOOKUP(K1293,RPM!$K$2:$N$62,3,FALSE)-F1293-E1293-D1293)))</f>
        <v>688.48526429214962</v>
      </c>
      <c r="H1293" s="19">
        <f>IF(J1293=1,Specification!$I$14,IF(J1293=2,Specification!$I$15,IF(J1293=3,Specification!$I$16)))</f>
        <v>582.50936296077191</v>
      </c>
      <c r="I1293" s="16">
        <f t="shared" si="237"/>
        <v>0</v>
      </c>
      <c r="J1293" s="17">
        <v>2</v>
      </c>
      <c r="K1293" s="16">
        <f>IF(J1293=1,VLOOKUP(B1293,RPM!$F$2:$H$62,3,TRUE),IF(J1293=2,VLOOKUP(B1293,RPM!$I$2:$K$62,3,TRUE),IF(J1293=3,VLOOKUP(B1293,RPM!$L$2:$N$62,3,TRUE))))</f>
        <v>7000</v>
      </c>
      <c r="L1293" s="17">
        <f t="shared" ref="L1293:L1356" si="248">IF(I1293=0,ABS(1/B1293)+L1292,IF(ABS(B1294-B1293)=0,1/B1293+L1292,ABS((B1294-B1293)/I1293)+L1292))</f>
        <v>100.61273002295439</v>
      </c>
      <c r="M1293" s="16">
        <f t="shared" si="238"/>
        <v>0</v>
      </c>
      <c r="N1293" s="17">
        <f>VLOOKUP(K1293,RPM!$A$2:$D$62,3,FALSE)</f>
        <v>13</v>
      </c>
      <c r="O1293" s="16">
        <f>VLOOKUP(K1293,RPM!$A$2:$D$62,4,FALSE)</f>
        <v>13.235857142857142</v>
      </c>
      <c r="P1293" s="17">
        <f t="shared" si="240"/>
        <v>9.8699786714285711</v>
      </c>
      <c r="Q1293" s="16" cm="1">
        <f t="array" ref="Q1293">_xlfn.XLOOKUP(O1293,BSFC!$A$2:$A$24,_xlfn.XLOOKUP(K1293,BSFC!$B$1:$O$1,BSFC!$B$2:$O$24,,-1),,-1)</f>
        <v>520</v>
      </c>
      <c r="R1293" s="17">
        <f t="shared" si="241"/>
        <v>1.425663585873016</v>
      </c>
      <c r="S1293" s="16">
        <f t="shared" si="242"/>
        <v>2.0443068048074323E-4</v>
      </c>
      <c r="T1293" s="17">
        <f t="shared" si="245"/>
        <v>0.10630395384998648</v>
      </c>
      <c r="U1293" s="16">
        <f t="shared" si="246"/>
        <v>165.83349910887432</v>
      </c>
      <c r="V1293" s="17">
        <f t="shared" si="247"/>
        <v>0.34084232333922443</v>
      </c>
      <c r="W1293" s="16">
        <f t="shared" si="243"/>
        <v>1227032.3640212079</v>
      </c>
      <c r="X1293">
        <f>('Hybrid Info'!$A$2-Track!P1293)*(L1293-L1292)*1000+X1292</f>
        <v>-12627.722579388519</v>
      </c>
    </row>
    <row r="1294" spans="1:24">
      <c r="A1294" s="16">
        <f t="shared" si="244"/>
        <v>1293</v>
      </c>
      <c r="B1294" s="17">
        <f t="shared" si="239"/>
        <v>13.411199999999999</v>
      </c>
      <c r="C1294" s="16">
        <f>Specification!$G$32</f>
        <v>219.92450400000001</v>
      </c>
      <c r="D1294" s="17">
        <f>0.5*Specification!$K$4*Track!B1294^2*Specification!$K$3*Specification!$K$2</f>
        <v>93.159842569492653</v>
      </c>
      <c r="E1294" s="16">
        <v>0</v>
      </c>
      <c r="F1294" s="17">
        <f>Specification!$C$23*9.81*SIN((E1294*PI()/180))</f>
        <v>0</v>
      </c>
      <c r="G1294" s="18">
        <f>IF(J1294=1,VLOOKUP(K1294,RPM!$E$2:$H$62,3,FALSE)-F1294-E1294-D1294,IF(J1294=2,VLOOKUP(K1294,RPM!$H$2:$K$62,3,FALSE)-F1294-E1294-D1294,IF(J1294=3,VLOOKUP(K1294,RPM!$K$2:$N$62,3,FALSE)-F1294-E1294-D1294)))</f>
        <v>688.48526429214962</v>
      </c>
      <c r="H1294" s="19">
        <f>IF(J1294=1,Specification!$I$14,IF(J1294=2,Specification!$I$15,IF(J1294=3,Specification!$I$16)))</f>
        <v>582.50936296077191</v>
      </c>
      <c r="I1294" s="16">
        <f t="shared" si="237"/>
        <v>0</v>
      </c>
      <c r="J1294" s="17">
        <v>2</v>
      </c>
      <c r="K1294" s="16">
        <f>IF(J1294=1,VLOOKUP(B1294,RPM!$F$2:$H$62,3,TRUE),IF(J1294=2,VLOOKUP(B1294,RPM!$I$2:$K$62,3,TRUE),IF(J1294=3,VLOOKUP(B1294,RPM!$L$2:$N$62,3,TRUE))))</f>
        <v>7000</v>
      </c>
      <c r="L1294" s="17">
        <f t="shared" si="248"/>
        <v>100.68729456602287</v>
      </c>
      <c r="M1294" s="16">
        <f t="shared" si="238"/>
        <v>0</v>
      </c>
      <c r="N1294" s="17">
        <f>VLOOKUP(K1294,RPM!$A$2:$D$62,3,FALSE)</f>
        <v>13</v>
      </c>
      <c r="O1294" s="16">
        <f>VLOOKUP(K1294,RPM!$A$2:$D$62,4,FALSE)</f>
        <v>13.235857142857142</v>
      </c>
      <c r="P1294" s="17">
        <f t="shared" si="240"/>
        <v>9.8699786714285711</v>
      </c>
      <c r="Q1294" s="16" cm="1">
        <f t="array" ref="Q1294">_xlfn.XLOOKUP(O1294,BSFC!$A$2:$A$24,_xlfn.XLOOKUP(K1294,BSFC!$B$1:$O$1,BSFC!$B$2:$O$24,,-1),,-1)</f>
        <v>520</v>
      </c>
      <c r="R1294" s="17">
        <f t="shared" si="241"/>
        <v>1.425663585873016</v>
      </c>
      <c r="S1294" s="16">
        <f t="shared" si="242"/>
        <v>2.0443068048074323E-4</v>
      </c>
      <c r="T1294" s="17">
        <f t="shared" si="245"/>
        <v>0.10630395384998648</v>
      </c>
      <c r="U1294" s="16">
        <f t="shared" si="246"/>
        <v>165.93980306272431</v>
      </c>
      <c r="V1294" s="17">
        <f t="shared" si="247"/>
        <v>0.34104675401970519</v>
      </c>
      <c r="W1294" s="16">
        <f t="shared" si="243"/>
        <v>1227768.3144709386</v>
      </c>
      <c r="X1294">
        <f>('Hybrid Info'!$A$2-Track!P1294)*(L1294-L1293)*1000+X1293</f>
        <v>-12459.916870402267</v>
      </c>
    </row>
    <row r="1295" spans="1:24">
      <c r="A1295" s="16">
        <f t="shared" si="244"/>
        <v>1294</v>
      </c>
      <c r="B1295" s="17">
        <f t="shared" si="239"/>
        <v>13.411199999999999</v>
      </c>
      <c r="C1295" s="16">
        <f>Specification!$G$32</f>
        <v>219.92450400000001</v>
      </c>
      <c r="D1295" s="17">
        <f>0.5*Specification!$K$4*Track!B1295^2*Specification!$K$3*Specification!$K$2</f>
        <v>93.159842569492653</v>
      </c>
      <c r="E1295" s="16">
        <v>0</v>
      </c>
      <c r="F1295" s="17">
        <f>Specification!$C$23*9.81*SIN((E1295*PI()/180))</f>
        <v>0</v>
      </c>
      <c r="G1295" s="18">
        <f>IF(J1295=1,VLOOKUP(K1295,RPM!$E$2:$H$62,3,FALSE)-F1295-E1295-D1295,IF(J1295=2,VLOOKUP(K1295,RPM!$H$2:$K$62,3,FALSE)-F1295-E1295-D1295,IF(J1295=3,VLOOKUP(K1295,RPM!$K$2:$N$62,3,FALSE)-F1295-E1295-D1295)))</f>
        <v>688.48526429214962</v>
      </c>
      <c r="H1295" s="19">
        <f>IF(J1295=1,Specification!$I$14,IF(J1295=2,Specification!$I$15,IF(J1295=3,Specification!$I$16)))</f>
        <v>582.50936296077191</v>
      </c>
      <c r="I1295" s="16">
        <f t="shared" si="237"/>
        <v>0</v>
      </c>
      <c r="J1295" s="17">
        <v>2</v>
      </c>
      <c r="K1295" s="16">
        <f>IF(J1295=1,VLOOKUP(B1295,RPM!$F$2:$H$62,3,TRUE),IF(J1295=2,VLOOKUP(B1295,RPM!$I$2:$K$62,3,TRUE),IF(J1295=3,VLOOKUP(B1295,RPM!$L$2:$N$62,3,TRUE))))</f>
        <v>7000</v>
      </c>
      <c r="L1295" s="17">
        <f t="shared" si="248"/>
        <v>100.76185910909135</v>
      </c>
      <c r="M1295" s="16">
        <f t="shared" si="238"/>
        <v>0</v>
      </c>
      <c r="N1295" s="17">
        <f>VLOOKUP(K1295,RPM!$A$2:$D$62,3,FALSE)</f>
        <v>13</v>
      </c>
      <c r="O1295" s="16">
        <f>VLOOKUP(K1295,RPM!$A$2:$D$62,4,FALSE)</f>
        <v>13.235857142857142</v>
      </c>
      <c r="P1295" s="17">
        <f t="shared" si="240"/>
        <v>9.8699786714285711</v>
      </c>
      <c r="Q1295" s="16" cm="1">
        <f t="array" ref="Q1295">_xlfn.XLOOKUP(O1295,BSFC!$A$2:$A$24,_xlfn.XLOOKUP(K1295,BSFC!$B$1:$O$1,BSFC!$B$2:$O$24,,-1),,-1)</f>
        <v>520</v>
      </c>
      <c r="R1295" s="17">
        <f t="shared" si="241"/>
        <v>1.425663585873016</v>
      </c>
      <c r="S1295" s="16">
        <f t="shared" si="242"/>
        <v>2.0443068048074323E-4</v>
      </c>
      <c r="T1295" s="17">
        <f t="shared" si="245"/>
        <v>0.10630395384998648</v>
      </c>
      <c r="U1295" s="16">
        <f t="shared" si="246"/>
        <v>166.0461070165743</v>
      </c>
      <c r="V1295" s="17">
        <f t="shared" si="247"/>
        <v>0.34125118470018595</v>
      </c>
      <c r="W1295" s="16">
        <f t="shared" si="243"/>
        <v>1228504.2649206694</v>
      </c>
      <c r="X1295">
        <f>('Hybrid Info'!$A$2-Track!P1295)*(L1295-L1294)*1000+X1294</f>
        <v>-12292.111161416015</v>
      </c>
    </row>
    <row r="1296" spans="1:24">
      <c r="A1296" s="16">
        <f t="shared" si="244"/>
        <v>1295</v>
      </c>
      <c r="B1296" s="17">
        <f t="shared" si="239"/>
        <v>13.411199999999999</v>
      </c>
      <c r="C1296" s="16">
        <f>Specification!$G$32</f>
        <v>219.92450400000001</v>
      </c>
      <c r="D1296" s="17">
        <f>0.5*Specification!$K$4*Track!B1296^2*Specification!$K$3*Specification!$K$2</f>
        <v>93.159842569492653</v>
      </c>
      <c r="E1296" s="16">
        <v>1</v>
      </c>
      <c r="F1296" s="17">
        <f>Specification!$C$23*9.81*SIN((E1296*PI()/180))</f>
        <v>95.955295733149597</v>
      </c>
      <c r="G1296" s="18">
        <f>IF(J1296=1,VLOOKUP(K1296,RPM!$E$2:$H$62,3,FALSE)-F1296-E1296-D1296,IF(J1296=2,VLOOKUP(K1296,RPM!$H$2:$K$62,3,FALSE)-F1296-E1296-D1296,IF(J1296=3,VLOOKUP(K1296,RPM!$K$2:$N$62,3,FALSE)-F1296-E1296-D1296)))</f>
        <v>452.60688330512198</v>
      </c>
      <c r="H1296" s="19">
        <f>IF(J1296=1,Specification!$I$14,IF(J1296=2,Specification!$I$15,IF(J1296=3,Specification!$I$16)))</f>
        <v>578.93404261974786</v>
      </c>
      <c r="I1296" s="16">
        <f t="shared" si="237"/>
        <v>0</v>
      </c>
      <c r="J1296" s="17">
        <v>3</v>
      </c>
      <c r="K1296" s="16">
        <f>IF(J1296=1,VLOOKUP(B1296,RPM!$F$2:$H$62,3,TRUE),IF(J1296=2,VLOOKUP(B1296,RPM!$I$2:$K$62,3,TRUE),IF(J1296=3,VLOOKUP(B1296,RPM!$L$2:$N$62,3,TRUE))))</f>
        <v>4300</v>
      </c>
      <c r="L1296" s="17">
        <f t="shared" si="248"/>
        <v>100.83642365215982</v>
      </c>
      <c r="M1296" s="16">
        <f t="shared" si="238"/>
        <v>1.7455064928217585E-2</v>
      </c>
      <c r="N1296" s="17">
        <f>VLOOKUP(K1296,RPM!$A$2:$D$62,3,FALSE)</f>
        <v>11.4</v>
      </c>
      <c r="O1296" s="16">
        <f>VLOOKUP(K1296,RPM!$A$2:$D$62,4,FALSE)</f>
        <v>18.894837209302327</v>
      </c>
      <c r="P1296" s="17">
        <f t="shared" si="240"/>
        <v>14.089880106976747</v>
      </c>
      <c r="Q1296" s="16" cm="1">
        <f t="array" ref="Q1296">_xlfn.XLOOKUP(O1296,BSFC!$A$2:$A$24,_xlfn.XLOOKUP(K1296,BSFC!$B$1:$O$1,BSFC!$B$2:$O$24,,-1),,-1)</f>
        <v>480</v>
      </c>
      <c r="R1296" s="17">
        <f t="shared" si="241"/>
        <v>1.8786506809302328</v>
      </c>
      <c r="S1296" s="16">
        <f t="shared" si="242"/>
        <v>2.9183485335175871E-4</v>
      </c>
      <c r="T1296" s="17">
        <f t="shared" si="245"/>
        <v>0.14008072960884418</v>
      </c>
      <c r="U1296" s="16">
        <f t="shared" si="246"/>
        <v>166.18618774618315</v>
      </c>
      <c r="V1296" s="17">
        <f t="shared" si="247"/>
        <v>0.34154301955353772</v>
      </c>
      <c r="W1296" s="16">
        <f t="shared" si="243"/>
        <v>1229554.8703927358</v>
      </c>
      <c r="X1296">
        <f>('Hybrid Info'!$A$2-Track!P1296)*(L1296-L1295)*1000+X1295</f>
        <v>-12438.960474765418</v>
      </c>
    </row>
    <row r="1297" spans="1:24">
      <c r="A1297" s="16">
        <f t="shared" si="244"/>
        <v>1296</v>
      </c>
      <c r="B1297" s="17">
        <f t="shared" si="239"/>
        <v>13.411199999999999</v>
      </c>
      <c r="C1297" s="16">
        <f>Specification!$G$32</f>
        <v>219.92450400000001</v>
      </c>
      <c r="D1297" s="17">
        <f>0.5*Specification!$K$4*Track!B1297^2*Specification!$K$3*Specification!$K$2</f>
        <v>93.159842569492653</v>
      </c>
      <c r="E1297" s="16">
        <v>2</v>
      </c>
      <c r="F1297" s="17">
        <f>Specification!$C$23*9.81*SIN((E1297*PI()/180))</f>
        <v>191.88136255367905</v>
      </c>
      <c r="G1297" s="18">
        <f>IF(J1297=1,VLOOKUP(K1297,RPM!$E$2:$H$62,3,FALSE)-F1297-E1297-D1297,IF(J1297=2,VLOOKUP(K1297,RPM!$H$2:$K$62,3,FALSE)-F1297-E1297-D1297,IF(J1297=3,VLOOKUP(K1297,RPM!$K$2:$N$62,3,FALSE)-F1297-E1297-D1297)))</f>
        <v>355.68081648459247</v>
      </c>
      <c r="H1297" s="19">
        <f>IF(J1297=1,Specification!$I$14,IF(J1297=2,Specification!$I$15,IF(J1297=3,Specification!$I$16)))</f>
        <v>578.93404261974786</v>
      </c>
      <c r="I1297" s="16">
        <f t="shared" si="237"/>
        <v>0</v>
      </c>
      <c r="J1297" s="17">
        <v>3</v>
      </c>
      <c r="K1297" s="16">
        <f>IF(J1297=1,VLOOKUP(B1297,RPM!$F$2:$H$62,3,TRUE),IF(J1297=2,VLOOKUP(B1297,RPM!$I$2:$K$62,3,TRUE),IF(J1297=3,VLOOKUP(B1297,RPM!$L$2:$N$62,3,TRUE))))</f>
        <v>4300</v>
      </c>
      <c r="L1297" s="17">
        <f t="shared" si="248"/>
        <v>100.9109881952283</v>
      </c>
      <c r="M1297" s="16">
        <f t="shared" si="238"/>
        <v>5.2375834419965316E-2</v>
      </c>
      <c r="N1297" s="17">
        <f>VLOOKUP(K1297,RPM!$A$2:$D$62,3,FALSE)</f>
        <v>11.4</v>
      </c>
      <c r="O1297" s="16">
        <f>VLOOKUP(K1297,RPM!$A$2:$D$62,4,FALSE)</f>
        <v>18.894837209302327</v>
      </c>
      <c r="P1297" s="17">
        <f t="shared" si="240"/>
        <v>14.089880106976747</v>
      </c>
      <c r="Q1297" s="16" cm="1">
        <f t="array" ref="Q1297">_xlfn.XLOOKUP(O1297,BSFC!$A$2:$A$24,_xlfn.XLOOKUP(K1297,BSFC!$B$1:$O$1,BSFC!$B$2:$O$24,,-1),,-1)</f>
        <v>480</v>
      </c>
      <c r="R1297" s="17">
        <f t="shared" si="241"/>
        <v>1.8786506809302328</v>
      </c>
      <c r="S1297" s="16">
        <f t="shared" si="242"/>
        <v>2.9183485335175871E-4</v>
      </c>
      <c r="T1297" s="17">
        <f t="shared" si="245"/>
        <v>0.14008072960884418</v>
      </c>
      <c r="U1297" s="16">
        <f t="shared" si="246"/>
        <v>166.32626847579201</v>
      </c>
      <c r="V1297" s="17">
        <f t="shared" si="247"/>
        <v>0.34183485440688949</v>
      </c>
      <c r="W1297" s="16">
        <f t="shared" si="243"/>
        <v>1230605.475864802</v>
      </c>
      <c r="X1297">
        <f>('Hybrid Info'!$A$2-Track!P1297)*(L1297-L1296)*1000+X1296</f>
        <v>-12585.809788114821</v>
      </c>
    </row>
    <row r="1298" spans="1:24">
      <c r="A1298" s="16">
        <f t="shared" si="244"/>
        <v>1297</v>
      </c>
      <c r="B1298" s="17">
        <f t="shared" si="239"/>
        <v>13.411199999999999</v>
      </c>
      <c r="C1298" s="16">
        <f>Specification!$G$32</f>
        <v>219.92450400000001</v>
      </c>
      <c r="D1298" s="17">
        <f>0.5*Specification!$K$4*Track!B1298^2*Specification!$K$3*Specification!$K$2</f>
        <v>93.159842569492653</v>
      </c>
      <c r="E1298" s="16">
        <v>3</v>
      </c>
      <c r="F1298" s="17">
        <f>Specification!$C$23*9.81*SIN((E1298*PI()/180))</f>
        <v>287.74898045237813</v>
      </c>
      <c r="G1298" s="18">
        <f>IF(J1298=1,VLOOKUP(K1298,RPM!$E$2:$H$62,3,FALSE)-F1298-E1298-D1298,IF(J1298=2,VLOOKUP(K1298,RPM!$H$2:$K$62,3,FALSE)-F1298-E1298-D1298,IF(J1298=3,VLOOKUP(K1298,RPM!$K$2:$N$62,3,FALSE)-F1298-E1298-D1298)))</f>
        <v>258.81319858589342</v>
      </c>
      <c r="H1298" s="19">
        <f>IF(J1298=1,Specification!$I$14,IF(J1298=2,Specification!$I$15,IF(J1298=3,Specification!$I$16)))</f>
        <v>578.93404261974786</v>
      </c>
      <c r="I1298" s="16">
        <f t="shared" si="237"/>
        <v>0</v>
      </c>
      <c r="J1298" s="17">
        <v>3</v>
      </c>
      <c r="K1298" s="16">
        <f>IF(J1298=1,VLOOKUP(B1298,RPM!$F$2:$H$62,3,TRUE),IF(J1298=2,VLOOKUP(B1298,RPM!$I$2:$K$62,3,TRUE),IF(J1298=3,VLOOKUP(B1298,RPM!$L$2:$N$62,3,TRUE))))</f>
        <v>4300</v>
      </c>
      <c r="L1298" s="17">
        <f t="shared" si="248"/>
        <v>100.98555273829678</v>
      </c>
      <c r="M1298" s="16">
        <f t="shared" si="238"/>
        <v>0.10478361370300651</v>
      </c>
      <c r="N1298" s="17">
        <f>VLOOKUP(K1298,RPM!$A$2:$D$62,3,FALSE)</f>
        <v>11.4</v>
      </c>
      <c r="O1298" s="16">
        <f>VLOOKUP(K1298,RPM!$A$2:$D$62,4,FALSE)</f>
        <v>18.894837209302327</v>
      </c>
      <c r="P1298" s="17">
        <f t="shared" si="240"/>
        <v>14.089880106976747</v>
      </c>
      <c r="Q1298" s="16" cm="1">
        <f t="array" ref="Q1298">_xlfn.XLOOKUP(O1298,BSFC!$A$2:$A$24,_xlfn.XLOOKUP(K1298,BSFC!$B$1:$O$1,BSFC!$B$2:$O$24,,-1),,-1)</f>
        <v>480</v>
      </c>
      <c r="R1298" s="17">
        <f t="shared" si="241"/>
        <v>1.8786506809302328</v>
      </c>
      <c r="S1298" s="16">
        <f t="shared" si="242"/>
        <v>2.9183485335175871E-4</v>
      </c>
      <c r="T1298" s="17">
        <f t="shared" si="245"/>
        <v>0.14008072960884418</v>
      </c>
      <c r="U1298" s="16">
        <f t="shared" si="246"/>
        <v>166.46634920540086</v>
      </c>
      <c r="V1298" s="17">
        <f t="shared" si="247"/>
        <v>0.34212668926024126</v>
      </c>
      <c r="W1298" s="16">
        <f t="shared" si="243"/>
        <v>1231656.0813368687</v>
      </c>
      <c r="X1298">
        <f>('Hybrid Info'!$A$2-Track!P1298)*(L1298-L1297)*1000+X1297</f>
        <v>-12732.659101464224</v>
      </c>
    </row>
    <row r="1299" spans="1:24">
      <c r="A1299" s="16">
        <f t="shared" si="244"/>
        <v>1298</v>
      </c>
      <c r="B1299" s="17">
        <f t="shared" si="239"/>
        <v>13.411199999999999</v>
      </c>
      <c r="C1299" s="16">
        <f>Specification!$G$32</f>
        <v>219.92450400000001</v>
      </c>
      <c r="D1299" s="17">
        <f>0.5*Specification!$K$4*Track!B1299^2*Specification!$K$3*Specification!$K$2</f>
        <v>93.159842569492653</v>
      </c>
      <c r="E1299" s="16">
        <v>4</v>
      </c>
      <c r="F1299" s="17">
        <f>Specification!$C$23*9.81*SIN((E1299*PI()/180))</f>
        <v>383.52894722414453</v>
      </c>
      <c r="G1299" s="18">
        <f>IF(J1299=1,VLOOKUP(K1299,RPM!$E$2:$H$62,3,FALSE)-F1299-E1299-D1299,IF(J1299=2,VLOOKUP(K1299,RPM!$H$2:$K$62,3,FALSE)-F1299-E1299-D1299,IF(J1299=3,VLOOKUP(K1299,RPM!$K$2:$N$62,3,FALSE)-F1299-E1299-D1299)))</f>
        <v>162.03323181412702</v>
      </c>
      <c r="H1299" s="19">
        <f>IF(J1299=1,Specification!$I$14,IF(J1299=2,Specification!$I$15,IF(J1299=3,Specification!$I$16)))</f>
        <v>578.93404261974786</v>
      </c>
      <c r="I1299" s="16">
        <f t="shared" si="237"/>
        <v>0</v>
      </c>
      <c r="J1299" s="17">
        <v>3</v>
      </c>
      <c r="K1299" s="16">
        <f>IF(J1299=1,VLOOKUP(B1299,RPM!$F$2:$H$62,3,TRUE),IF(J1299=2,VLOOKUP(B1299,RPM!$I$2:$K$62,3,TRUE),IF(J1299=3,VLOOKUP(B1299,RPM!$L$2:$N$62,3,TRUE))))</f>
        <v>4300</v>
      </c>
      <c r="L1299" s="17">
        <f t="shared" si="248"/>
        <v>101.06011728136525</v>
      </c>
      <c r="M1299" s="16">
        <f t="shared" si="238"/>
        <v>0.17471042564651693</v>
      </c>
      <c r="N1299" s="17">
        <f>VLOOKUP(K1299,RPM!$A$2:$D$62,3,FALSE)</f>
        <v>11.4</v>
      </c>
      <c r="O1299" s="16">
        <f>VLOOKUP(K1299,RPM!$A$2:$D$62,4,FALSE)</f>
        <v>18.894837209302327</v>
      </c>
      <c r="P1299" s="17">
        <f t="shared" si="240"/>
        <v>14.089880106976747</v>
      </c>
      <c r="Q1299" s="16" cm="1">
        <f t="array" ref="Q1299">_xlfn.XLOOKUP(O1299,BSFC!$A$2:$A$24,_xlfn.XLOOKUP(K1299,BSFC!$B$1:$O$1,BSFC!$B$2:$O$24,,-1),,-1)</f>
        <v>480</v>
      </c>
      <c r="R1299" s="17">
        <f t="shared" si="241"/>
        <v>1.8786506809302328</v>
      </c>
      <c r="S1299" s="16">
        <f t="shared" si="242"/>
        <v>2.9183485335175871E-4</v>
      </c>
      <c r="T1299" s="17">
        <f t="shared" si="245"/>
        <v>0.14008072960884418</v>
      </c>
      <c r="U1299" s="16">
        <f t="shared" si="246"/>
        <v>166.60642993500971</v>
      </c>
      <c r="V1299" s="17">
        <f t="shared" si="247"/>
        <v>0.34241852411359303</v>
      </c>
      <c r="W1299" s="16">
        <f t="shared" si="243"/>
        <v>1232706.6868089349</v>
      </c>
      <c r="X1299">
        <f>('Hybrid Info'!$A$2-Track!P1299)*(L1299-L1298)*1000+X1298</f>
        <v>-12879.508414813627</v>
      </c>
    </row>
    <row r="1300" spans="1:24">
      <c r="A1300" s="16">
        <f t="shared" si="244"/>
        <v>1299</v>
      </c>
      <c r="B1300" s="17">
        <f t="shared" si="239"/>
        <v>13.411199999999999</v>
      </c>
      <c r="C1300" s="16">
        <f>Specification!$G$32</f>
        <v>219.92450400000001</v>
      </c>
      <c r="D1300" s="17">
        <f>0.5*Specification!$K$4*Track!B1300^2*Specification!$K$3*Specification!$K$2</f>
        <v>93.159842569492653</v>
      </c>
      <c r="E1300" s="16">
        <v>5</v>
      </c>
      <c r="F1300" s="17">
        <f>Specification!$C$23*9.81*SIN((E1300*PI()/180))</f>
        <v>479.192087363258</v>
      </c>
      <c r="G1300" s="18">
        <f>IF(J1300=1,VLOOKUP(K1300,RPM!$E$2:$H$62,3,FALSE)-F1300-E1300-D1300,IF(J1300=2,VLOOKUP(K1300,RPM!$H$2:$K$62,3,FALSE)-F1300-E1300-D1300,IF(J1300=3,VLOOKUP(K1300,RPM!$K$2:$N$62,3,FALSE)-F1300-E1300-D1300)))</f>
        <v>65.370091675013541</v>
      </c>
      <c r="H1300" s="19">
        <f>IF(J1300=1,Specification!$I$14,IF(J1300=2,Specification!$I$15,IF(J1300=3,Specification!$I$16)))</f>
        <v>578.93404261974786</v>
      </c>
      <c r="I1300" s="16">
        <f t="shared" si="237"/>
        <v>0</v>
      </c>
      <c r="J1300" s="17">
        <v>3</v>
      </c>
      <c r="K1300" s="16">
        <f>IF(J1300=1,VLOOKUP(B1300,RPM!$F$2:$H$62,3,TRUE),IF(J1300=2,VLOOKUP(B1300,RPM!$I$2:$K$62,3,TRUE),IF(J1300=3,VLOOKUP(B1300,RPM!$L$2:$N$62,3,TRUE))))</f>
        <v>4300</v>
      </c>
      <c r="L1300" s="17">
        <f t="shared" si="248"/>
        <v>101.13468182443373</v>
      </c>
      <c r="M1300" s="16">
        <f t="shared" si="238"/>
        <v>0.26219908917244095</v>
      </c>
      <c r="N1300" s="17">
        <f>VLOOKUP(K1300,RPM!$A$2:$D$62,3,FALSE)</f>
        <v>11.4</v>
      </c>
      <c r="O1300" s="16">
        <f>VLOOKUP(K1300,RPM!$A$2:$D$62,4,FALSE)</f>
        <v>18.894837209302327</v>
      </c>
      <c r="P1300" s="17">
        <f t="shared" si="240"/>
        <v>14.089880106976747</v>
      </c>
      <c r="Q1300" s="16" cm="1">
        <f t="array" ref="Q1300">_xlfn.XLOOKUP(O1300,BSFC!$A$2:$A$24,_xlfn.XLOOKUP(K1300,BSFC!$B$1:$O$1,BSFC!$B$2:$O$24,,-1),,-1)</f>
        <v>480</v>
      </c>
      <c r="R1300" s="17">
        <f t="shared" si="241"/>
        <v>1.8786506809302328</v>
      </c>
      <c r="S1300" s="16">
        <f t="shared" si="242"/>
        <v>2.9183485335175871E-4</v>
      </c>
      <c r="T1300" s="17">
        <f t="shared" si="245"/>
        <v>0.14008072960884418</v>
      </c>
      <c r="U1300" s="16">
        <f t="shared" si="246"/>
        <v>166.74651066461857</v>
      </c>
      <c r="V1300" s="17">
        <f t="shared" si="247"/>
        <v>0.34271035896694479</v>
      </c>
      <c r="W1300" s="16">
        <f t="shared" si="243"/>
        <v>1233757.2922810013</v>
      </c>
      <c r="X1300">
        <f>('Hybrid Info'!$A$2-Track!P1300)*(L1300-L1299)*1000+X1299</f>
        <v>-13026.35772816303</v>
      </c>
    </row>
    <row r="1301" spans="1:24">
      <c r="A1301" s="16">
        <f t="shared" si="244"/>
        <v>1300</v>
      </c>
      <c r="B1301" s="17">
        <f t="shared" si="239"/>
        <v>13.411199999999999</v>
      </c>
      <c r="C1301" s="16">
        <f>Specification!$G$32</f>
        <v>219.92450400000001</v>
      </c>
      <c r="D1301" s="17">
        <f>0.5*Specification!$K$4*Track!B1301^2*Specification!$K$3*Specification!$K$2</f>
        <v>93.159842569492653</v>
      </c>
      <c r="E1301" s="16">
        <v>6</v>
      </c>
      <c r="F1301" s="17">
        <f>Specification!$C$23*9.81*SIN((E1301*PI()/180))</f>
        <v>574.70926095052266</v>
      </c>
      <c r="G1301" s="18">
        <f>IF(J1301=1,VLOOKUP(K1301,RPM!$E$2:$H$62,3,FALSE)-F1301-E1301-D1301,IF(J1301=2,VLOOKUP(K1301,RPM!$H$2:$K$62,3,FALSE)-F1301-E1301-D1301,IF(J1301=3,VLOOKUP(K1301,RPM!$K$2:$N$62,3,FALSE)-F1301-E1301-D1301)))</f>
        <v>107.77600334162695</v>
      </c>
      <c r="H1301" s="19">
        <f>IF(J1301=1,Specification!$I$14,IF(J1301=2,Specification!$I$15,IF(J1301=3,Specification!$I$16)))</f>
        <v>582.50936296077191</v>
      </c>
      <c r="I1301" s="16">
        <f t="shared" si="237"/>
        <v>0</v>
      </c>
      <c r="J1301" s="17">
        <v>2</v>
      </c>
      <c r="K1301" s="16">
        <f>IF(J1301=1,VLOOKUP(B1301,RPM!$F$2:$H$62,3,TRUE),IF(J1301=2,VLOOKUP(B1301,RPM!$I$2:$K$62,3,TRUE),IF(J1301=3,VLOOKUP(B1301,RPM!$L$2:$N$62,3,TRUE))))</f>
        <v>7000</v>
      </c>
      <c r="L1301" s="17">
        <f t="shared" si="248"/>
        <v>101.2092463675022</v>
      </c>
      <c r="M1301" s="16">
        <f t="shared" si="238"/>
        <v>0.36730332443811742</v>
      </c>
      <c r="N1301" s="17">
        <f>VLOOKUP(K1301,RPM!$A$2:$D$62,3,FALSE)</f>
        <v>13</v>
      </c>
      <c r="O1301" s="16">
        <f>VLOOKUP(K1301,RPM!$A$2:$D$62,4,FALSE)</f>
        <v>13.235857142857142</v>
      </c>
      <c r="P1301" s="17">
        <f t="shared" si="240"/>
        <v>9.8699786714285711</v>
      </c>
      <c r="Q1301" s="16" cm="1">
        <f t="array" ref="Q1301">_xlfn.XLOOKUP(O1301,BSFC!$A$2:$A$24,_xlfn.XLOOKUP(K1301,BSFC!$B$1:$O$1,BSFC!$B$2:$O$24,,-1),,-1)</f>
        <v>520</v>
      </c>
      <c r="R1301" s="17">
        <f t="shared" si="241"/>
        <v>1.425663585873016</v>
      </c>
      <c r="S1301" s="16">
        <f t="shared" si="242"/>
        <v>2.0443068048074323E-4</v>
      </c>
      <c r="T1301" s="17">
        <f t="shared" si="245"/>
        <v>0.10630395384998648</v>
      </c>
      <c r="U1301" s="16">
        <f t="shared" si="246"/>
        <v>166.85281461846856</v>
      </c>
      <c r="V1301" s="17">
        <f t="shared" si="247"/>
        <v>0.34291478964742556</v>
      </c>
      <c r="W1301" s="16">
        <f t="shared" si="243"/>
        <v>1234493.2427307321</v>
      </c>
      <c r="X1301">
        <f>('Hybrid Info'!$A$2-Track!P1301)*(L1301-L1300)*1000+X1300</f>
        <v>-12858.552019176777</v>
      </c>
    </row>
    <row r="1302" spans="1:24">
      <c r="A1302" s="16">
        <f t="shared" si="244"/>
        <v>1301</v>
      </c>
      <c r="B1302" s="17">
        <f t="shared" si="239"/>
        <v>13.411199999999999</v>
      </c>
      <c r="C1302" s="16">
        <f>Specification!$G$32</f>
        <v>219.92450400000001</v>
      </c>
      <c r="D1302" s="17">
        <f>0.5*Specification!$K$4*Track!B1302^2*Specification!$K$3*Specification!$K$2</f>
        <v>93.159842569492653</v>
      </c>
      <c r="E1302" s="16">
        <v>7</v>
      </c>
      <c r="F1302" s="17">
        <f>Specification!$C$23*9.81*SIN((E1302*PI()/180))</f>
        <v>670.05137252956831</v>
      </c>
      <c r="G1302" s="18">
        <f>IF(J1302=1,VLOOKUP(K1302,RPM!$E$2:$H$62,3,FALSE)-F1302-E1302-D1302,IF(J1302=2,VLOOKUP(K1302,RPM!$H$2:$K$62,3,FALSE)-F1302-E1302-D1302,IF(J1302=3,VLOOKUP(K1302,RPM!$K$2:$N$62,3,FALSE)-F1302-E1302-D1302)))</f>
        <v>11.433891762581297</v>
      </c>
      <c r="H1302" s="19">
        <f>IF(J1302=1,Specification!$I$14,IF(J1302=2,Specification!$I$15,IF(J1302=3,Specification!$I$16)))</f>
        <v>582.50936296077191</v>
      </c>
      <c r="I1302" s="16">
        <f t="shared" si="237"/>
        <v>0</v>
      </c>
      <c r="J1302" s="17">
        <v>2</v>
      </c>
      <c r="K1302" s="16">
        <f>IF(J1302=1,VLOOKUP(B1302,RPM!$F$2:$H$62,3,TRUE),IF(J1302=2,VLOOKUP(B1302,RPM!$I$2:$K$62,3,TRUE),IF(J1302=3,VLOOKUP(B1302,RPM!$L$2:$N$62,3,TRUE))))</f>
        <v>7000</v>
      </c>
      <c r="L1302" s="17">
        <f t="shared" si="248"/>
        <v>101.28381091057068</v>
      </c>
      <c r="M1302" s="16">
        <f t="shared" si="238"/>
        <v>0.49008788534102199</v>
      </c>
      <c r="N1302" s="17">
        <f>VLOOKUP(K1302,RPM!$A$2:$D$62,3,FALSE)</f>
        <v>13</v>
      </c>
      <c r="O1302" s="16">
        <f>VLOOKUP(K1302,RPM!$A$2:$D$62,4,FALSE)</f>
        <v>13.235857142857142</v>
      </c>
      <c r="P1302" s="17">
        <f t="shared" si="240"/>
        <v>9.8699786714285711</v>
      </c>
      <c r="Q1302" s="16" cm="1">
        <f t="array" ref="Q1302">_xlfn.XLOOKUP(O1302,BSFC!$A$2:$A$24,_xlfn.XLOOKUP(K1302,BSFC!$B$1:$O$1,BSFC!$B$2:$O$24,,-1),,-1)</f>
        <v>520</v>
      </c>
      <c r="R1302" s="17">
        <f t="shared" si="241"/>
        <v>1.425663585873016</v>
      </c>
      <c r="S1302" s="16">
        <f t="shared" si="242"/>
        <v>2.0443068048074323E-4</v>
      </c>
      <c r="T1302" s="17">
        <f t="shared" si="245"/>
        <v>0.10630395384998648</v>
      </c>
      <c r="U1302" s="16">
        <f t="shared" si="246"/>
        <v>166.95911857231854</v>
      </c>
      <c r="V1302" s="17">
        <f t="shared" si="247"/>
        <v>0.34311922032790632</v>
      </c>
      <c r="W1302" s="16">
        <f t="shared" si="243"/>
        <v>1235229.1931804628</v>
      </c>
      <c r="X1302">
        <f>('Hybrid Info'!$A$2-Track!P1302)*(L1302-L1301)*1000+X1301</f>
        <v>-12690.746310190525</v>
      </c>
    </row>
    <row r="1303" spans="1:24">
      <c r="A1303" s="16">
        <f t="shared" si="244"/>
        <v>1302</v>
      </c>
      <c r="B1303" s="17">
        <f t="shared" si="239"/>
        <v>13.411199999999999</v>
      </c>
      <c r="C1303" s="16">
        <f>Specification!$G$32</f>
        <v>219.92450400000001</v>
      </c>
      <c r="D1303" s="17">
        <f>0.5*Specification!$K$4*Track!B1303^2*Specification!$K$3*Specification!$K$2</f>
        <v>93.159842569492653</v>
      </c>
      <c r="E1303" s="16">
        <v>8</v>
      </c>
      <c r="F1303" s="17">
        <f>Specification!$C$23*9.81*SIN((E1303*PI()/180))</f>
        <v>765.1893799696079</v>
      </c>
      <c r="G1303" s="18">
        <f>IF(J1303=1,VLOOKUP(K1303,RPM!$E$2:$H$62,3,FALSE)-F1303-E1303-D1303,IF(J1303=2,VLOOKUP(K1303,RPM!$H$2:$K$62,3,FALSE)-F1303-E1303-D1303,IF(J1303=3,VLOOKUP(K1303,RPM!$K$2:$N$62,3,FALSE)-F1303-E1303-D1303)))</f>
        <v>-84.70411567745829</v>
      </c>
      <c r="H1303" s="19">
        <f>IF(J1303=1,Specification!$I$14,IF(J1303=2,Specification!$I$15,IF(J1303=3,Specification!$I$16)))</f>
        <v>582.50936296077191</v>
      </c>
      <c r="I1303" s="16">
        <f t="shared" si="237"/>
        <v>0</v>
      </c>
      <c r="J1303" s="17">
        <v>2</v>
      </c>
      <c r="K1303" s="16">
        <f>IF(J1303=1,VLOOKUP(B1303,RPM!$F$2:$H$62,3,TRUE),IF(J1303=2,VLOOKUP(B1303,RPM!$I$2:$K$62,3,TRUE),IF(J1303=3,VLOOKUP(B1303,RPM!$L$2:$N$62,3,TRUE))))</f>
        <v>7000</v>
      </c>
      <c r="L1303" s="17">
        <f t="shared" si="248"/>
        <v>101.35837545363916</v>
      </c>
      <c r="M1303" s="16">
        <f t="shared" si="238"/>
        <v>0.63062872004341342</v>
      </c>
      <c r="N1303" s="17">
        <f>VLOOKUP(K1303,RPM!$A$2:$D$62,3,FALSE)</f>
        <v>13</v>
      </c>
      <c r="O1303" s="16">
        <f>VLOOKUP(K1303,RPM!$A$2:$D$62,4,FALSE)</f>
        <v>13.235857142857142</v>
      </c>
      <c r="P1303" s="17">
        <f t="shared" si="240"/>
        <v>9.8699786714285711</v>
      </c>
      <c r="Q1303" s="16" cm="1">
        <f t="array" ref="Q1303">_xlfn.XLOOKUP(O1303,BSFC!$A$2:$A$24,_xlfn.XLOOKUP(K1303,BSFC!$B$1:$O$1,BSFC!$B$2:$O$24,,-1),,-1)</f>
        <v>520</v>
      </c>
      <c r="R1303" s="17">
        <f t="shared" si="241"/>
        <v>1.425663585873016</v>
      </c>
      <c r="S1303" s="16">
        <f t="shared" si="242"/>
        <v>2.0443068048074323E-4</v>
      </c>
      <c r="T1303" s="17">
        <f t="shared" si="245"/>
        <v>0.10630395384998648</v>
      </c>
      <c r="U1303" s="16">
        <f t="shared" si="246"/>
        <v>167.06542252616853</v>
      </c>
      <c r="V1303" s="17">
        <f t="shared" si="247"/>
        <v>0.34332365100838708</v>
      </c>
      <c r="W1303" s="16">
        <f t="shared" si="243"/>
        <v>1235965.1436301933</v>
      </c>
      <c r="X1303">
        <f>('Hybrid Info'!$A$2-Track!P1303)*(L1303-L1302)*1000+X1302</f>
        <v>-12522.940601204273</v>
      </c>
    </row>
    <row r="1304" spans="1:24">
      <c r="A1304" s="16">
        <f t="shared" si="244"/>
        <v>1303</v>
      </c>
      <c r="B1304" s="17">
        <f t="shared" si="239"/>
        <v>13.411199999999999</v>
      </c>
      <c r="C1304" s="16">
        <f>Specification!$G$32</f>
        <v>219.92450400000001</v>
      </c>
      <c r="D1304" s="17">
        <f>0.5*Specification!$K$4*Track!B1304^2*Specification!$K$3*Specification!$K$2</f>
        <v>93.159842569492653</v>
      </c>
      <c r="E1304" s="16">
        <v>8</v>
      </c>
      <c r="F1304" s="17">
        <f>Specification!$C$23*9.81*SIN((E1304*PI()/180))</f>
        <v>765.1893799696079</v>
      </c>
      <c r="G1304" s="18">
        <f>IF(J1304=1,VLOOKUP(K1304,RPM!$E$2:$H$62,3,FALSE)-F1304-E1304-D1304,IF(J1304=2,VLOOKUP(K1304,RPM!$H$2:$K$62,3,FALSE)-F1304-E1304-D1304,IF(J1304=3,VLOOKUP(K1304,RPM!$K$2:$N$62,3,FALSE)-F1304-E1304-D1304)))</f>
        <v>-84.70411567745829</v>
      </c>
      <c r="H1304" s="19">
        <f>IF(J1304=1,Specification!$I$14,IF(J1304=2,Specification!$I$15,IF(J1304=3,Specification!$I$16)))</f>
        <v>582.50936296077191</v>
      </c>
      <c r="I1304" s="16">
        <f t="shared" si="237"/>
        <v>0</v>
      </c>
      <c r="J1304" s="17">
        <v>2</v>
      </c>
      <c r="K1304" s="16">
        <f>IF(J1304=1,VLOOKUP(B1304,RPM!$F$2:$H$62,3,TRUE),IF(J1304=2,VLOOKUP(B1304,RPM!$I$2:$K$62,3,TRUE),IF(J1304=3,VLOOKUP(B1304,RPM!$L$2:$N$62,3,TRUE))))</f>
        <v>7000</v>
      </c>
      <c r="L1304" s="17">
        <f t="shared" si="248"/>
        <v>101.43293999670763</v>
      </c>
      <c r="M1304" s="16">
        <f t="shared" si="238"/>
        <v>0.77116955474580484</v>
      </c>
      <c r="N1304" s="17">
        <f>VLOOKUP(K1304,RPM!$A$2:$D$62,3,FALSE)</f>
        <v>13</v>
      </c>
      <c r="O1304" s="16">
        <f>VLOOKUP(K1304,RPM!$A$2:$D$62,4,FALSE)</f>
        <v>13.235857142857142</v>
      </c>
      <c r="P1304" s="17">
        <f t="shared" si="240"/>
        <v>9.8699786714285711</v>
      </c>
      <c r="Q1304" s="16" cm="1">
        <f t="array" ref="Q1304">_xlfn.XLOOKUP(O1304,BSFC!$A$2:$A$24,_xlfn.XLOOKUP(K1304,BSFC!$B$1:$O$1,BSFC!$B$2:$O$24,,-1),,-1)</f>
        <v>520</v>
      </c>
      <c r="R1304" s="17">
        <f t="shared" si="241"/>
        <v>1.425663585873016</v>
      </c>
      <c r="S1304" s="16">
        <f t="shared" si="242"/>
        <v>2.0443068048074323E-4</v>
      </c>
      <c r="T1304" s="17">
        <f t="shared" si="245"/>
        <v>0.10630395384998648</v>
      </c>
      <c r="U1304" s="16">
        <f t="shared" si="246"/>
        <v>167.17172648001852</v>
      </c>
      <c r="V1304" s="17">
        <f t="shared" si="247"/>
        <v>0.34352808168886784</v>
      </c>
      <c r="W1304" s="16">
        <f t="shared" si="243"/>
        <v>1236701.094079924</v>
      </c>
      <c r="X1304">
        <f>('Hybrid Info'!$A$2-Track!P1304)*(L1304-L1303)*1000+X1303</f>
        <v>-12355.13489221802</v>
      </c>
    </row>
    <row r="1305" spans="1:24">
      <c r="A1305" s="16">
        <f t="shared" si="244"/>
        <v>1304</v>
      </c>
      <c r="B1305" s="17">
        <f t="shared" si="239"/>
        <v>13.411199999999999</v>
      </c>
      <c r="C1305" s="16">
        <f>Specification!$G$32</f>
        <v>219.92450400000001</v>
      </c>
      <c r="D1305" s="17">
        <f>0.5*Specification!$K$4*Track!B1305^2*Specification!$K$3*Specification!$K$2</f>
        <v>93.159842569492653</v>
      </c>
      <c r="E1305" s="16">
        <v>8</v>
      </c>
      <c r="F1305" s="17">
        <f>Specification!$C$23*9.81*SIN((E1305*PI()/180))</f>
        <v>765.1893799696079</v>
      </c>
      <c r="G1305" s="18">
        <f>IF(J1305=1,VLOOKUP(K1305,RPM!$E$2:$H$62,3,FALSE)-F1305-E1305-D1305,IF(J1305=2,VLOOKUP(K1305,RPM!$H$2:$K$62,3,FALSE)-F1305-E1305-D1305,IF(J1305=3,VLOOKUP(K1305,RPM!$K$2:$N$62,3,FALSE)-F1305-E1305-D1305)))</f>
        <v>-84.70411567745829</v>
      </c>
      <c r="H1305" s="19">
        <f>IF(J1305=1,Specification!$I$14,IF(J1305=2,Specification!$I$15,IF(J1305=3,Specification!$I$16)))</f>
        <v>582.50936296077191</v>
      </c>
      <c r="I1305" s="16">
        <f t="shared" si="237"/>
        <v>0</v>
      </c>
      <c r="J1305" s="17">
        <v>2</v>
      </c>
      <c r="K1305" s="16">
        <f>IF(J1305=1,VLOOKUP(B1305,RPM!$F$2:$H$62,3,TRUE),IF(J1305=2,VLOOKUP(B1305,RPM!$I$2:$K$62,3,TRUE),IF(J1305=3,VLOOKUP(B1305,RPM!$L$2:$N$62,3,TRUE))))</f>
        <v>7000</v>
      </c>
      <c r="L1305" s="17">
        <f t="shared" si="248"/>
        <v>101.50750453977611</v>
      </c>
      <c r="M1305" s="16">
        <f t="shared" si="238"/>
        <v>0.91171038944819627</v>
      </c>
      <c r="N1305" s="17">
        <f>VLOOKUP(K1305,RPM!$A$2:$D$62,3,FALSE)</f>
        <v>13</v>
      </c>
      <c r="O1305" s="16">
        <f>VLOOKUP(K1305,RPM!$A$2:$D$62,4,FALSE)</f>
        <v>13.235857142857142</v>
      </c>
      <c r="P1305" s="17">
        <f t="shared" si="240"/>
        <v>9.8699786714285711</v>
      </c>
      <c r="Q1305" s="16" cm="1">
        <f t="array" ref="Q1305">_xlfn.XLOOKUP(O1305,BSFC!$A$2:$A$24,_xlfn.XLOOKUP(K1305,BSFC!$B$1:$O$1,BSFC!$B$2:$O$24,,-1),,-1)</f>
        <v>520</v>
      </c>
      <c r="R1305" s="17">
        <f t="shared" si="241"/>
        <v>1.425663585873016</v>
      </c>
      <c r="S1305" s="16">
        <f t="shared" si="242"/>
        <v>2.0443068048074323E-4</v>
      </c>
      <c r="T1305" s="17">
        <f t="shared" si="245"/>
        <v>0.10630395384998648</v>
      </c>
      <c r="U1305" s="16">
        <f t="shared" si="246"/>
        <v>167.27803043386851</v>
      </c>
      <c r="V1305" s="17">
        <f t="shared" si="247"/>
        <v>0.3437325123693486</v>
      </c>
      <c r="W1305" s="16">
        <f t="shared" si="243"/>
        <v>1237437.0445296548</v>
      </c>
      <c r="X1305">
        <f>('Hybrid Info'!$A$2-Track!P1305)*(L1305-L1304)*1000+X1304</f>
        <v>-12187.329183231768</v>
      </c>
    </row>
    <row r="1306" spans="1:24">
      <c r="A1306" s="16">
        <f t="shared" si="244"/>
        <v>1305</v>
      </c>
      <c r="B1306" s="17">
        <f t="shared" si="239"/>
        <v>13.411199999999999</v>
      </c>
      <c r="C1306" s="16">
        <f>Specification!$G$32</f>
        <v>219.92450400000001</v>
      </c>
      <c r="D1306" s="17">
        <f>0.5*Specification!$K$4*Track!B1306^2*Specification!$K$3*Specification!$K$2</f>
        <v>93.159842569492653</v>
      </c>
      <c r="E1306" s="16">
        <v>8</v>
      </c>
      <c r="F1306" s="17">
        <f>Specification!$C$23*9.81*SIN((E1306*PI()/180))</f>
        <v>765.1893799696079</v>
      </c>
      <c r="G1306" s="18">
        <f>IF(J1306=1,VLOOKUP(K1306,RPM!$E$2:$H$62,3,FALSE)-F1306-E1306-D1306,IF(J1306=2,VLOOKUP(K1306,RPM!$H$2:$K$62,3,FALSE)-F1306-E1306-D1306,IF(J1306=3,VLOOKUP(K1306,RPM!$K$2:$N$62,3,FALSE)-F1306-E1306-D1306)))</f>
        <v>-84.70411567745829</v>
      </c>
      <c r="H1306" s="19">
        <f>IF(J1306=1,Specification!$I$14,IF(J1306=2,Specification!$I$15,IF(J1306=3,Specification!$I$16)))</f>
        <v>582.50936296077191</v>
      </c>
      <c r="I1306" s="16">
        <f t="shared" si="237"/>
        <v>0</v>
      </c>
      <c r="J1306" s="17">
        <v>2</v>
      </c>
      <c r="K1306" s="16">
        <f>IF(J1306=1,VLOOKUP(B1306,RPM!$F$2:$H$62,3,TRUE),IF(J1306=2,VLOOKUP(B1306,RPM!$I$2:$K$62,3,TRUE),IF(J1306=3,VLOOKUP(B1306,RPM!$L$2:$N$62,3,TRUE))))</f>
        <v>7000</v>
      </c>
      <c r="L1306" s="17">
        <f t="shared" si="248"/>
        <v>101.58206908284458</v>
      </c>
      <c r="M1306" s="16">
        <f t="shared" si="238"/>
        <v>1.0522512241505877</v>
      </c>
      <c r="N1306" s="17">
        <f>VLOOKUP(K1306,RPM!$A$2:$D$62,3,FALSE)</f>
        <v>13</v>
      </c>
      <c r="O1306" s="16">
        <f>VLOOKUP(K1306,RPM!$A$2:$D$62,4,FALSE)</f>
        <v>13.235857142857142</v>
      </c>
      <c r="P1306" s="17">
        <f t="shared" si="240"/>
        <v>9.8699786714285711</v>
      </c>
      <c r="Q1306" s="16" cm="1">
        <f t="array" ref="Q1306">_xlfn.XLOOKUP(O1306,BSFC!$A$2:$A$24,_xlfn.XLOOKUP(K1306,BSFC!$B$1:$O$1,BSFC!$B$2:$O$24,,-1),,-1)</f>
        <v>520</v>
      </c>
      <c r="R1306" s="17">
        <f t="shared" si="241"/>
        <v>1.425663585873016</v>
      </c>
      <c r="S1306" s="16">
        <f t="shared" si="242"/>
        <v>2.0443068048074323E-4</v>
      </c>
      <c r="T1306" s="17">
        <f t="shared" si="245"/>
        <v>0.10630395384998648</v>
      </c>
      <c r="U1306" s="16">
        <f t="shared" si="246"/>
        <v>167.3843343877185</v>
      </c>
      <c r="V1306" s="17">
        <f t="shared" si="247"/>
        <v>0.34393694304982936</v>
      </c>
      <c r="W1306" s="16">
        <f t="shared" si="243"/>
        <v>1238172.9949793858</v>
      </c>
      <c r="X1306">
        <f>('Hybrid Info'!$A$2-Track!P1306)*(L1306-L1305)*1000+X1305</f>
        <v>-12019.523474245516</v>
      </c>
    </row>
    <row r="1307" spans="1:24">
      <c r="A1307" s="16">
        <f t="shared" si="244"/>
        <v>1306</v>
      </c>
      <c r="B1307" s="17">
        <f t="shared" si="239"/>
        <v>13.411199999999999</v>
      </c>
      <c r="C1307" s="16">
        <f>Specification!$G$32</f>
        <v>219.92450400000001</v>
      </c>
      <c r="D1307" s="17">
        <f>0.5*Specification!$K$4*Track!B1307^2*Specification!$K$3*Specification!$K$2</f>
        <v>93.159842569492653</v>
      </c>
      <c r="E1307" s="16">
        <v>8</v>
      </c>
      <c r="F1307" s="17">
        <f>Specification!$C$23*9.81*SIN((E1307*PI()/180))</f>
        <v>765.1893799696079</v>
      </c>
      <c r="G1307" s="18">
        <f>IF(J1307=1,VLOOKUP(K1307,RPM!$E$2:$H$62,3,FALSE)-F1307-E1307-D1307,IF(J1307=2,VLOOKUP(K1307,RPM!$H$2:$K$62,3,FALSE)-F1307-E1307-D1307,IF(J1307=3,VLOOKUP(K1307,RPM!$K$2:$N$62,3,FALSE)-F1307-E1307-D1307)))</f>
        <v>-84.70411567745829</v>
      </c>
      <c r="H1307" s="19">
        <f>IF(J1307=1,Specification!$I$14,IF(J1307=2,Specification!$I$15,IF(J1307=3,Specification!$I$16)))</f>
        <v>582.50936296077191</v>
      </c>
      <c r="I1307" s="16">
        <f t="shared" si="237"/>
        <v>0</v>
      </c>
      <c r="J1307" s="17">
        <v>2</v>
      </c>
      <c r="K1307" s="16">
        <f>IF(J1307=1,VLOOKUP(B1307,RPM!$F$2:$H$62,3,TRUE),IF(J1307=2,VLOOKUP(B1307,RPM!$I$2:$K$62,3,TRUE),IF(J1307=3,VLOOKUP(B1307,RPM!$L$2:$N$62,3,TRUE))))</f>
        <v>7000</v>
      </c>
      <c r="L1307" s="17">
        <f t="shared" si="248"/>
        <v>101.65663362591306</v>
      </c>
      <c r="M1307" s="16">
        <f t="shared" si="238"/>
        <v>1.1927920588529792</v>
      </c>
      <c r="N1307" s="17">
        <f>VLOOKUP(K1307,RPM!$A$2:$D$62,3,FALSE)</f>
        <v>13</v>
      </c>
      <c r="O1307" s="16">
        <f>VLOOKUP(K1307,RPM!$A$2:$D$62,4,FALSE)</f>
        <v>13.235857142857142</v>
      </c>
      <c r="P1307" s="17">
        <f t="shared" si="240"/>
        <v>9.8699786714285711</v>
      </c>
      <c r="Q1307" s="16" cm="1">
        <f t="array" ref="Q1307">_xlfn.XLOOKUP(O1307,BSFC!$A$2:$A$24,_xlfn.XLOOKUP(K1307,BSFC!$B$1:$O$1,BSFC!$B$2:$O$24,,-1),,-1)</f>
        <v>520</v>
      </c>
      <c r="R1307" s="17">
        <f t="shared" si="241"/>
        <v>1.425663585873016</v>
      </c>
      <c r="S1307" s="16">
        <f t="shared" si="242"/>
        <v>2.0443068048074323E-4</v>
      </c>
      <c r="T1307" s="17">
        <f t="shared" si="245"/>
        <v>0.10630395384998648</v>
      </c>
      <c r="U1307" s="16">
        <f t="shared" si="246"/>
        <v>167.49063834156848</v>
      </c>
      <c r="V1307" s="17">
        <f t="shared" si="247"/>
        <v>0.34414137373031012</v>
      </c>
      <c r="W1307" s="16">
        <f t="shared" si="243"/>
        <v>1238908.9454291165</v>
      </c>
      <c r="X1307">
        <f>('Hybrid Info'!$A$2-Track!P1307)*(L1307-L1306)*1000+X1306</f>
        <v>-11851.717765259264</v>
      </c>
    </row>
    <row r="1308" spans="1:24">
      <c r="A1308" s="16">
        <f t="shared" si="244"/>
        <v>1307</v>
      </c>
      <c r="B1308" s="17">
        <f t="shared" si="239"/>
        <v>13.411199999999999</v>
      </c>
      <c r="C1308" s="16">
        <f>Specification!$G$32</f>
        <v>219.92450400000001</v>
      </c>
      <c r="D1308" s="17">
        <f>0.5*Specification!$K$4*Track!B1308^2*Specification!$K$3*Specification!$K$2</f>
        <v>93.159842569492653</v>
      </c>
      <c r="E1308" s="16">
        <v>8</v>
      </c>
      <c r="F1308" s="17">
        <f>Specification!$C$23*9.81*SIN((E1308*PI()/180))</f>
        <v>765.1893799696079</v>
      </c>
      <c r="G1308" s="18">
        <f>IF(J1308=1,VLOOKUP(K1308,RPM!$E$2:$H$62,3,FALSE)-F1308-E1308-D1308,IF(J1308=2,VLOOKUP(K1308,RPM!$H$2:$K$62,3,FALSE)-F1308-E1308-D1308,IF(J1308=3,VLOOKUP(K1308,RPM!$K$2:$N$62,3,FALSE)-F1308-E1308-D1308)))</f>
        <v>-84.70411567745829</v>
      </c>
      <c r="H1308" s="19">
        <f>IF(J1308=1,Specification!$I$14,IF(J1308=2,Specification!$I$15,IF(J1308=3,Specification!$I$16)))</f>
        <v>582.50936296077191</v>
      </c>
      <c r="I1308" s="16">
        <f t="shared" si="237"/>
        <v>0</v>
      </c>
      <c r="J1308" s="17">
        <v>2</v>
      </c>
      <c r="K1308" s="16">
        <f>IF(J1308=1,VLOOKUP(B1308,RPM!$F$2:$H$62,3,TRUE),IF(J1308=2,VLOOKUP(B1308,RPM!$I$2:$K$62,3,TRUE),IF(J1308=3,VLOOKUP(B1308,RPM!$L$2:$N$62,3,TRUE))))</f>
        <v>7000</v>
      </c>
      <c r="L1308" s="17">
        <f t="shared" si="248"/>
        <v>101.73119816898154</v>
      </c>
      <c r="M1308" s="16">
        <f t="shared" si="238"/>
        <v>1.3333328935553708</v>
      </c>
      <c r="N1308" s="17">
        <f>VLOOKUP(K1308,RPM!$A$2:$D$62,3,FALSE)</f>
        <v>13</v>
      </c>
      <c r="O1308" s="16">
        <f>VLOOKUP(K1308,RPM!$A$2:$D$62,4,FALSE)</f>
        <v>13.235857142857142</v>
      </c>
      <c r="P1308" s="17">
        <f t="shared" si="240"/>
        <v>9.8699786714285711</v>
      </c>
      <c r="Q1308" s="16" cm="1">
        <f t="array" ref="Q1308">_xlfn.XLOOKUP(O1308,BSFC!$A$2:$A$24,_xlfn.XLOOKUP(K1308,BSFC!$B$1:$O$1,BSFC!$B$2:$O$24,,-1),,-1)</f>
        <v>520</v>
      </c>
      <c r="R1308" s="17">
        <f t="shared" si="241"/>
        <v>1.425663585873016</v>
      </c>
      <c r="S1308" s="16">
        <f t="shared" si="242"/>
        <v>2.0443068048074323E-4</v>
      </c>
      <c r="T1308" s="17">
        <f t="shared" si="245"/>
        <v>0.10630395384998648</v>
      </c>
      <c r="U1308" s="16">
        <f t="shared" si="246"/>
        <v>167.59694229541847</v>
      </c>
      <c r="V1308" s="17">
        <f t="shared" si="247"/>
        <v>0.34434580441079088</v>
      </c>
      <c r="W1308" s="16">
        <f t="shared" si="243"/>
        <v>1239644.8958788472</v>
      </c>
      <c r="X1308">
        <f>('Hybrid Info'!$A$2-Track!P1308)*(L1308-L1307)*1000+X1307</f>
        <v>-11683.912056273011</v>
      </c>
    </row>
    <row r="1309" spans="1:24">
      <c r="A1309" s="16">
        <f t="shared" si="244"/>
        <v>1308</v>
      </c>
      <c r="B1309" s="17">
        <f t="shared" si="239"/>
        <v>13.411199999999999</v>
      </c>
      <c r="C1309" s="16">
        <f>Specification!$G$32</f>
        <v>219.92450400000001</v>
      </c>
      <c r="D1309" s="17">
        <f>0.5*Specification!$K$4*Track!B1309^2*Specification!$K$3*Specification!$K$2</f>
        <v>93.159842569492653</v>
      </c>
      <c r="E1309" s="16">
        <v>8</v>
      </c>
      <c r="F1309" s="17">
        <f>Specification!$C$23*9.81*SIN((E1309*PI()/180))</f>
        <v>765.1893799696079</v>
      </c>
      <c r="G1309" s="18">
        <f>IF(J1309=1,VLOOKUP(K1309,RPM!$E$2:$H$62,3,FALSE)-F1309-E1309-D1309,IF(J1309=2,VLOOKUP(K1309,RPM!$H$2:$K$62,3,FALSE)-F1309-E1309-D1309,IF(J1309=3,VLOOKUP(K1309,RPM!$K$2:$N$62,3,FALSE)-F1309-E1309-D1309)))</f>
        <v>-84.70411567745829</v>
      </c>
      <c r="H1309" s="19">
        <f>IF(J1309=1,Specification!$I$14,IF(J1309=2,Specification!$I$15,IF(J1309=3,Specification!$I$16)))</f>
        <v>582.50936296077191</v>
      </c>
      <c r="I1309" s="16">
        <f t="shared" si="237"/>
        <v>0</v>
      </c>
      <c r="J1309" s="17">
        <v>2</v>
      </c>
      <c r="K1309" s="16">
        <f>IF(J1309=1,VLOOKUP(B1309,RPM!$F$2:$H$62,3,TRUE),IF(J1309=2,VLOOKUP(B1309,RPM!$I$2:$K$62,3,TRUE),IF(J1309=3,VLOOKUP(B1309,RPM!$L$2:$N$62,3,TRUE))))</f>
        <v>7000</v>
      </c>
      <c r="L1309" s="17">
        <f t="shared" si="248"/>
        <v>101.80576271205001</v>
      </c>
      <c r="M1309" s="16">
        <f t="shared" si="238"/>
        <v>1.4738737282577623</v>
      </c>
      <c r="N1309" s="17">
        <f>VLOOKUP(K1309,RPM!$A$2:$D$62,3,FALSE)</f>
        <v>13</v>
      </c>
      <c r="O1309" s="16">
        <f>VLOOKUP(K1309,RPM!$A$2:$D$62,4,FALSE)</f>
        <v>13.235857142857142</v>
      </c>
      <c r="P1309" s="17">
        <f t="shared" si="240"/>
        <v>9.8699786714285711</v>
      </c>
      <c r="Q1309" s="16" cm="1">
        <f t="array" ref="Q1309">_xlfn.XLOOKUP(O1309,BSFC!$A$2:$A$24,_xlfn.XLOOKUP(K1309,BSFC!$B$1:$O$1,BSFC!$B$2:$O$24,,-1),,-1)</f>
        <v>520</v>
      </c>
      <c r="R1309" s="17">
        <f t="shared" si="241"/>
        <v>1.425663585873016</v>
      </c>
      <c r="S1309" s="16">
        <f t="shared" si="242"/>
        <v>2.0443068048074323E-4</v>
      </c>
      <c r="T1309" s="17">
        <f t="shared" si="245"/>
        <v>0.10630395384998648</v>
      </c>
      <c r="U1309" s="16">
        <f t="shared" si="246"/>
        <v>167.70324624926846</v>
      </c>
      <c r="V1309" s="17">
        <f t="shared" si="247"/>
        <v>0.34455023509127164</v>
      </c>
      <c r="W1309" s="16">
        <f t="shared" si="243"/>
        <v>1240380.846328578</v>
      </c>
      <c r="X1309">
        <f>('Hybrid Info'!$A$2-Track!P1309)*(L1309-L1308)*1000+X1308</f>
        <v>-11516.106347286759</v>
      </c>
    </row>
    <row r="1310" spans="1:24">
      <c r="A1310" s="16">
        <f t="shared" si="244"/>
        <v>1309</v>
      </c>
      <c r="B1310" s="17">
        <f t="shared" si="239"/>
        <v>13.411199999999999</v>
      </c>
      <c r="C1310" s="16">
        <f>Specification!$G$32</f>
        <v>219.92450400000001</v>
      </c>
      <c r="D1310" s="17">
        <f>0.5*Specification!$K$4*Track!B1310^2*Specification!$K$3*Specification!$K$2</f>
        <v>93.159842569492653</v>
      </c>
      <c r="E1310" s="16">
        <v>8</v>
      </c>
      <c r="F1310" s="17">
        <f>Specification!$C$23*9.81*SIN((E1310*PI()/180))</f>
        <v>765.1893799696079</v>
      </c>
      <c r="G1310" s="18">
        <f>IF(J1310=1,VLOOKUP(K1310,RPM!$E$2:$H$62,3,FALSE)-F1310-E1310-D1310,IF(J1310=2,VLOOKUP(K1310,RPM!$H$2:$K$62,3,FALSE)-F1310-E1310-D1310,IF(J1310=3,VLOOKUP(K1310,RPM!$K$2:$N$62,3,FALSE)-F1310-E1310-D1310)))</f>
        <v>-84.70411567745829</v>
      </c>
      <c r="H1310" s="19">
        <f>IF(J1310=1,Specification!$I$14,IF(J1310=2,Specification!$I$15,IF(J1310=3,Specification!$I$16)))</f>
        <v>582.50936296077191</v>
      </c>
      <c r="I1310" s="16">
        <f t="shared" si="237"/>
        <v>0</v>
      </c>
      <c r="J1310" s="17">
        <v>2</v>
      </c>
      <c r="K1310" s="16">
        <f>IF(J1310=1,VLOOKUP(B1310,RPM!$F$2:$H$62,3,TRUE),IF(J1310=2,VLOOKUP(B1310,RPM!$I$2:$K$62,3,TRUE),IF(J1310=3,VLOOKUP(B1310,RPM!$L$2:$N$62,3,TRUE))))</f>
        <v>7000</v>
      </c>
      <c r="L1310" s="17">
        <f t="shared" si="248"/>
        <v>101.88032725511849</v>
      </c>
      <c r="M1310" s="16">
        <f t="shared" si="238"/>
        <v>1.6144145629601538</v>
      </c>
      <c r="N1310" s="17">
        <f>VLOOKUP(K1310,RPM!$A$2:$D$62,3,FALSE)</f>
        <v>13</v>
      </c>
      <c r="O1310" s="16">
        <f>VLOOKUP(K1310,RPM!$A$2:$D$62,4,FALSE)</f>
        <v>13.235857142857142</v>
      </c>
      <c r="P1310" s="17">
        <f t="shared" si="240"/>
        <v>9.8699786714285711</v>
      </c>
      <c r="Q1310" s="16" cm="1">
        <f t="array" ref="Q1310">_xlfn.XLOOKUP(O1310,BSFC!$A$2:$A$24,_xlfn.XLOOKUP(K1310,BSFC!$B$1:$O$1,BSFC!$B$2:$O$24,,-1),,-1)</f>
        <v>520</v>
      </c>
      <c r="R1310" s="17">
        <f t="shared" si="241"/>
        <v>1.425663585873016</v>
      </c>
      <c r="S1310" s="16">
        <f t="shared" si="242"/>
        <v>2.0443068048074323E-4</v>
      </c>
      <c r="T1310" s="17">
        <f t="shared" si="245"/>
        <v>0.10630395384998648</v>
      </c>
      <c r="U1310" s="16">
        <f t="shared" si="246"/>
        <v>167.80955020311845</v>
      </c>
      <c r="V1310" s="17">
        <f t="shared" si="247"/>
        <v>0.3447546657717524</v>
      </c>
      <c r="W1310" s="16">
        <f t="shared" si="243"/>
        <v>1241116.7967783087</v>
      </c>
      <c r="X1310">
        <f>('Hybrid Info'!$A$2-Track!P1310)*(L1310-L1309)*1000+X1309</f>
        <v>-11348.300638300507</v>
      </c>
    </row>
    <row r="1311" spans="1:24">
      <c r="A1311" s="16">
        <f t="shared" si="244"/>
        <v>1310</v>
      </c>
      <c r="B1311" s="17">
        <f t="shared" si="239"/>
        <v>13.411199999999999</v>
      </c>
      <c r="C1311" s="16">
        <f>Specification!$G$32</f>
        <v>219.92450400000001</v>
      </c>
      <c r="D1311" s="17">
        <f>0.5*Specification!$K$4*Track!B1311^2*Specification!$K$3*Specification!$K$2</f>
        <v>93.159842569492653</v>
      </c>
      <c r="E1311" s="16">
        <v>8</v>
      </c>
      <c r="F1311" s="17">
        <f>Specification!$C$23*9.81*SIN((E1311*PI()/180))</f>
        <v>765.1893799696079</v>
      </c>
      <c r="G1311" s="18">
        <f>IF(J1311=1,VLOOKUP(K1311,RPM!$E$2:$H$62,3,FALSE)-F1311-E1311-D1311,IF(J1311=2,VLOOKUP(K1311,RPM!$H$2:$K$62,3,FALSE)-F1311-E1311-D1311,IF(J1311=3,VLOOKUP(K1311,RPM!$K$2:$N$62,3,FALSE)-F1311-E1311-D1311)))</f>
        <v>-84.70411567745829</v>
      </c>
      <c r="H1311" s="19">
        <f>IF(J1311=1,Specification!$I$14,IF(J1311=2,Specification!$I$15,IF(J1311=3,Specification!$I$16)))</f>
        <v>582.50936296077191</v>
      </c>
      <c r="I1311" s="16">
        <f t="shared" si="237"/>
        <v>0</v>
      </c>
      <c r="J1311" s="17">
        <v>2</v>
      </c>
      <c r="K1311" s="16">
        <f>IF(J1311=1,VLOOKUP(B1311,RPM!$F$2:$H$62,3,TRUE),IF(J1311=2,VLOOKUP(B1311,RPM!$I$2:$K$62,3,TRUE),IF(J1311=3,VLOOKUP(B1311,RPM!$L$2:$N$62,3,TRUE))))</f>
        <v>7000</v>
      </c>
      <c r="L1311" s="17">
        <f t="shared" si="248"/>
        <v>101.95489179818696</v>
      </c>
      <c r="M1311" s="16">
        <f t="shared" si="238"/>
        <v>1.7549553976625454</v>
      </c>
      <c r="N1311" s="17">
        <f>VLOOKUP(K1311,RPM!$A$2:$D$62,3,FALSE)</f>
        <v>13</v>
      </c>
      <c r="O1311" s="16">
        <f>VLOOKUP(K1311,RPM!$A$2:$D$62,4,FALSE)</f>
        <v>13.235857142857142</v>
      </c>
      <c r="P1311" s="17">
        <f t="shared" si="240"/>
        <v>9.8699786714285711</v>
      </c>
      <c r="Q1311" s="16" cm="1">
        <f t="array" ref="Q1311">_xlfn.XLOOKUP(O1311,BSFC!$A$2:$A$24,_xlfn.XLOOKUP(K1311,BSFC!$B$1:$O$1,BSFC!$B$2:$O$24,,-1),,-1)</f>
        <v>520</v>
      </c>
      <c r="R1311" s="17">
        <f t="shared" si="241"/>
        <v>1.425663585873016</v>
      </c>
      <c r="S1311" s="16">
        <f t="shared" si="242"/>
        <v>2.0443068048074323E-4</v>
      </c>
      <c r="T1311" s="17">
        <f t="shared" si="245"/>
        <v>0.10630395384998648</v>
      </c>
      <c r="U1311" s="16">
        <f t="shared" si="246"/>
        <v>167.91585415696844</v>
      </c>
      <c r="V1311" s="17">
        <f t="shared" si="247"/>
        <v>0.34495909645223316</v>
      </c>
      <c r="W1311" s="16">
        <f t="shared" si="243"/>
        <v>1241852.7472280394</v>
      </c>
      <c r="X1311">
        <f>('Hybrid Info'!$A$2-Track!P1311)*(L1311-L1310)*1000+X1310</f>
        <v>-11180.494929314254</v>
      </c>
    </row>
    <row r="1312" spans="1:24">
      <c r="A1312" s="16">
        <f t="shared" si="244"/>
        <v>1311</v>
      </c>
      <c r="B1312" s="17">
        <f t="shared" si="239"/>
        <v>13.411199999999999</v>
      </c>
      <c r="C1312" s="16">
        <f>Specification!$G$32</f>
        <v>219.92450400000001</v>
      </c>
      <c r="D1312" s="17">
        <f>0.5*Specification!$K$4*Track!B1312^2*Specification!$K$3*Specification!$K$2</f>
        <v>93.159842569492653</v>
      </c>
      <c r="E1312" s="16">
        <v>8</v>
      </c>
      <c r="F1312" s="17">
        <f>Specification!$C$23*9.81*SIN((E1312*PI()/180))</f>
        <v>765.1893799696079</v>
      </c>
      <c r="G1312" s="18">
        <f>IF(J1312=1,VLOOKUP(K1312,RPM!$E$2:$H$62,3,FALSE)-F1312-E1312-D1312,IF(J1312=2,VLOOKUP(K1312,RPM!$H$2:$K$62,3,FALSE)-F1312-E1312-D1312,IF(J1312=3,VLOOKUP(K1312,RPM!$K$2:$N$62,3,FALSE)-F1312-E1312-D1312)))</f>
        <v>-84.70411567745829</v>
      </c>
      <c r="H1312" s="19">
        <f>IF(J1312=1,Specification!$I$14,IF(J1312=2,Specification!$I$15,IF(J1312=3,Specification!$I$16)))</f>
        <v>582.50936296077191</v>
      </c>
      <c r="I1312" s="16">
        <f t="shared" si="237"/>
        <v>0</v>
      </c>
      <c r="J1312" s="17">
        <v>2</v>
      </c>
      <c r="K1312" s="16">
        <f>IF(J1312=1,VLOOKUP(B1312,RPM!$F$2:$H$62,3,TRUE),IF(J1312=2,VLOOKUP(B1312,RPM!$I$2:$K$62,3,TRUE),IF(J1312=3,VLOOKUP(B1312,RPM!$L$2:$N$62,3,TRUE))))</f>
        <v>7000</v>
      </c>
      <c r="L1312" s="17">
        <f t="shared" si="248"/>
        <v>102.02945634125544</v>
      </c>
      <c r="M1312" s="16">
        <f t="shared" si="238"/>
        <v>1.8954962323649369</v>
      </c>
      <c r="N1312" s="17">
        <f>VLOOKUP(K1312,RPM!$A$2:$D$62,3,FALSE)</f>
        <v>13</v>
      </c>
      <c r="O1312" s="16">
        <f>VLOOKUP(K1312,RPM!$A$2:$D$62,4,FALSE)</f>
        <v>13.235857142857142</v>
      </c>
      <c r="P1312" s="17">
        <f t="shared" si="240"/>
        <v>9.8699786714285711</v>
      </c>
      <c r="Q1312" s="16" cm="1">
        <f t="array" ref="Q1312">_xlfn.XLOOKUP(O1312,BSFC!$A$2:$A$24,_xlfn.XLOOKUP(K1312,BSFC!$B$1:$O$1,BSFC!$B$2:$O$24,,-1),,-1)</f>
        <v>520</v>
      </c>
      <c r="R1312" s="17">
        <f t="shared" si="241"/>
        <v>1.425663585873016</v>
      </c>
      <c r="S1312" s="16">
        <f t="shared" si="242"/>
        <v>2.0443068048074323E-4</v>
      </c>
      <c r="T1312" s="17">
        <f t="shared" si="245"/>
        <v>0.10630395384998648</v>
      </c>
      <c r="U1312" s="16">
        <f t="shared" si="246"/>
        <v>168.02215811081842</v>
      </c>
      <c r="V1312" s="17">
        <f t="shared" si="247"/>
        <v>0.34516352713271392</v>
      </c>
      <c r="W1312" s="16">
        <f t="shared" si="243"/>
        <v>1242588.6976777702</v>
      </c>
      <c r="X1312">
        <f>('Hybrid Info'!$A$2-Track!P1312)*(L1312-L1311)*1000+X1311</f>
        <v>-11012.689220328002</v>
      </c>
    </row>
    <row r="1313" spans="1:24">
      <c r="A1313" s="16">
        <f t="shared" si="244"/>
        <v>1312</v>
      </c>
      <c r="B1313" s="17">
        <f t="shared" si="239"/>
        <v>13.411199999999999</v>
      </c>
      <c r="C1313" s="16">
        <f>Specification!$G$32</f>
        <v>219.92450400000001</v>
      </c>
      <c r="D1313" s="17">
        <f>0.5*Specification!$K$4*Track!B1313^2*Specification!$K$3*Specification!$K$2</f>
        <v>93.159842569492653</v>
      </c>
      <c r="E1313" s="16">
        <v>8</v>
      </c>
      <c r="F1313" s="17">
        <f>Specification!$C$23*9.81*SIN((E1313*PI()/180))</f>
        <v>765.1893799696079</v>
      </c>
      <c r="G1313" s="18">
        <f>IF(J1313=1,VLOOKUP(K1313,RPM!$E$2:$H$62,3,FALSE)-F1313-E1313-D1313,IF(J1313=2,VLOOKUP(K1313,RPM!$H$2:$K$62,3,FALSE)-F1313-E1313-D1313,IF(J1313=3,VLOOKUP(K1313,RPM!$K$2:$N$62,3,FALSE)-F1313-E1313-D1313)))</f>
        <v>-84.70411567745829</v>
      </c>
      <c r="H1313" s="19">
        <f>IF(J1313=1,Specification!$I$14,IF(J1313=2,Specification!$I$15,IF(J1313=3,Specification!$I$16)))</f>
        <v>582.50936296077191</v>
      </c>
      <c r="I1313" s="16">
        <f t="shared" si="237"/>
        <v>0</v>
      </c>
      <c r="J1313" s="17">
        <v>2</v>
      </c>
      <c r="K1313" s="16">
        <f>IF(J1313=1,VLOOKUP(B1313,RPM!$F$2:$H$62,3,TRUE),IF(J1313=2,VLOOKUP(B1313,RPM!$I$2:$K$62,3,TRUE),IF(J1313=3,VLOOKUP(B1313,RPM!$L$2:$N$62,3,TRUE))))</f>
        <v>7000</v>
      </c>
      <c r="L1313" s="17">
        <f t="shared" si="248"/>
        <v>102.10402088432392</v>
      </c>
      <c r="M1313" s="16">
        <f t="shared" si="238"/>
        <v>2.0360370670673285</v>
      </c>
      <c r="N1313" s="17">
        <f>VLOOKUP(K1313,RPM!$A$2:$D$62,3,FALSE)</f>
        <v>13</v>
      </c>
      <c r="O1313" s="16">
        <f>VLOOKUP(K1313,RPM!$A$2:$D$62,4,FALSE)</f>
        <v>13.235857142857142</v>
      </c>
      <c r="P1313" s="17">
        <f t="shared" si="240"/>
        <v>9.8699786714285711</v>
      </c>
      <c r="Q1313" s="16" cm="1">
        <f t="array" ref="Q1313">_xlfn.XLOOKUP(O1313,BSFC!$A$2:$A$24,_xlfn.XLOOKUP(K1313,BSFC!$B$1:$O$1,BSFC!$B$2:$O$24,,-1),,-1)</f>
        <v>520</v>
      </c>
      <c r="R1313" s="17">
        <f t="shared" si="241"/>
        <v>1.425663585873016</v>
      </c>
      <c r="S1313" s="16">
        <f t="shared" si="242"/>
        <v>2.0443068048074323E-4</v>
      </c>
      <c r="T1313" s="17">
        <f t="shared" si="245"/>
        <v>0.10630395384998648</v>
      </c>
      <c r="U1313" s="16">
        <f t="shared" si="246"/>
        <v>168.12846206466841</v>
      </c>
      <c r="V1313" s="17">
        <f t="shared" si="247"/>
        <v>0.34536795781319468</v>
      </c>
      <c r="W1313" s="16">
        <f t="shared" si="243"/>
        <v>1243324.6481275009</v>
      </c>
      <c r="X1313">
        <f>('Hybrid Info'!$A$2-Track!P1313)*(L1313-L1312)*1000+X1312</f>
        <v>-10844.88351134175</v>
      </c>
    </row>
    <row r="1314" spans="1:24">
      <c r="A1314" s="16">
        <f t="shared" si="244"/>
        <v>1313</v>
      </c>
      <c r="B1314" s="17">
        <f t="shared" si="239"/>
        <v>13.411199999999999</v>
      </c>
      <c r="C1314" s="16">
        <f>Specification!$G$32</f>
        <v>219.92450400000001</v>
      </c>
      <c r="D1314" s="17">
        <f>0.5*Specification!$K$4*Track!B1314^2*Specification!$K$3*Specification!$K$2</f>
        <v>93.159842569492653</v>
      </c>
      <c r="E1314" s="16">
        <v>7</v>
      </c>
      <c r="F1314" s="17">
        <f>Specification!$C$23*9.81*SIN((E1314*PI()/180))</f>
        <v>670.05137252956831</v>
      </c>
      <c r="G1314" s="18">
        <f>IF(J1314=1,VLOOKUP(K1314,RPM!$E$2:$H$62,3,FALSE)-F1314-E1314-D1314,IF(J1314=2,VLOOKUP(K1314,RPM!$H$2:$K$62,3,FALSE)-F1314-E1314-D1314,IF(J1314=3,VLOOKUP(K1314,RPM!$K$2:$N$62,3,FALSE)-F1314-E1314-D1314)))</f>
        <v>11.433891762581297</v>
      </c>
      <c r="H1314" s="19">
        <f>IF(J1314=1,Specification!$I$14,IF(J1314=2,Specification!$I$15,IF(J1314=3,Specification!$I$16)))</f>
        <v>582.50936296077191</v>
      </c>
      <c r="I1314" s="16">
        <f t="shared" si="237"/>
        <v>0</v>
      </c>
      <c r="J1314" s="17">
        <v>2</v>
      </c>
      <c r="K1314" s="16">
        <f>IF(J1314=1,VLOOKUP(B1314,RPM!$F$2:$H$62,3,TRUE),IF(J1314=2,VLOOKUP(B1314,RPM!$I$2:$K$62,3,TRUE),IF(J1314=3,VLOOKUP(B1314,RPM!$L$2:$N$62,3,TRUE))))</f>
        <v>7000</v>
      </c>
      <c r="L1314" s="17">
        <f t="shared" si="248"/>
        <v>102.17858542739239</v>
      </c>
      <c r="M1314" s="16">
        <f t="shared" si="238"/>
        <v>2.1588216279702332</v>
      </c>
      <c r="N1314" s="17">
        <f>VLOOKUP(K1314,RPM!$A$2:$D$62,3,FALSE)</f>
        <v>13</v>
      </c>
      <c r="O1314" s="16">
        <f>VLOOKUP(K1314,RPM!$A$2:$D$62,4,FALSE)</f>
        <v>13.235857142857142</v>
      </c>
      <c r="P1314" s="17">
        <f t="shared" si="240"/>
        <v>9.8699786714285711</v>
      </c>
      <c r="Q1314" s="16" cm="1">
        <f t="array" ref="Q1314">_xlfn.XLOOKUP(O1314,BSFC!$A$2:$A$24,_xlfn.XLOOKUP(K1314,BSFC!$B$1:$O$1,BSFC!$B$2:$O$24,,-1),,-1)</f>
        <v>520</v>
      </c>
      <c r="R1314" s="17">
        <f t="shared" si="241"/>
        <v>1.425663585873016</v>
      </c>
      <c r="S1314" s="16">
        <f t="shared" si="242"/>
        <v>2.0443068048074323E-4</v>
      </c>
      <c r="T1314" s="17">
        <f t="shared" si="245"/>
        <v>0.10630395384998648</v>
      </c>
      <c r="U1314" s="16">
        <f t="shared" si="246"/>
        <v>168.2347660185184</v>
      </c>
      <c r="V1314" s="17">
        <f t="shared" si="247"/>
        <v>0.34557238849367544</v>
      </c>
      <c r="W1314" s="16">
        <f t="shared" si="243"/>
        <v>1244060.5985772314</v>
      </c>
      <c r="X1314">
        <f>('Hybrid Info'!$A$2-Track!P1314)*(L1314-L1313)*1000+X1313</f>
        <v>-10677.077802355498</v>
      </c>
    </row>
    <row r="1315" spans="1:24">
      <c r="A1315" s="16">
        <f t="shared" si="244"/>
        <v>1314</v>
      </c>
      <c r="B1315" s="17">
        <f t="shared" si="239"/>
        <v>13.411199999999999</v>
      </c>
      <c r="C1315" s="16">
        <f>Specification!$G$32</f>
        <v>219.92450400000001</v>
      </c>
      <c r="D1315" s="17">
        <f>0.5*Specification!$K$4*Track!B1315^2*Specification!$K$3*Specification!$K$2</f>
        <v>93.159842569492653</v>
      </c>
      <c r="E1315" s="16">
        <v>6</v>
      </c>
      <c r="F1315" s="17">
        <f>Specification!$C$23*9.81*SIN((E1315*PI()/180))</f>
        <v>574.70926095052266</v>
      </c>
      <c r="G1315" s="18">
        <f>IF(J1315=1,VLOOKUP(K1315,RPM!$E$2:$H$62,3,FALSE)-F1315-E1315-D1315,IF(J1315=2,VLOOKUP(K1315,RPM!$H$2:$K$62,3,FALSE)-F1315-E1315-D1315,IF(J1315=3,VLOOKUP(K1315,RPM!$K$2:$N$62,3,FALSE)-F1315-E1315-D1315)))</f>
        <v>107.77600334162695</v>
      </c>
      <c r="H1315" s="19">
        <f>IF(J1315=1,Specification!$I$14,IF(J1315=2,Specification!$I$15,IF(J1315=3,Specification!$I$16)))</f>
        <v>582.50936296077191</v>
      </c>
      <c r="I1315" s="16">
        <f t="shared" si="237"/>
        <v>0</v>
      </c>
      <c r="J1315" s="17">
        <v>2</v>
      </c>
      <c r="K1315" s="16">
        <f>IF(J1315=1,VLOOKUP(B1315,RPM!$F$2:$H$62,3,TRUE),IF(J1315=2,VLOOKUP(B1315,RPM!$I$2:$K$62,3,TRUE),IF(J1315=3,VLOOKUP(B1315,RPM!$L$2:$N$62,3,TRUE))))</f>
        <v>7000</v>
      </c>
      <c r="L1315" s="17">
        <f t="shared" si="248"/>
        <v>102.25314997046087</v>
      </c>
      <c r="M1315" s="16">
        <f t="shared" si="238"/>
        <v>2.2639258632359098</v>
      </c>
      <c r="N1315" s="17">
        <f>VLOOKUP(K1315,RPM!$A$2:$D$62,3,FALSE)</f>
        <v>13</v>
      </c>
      <c r="O1315" s="16">
        <f>VLOOKUP(K1315,RPM!$A$2:$D$62,4,FALSE)</f>
        <v>13.235857142857142</v>
      </c>
      <c r="P1315" s="17">
        <f t="shared" si="240"/>
        <v>9.8699786714285711</v>
      </c>
      <c r="Q1315" s="16" cm="1">
        <f t="array" ref="Q1315">_xlfn.XLOOKUP(O1315,BSFC!$A$2:$A$24,_xlfn.XLOOKUP(K1315,BSFC!$B$1:$O$1,BSFC!$B$2:$O$24,,-1),,-1)</f>
        <v>520</v>
      </c>
      <c r="R1315" s="17">
        <f t="shared" si="241"/>
        <v>1.425663585873016</v>
      </c>
      <c r="S1315" s="16">
        <f t="shared" si="242"/>
        <v>2.0443068048074323E-4</v>
      </c>
      <c r="T1315" s="17">
        <f t="shared" si="245"/>
        <v>0.10630395384998648</v>
      </c>
      <c r="U1315" s="16">
        <f t="shared" si="246"/>
        <v>168.34106997236839</v>
      </c>
      <c r="V1315" s="17">
        <f t="shared" si="247"/>
        <v>0.3457768191741562</v>
      </c>
      <c r="W1315" s="16">
        <f t="shared" si="243"/>
        <v>1244796.5490269624</v>
      </c>
      <c r="X1315">
        <f>('Hybrid Info'!$A$2-Track!P1315)*(L1315-L1314)*1000+X1314</f>
        <v>-10509.272093369245</v>
      </c>
    </row>
    <row r="1316" spans="1:24">
      <c r="A1316" s="16">
        <f t="shared" si="244"/>
        <v>1315</v>
      </c>
      <c r="B1316" s="17">
        <f t="shared" si="239"/>
        <v>13.411199999999999</v>
      </c>
      <c r="C1316" s="16">
        <f>Specification!$G$32</f>
        <v>219.92450400000001</v>
      </c>
      <c r="D1316" s="17">
        <f>0.5*Specification!$K$4*Track!B1316^2*Specification!$K$3*Specification!$K$2</f>
        <v>93.159842569492653</v>
      </c>
      <c r="E1316" s="16">
        <v>5</v>
      </c>
      <c r="F1316" s="17">
        <f>Specification!$C$23*9.81*SIN((E1316*PI()/180))</f>
        <v>479.192087363258</v>
      </c>
      <c r="G1316" s="18">
        <f>IF(J1316=1,VLOOKUP(K1316,RPM!$E$2:$H$62,3,FALSE)-F1316-E1316-D1316,IF(J1316=2,VLOOKUP(K1316,RPM!$H$2:$K$62,3,FALSE)-F1316-E1316-D1316,IF(J1316=3,VLOOKUP(K1316,RPM!$K$2:$N$62,3,FALSE)-F1316-E1316-D1316)))</f>
        <v>204.29317692889163</v>
      </c>
      <c r="H1316" s="19">
        <f>IF(J1316=1,Specification!$I$14,IF(J1316=2,Specification!$I$15,IF(J1316=3,Specification!$I$16)))</f>
        <v>582.50936296077191</v>
      </c>
      <c r="I1316" s="16">
        <f t="shared" ref="I1316:I1379" si="249">IF(B1316=13.4112,0,G1316/H1316)</f>
        <v>0</v>
      </c>
      <c r="J1316" s="17">
        <v>2</v>
      </c>
      <c r="K1316" s="16">
        <f>IF(J1316=1,VLOOKUP(B1316,RPM!$F$2:$H$62,3,TRUE),IF(J1316=2,VLOOKUP(B1316,RPM!$I$2:$K$62,3,TRUE),IF(J1316=3,VLOOKUP(B1316,RPM!$L$2:$N$62,3,TRUE))))</f>
        <v>7000</v>
      </c>
      <c r="L1316" s="17">
        <f t="shared" si="248"/>
        <v>102.32771451352934</v>
      </c>
      <c r="M1316" s="16">
        <f t="shared" si="238"/>
        <v>2.3514145267618338</v>
      </c>
      <c r="N1316" s="17">
        <f>VLOOKUP(K1316,RPM!$A$2:$D$62,3,FALSE)</f>
        <v>13</v>
      </c>
      <c r="O1316" s="16">
        <f>VLOOKUP(K1316,RPM!$A$2:$D$62,4,FALSE)</f>
        <v>13.235857142857142</v>
      </c>
      <c r="P1316" s="17">
        <f t="shared" si="240"/>
        <v>9.8699786714285711</v>
      </c>
      <c r="Q1316" s="16" cm="1">
        <f t="array" ref="Q1316">_xlfn.XLOOKUP(O1316,BSFC!$A$2:$A$24,_xlfn.XLOOKUP(K1316,BSFC!$B$1:$O$1,BSFC!$B$2:$O$24,,-1),,-1)</f>
        <v>520</v>
      </c>
      <c r="R1316" s="17">
        <f t="shared" si="241"/>
        <v>1.425663585873016</v>
      </c>
      <c r="S1316" s="16">
        <f t="shared" si="242"/>
        <v>2.0443068048074323E-4</v>
      </c>
      <c r="T1316" s="17">
        <f t="shared" si="245"/>
        <v>0.10630395384998648</v>
      </c>
      <c r="U1316" s="16">
        <f t="shared" si="246"/>
        <v>168.44737392621838</v>
      </c>
      <c r="V1316" s="17">
        <f t="shared" si="247"/>
        <v>0.34598124985463696</v>
      </c>
      <c r="W1316" s="16">
        <f t="shared" si="243"/>
        <v>1245532.4994766931</v>
      </c>
      <c r="X1316">
        <f>('Hybrid Info'!$A$2-Track!P1316)*(L1316-L1315)*1000+X1315</f>
        <v>-10341.466384382993</v>
      </c>
    </row>
    <row r="1317" spans="1:24">
      <c r="A1317" s="16">
        <f t="shared" si="244"/>
        <v>1316</v>
      </c>
      <c r="B1317" s="17">
        <f t="shared" si="239"/>
        <v>13.411199999999999</v>
      </c>
      <c r="C1317" s="16">
        <f>Specification!$G$32</f>
        <v>219.92450400000001</v>
      </c>
      <c r="D1317" s="17">
        <f>0.5*Specification!$K$4*Track!B1317^2*Specification!$K$3*Specification!$K$2</f>
        <v>93.159842569492653</v>
      </c>
      <c r="E1317" s="16">
        <v>4</v>
      </c>
      <c r="F1317" s="17">
        <f>Specification!$C$23*9.81*SIN((E1317*PI()/180))</f>
        <v>383.52894722414453</v>
      </c>
      <c r="G1317" s="18">
        <f>IF(J1317=1,VLOOKUP(K1317,RPM!$E$2:$H$62,3,FALSE)-F1317-E1317-D1317,IF(J1317=2,VLOOKUP(K1317,RPM!$H$2:$K$62,3,FALSE)-F1317-E1317-D1317,IF(J1317=3,VLOOKUP(K1317,RPM!$K$2:$N$62,3,FALSE)-F1317-E1317-D1317)))</f>
        <v>162.03323181412702</v>
      </c>
      <c r="H1317" s="19">
        <f>IF(J1317=1,Specification!$I$14,IF(J1317=2,Specification!$I$15,IF(J1317=3,Specification!$I$16)))</f>
        <v>578.93404261974786</v>
      </c>
      <c r="I1317" s="16">
        <f t="shared" si="249"/>
        <v>0</v>
      </c>
      <c r="J1317" s="17">
        <v>3</v>
      </c>
      <c r="K1317" s="16">
        <f>IF(J1317=1,VLOOKUP(B1317,RPM!$F$2:$H$62,3,TRUE),IF(J1317=2,VLOOKUP(B1317,RPM!$I$2:$K$62,3,TRUE),IF(J1317=3,VLOOKUP(B1317,RPM!$L$2:$N$62,3,TRUE))))</f>
        <v>4300</v>
      </c>
      <c r="L1317" s="17">
        <f t="shared" si="248"/>
        <v>102.40227905659782</v>
      </c>
      <c r="M1317" s="16">
        <f t="shared" si="238"/>
        <v>2.4213413387053442</v>
      </c>
      <c r="N1317" s="17">
        <f>VLOOKUP(K1317,RPM!$A$2:$D$62,3,FALSE)</f>
        <v>11.4</v>
      </c>
      <c r="O1317" s="16">
        <f>VLOOKUP(K1317,RPM!$A$2:$D$62,4,FALSE)</f>
        <v>18.894837209302327</v>
      </c>
      <c r="P1317" s="17">
        <f t="shared" si="240"/>
        <v>14.089880106976747</v>
      </c>
      <c r="Q1317" s="16" cm="1">
        <f t="array" ref="Q1317">_xlfn.XLOOKUP(O1317,BSFC!$A$2:$A$24,_xlfn.XLOOKUP(K1317,BSFC!$B$1:$O$1,BSFC!$B$2:$O$24,,-1),,-1)</f>
        <v>480</v>
      </c>
      <c r="R1317" s="17">
        <f t="shared" si="241"/>
        <v>1.8786506809302328</v>
      </c>
      <c r="S1317" s="16">
        <f t="shared" si="242"/>
        <v>2.9183485335175871E-4</v>
      </c>
      <c r="T1317" s="17">
        <f t="shared" si="245"/>
        <v>0.14008072960884418</v>
      </c>
      <c r="U1317" s="16">
        <f t="shared" si="246"/>
        <v>168.58745465582723</v>
      </c>
      <c r="V1317" s="17">
        <f t="shared" si="247"/>
        <v>0.34627308470798873</v>
      </c>
      <c r="W1317" s="16">
        <f t="shared" si="243"/>
        <v>1246583.1049487595</v>
      </c>
      <c r="X1317">
        <f>('Hybrid Info'!$A$2-Track!P1317)*(L1317-L1316)*1000+X1316</f>
        <v>-10488.315697732396</v>
      </c>
    </row>
    <row r="1318" spans="1:24">
      <c r="A1318" s="16">
        <f t="shared" si="244"/>
        <v>1317</v>
      </c>
      <c r="B1318" s="17">
        <f t="shared" si="239"/>
        <v>13.411199999999999</v>
      </c>
      <c r="C1318" s="16">
        <f>Specification!$G$32</f>
        <v>219.92450400000001</v>
      </c>
      <c r="D1318" s="17">
        <f>0.5*Specification!$K$4*Track!B1318^2*Specification!$K$3*Specification!$K$2</f>
        <v>93.159842569492653</v>
      </c>
      <c r="E1318" s="16">
        <v>3</v>
      </c>
      <c r="F1318" s="17">
        <f>Specification!$C$23*9.81*SIN((E1318*PI()/180))</f>
        <v>287.74898045237813</v>
      </c>
      <c r="G1318" s="18">
        <f>IF(J1318=1,VLOOKUP(K1318,RPM!$E$2:$H$62,3,FALSE)-F1318-E1318-D1318,IF(J1318=2,VLOOKUP(K1318,RPM!$H$2:$K$62,3,FALSE)-F1318-E1318-D1318,IF(J1318=3,VLOOKUP(K1318,RPM!$K$2:$N$62,3,FALSE)-F1318-E1318-D1318)))</f>
        <v>258.81319858589342</v>
      </c>
      <c r="H1318" s="19">
        <f>IF(J1318=1,Specification!$I$14,IF(J1318=2,Specification!$I$15,IF(J1318=3,Specification!$I$16)))</f>
        <v>578.93404261974786</v>
      </c>
      <c r="I1318" s="16">
        <f t="shared" si="249"/>
        <v>0</v>
      </c>
      <c r="J1318" s="17">
        <v>3</v>
      </c>
      <c r="K1318" s="16">
        <f>IF(J1318=1,VLOOKUP(B1318,RPM!$F$2:$H$62,3,TRUE),IF(J1318=2,VLOOKUP(B1318,RPM!$I$2:$K$62,3,TRUE),IF(J1318=3,VLOOKUP(B1318,RPM!$L$2:$N$62,3,TRUE))))</f>
        <v>4300</v>
      </c>
      <c r="L1318" s="17">
        <f t="shared" si="248"/>
        <v>102.4768435996663</v>
      </c>
      <c r="M1318" s="16">
        <f t="shared" si="238"/>
        <v>2.4737491179883855</v>
      </c>
      <c r="N1318" s="17">
        <f>VLOOKUP(K1318,RPM!$A$2:$D$62,3,FALSE)</f>
        <v>11.4</v>
      </c>
      <c r="O1318" s="16">
        <f>VLOOKUP(K1318,RPM!$A$2:$D$62,4,FALSE)</f>
        <v>18.894837209302327</v>
      </c>
      <c r="P1318" s="17">
        <f t="shared" si="240"/>
        <v>14.089880106976747</v>
      </c>
      <c r="Q1318" s="16" cm="1">
        <f t="array" ref="Q1318">_xlfn.XLOOKUP(O1318,BSFC!$A$2:$A$24,_xlfn.XLOOKUP(K1318,BSFC!$B$1:$O$1,BSFC!$B$2:$O$24,,-1),,-1)</f>
        <v>480</v>
      </c>
      <c r="R1318" s="17">
        <f t="shared" si="241"/>
        <v>1.8786506809302328</v>
      </c>
      <c r="S1318" s="16">
        <f t="shared" si="242"/>
        <v>2.9183485335175871E-4</v>
      </c>
      <c r="T1318" s="17">
        <f t="shared" si="245"/>
        <v>0.14008072960884418</v>
      </c>
      <c r="U1318" s="16">
        <f t="shared" si="246"/>
        <v>168.72753538543608</v>
      </c>
      <c r="V1318" s="17">
        <f t="shared" si="247"/>
        <v>0.3465649195613405</v>
      </c>
      <c r="W1318" s="16">
        <f t="shared" si="243"/>
        <v>1247633.7104208258</v>
      </c>
      <c r="X1318">
        <f>('Hybrid Info'!$A$2-Track!P1318)*(L1318-L1317)*1000+X1317</f>
        <v>-10635.165011081799</v>
      </c>
    </row>
    <row r="1319" spans="1:24">
      <c r="A1319" s="16">
        <f t="shared" si="244"/>
        <v>1318</v>
      </c>
      <c r="B1319" s="17">
        <f t="shared" si="239"/>
        <v>13.411199999999999</v>
      </c>
      <c r="C1319" s="16">
        <f>Specification!$G$32</f>
        <v>219.92450400000001</v>
      </c>
      <c r="D1319" s="17">
        <f>0.5*Specification!$K$4*Track!B1319^2*Specification!$K$3*Specification!$K$2</f>
        <v>93.159842569492653</v>
      </c>
      <c r="E1319" s="16">
        <v>2</v>
      </c>
      <c r="F1319" s="17">
        <f>Specification!$C$23*9.81*SIN((E1319*PI()/180))</f>
        <v>191.88136255367905</v>
      </c>
      <c r="G1319" s="18">
        <f>IF(J1319=1,VLOOKUP(K1319,RPM!$E$2:$H$62,3,FALSE)-F1319-E1319-D1319,IF(J1319=2,VLOOKUP(K1319,RPM!$H$2:$K$62,3,FALSE)-F1319-E1319-D1319,IF(J1319=3,VLOOKUP(K1319,RPM!$K$2:$N$62,3,FALSE)-F1319-E1319-D1319)))</f>
        <v>355.68081648459247</v>
      </c>
      <c r="H1319" s="19">
        <f>IF(J1319=1,Specification!$I$14,IF(J1319=2,Specification!$I$15,IF(J1319=3,Specification!$I$16)))</f>
        <v>578.93404261974786</v>
      </c>
      <c r="I1319" s="16">
        <f t="shared" si="249"/>
        <v>0</v>
      </c>
      <c r="J1319" s="17">
        <v>3</v>
      </c>
      <c r="K1319" s="16">
        <f>IF(J1319=1,VLOOKUP(B1319,RPM!$F$2:$H$62,3,TRUE),IF(J1319=2,VLOOKUP(B1319,RPM!$I$2:$K$62,3,TRUE),IF(J1319=3,VLOOKUP(B1319,RPM!$L$2:$N$62,3,TRUE))))</f>
        <v>4300</v>
      </c>
      <c r="L1319" s="17">
        <f t="shared" si="248"/>
        <v>102.55140814273477</v>
      </c>
      <c r="M1319" s="16">
        <f t="shared" si="238"/>
        <v>2.5086698874801332</v>
      </c>
      <c r="N1319" s="17">
        <f>VLOOKUP(K1319,RPM!$A$2:$D$62,3,FALSE)</f>
        <v>11.4</v>
      </c>
      <c r="O1319" s="16">
        <f>VLOOKUP(K1319,RPM!$A$2:$D$62,4,FALSE)</f>
        <v>18.894837209302327</v>
      </c>
      <c r="P1319" s="17">
        <f t="shared" si="240"/>
        <v>14.089880106976747</v>
      </c>
      <c r="Q1319" s="16" cm="1">
        <f t="array" ref="Q1319">_xlfn.XLOOKUP(O1319,BSFC!$A$2:$A$24,_xlfn.XLOOKUP(K1319,BSFC!$B$1:$O$1,BSFC!$B$2:$O$24,,-1),,-1)</f>
        <v>480</v>
      </c>
      <c r="R1319" s="17">
        <f t="shared" si="241"/>
        <v>1.8786506809302328</v>
      </c>
      <c r="S1319" s="16">
        <f t="shared" si="242"/>
        <v>2.9183485335175871E-4</v>
      </c>
      <c r="T1319" s="17">
        <f t="shared" si="245"/>
        <v>0.14008072960884418</v>
      </c>
      <c r="U1319" s="16">
        <f t="shared" si="246"/>
        <v>168.86761611504494</v>
      </c>
      <c r="V1319" s="17">
        <f t="shared" si="247"/>
        <v>0.34685675441469227</v>
      </c>
      <c r="W1319" s="16">
        <f t="shared" si="243"/>
        <v>1248684.3158928922</v>
      </c>
      <c r="X1319">
        <f>('Hybrid Info'!$A$2-Track!P1319)*(L1319-L1318)*1000+X1318</f>
        <v>-10782.014324431202</v>
      </c>
    </row>
    <row r="1320" spans="1:24">
      <c r="A1320" s="16">
        <f t="shared" si="244"/>
        <v>1319</v>
      </c>
      <c r="B1320" s="17">
        <f t="shared" si="239"/>
        <v>13.411199999999999</v>
      </c>
      <c r="C1320" s="16">
        <f>Specification!$G$32</f>
        <v>219.92450400000001</v>
      </c>
      <c r="D1320" s="17">
        <f>0.5*Specification!$K$4*Track!B1320^2*Specification!$K$3*Specification!$K$2</f>
        <v>93.159842569492653</v>
      </c>
      <c r="E1320" s="16">
        <v>1</v>
      </c>
      <c r="F1320" s="17">
        <f>Specification!$C$23*9.81*SIN((E1320*PI()/180))</f>
        <v>95.955295733149597</v>
      </c>
      <c r="G1320" s="18">
        <f>IF(J1320=1,VLOOKUP(K1320,RPM!$E$2:$H$62,3,FALSE)-F1320-E1320-D1320,IF(J1320=2,VLOOKUP(K1320,RPM!$H$2:$K$62,3,FALSE)-F1320-E1320-D1320,IF(J1320=3,VLOOKUP(K1320,RPM!$K$2:$N$62,3,FALSE)-F1320-E1320-D1320)))</f>
        <v>452.60688330512198</v>
      </c>
      <c r="H1320" s="19">
        <f>IF(J1320=1,Specification!$I$14,IF(J1320=2,Specification!$I$15,IF(J1320=3,Specification!$I$16)))</f>
        <v>578.93404261974786</v>
      </c>
      <c r="I1320" s="16">
        <f t="shared" si="249"/>
        <v>0</v>
      </c>
      <c r="J1320" s="17">
        <v>3</v>
      </c>
      <c r="K1320" s="16">
        <f>IF(J1320=1,VLOOKUP(B1320,RPM!$F$2:$H$62,3,TRUE),IF(J1320=2,VLOOKUP(B1320,RPM!$I$2:$K$62,3,TRUE),IF(J1320=3,VLOOKUP(B1320,RPM!$L$2:$N$62,3,TRUE))))</f>
        <v>4300</v>
      </c>
      <c r="L1320" s="17">
        <f t="shared" si="248"/>
        <v>102.62597268580325</v>
      </c>
      <c r="M1320" s="16">
        <f t="shared" si="238"/>
        <v>2.5261249524083507</v>
      </c>
      <c r="N1320" s="17">
        <f>VLOOKUP(K1320,RPM!$A$2:$D$62,3,FALSE)</f>
        <v>11.4</v>
      </c>
      <c r="O1320" s="16">
        <f>VLOOKUP(K1320,RPM!$A$2:$D$62,4,FALSE)</f>
        <v>18.894837209302327</v>
      </c>
      <c r="P1320" s="17">
        <f t="shared" si="240"/>
        <v>14.089880106976747</v>
      </c>
      <c r="Q1320" s="16" cm="1">
        <f t="array" ref="Q1320">_xlfn.XLOOKUP(O1320,BSFC!$A$2:$A$24,_xlfn.XLOOKUP(K1320,BSFC!$B$1:$O$1,BSFC!$B$2:$O$24,,-1),,-1)</f>
        <v>480</v>
      </c>
      <c r="R1320" s="17">
        <f t="shared" si="241"/>
        <v>1.8786506809302328</v>
      </c>
      <c r="S1320" s="16">
        <f t="shared" si="242"/>
        <v>2.9183485335175871E-4</v>
      </c>
      <c r="T1320" s="17">
        <f t="shared" si="245"/>
        <v>0.14008072960884418</v>
      </c>
      <c r="U1320" s="16">
        <f t="shared" si="246"/>
        <v>169.00769684465379</v>
      </c>
      <c r="V1320" s="17">
        <f t="shared" si="247"/>
        <v>0.34714858926804404</v>
      </c>
      <c r="W1320" s="16">
        <f t="shared" si="243"/>
        <v>1249734.9213649584</v>
      </c>
      <c r="X1320">
        <f>('Hybrid Info'!$A$2-Track!P1320)*(L1320-L1319)*1000+X1319</f>
        <v>-10928.863637780605</v>
      </c>
    </row>
    <row r="1321" spans="1:24">
      <c r="A1321" s="16">
        <f t="shared" si="244"/>
        <v>1320</v>
      </c>
      <c r="B1321" s="17">
        <f t="shared" si="239"/>
        <v>13.411199999999999</v>
      </c>
      <c r="C1321" s="16">
        <f>Specification!$G$32</f>
        <v>219.92450400000001</v>
      </c>
      <c r="D1321" s="17">
        <f>0.5*Specification!$K$4*Track!B1321^2*Specification!$K$3*Specification!$K$2</f>
        <v>93.159842569492653</v>
      </c>
      <c r="E1321" s="16">
        <v>0</v>
      </c>
      <c r="F1321" s="17">
        <f>Specification!$C$23*9.81*SIN((E1321*PI()/180))</f>
        <v>0</v>
      </c>
      <c r="G1321" s="18">
        <f>IF(J1321=1,VLOOKUP(K1321,RPM!$E$2:$H$62,3,FALSE)-F1321-E1321-D1321,IF(J1321=2,VLOOKUP(K1321,RPM!$H$2:$K$62,3,FALSE)-F1321-E1321-D1321,IF(J1321=3,VLOOKUP(K1321,RPM!$K$2:$N$62,3,FALSE)-F1321-E1321-D1321)))</f>
        <v>549.56217903827155</v>
      </c>
      <c r="H1321" s="19">
        <f>IF(J1321=1,Specification!$I$14,IF(J1321=2,Specification!$I$15,IF(J1321=3,Specification!$I$16)))</f>
        <v>578.93404261974786</v>
      </c>
      <c r="I1321" s="16">
        <f t="shared" si="249"/>
        <v>0</v>
      </c>
      <c r="J1321" s="17">
        <v>3</v>
      </c>
      <c r="K1321" s="16">
        <f>IF(J1321=1,VLOOKUP(B1321,RPM!$F$2:$H$62,3,TRUE),IF(J1321=2,VLOOKUP(B1321,RPM!$I$2:$K$62,3,TRUE),IF(J1321=3,VLOOKUP(B1321,RPM!$L$2:$N$62,3,TRUE))))</f>
        <v>4300</v>
      </c>
      <c r="L1321" s="17">
        <f t="shared" si="248"/>
        <v>102.70053722887172</v>
      </c>
      <c r="M1321" s="16">
        <f t="shared" si="238"/>
        <v>2.5261249524083507</v>
      </c>
      <c r="N1321" s="17">
        <f>VLOOKUP(K1321,RPM!$A$2:$D$62,3,FALSE)</f>
        <v>11.4</v>
      </c>
      <c r="O1321" s="16">
        <f>VLOOKUP(K1321,RPM!$A$2:$D$62,4,FALSE)</f>
        <v>18.894837209302327</v>
      </c>
      <c r="P1321" s="17">
        <f t="shared" si="240"/>
        <v>14.089880106976747</v>
      </c>
      <c r="Q1321" s="16" cm="1">
        <f t="array" ref="Q1321">_xlfn.XLOOKUP(O1321,BSFC!$A$2:$A$24,_xlfn.XLOOKUP(K1321,BSFC!$B$1:$O$1,BSFC!$B$2:$O$24,,-1),,-1)</f>
        <v>480</v>
      </c>
      <c r="R1321" s="17">
        <f t="shared" si="241"/>
        <v>1.8786506809302328</v>
      </c>
      <c r="S1321" s="16">
        <f t="shared" si="242"/>
        <v>2.9183485335175871E-4</v>
      </c>
      <c r="T1321" s="17">
        <f t="shared" si="245"/>
        <v>0.14008072960884418</v>
      </c>
      <c r="U1321" s="16">
        <f t="shared" si="246"/>
        <v>169.14777757426265</v>
      </c>
      <c r="V1321" s="17">
        <f t="shared" si="247"/>
        <v>0.34744042412139581</v>
      </c>
      <c r="W1321" s="16">
        <f t="shared" si="243"/>
        <v>1250785.5268370251</v>
      </c>
      <c r="X1321">
        <f>('Hybrid Info'!$A$2-Track!P1321)*(L1321-L1320)*1000+X1320</f>
        <v>-11075.712951130008</v>
      </c>
    </row>
    <row r="1322" spans="1:24">
      <c r="A1322" s="16">
        <f t="shared" si="244"/>
        <v>1321</v>
      </c>
      <c r="B1322" s="17">
        <f t="shared" si="239"/>
        <v>13.411199999999999</v>
      </c>
      <c r="C1322" s="16">
        <f>Specification!$G$32</f>
        <v>219.92450400000001</v>
      </c>
      <c r="D1322" s="17">
        <f>0.5*Specification!$K$4*Track!B1322^2*Specification!$K$3*Specification!$K$2</f>
        <v>93.159842569492653</v>
      </c>
      <c r="E1322" s="16">
        <v>0</v>
      </c>
      <c r="F1322" s="17">
        <f>Specification!$C$23*9.81*SIN((E1322*PI()/180))</f>
        <v>0</v>
      </c>
      <c r="G1322" s="18">
        <f>IF(J1322=1,VLOOKUP(K1322,RPM!$E$2:$H$62,3,FALSE)-F1322-E1322-D1322,IF(J1322=2,VLOOKUP(K1322,RPM!$H$2:$K$62,3,FALSE)-F1322-E1322-D1322,IF(J1322=3,VLOOKUP(K1322,RPM!$K$2:$N$62,3,FALSE)-F1322-E1322-D1322)))</f>
        <v>549.56217903827155</v>
      </c>
      <c r="H1322" s="19">
        <f>IF(J1322=1,Specification!$I$14,IF(J1322=2,Specification!$I$15,IF(J1322=3,Specification!$I$16)))</f>
        <v>578.93404261974786</v>
      </c>
      <c r="I1322" s="16">
        <f t="shared" si="249"/>
        <v>0</v>
      </c>
      <c r="J1322" s="17">
        <v>3</v>
      </c>
      <c r="K1322" s="16">
        <f>IF(J1322=1,VLOOKUP(B1322,RPM!$F$2:$H$62,3,TRUE),IF(J1322=2,VLOOKUP(B1322,RPM!$I$2:$K$62,3,TRUE),IF(J1322=3,VLOOKUP(B1322,RPM!$L$2:$N$62,3,TRUE))))</f>
        <v>4300</v>
      </c>
      <c r="L1322" s="17">
        <f t="shared" si="248"/>
        <v>102.7751017719402</v>
      </c>
      <c r="M1322" s="16">
        <f t="shared" si="238"/>
        <v>2.5261249524083507</v>
      </c>
      <c r="N1322" s="17">
        <f>VLOOKUP(K1322,RPM!$A$2:$D$62,3,FALSE)</f>
        <v>11.4</v>
      </c>
      <c r="O1322" s="16">
        <f>VLOOKUP(K1322,RPM!$A$2:$D$62,4,FALSE)</f>
        <v>18.894837209302327</v>
      </c>
      <c r="P1322" s="17">
        <f t="shared" si="240"/>
        <v>14.089880106976747</v>
      </c>
      <c r="Q1322" s="16" cm="1">
        <f t="array" ref="Q1322">_xlfn.XLOOKUP(O1322,BSFC!$A$2:$A$24,_xlfn.XLOOKUP(K1322,BSFC!$B$1:$O$1,BSFC!$B$2:$O$24,,-1),,-1)</f>
        <v>480</v>
      </c>
      <c r="R1322" s="17">
        <f t="shared" si="241"/>
        <v>1.8786506809302328</v>
      </c>
      <c r="S1322" s="16">
        <f t="shared" si="242"/>
        <v>2.9183485335175871E-4</v>
      </c>
      <c r="T1322" s="17">
        <f t="shared" si="245"/>
        <v>0.14008072960884418</v>
      </c>
      <c r="U1322" s="16">
        <f t="shared" si="246"/>
        <v>169.2878583038715</v>
      </c>
      <c r="V1322" s="17">
        <f t="shared" si="247"/>
        <v>0.34773225897474758</v>
      </c>
      <c r="W1322" s="16">
        <f t="shared" si="243"/>
        <v>1251836.1323090913</v>
      </c>
      <c r="X1322">
        <f>('Hybrid Info'!$A$2-Track!P1322)*(L1322-L1321)*1000+X1321</f>
        <v>-11222.562264479411</v>
      </c>
    </row>
    <row r="1323" spans="1:24">
      <c r="A1323" s="16">
        <f t="shared" si="244"/>
        <v>1322</v>
      </c>
      <c r="B1323" s="17">
        <f t="shared" si="239"/>
        <v>13.411199999999999</v>
      </c>
      <c r="C1323" s="16">
        <f>Specification!$G$32</f>
        <v>219.92450400000001</v>
      </c>
      <c r="D1323" s="17">
        <f>0.5*Specification!$K$4*Track!B1323^2*Specification!$K$3*Specification!$K$2</f>
        <v>93.159842569492653</v>
      </c>
      <c r="E1323" s="16">
        <v>0</v>
      </c>
      <c r="F1323" s="17">
        <f>Specification!$C$23*9.81*SIN((E1323*PI()/180))</f>
        <v>0</v>
      </c>
      <c r="G1323" s="18">
        <f>IF(J1323=1,VLOOKUP(K1323,RPM!$E$2:$H$62,3,FALSE)-F1323-E1323-D1323,IF(J1323=2,VLOOKUP(K1323,RPM!$H$2:$K$62,3,FALSE)-F1323-E1323-D1323,IF(J1323=3,VLOOKUP(K1323,RPM!$K$2:$N$62,3,FALSE)-F1323-E1323-D1323)))</f>
        <v>549.56217903827155</v>
      </c>
      <c r="H1323" s="19">
        <f>IF(J1323=1,Specification!$I$14,IF(J1323=2,Specification!$I$15,IF(J1323=3,Specification!$I$16)))</f>
        <v>578.93404261974786</v>
      </c>
      <c r="I1323" s="16">
        <f t="shared" si="249"/>
        <v>0</v>
      </c>
      <c r="J1323" s="17">
        <v>3</v>
      </c>
      <c r="K1323" s="16">
        <f>IF(J1323=1,VLOOKUP(B1323,RPM!$F$2:$H$62,3,TRUE),IF(J1323=2,VLOOKUP(B1323,RPM!$I$2:$K$62,3,TRUE),IF(J1323=3,VLOOKUP(B1323,RPM!$L$2:$N$62,3,TRUE))))</f>
        <v>4300</v>
      </c>
      <c r="L1323" s="17">
        <f t="shared" si="248"/>
        <v>102.84966631500868</v>
      </c>
      <c r="M1323" s="16">
        <f t="shared" si="238"/>
        <v>2.5261249524083507</v>
      </c>
      <c r="N1323" s="17">
        <f>VLOOKUP(K1323,RPM!$A$2:$D$62,3,FALSE)</f>
        <v>11.4</v>
      </c>
      <c r="O1323" s="16">
        <f>VLOOKUP(K1323,RPM!$A$2:$D$62,4,FALSE)</f>
        <v>18.894837209302327</v>
      </c>
      <c r="P1323" s="17">
        <f t="shared" si="240"/>
        <v>14.089880106976747</v>
      </c>
      <c r="Q1323" s="16" cm="1">
        <f t="array" ref="Q1323">_xlfn.XLOOKUP(O1323,BSFC!$A$2:$A$24,_xlfn.XLOOKUP(K1323,BSFC!$B$1:$O$1,BSFC!$B$2:$O$24,,-1),,-1)</f>
        <v>480</v>
      </c>
      <c r="R1323" s="17">
        <f t="shared" si="241"/>
        <v>1.8786506809302328</v>
      </c>
      <c r="S1323" s="16">
        <f t="shared" si="242"/>
        <v>2.9183485335175871E-4</v>
      </c>
      <c r="T1323" s="17">
        <f t="shared" si="245"/>
        <v>0.14008072960884418</v>
      </c>
      <c r="U1323" s="16">
        <f t="shared" si="246"/>
        <v>169.42793903348036</v>
      </c>
      <c r="V1323" s="17">
        <f t="shared" si="247"/>
        <v>0.34802409382809935</v>
      </c>
      <c r="W1323" s="16">
        <f t="shared" si="243"/>
        <v>1252886.7377811577</v>
      </c>
      <c r="X1323">
        <f>('Hybrid Info'!$A$2-Track!P1323)*(L1323-L1322)*1000+X1322</f>
        <v>-11369.411577828814</v>
      </c>
    </row>
    <row r="1324" spans="1:24">
      <c r="A1324" s="16">
        <f t="shared" si="244"/>
        <v>1323</v>
      </c>
      <c r="B1324" s="17">
        <f t="shared" si="239"/>
        <v>13.411199999999999</v>
      </c>
      <c r="C1324" s="16">
        <f>Specification!$G$32</f>
        <v>219.92450400000001</v>
      </c>
      <c r="D1324" s="17">
        <f>0.5*Specification!$K$4*Track!B1324^2*Specification!$K$3*Specification!$K$2</f>
        <v>93.159842569492653</v>
      </c>
      <c r="E1324" s="16">
        <v>0</v>
      </c>
      <c r="F1324" s="17">
        <f>Specification!$C$23*9.81*SIN((E1324*PI()/180))</f>
        <v>0</v>
      </c>
      <c r="G1324" s="18">
        <f>IF(J1324=1,VLOOKUP(K1324,RPM!$E$2:$H$62,3,FALSE)-F1324-E1324-D1324,IF(J1324=2,VLOOKUP(K1324,RPM!$H$2:$K$62,3,FALSE)-F1324-E1324-D1324,IF(J1324=3,VLOOKUP(K1324,RPM!$K$2:$N$62,3,FALSE)-F1324-E1324-D1324)))</f>
        <v>549.56217903827155</v>
      </c>
      <c r="H1324" s="19">
        <f>IF(J1324=1,Specification!$I$14,IF(J1324=2,Specification!$I$15,IF(J1324=3,Specification!$I$16)))</f>
        <v>578.93404261974786</v>
      </c>
      <c r="I1324" s="16">
        <f t="shared" si="249"/>
        <v>0</v>
      </c>
      <c r="J1324" s="17">
        <v>3</v>
      </c>
      <c r="K1324" s="16">
        <f>IF(J1324=1,VLOOKUP(B1324,RPM!$F$2:$H$62,3,TRUE),IF(J1324=2,VLOOKUP(B1324,RPM!$I$2:$K$62,3,TRUE),IF(J1324=3,VLOOKUP(B1324,RPM!$L$2:$N$62,3,TRUE))))</f>
        <v>4300</v>
      </c>
      <c r="L1324" s="17">
        <f t="shared" si="248"/>
        <v>102.92423085807715</v>
      </c>
      <c r="M1324" s="16">
        <f t="shared" si="238"/>
        <v>2.5261249524083507</v>
      </c>
      <c r="N1324" s="17">
        <f>VLOOKUP(K1324,RPM!$A$2:$D$62,3,FALSE)</f>
        <v>11.4</v>
      </c>
      <c r="O1324" s="16">
        <f>VLOOKUP(K1324,RPM!$A$2:$D$62,4,FALSE)</f>
        <v>18.894837209302327</v>
      </c>
      <c r="P1324" s="17">
        <f t="shared" si="240"/>
        <v>14.089880106976747</v>
      </c>
      <c r="Q1324" s="16" cm="1">
        <f t="array" ref="Q1324">_xlfn.XLOOKUP(O1324,BSFC!$A$2:$A$24,_xlfn.XLOOKUP(K1324,BSFC!$B$1:$O$1,BSFC!$B$2:$O$24,,-1),,-1)</f>
        <v>480</v>
      </c>
      <c r="R1324" s="17">
        <f t="shared" si="241"/>
        <v>1.8786506809302328</v>
      </c>
      <c r="S1324" s="16">
        <f t="shared" si="242"/>
        <v>2.9183485335175871E-4</v>
      </c>
      <c r="T1324" s="17">
        <f t="shared" si="245"/>
        <v>0.14008072960884418</v>
      </c>
      <c r="U1324" s="16">
        <f t="shared" si="246"/>
        <v>169.56801976308921</v>
      </c>
      <c r="V1324" s="17">
        <f t="shared" si="247"/>
        <v>0.34831592868145111</v>
      </c>
      <c r="W1324" s="16">
        <f t="shared" si="243"/>
        <v>1253937.3432532239</v>
      </c>
      <c r="X1324">
        <f>('Hybrid Info'!$A$2-Track!P1324)*(L1324-L1323)*1000+X1323</f>
        <v>-11516.260891178217</v>
      </c>
    </row>
    <row r="1325" spans="1:24">
      <c r="A1325" s="16">
        <f t="shared" si="244"/>
        <v>1324</v>
      </c>
      <c r="B1325" s="17">
        <f t="shared" si="239"/>
        <v>13.411199999999999</v>
      </c>
      <c r="C1325" s="16">
        <f>Specification!$G$32</f>
        <v>219.92450400000001</v>
      </c>
      <c r="D1325" s="17">
        <f>0.5*Specification!$K$4*Track!B1325^2*Specification!$K$3*Specification!$K$2</f>
        <v>93.159842569492653</v>
      </c>
      <c r="E1325" s="16">
        <v>-1</v>
      </c>
      <c r="F1325" s="17">
        <f>Specification!$C$23*9.81*SIN((E1325*PI()/180))</f>
        <v>-95.955295733149597</v>
      </c>
      <c r="G1325" s="18">
        <f>IF(J1325=1,VLOOKUP(K1325,RPM!$E$2:$H$62,3,FALSE)-F1325-E1325-D1325,IF(J1325=2,VLOOKUP(K1325,RPM!$H$2:$K$62,3,FALSE)-F1325-E1325-D1325,IF(J1325=3,VLOOKUP(K1325,RPM!$K$2:$N$62,3,FALSE)-F1325-E1325-D1325)))</f>
        <v>646.51747477142112</v>
      </c>
      <c r="H1325" s="19">
        <f>IF(J1325=1,Specification!$I$14,IF(J1325=2,Specification!$I$15,IF(J1325=3,Specification!$I$16)))</f>
        <v>578.93404261974786</v>
      </c>
      <c r="I1325" s="16">
        <f t="shared" si="249"/>
        <v>0</v>
      </c>
      <c r="J1325" s="17">
        <v>3</v>
      </c>
      <c r="K1325" s="16">
        <f>IF(J1325=1,VLOOKUP(B1325,RPM!$F$2:$H$62,3,TRUE),IF(J1325=2,VLOOKUP(B1325,RPM!$I$2:$K$62,3,TRUE),IF(J1325=3,VLOOKUP(B1325,RPM!$L$2:$N$62,3,TRUE))))</f>
        <v>4300</v>
      </c>
      <c r="L1325" s="17">
        <f t="shared" si="248"/>
        <v>102.99879540114563</v>
      </c>
      <c r="M1325" s="16">
        <f t="shared" si="238"/>
        <v>2.5086698874801332</v>
      </c>
      <c r="N1325" s="17">
        <f>VLOOKUP(K1325,RPM!$A$2:$D$62,3,FALSE)</f>
        <v>11.4</v>
      </c>
      <c r="O1325" s="16">
        <f>VLOOKUP(K1325,RPM!$A$2:$D$62,4,FALSE)</f>
        <v>18.894837209302327</v>
      </c>
      <c r="P1325" s="17">
        <f t="shared" si="240"/>
        <v>14.089880106976747</v>
      </c>
      <c r="Q1325" s="16" cm="1">
        <f t="array" ref="Q1325">_xlfn.XLOOKUP(O1325,BSFC!$A$2:$A$24,_xlfn.XLOOKUP(K1325,BSFC!$B$1:$O$1,BSFC!$B$2:$O$24,,-1),,-1)</f>
        <v>480</v>
      </c>
      <c r="R1325" s="17">
        <f t="shared" si="241"/>
        <v>1.8786506809302328</v>
      </c>
      <c r="S1325" s="16">
        <f t="shared" si="242"/>
        <v>2.9183485335175871E-4</v>
      </c>
      <c r="T1325" s="17">
        <f t="shared" si="245"/>
        <v>0.14008072960884418</v>
      </c>
      <c r="U1325" s="16">
        <f t="shared" si="246"/>
        <v>169.70810049269807</v>
      </c>
      <c r="V1325" s="17">
        <f t="shared" si="247"/>
        <v>0.34860776353480288</v>
      </c>
      <c r="W1325" s="16">
        <f t="shared" si="243"/>
        <v>1254987.9487252904</v>
      </c>
      <c r="X1325">
        <f>('Hybrid Info'!$A$2-Track!P1325)*(L1325-L1324)*1000+X1324</f>
        <v>-11663.11020452762</v>
      </c>
    </row>
    <row r="1326" spans="1:24">
      <c r="A1326" s="16">
        <f t="shared" si="244"/>
        <v>1325</v>
      </c>
      <c r="B1326" s="17">
        <f t="shared" si="239"/>
        <v>13.411199999999999</v>
      </c>
      <c r="C1326" s="16">
        <f>Specification!$G$32</f>
        <v>219.92450400000001</v>
      </c>
      <c r="D1326" s="17">
        <f>0.5*Specification!$K$4*Track!B1326^2*Specification!$K$3*Specification!$K$2</f>
        <v>93.159842569492653</v>
      </c>
      <c r="E1326" s="16">
        <v>-2</v>
      </c>
      <c r="F1326" s="17">
        <f>Specification!$C$23*9.81*SIN((E1326*PI()/180))</f>
        <v>-191.88136255367905</v>
      </c>
      <c r="G1326" s="18">
        <f>IF(J1326=1,VLOOKUP(K1326,RPM!$E$2:$H$62,3,FALSE)-F1326-E1326-D1326,IF(J1326=2,VLOOKUP(K1326,RPM!$H$2:$K$62,3,FALSE)-F1326-E1326-D1326,IF(J1326=3,VLOOKUP(K1326,RPM!$K$2:$N$62,3,FALSE)-F1326-E1326-D1326)))</f>
        <v>743.44354159195063</v>
      </c>
      <c r="H1326" s="19">
        <f>IF(J1326=1,Specification!$I$14,IF(J1326=2,Specification!$I$15,IF(J1326=3,Specification!$I$16)))</f>
        <v>578.93404261974786</v>
      </c>
      <c r="I1326" s="16">
        <f t="shared" si="249"/>
        <v>0</v>
      </c>
      <c r="J1326" s="17">
        <v>3</v>
      </c>
      <c r="K1326" s="16">
        <f>IF(J1326=1,VLOOKUP(B1326,RPM!$F$2:$H$62,3,TRUE),IF(J1326=2,VLOOKUP(B1326,RPM!$I$2:$K$62,3,TRUE),IF(J1326=3,VLOOKUP(B1326,RPM!$L$2:$N$62,3,TRUE))))</f>
        <v>4300</v>
      </c>
      <c r="L1326" s="17">
        <f t="shared" si="248"/>
        <v>103.0733599442141</v>
      </c>
      <c r="M1326" s="16">
        <f t="shared" ref="M1326:M1389" si="250">TAN(E1326*PI()/180)+M1325</f>
        <v>2.4737491179883855</v>
      </c>
      <c r="N1326" s="17">
        <f>VLOOKUP(K1326,RPM!$A$2:$D$62,3,FALSE)</f>
        <v>11.4</v>
      </c>
      <c r="O1326" s="16">
        <f>VLOOKUP(K1326,RPM!$A$2:$D$62,4,FALSE)</f>
        <v>18.894837209302327</v>
      </c>
      <c r="P1326" s="17">
        <f t="shared" si="240"/>
        <v>14.089880106976747</v>
      </c>
      <c r="Q1326" s="16" cm="1">
        <f t="array" ref="Q1326">_xlfn.XLOOKUP(O1326,BSFC!$A$2:$A$24,_xlfn.XLOOKUP(K1326,BSFC!$B$1:$O$1,BSFC!$B$2:$O$24,,-1),,-1)</f>
        <v>480</v>
      </c>
      <c r="R1326" s="17">
        <f t="shared" si="241"/>
        <v>1.8786506809302328</v>
      </c>
      <c r="S1326" s="16">
        <f t="shared" si="242"/>
        <v>2.9183485335175871E-4</v>
      </c>
      <c r="T1326" s="17">
        <f t="shared" si="245"/>
        <v>0.14008072960884418</v>
      </c>
      <c r="U1326" s="16">
        <f t="shared" si="246"/>
        <v>169.84818122230692</v>
      </c>
      <c r="V1326" s="17">
        <f t="shared" si="247"/>
        <v>0.34889959838815465</v>
      </c>
      <c r="W1326" s="16">
        <f t="shared" si="243"/>
        <v>1256038.5541973566</v>
      </c>
      <c r="X1326">
        <f>('Hybrid Info'!$A$2-Track!P1326)*(L1326-L1325)*1000+X1325</f>
        <v>-11809.959517877023</v>
      </c>
    </row>
    <row r="1327" spans="1:24">
      <c r="A1327" s="16">
        <f t="shared" si="244"/>
        <v>1326</v>
      </c>
      <c r="B1327" s="17">
        <f t="shared" si="239"/>
        <v>13.411199999999999</v>
      </c>
      <c r="C1327" s="16">
        <f>Specification!$G$32</f>
        <v>219.92450400000001</v>
      </c>
      <c r="D1327" s="17">
        <f>0.5*Specification!$K$4*Track!B1327^2*Specification!$K$3*Specification!$K$2</f>
        <v>93.159842569492653</v>
      </c>
      <c r="E1327" s="16">
        <v>-3</v>
      </c>
      <c r="F1327" s="17">
        <f>Specification!$C$23*9.81*SIN((E1327*PI()/180))</f>
        <v>-287.74898045237813</v>
      </c>
      <c r="G1327" s="18">
        <f>IF(J1327=1,VLOOKUP(K1327,RPM!$E$2:$H$62,3,FALSE)-F1327-E1327-D1327,IF(J1327=2,VLOOKUP(K1327,RPM!$H$2:$K$62,3,FALSE)-F1327-E1327-D1327,IF(J1327=3,VLOOKUP(K1327,RPM!$K$2:$N$62,3,FALSE)-F1327-E1327-D1327)))</f>
        <v>840.31115949064974</v>
      </c>
      <c r="H1327" s="19">
        <f>IF(J1327=1,Specification!$I$14,IF(J1327=2,Specification!$I$15,IF(J1327=3,Specification!$I$16)))</f>
        <v>578.93404261974786</v>
      </c>
      <c r="I1327" s="16">
        <f t="shared" si="249"/>
        <v>0</v>
      </c>
      <c r="J1327" s="17">
        <v>3</v>
      </c>
      <c r="K1327" s="16">
        <f>IF(J1327=1,VLOOKUP(B1327,RPM!$F$2:$H$62,3,TRUE),IF(J1327=2,VLOOKUP(B1327,RPM!$I$2:$K$62,3,TRUE),IF(J1327=3,VLOOKUP(B1327,RPM!$L$2:$N$62,3,TRUE))))</f>
        <v>4300</v>
      </c>
      <c r="L1327" s="17">
        <f t="shared" si="248"/>
        <v>103.14792448728258</v>
      </c>
      <c r="M1327" s="16">
        <f t="shared" si="250"/>
        <v>2.4213413387053442</v>
      </c>
      <c r="N1327" s="17">
        <f>VLOOKUP(K1327,RPM!$A$2:$D$62,3,FALSE)</f>
        <v>11.4</v>
      </c>
      <c r="O1327" s="16">
        <f>VLOOKUP(K1327,RPM!$A$2:$D$62,4,FALSE)</f>
        <v>18.894837209302327</v>
      </c>
      <c r="P1327" s="17">
        <f t="shared" si="240"/>
        <v>14.089880106976747</v>
      </c>
      <c r="Q1327" s="16" cm="1">
        <f t="array" ref="Q1327">_xlfn.XLOOKUP(O1327,BSFC!$A$2:$A$24,_xlfn.XLOOKUP(K1327,BSFC!$B$1:$O$1,BSFC!$B$2:$O$24,,-1),,-1)</f>
        <v>480</v>
      </c>
      <c r="R1327" s="17">
        <f t="shared" si="241"/>
        <v>1.8786506809302328</v>
      </c>
      <c r="S1327" s="16">
        <f t="shared" si="242"/>
        <v>2.9183485335175871E-4</v>
      </c>
      <c r="T1327" s="17">
        <f t="shared" si="245"/>
        <v>0.14008072960884418</v>
      </c>
      <c r="U1327" s="16">
        <f t="shared" si="246"/>
        <v>169.98826195191577</v>
      </c>
      <c r="V1327" s="17">
        <f t="shared" si="247"/>
        <v>0.34919143324150642</v>
      </c>
      <c r="W1327" s="16">
        <f t="shared" si="243"/>
        <v>1257089.1596694232</v>
      </c>
      <c r="X1327">
        <f>('Hybrid Info'!$A$2-Track!P1327)*(L1327-L1326)*1000+X1326</f>
        <v>-11956.808831226426</v>
      </c>
    </row>
    <row r="1328" spans="1:24">
      <c r="A1328" s="16">
        <f t="shared" si="244"/>
        <v>1327</v>
      </c>
      <c r="B1328" s="17">
        <f t="shared" si="239"/>
        <v>13.411199999999999</v>
      </c>
      <c r="C1328" s="16">
        <f>Specification!$G$32</f>
        <v>219.92450400000001</v>
      </c>
      <c r="D1328" s="17">
        <f>0.5*Specification!$K$4*Track!B1328^2*Specification!$K$3*Specification!$K$2</f>
        <v>93.159842569492653</v>
      </c>
      <c r="E1328" s="16">
        <v>-4</v>
      </c>
      <c r="F1328" s="17">
        <f>Specification!$C$23*9.81*SIN((E1328*PI()/180))</f>
        <v>-383.52894722414453</v>
      </c>
      <c r="G1328" s="18">
        <f>IF(J1328=1,VLOOKUP(K1328,RPM!$E$2:$H$62,3,FALSE)-F1328-E1328-D1328,IF(J1328=2,VLOOKUP(K1328,RPM!$H$2:$K$62,3,FALSE)-F1328-E1328-D1328,IF(J1328=3,VLOOKUP(K1328,RPM!$K$2:$N$62,3,FALSE)-F1328-E1328-D1328)))</f>
        <v>937.09112626241608</v>
      </c>
      <c r="H1328" s="19">
        <f>IF(J1328=1,Specification!$I$14,IF(J1328=2,Specification!$I$15,IF(J1328=3,Specification!$I$16)))</f>
        <v>578.93404261974786</v>
      </c>
      <c r="I1328" s="16">
        <f t="shared" si="249"/>
        <v>0</v>
      </c>
      <c r="J1328" s="17">
        <v>3</v>
      </c>
      <c r="K1328" s="16">
        <f>IF(J1328=1,VLOOKUP(B1328,RPM!$F$2:$H$62,3,TRUE),IF(J1328=2,VLOOKUP(B1328,RPM!$I$2:$K$62,3,TRUE),IF(J1328=3,VLOOKUP(B1328,RPM!$L$2:$N$62,3,TRUE))))</f>
        <v>4300</v>
      </c>
      <c r="L1328" s="17">
        <f t="shared" si="248"/>
        <v>103.22248903035106</v>
      </c>
      <c r="M1328" s="16">
        <f t="shared" si="250"/>
        <v>2.3514145267618338</v>
      </c>
      <c r="N1328" s="17">
        <f>VLOOKUP(K1328,RPM!$A$2:$D$62,3,FALSE)</f>
        <v>11.4</v>
      </c>
      <c r="O1328" s="16">
        <f>VLOOKUP(K1328,RPM!$A$2:$D$62,4,FALSE)</f>
        <v>18.894837209302327</v>
      </c>
      <c r="P1328" s="17">
        <f t="shared" si="240"/>
        <v>14.089880106976747</v>
      </c>
      <c r="Q1328" s="16" cm="1">
        <f t="array" ref="Q1328">_xlfn.XLOOKUP(O1328,BSFC!$A$2:$A$24,_xlfn.XLOOKUP(K1328,BSFC!$B$1:$O$1,BSFC!$B$2:$O$24,,-1),,-1)</f>
        <v>480</v>
      </c>
      <c r="R1328" s="17">
        <f t="shared" si="241"/>
        <v>1.8786506809302328</v>
      </c>
      <c r="S1328" s="16">
        <f t="shared" si="242"/>
        <v>2.9183485335175871E-4</v>
      </c>
      <c r="T1328" s="17">
        <f t="shared" si="245"/>
        <v>0.14008072960884418</v>
      </c>
      <c r="U1328" s="16">
        <f t="shared" si="246"/>
        <v>170.12834268152463</v>
      </c>
      <c r="V1328" s="17">
        <f t="shared" si="247"/>
        <v>0.34948326809485819</v>
      </c>
      <c r="W1328" s="16">
        <f t="shared" si="243"/>
        <v>1258139.7651414894</v>
      </c>
      <c r="X1328">
        <f>('Hybrid Info'!$A$2-Track!P1328)*(L1328-L1327)*1000+X1327</f>
        <v>-12103.658144575829</v>
      </c>
    </row>
    <row r="1329" spans="1:24">
      <c r="A1329" s="16">
        <f t="shared" si="244"/>
        <v>1328</v>
      </c>
      <c r="B1329" s="17">
        <f t="shared" ref="B1329:B1392" si="251">IF(SQRT(B1328^2+2*I1328)&gt;13.4112,13.4112,SQRT(B1328^2+2*I1328))</f>
        <v>13.411199999999999</v>
      </c>
      <c r="C1329" s="16">
        <f>Specification!$G$32</f>
        <v>219.92450400000001</v>
      </c>
      <c r="D1329" s="17">
        <f>0.5*Specification!$K$4*Track!B1329^2*Specification!$K$3*Specification!$K$2</f>
        <v>93.159842569492653</v>
      </c>
      <c r="E1329" s="16">
        <v>-5</v>
      </c>
      <c r="F1329" s="17">
        <f>Specification!$C$23*9.81*SIN((E1329*PI()/180))</f>
        <v>-479.192087363258</v>
      </c>
      <c r="G1329" s="18">
        <f>IF(J1329=1,VLOOKUP(K1329,RPM!$E$2:$H$62,3,FALSE)-F1329-E1329-D1329,IF(J1329=2,VLOOKUP(K1329,RPM!$H$2:$K$62,3,FALSE)-F1329-E1329-D1329,IF(J1329=3,VLOOKUP(K1329,RPM!$K$2:$N$62,3,FALSE)-F1329-E1329-D1329)))</f>
        <v>1033.7542664015295</v>
      </c>
      <c r="H1329" s="19">
        <f>IF(J1329=1,Specification!$I$14,IF(J1329=2,Specification!$I$15,IF(J1329=3,Specification!$I$16)))</f>
        <v>578.93404261974786</v>
      </c>
      <c r="I1329" s="16">
        <f t="shared" si="249"/>
        <v>0</v>
      </c>
      <c r="J1329" s="17">
        <v>3</v>
      </c>
      <c r="K1329" s="16">
        <f>IF(J1329=1,VLOOKUP(B1329,RPM!$F$2:$H$62,3,TRUE),IF(J1329=2,VLOOKUP(B1329,RPM!$I$2:$K$62,3,TRUE),IF(J1329=3,VLOOKUP(B1329,RPM!$L$2:$N$62,3,TRUE))))</f>
        <v>4300</v>
      </c>
      <c r="L1329" s="17">
        <f t="shared" si="248"/>
        <v>103.29705357341953</v>
      </c>
      <c r="M1329" s="16">
        <f t="shared" si="250"/>
        <v>2.2639258632359098</v>
      </c>
      <c r="N1329" s="17">
        <f>VLOOKUP(K1329,RPM!$A$2:$D$62,3,FALSE)</f>
        <v>11.4</v>
      </c>
      <c r="O1329" s="16">
        <f>VLOOKUP(K1329,RPM!$A$2:$D$62,4,FALSE)</f>
        <v>18.894837209302327</v>
      </c>
      <c r="P1329" s="17">
        <f t="shared" si="240"/>
        <v>14.089880106976747</v>
      </c>
      <c r="Q1329" s="16" cm="1">
        <f t="array" ref="Q1329">_xlfn.XLOOKUP(O1329,BSFC!$A$2:$A$24,_xlfn.XLOOKUP(K1329,BSFC!$B$1:$O$1,BSFC!$B$2:$O$24,,-1),,-1)</f>
        <v>480</v>
      </c>
      <c r="R1329" s="17">
        <f t="shared" si="241"/>
        <v>1.8786506809302328</v>
      </c>
      <c r="S1329" s="16">
        <f t="shared" si="242"/>
        <v>2.9183485335175871E-4</v>
      </c>
      <c r="T1329" s="17">
        <f t="shared" si="245"/>
        <v>0.14008072960884418</v>
      </c>
      <c r="U1329" s="16">
        <f t="shared" si="246"/>
        <v>170.26842341113348</v>
      </c>
      <c r="V1329" s="17">
        <f t="shared" si="247"/>
        <v>0.34977510294820996</v>
      </c>
      <c r="W1329" s="16">
        <f t="shared" si="243"/>
        <v>1259190.3706135559</v>
      </c>
      <c r="X1329">
        <f>('Hybrid Info'!$A$2-Track!P1329)*(L1329-L1328)*1000+X1328</f>
        <v>-12250.507457925232</v>
      </c>
    </row>
    <row r="1330" spans="1:24">
      <c r="A1330" s="16">
        <f t="shared" si="244"/>
        <v>1329</v>
      </c>
      <c r="B1330" s="17">
        <f t="shared" si="251"/>
        <v>13.411199999999999</v>
      </c>
      <c r="C1330" s="16">
        <f>Specification!$G$32</f>
        <v>219.92450400000001</v>
      </c>
      <c r="D1330" s="17">
        <f>0.5*Specification!$K$4*Track!B1330^2*Specification!$K$3*Specification!$K$2</f>
        <v>93.159842569492653</v>
      </c>
      <c r="E1330" s="16">
        <v>-6</v>
      </c>
      <c r="F1330" s="17">
        <f>Specification!$C$23*9.81*SIN((E1330*PI()/180))</f>
        <v>-574.70926095052266</v>
      </c>
      <c r="G1330" s="18">
        <f>IF(J1330=1,VLOOKUP(K1330,RPM!$E$2:$H$62,3,FALSE)-F1330-E1330-D1330,IF(J1330=2,VLOOKUP(K1330,RPM!$H$2:$K$62,3,FALSE)-F1330-E1330-D1330,IF(J1330=3,VLOOKUP(K1330,RPM!$K$2:$N$62,3,FALSE)-F1330-E1330-D1330)))</f>
        <v>1130.2714399887943</v>
      </c>
      <c r="H1330" s="19">
        <f>IF(J1330=1,Specification!$I$14,IF(J1330=2,Specification!$I$15,IF(J1330=3,Specification!$I$16)))</f>
        <v>578.93404261974786</v>
      </c>
      <c r="I1330" s="16">
        <f t="shared" si="249"/>
        <v>0</v>
      </c>
      <c r="J1330" s="17">
        <v>3</v>
      </c>
      <c r="K1330" s="16">
        <f>IF(J1330=1,VLOOKUP(B1330,RPM!$F$2:$H$62,3,TRUE),IF(J1330=2,VLOOKUP(B1330,RPM!$I$2:$K$62,3,TRUE),IF(J1330=3,VLOOKUP(B1330,RPM!$L$2:$N$62,3,TRUE))))</f>
        <v>4300</v>
      </c>
      <c r="L1330" s="17">
        <f t="shared" si="248"/>
        <v>103.37161811648801</v>
      </c>
      <c r="M1330" s="16">
        <f t="shared" si="250"/>
        <v>2.1588216279702332</v>
      </c>
      <c r="N1330" s="17">
        <f>VLOOKUP(K1330,RPM!$A$2:$D$62,3,FALSE)</f>
        <v>11.4</v>
      </c>
      <c r="O1330" s="16">
        <f>VLOOKUP(K1330,RPM!$A$2:$D$62,4,FALSE)</f>
        <v>18.894837209302327</v>
      </c>
      <c r="P1330" s="17">
        <f t="shared" si="240"/>
        <v>14.089880106976747</v>
      </c>
      <c r="Q1330" s="16" cm="1">
        <f t="array" ref="Q1330">_xlfn.XLOOKUP(O1330,BSFC!$A$2:$A$24,_xlfn.XLOOKUP(K1330,BSFC!$B$1:$O$1,BSFC!$B$2:$O$24,,-1),,-1)</f>
        <v>480</v>
      </c>
      <c r="R1330" s="17">
        <f t="shared" si="241"/>
        <v>1.8786506809302328</v>
      </c>
      <c r="S1330" s="16">
        <f t="shared" si="242"/>
        <v>2.9183485335175871E-4</v>
      </c>
      <c r="T1330" s="17">
        <f t="shared" si="245"/>
        <v>0.14008072960884418</v>
      </c>
      <c r="U1330" s="16">
        <f t="shared" si="246"/>
        <v>170.40850414074234</v>
      </c>
      <c r="V1330" s="17">
        <f t="shared" si="247"/>
        <v>0.35006693780156173</v>
      </c>
      <c r="W1330" s="16">
        <f t="shared" si="243"/>
        <v>1260240.9760856221</v>
      </c>
      <c r="X1330">
        <f>('Hybrid Info'!$A$2-Track!P1330)*(L1330-L1329)*1000+X1329</f>
        <v>-12397.356771274635</v>
      </c>
    </row>
    <row r="1331" spans="1:24">
      <c r="A1331" s="16">
        <f t="shared" si="244"/>
        <v>1330</v>
      </c>
      <c r="B1331" s="17">
        <f t="shared" si="251"/>
        <v>13.411199999999999</v>
      </c>
      <c r="C1331" s="16">
        <f>Specification!$G$32</f>
        <v>219.92450400000001</v>
      </c>
      <c r="D1331" s="17">
        <f>0.5*Specification!$K$4*Track!B1331^2*Specification!$K$3*Specification!$K$2</f>
        <v>93.159842569492653</v>
      </c>
      <c r="E1331" s="16">
        <v>-7</v>
      </c>
      <c r="F1331" s="17">
        <f>Specification!$C$23*9.81*SIN((E1331*PI()/180))</f>
        <v>-670.05137252956831</v>
      </c>
      <c r="G1331" s="18">
        <f>IF(J1331=1,VLOOKUP(K1331,RPM!$E$2:$H$62,3,FALSE)-F1331-E1331-D1331,IF(J1331=2,VLOOKUP(K1331,RPM!$H$2:$K$62,3,FALSE)-F1331-E1331-D1331,IF(J1331=3,VLOOKUP(K1331,RPM!$K$2:$N$62,3,FALSE)-F1331-E1331-D1331)))</f>
        <v>1226.61355156784</v>
      </c>
      <c r="H1331" s="19">
        <f>IF(J1331=1,Specification!$I$14,IF(J1331=2,Specification!$I$15,IF(J1331=3,Specification!$I$16)))</f>
        <v>578.93404261974786</v>
      </c>
      <c r="I1331" s="16">
        <f t="shared" si="249"/>
        <v>0</v>
      </c>
      <c r="J1331" s="17">
        <v>3</v>
      </c>
      <c r="K1331" s="16">
        <f>IF(J1331=1,VLOOKUP(B1331,RPM!$F$2:$H$62,3,TRUE),IF(J1331=2,VLOOKUP(B1331,RPM!$I$2:$K$62,3,TRUE),IF(J1331=3,VLOOKUP(B1331,RPM!$L$2:$N$62,3,TRUE))))</f>
        <v>4300</v>
      </c>
      <c r="L1331" s="17">
        <f t="shared" si="248"/>
        <v>103.44618265955648</v>
      </c>
      <c r="M1331" s="16">
        <f t="shared" si="250"/>
        <v>2.0360370670673285</v>
      </c>
      <c r="N1331" s="17">
        <f>VLOOKUP(K1331,RPM!$A$2:$D$62,3,FALSE)</f>
        <v>11.4</v>
      </c>
      <c r="O1331" s="16">
        <f>VLOOKUP(K1331,RPM!$A$2:$D$62,4,FALSE)</f>
        <v>18.894837209302327</v>
      </c>
      <c r="P1331" s="17">
        <f t="shared" si="240"/>
        <v>14.089880106976747</v>
      </c>
      <c r="Q1331" s="16" cm="1">
        <f t="array" ref="Q1331">_xlfn.XLOOKUP(O1331,BSFC!$A$2:$A$24,_xlfn.XLOOKUP(K1331,BSFC!$B$1:$O$1,BSFC!$B$2:$O$24,,-1),,-1)</f>
        <v>480</v>
      </c>
      <c r="R1331" s="17">
        <f t="shared" si="241"/>
        <v>1.8786506809302328</v>
      </c>
      <c r="S1331" s="16">
        <f t="shared" si="242"/>
        <v>2.9183485335175871E-4</v>
      </c>
      <c r="T1331" s="17">
        <f t="shared" si="245"/>
        <v>0.14008072960884418</v>
      </c>
      <c r="U1331" s="16">
        <f t="shared" si="246"/>
        <v>170.54858487035119</v>
      </c>
      <c r="V1331" s="17">
        <f t="shared" si="247"/>
        <v>0.3503587726549135</v>
      </c>
      <c r="W1331" s="16">
        <f t="shared" si="243"/>
        <v>1261291.5815576885</v>
      </c>
      <c r="X1331">
        <f>('Hybrid Info'!$A$2-Track!P1331)*(L1331-L1330)*1000+X1330</f>
        <v>-12544.206084624038</v>
      </c>
    </row>
    <row r="1332" spans="1:24">
      <c r="A1332" s="16">
        <f t="shared" si="244"/>
        <v>1331</v>
      </c>
      <c r="B1332" s="17">
        <f t="shared" si="251"/>
        <v>13.411199999999999</v>
      </c>
      <c r="C1332" s="16">
        <f>Specification!$G$32</f>
        <v>219.92450400000001</v>
      </c>
      <c r="D1332" s="17">
        <f>0.5*Specification!$K$4*Track!B1332^2*Specification!$K$3*Specification!$K$2</f>
        <v>93.159842569492653</v>
      </c>
      <c r="E1332" s="16">
        <v>-8</v>
      </c>
      <c r="F1332" s="17">
        <f>Specification!$C$23*9.81*SIN((E1332*PI()/180))</f>
        <v>-765.1893799696079</v>
      </c>
      <c r="G1332" s="18">
        <f>IF(J1332=1,VLOOKUP(K1332,RPM!$E$2:$H$62,3,FALSE)-F1332-E1332-D1332,IF(J1332=2,VLOOKUP(K1332,RPM!$H$2:$K$62,3,FALSE)-F1332-E1332-D1332,IF(J1332=3,VLOOKUP(K1332,RPM!$K$2:$N$62,3,FALSE)-F1332-E1332-D1332)))</f>
        <v>1322.7515590078795</v>
      </c>
      <c r="H1332" s="19">
        <f>IF(J1332=1,Specification!$I$14,IF(J1332=2,Specification!$I$15,IF(J1332=3,Specification!$I$16)))</f>
        <v>578.93404261974786</v>
      </c>
      <c r="I1332" s="16">
        <f t="shared" si="249"/>
        <v>0</v>
      </c>
      <c r="J1332" s="17">
        <v>3</v>
      </c>
      <c r="K1332" s="16">
        <f>IF(J1332=1,VLOOKUP(B1332,RPM!$F$2:$H$62,3,TRUE),IF(J1332=2,VLOOKUP(B1332,RPM!$I$2:$K$62,3,TRUE),IF(J1332=3,VLOOKUP(B1332,RPM!$L$2:$N$62,3,TRUE))))</f>
        <v>4300</v>
      </c>
      <c r="L1332" s="17">
        <f t="shared" si="248"/>
        <v>103.52074720262496</v>
      </c>
      <c r="M1332" s="16">
        <f t="shared" si="250"/>
        <v>1.8954962323649369</v>
      </c>
      <c r="N1332" s="17">
        <f>VLOOKUP(K1332,RPM!$A$2:$D$62,3,FALSE)</f>
        <v>11.4</v>
      </c>
      <c r="O1332" s="16">
        <f>VLOOKUP(K1332,RPM!$A$2:$D$62,4,FALSE)</f>
        <v>18.894837209302327</v>
      </c>
      <c r="P1332" s="17">
        <f t="shared" si="240"/>
        <v>14.089880106976747</v>
      </c>
      <c r="Q1332" s="16" cm="1">
        <f t="array" ref="Q1332">_xlfn.XLOOKUP(O1332,BSFC!$A$2:$A$24,_xlfn.XLOOKUP(K1332,BSFC!$B$1:$O$1,BSFC!$B$2:$O$24,,-1),,-1)</f>
        <v>480</v>
      </c>
      <c r="R1332" s="17">
        <f t="shared" si="241"/>
        <v>1.8786506809302328</v>
      </c>
      <c r="S1332" s="16">
        <f t="shared" si="242"/>
        <v>2.9183485335175871E-4</v>
      </c>
      <c r="T1332" s="17">
        <f t="shared" si="245"/>
        <v>0.14008072960884418</v>
      </c>
      <c r="U1332" s="16">
        <f t="shared" si="246"/>
        <v>170.68866559996005</v>
      </c>
      <c r="V1332" s="17">
        <f t="shared" si="247"/>
        <v>0.35065060750826527</v>
      </c>
      <c r="W1332" s="16">
        <f t="shared" si="243"/>
        <v>1262342.1870297547</v>
      </c>
      <c r="X1332">
        <f>('Hybrid Info'!$A$2-Track!P1332)*(L1332-L1331)*1000+X1331</f>
        <v>-12691.055397973441</v>
      </c>
    </row>
    <row r="1333" spans="1:24">
      <c r="A1333" s="16">
        <f t="shared" si="244"/>
        <v>1332</v>
      </c>
      <c r="B1333" s="17">
        <f t="shared" si="251"/>
        <v>13.411199999999999</v>
      </c>
      <c r="C1333" s="16">
        <f>Specification!$G$32</f>
        <v>219.92450400000001</v>
      </c>
      <c r="D1333" s="17">
        <f>0.5*Specification!$K$4*Track!B1333^2*Specification!$K$3*Specification!$K$2</f>
        <v>93.159842569492653</v>
      </c>
      <c r="E1333" s="16">
        <v>-8</v>
      </c>
      <c r="F1333" s="17">
        <f>Specification!$C$23*9.81*SIN((E1333*PI()/180))</f>
        <v>-765.1893799696079</v>
      </c>
      <c r="G1333" s="18">
        <f>IF(J1333=1,VLOOKUP(K1333,RPM!$E$2:$H$62,3,FALSE)-F1333-E1333-D1333,IF(J1333=2,VLOOKUP(K1333,RPM!$H$2:$K$62,3,FALSE)-F1333-E1333-D1333,IF(J1333=3,VLOOKUP(K1333,RPM!$K$2:$N$62,3,FALSE)-F1333-E1333-D1333)))</f>
        <v>1322.7515590078795</v>
      </c>
      <c r="H1333" s="19">
        <f>IF(J1333=1,Specification!$I$14,IF(J1333=2,Specification!$I$15,IF(J1333=3,Specification!$I$16)))</f>
        <v>578.93404261974786</v>
      </c>
      <c r="I1333" s="16">
        <f t="shared" si="249"/>
        <v>0</v>
      </c>
      <c r="J1333" s="17">
        <v>3</v>
      </c>
      <c r="K1333" s="16">
        <f>IF(J1333=1,VLOOKUP(B1333,RPM!$F$2:$H$62,3,TRUE),IF(J1333=2,VLOOKUP(B1333,RPM!$I$2:$K$62,3,TRUE),IF(J1333=3,VLOOKUP(B1333,RPM!$L$2:$N$62,3,TRUE))))</f>
        <v>4300</v>
      </c>
      <c r="L1333" s="17">
        <f t="shared" si="248"/>
        <v>103.59531174569344</v>
      </c>
      <c r="M1333" s="16">
        <f t="shared" si="250"/>
        <v>1.7549553976625454</v>
      </c>
      <c r="N1333" s="17">
        <f>VLOOKUP(K1333,RPM!$A$2:$D$62,3,FALSE)</f>
        <v>11.4</v>
      </c>
      <c r="O1333" s="16">
        <f>VLOOKUP(K1333,RPM!$A$2:$D$62,4,FALSE)</f>
        <v>18.894837209302327</v>
      </c>
      <c r="P1333" s="17">
        <f t="shared" si="240"/>
        <v>14.089880106976747</v>
      </c>
      <c r="Q1333" s="16" cm="1">
        <f t="array" ref="Q1333">_xlfn.XLOOKUP(O1333,BSFC!$A$2:$A$24,_xlfn.XLOOKUP(K1333,BSFC!$B$1:$O$1,BSFC!$B$2:$O$24,,-1),,-1)</f>
        <v>480</v>
      </c>
      <c r="R1333" s="17">
        <f t="shared" si="241"/>
        <v>1.8786506809302328</v>
      </c>
      <c r="S1333" s="16">
        <f t="shared" si="242"/>
        <v>2.9183485335175871E-4</v>
      </c>
      <c r="T1333" s="17">
        <f t="shared" si="245"/>
        <v>0.14008072960884418</v>
      </c>
      <c r="U1333" s="16">
        <f t="shared" si="246"/>
        <v>170.8287463295689</v>
      </c>
      <c r="V1333" s="17">
        <f t="shared" si="247"/>
        <v>0.35094244236161704</v>
      </c>
      <c r="W1333" s="16">
        <f t="shared" si="243"/>
        <v>1263392.7925018214</v>
      </c>
      <c r="X1333">
        <f>('Hybrid Info'!$A$2-Track!P1333)*(L1333-L1332)*1000+X1332</f>
        <v>-12837.904711322844</v>
      </c>
    </row>
    <row r="1334" spans="1:24">
      <c r="A1334" s="16">
        <f t="shared" si="244"/>
        <v>1333</v>
      </c>
      <c r="B1334" s="17">
        <f t="shared" si="251"/>
        <v>13.411199999999999</v>
      </c>
      <c r="C1334" s="16">
        <f>Specification!$G$32</f>
        <v>219.92450400000001</v>
      </c>
      <c r="D1334" s="17">
        <f>0.5*Specification!$K$4*Track!B1334^2*Specification!$K$3*Specification!$K$2</f>
        <v>93.159842569492653</v>
      </c>
      <c r="E1334" s="16">
        <v>-8</v>
      </c>
      <c r="F1334" s="17">
        <f>Specification!$C$23*9.81*SIN((E1334*PI()/180))</f>
        <v>-765.1893799696079</v>
      </c>
      <c r="G1334" s="18">
        <f>IF(J1334=1,VLOOKUP(K1334,RPM!$E$2:$H$62,3,FALSE)-F1334-E1334-D1334,IF(J1334=2,VLOOKUP(K1334,RPM!$H$2:$K$62,3,FALSE)-F1334-E1334-D1334,IF(J1334=3,VLOOKUP(K1334,RPM!$K$2:$N$62,3,FALSE)-F1334-E1334-D1334)))</f>
        <v>1322.7515590078795</v>
      </c>
      <c r="H1334" s="19">
        <f>IF(J1334=1,Specification!$I$14,IF(J1334=2,Specification!$I$15,IF(J1334=3,Specification!$I$16)))</f>
        <v>578.93404261974786</v>
      </c>
      <c r="I1334" s="16">
        <f t="shared" si="249"/>
        <v>0</v>
      </c>
      <c r="J1334" s="17">
        <v>3</v>
      </c>
      <c r="K1334" s="16">
        <f>IF(J1334=1,VLOOKUP(B1334,RPM!$F$2:$H$62,3,TRUE),IF(J1334=2,VLOOKUP(B1334,RPM!$I$2:$K$62,3,TRUE),IF(J1334=3,VLOOKUP(B1334,RPM!$L$2:$N$62,3,TRUE))))</f>
        <v>4300</v>
      </c>
      <c r="L1334" s="17">
        <f t="shared" si="248"/>
        <v>103.66987628876191</v>
      </c>
      <c r="M1334" s="16">
        <f t="shared" si="250"/>
        <v>1.6144145629601538</v>
      </c>
      <c r="N1334" s="17">
        <f>VLOOKUP(K1334,RPM!$A$2:$D$62,3,FALSE)</f>
        <v>11.4</v>
      </c>
      <c r="O1334" s="16">
        <f>VLOOKUP(K1334,RPM!$A$2:$D$62,4,FALSE)</f>
        <v>18.894837209302327</v>
      </c>
      <c r="P1334" s="17">
        <f t="shared" si="240"/>
        <v>14.089880106976747</v>
      </c>
      <c r="Q1334" s="16" cm="1">
        <f t="array" ref="Q1334">_xlfn.XLOOKUP(O1334,BSFC!$A$2:$A$24,_xlfn.XLOOKUP(K1334,BSFC!$B$1:$O$1,BSFC!$B$2:$O$24,,-1),,-1)</f>
        <v>480</v>
      </c>
      <c r="R1334" s="17">
        <f t="shared" si="241"/>
        <v>1.8786506809302328</v>
      </c>
      <c r="S1334" s="16">
        <f t="shared" si="242"/>
        <v>2.9183485335175871E-4</v>
      </c>
      <c r="T1334" s="17">
        <f t="shared" si="245"/>
        <v>0.14008072960884418</v>
      </c>
      <c r="U1334" s="16">
        <f t="shared" si="246"/>
        <v>170.96882705917776</v>
      </c>
      <c r="V1334" s="17">
        <f t="shared" si="247"/>
        <v>0.3512342772149688</v>
      </c>
      <c r="W1334" s="16">
        <f t="shared" si="243"/>
        <v>1264443.3979738876</v>
      </c>
      <c r="X1334">
        <f>('Hybrid Info'!$A$2-Track!P1334)*(L1334-L1333)*1000+X1333</f>
        <v>-12984.754024672247</v>
      </c>
    </row>
    <row r="1335" spans="1:24">
      <c r="A1335" s="16">
        <f t="shared" si="244"/>
        <v>1334</v>
      </c>
      <c r="B1335" s="17">
        <f t="shared" si="251"/>
        <v>13.411199999999999</v>
      </c>
      <c r="C1335" s="16">
        <f>Specification!$G$32</f>
        <v>219.92450400000001</v>
      </c>
      <c r="D1335" s="17">
        <f>0.5*Specification!$K$4*Track!B1335^2*Specification!$K$3*Specification!$K$2</f>
        <v>93.159842569492653</v>
      </c>
      <c r="E1335" s="16">
        <v>-8</v>
      </c>
      <c r="F1335" s="17">
        <f>Specification!$C$23*9.81*SIN((E1335*PI()/180))</f>
        <v>-765.1893799696079</v>
      </c>
      <c r="G1335" s="18">
        <f>IF(J1335=1,VLOOKUP(K1335,RPM!$E$2:$H$62,3,FALSE)-F1335-E1335-D1335,IF(J1335=2,VLOOKUP(K1335,RPM!$H$2:$K$62,3,FALSE)-F1335-E1335-D1335,IF(J1335=3,VLOOKUP(K1335,RPM!$K$2:$N$62,3,FALSE)-F1335-E1335-D1335)))</f>
        <v>1322.7515590078795</v>
      </c>
      <c r="H1335" s="19">
        <f>IF(J1335=1,Specification!$I$14,IF(J1335=2,Specification!$I$15,IF(J1335=3,Specification!$I$16)))</f>
        <v>578.93404261974786</v>
      </c>
      <c r="I1335" s="16">
        <f t="shared" si="249"/>
        <v>0</v>
      </c>
      <c r="J1335" s="17">
        <v>3</v>
      </c>
      <c r="K1335" s="16">
        <f>IF(J1335=1,VLOOKUP(B1335,RPM!$F$2:$H$62,3,TRUE),IF(J1335=2,VLOOKUP(B1335,RPM!$I$2:$K$62,3,TRUE),IF(J1335=3,VLOOKUP(B1335,RPM!$L$2:$N$62,3,TRUE))))</f>
        <v>4300</v>
      </c>
      <c r="L1335" s="17">
        <f t="shared" si="248"/>
        <v>103.74444083183039</v>
      </c>
      <c r="M1335" s="16">
        <f t="shared" si="250"/>
        <v>1.4738737282577623</v>
      </c>
      <c r="N1335" s="17">
        <f>VLOOKUP(K1335,RPM!$A$2:$D$62,3,FALSE)</f>
        <v>11.4</v>
      </c>
      <c r="O1335" s="16">
        <f>VLOOKUP(K1335,RPM!$A$2:$D$62,4,FALSE)</f>
        <v>18.894837209302327</v>
      </c>
      <c r="P1335" s="17">
        <f t="shared" si="240"/>
        <v>14.089880106976747</v>
      </c>
      <c r="Q1335" s="16" cm="1">
        <f t="array" ref="Q1335">_xlfn.XLOOKUP(O1335,BSFC!$A$2:$A$24,_xlfn.XLOOKUP(K1335,BSFC!$B$1:$O$1,BSFC!$B$2:$O$24,,-1),,-1)</f>
        <v>480</v>
      </c>
      <c r="R1335" s="17">
        <f t="shared" si="241"/>
        <v>1.8786506809302328</v>
      </c>
      <c r="S1335" s="16">
        <f t="shared" si="242"/>
        <v>2.9183485335175871E-4</v>
      </c>
      <c r="T1335" s="17">
        <f t="shared" si="245"/>
        <v>0.14008072960884418</v>
      </c>
      <c r="U1335" s="16">
        <f t="shared" si="246"/>
        <v>171.10890778878661</v>
      </c>
      <c r="V1335" s="17">
        <f t="shared" si="247"/>
        <v>0.35152611206832057</v>
      </c>
      <c r="W1335" s="16">
        <f t="shared" si="243"/>
        <v>1265494.0034459541</v>
      </c>
      <c r="X1335">
        <f>('Hybrid Info'!$A$2-Track!P1335)*(L1335-L1334)*1000+X1334</f>
        <v>-13131.60333802165</v>
      </c>
    </row>
    <row r="1336" spans="1:24">
      <c r="A1336" s="16">
        <f t="shared" si="244"/>
        <v>1335</v>
      </c>
      <c r="B1336" s="17">
        <f t="shared" si="251"/>
        <v>13.411199999999999</v>
      </c>
      <c r="C1336" s="16">
        <f>Specification!$G$32</f>
        <v>219.92450400000001</v>
      </c>
      <c r="D1336" s="17">
        <f>0.5*Specification!$K$4*Track!B1336^2*Specification!$K$3*Specification!$K$2</f>
        <v>93.159842569492653</v>
      </c>
      <c r="E1336" s="16">
        <v>-8</v>
      </c>
      <c r="F1336" s="17">
        <f>Specification!$C$23*9.81*SIN((E1336*PI()/180))</f>
        <v>-765.1893799696079</v>
      </c>
      <c r="G1336" s="18">
        <f>IF(J1336=1,VLOOKUP(K1336,RPM!$E$2:$H$62,3,FALSE)-F1336-E1336-D1336,IF(J1336=2,VLOOKUP(K1336,RPM!$H$2:$K$62,3,FALSE)-F1336-E1336-D1336,IF(J1336=3,VLOOKUP(K1336,RPM!$K$2:$N$62,3,FALSE)-F1336-E1336-D1336)))</f>
        <v>1322.7515590078795</v>
      </c>
      <c r="H1336" s="19">
        <f>IF(J1336=1,Specification!$I$14,IF(J1336=2,Specification!$I$15,IF(J1336=3,Specification!$I$16)))</f>
        <v>578.93404261974786</v>
      </c>
      <c r="I1336" s="16">
        <f t="shared" si="249"/>
        <v>0</v>
      </c>
      <c r="J1336" s="17">
        <v>3</v>
      </c>
      <c r="K1336" s="16">
        <f>IF(J1336=1,VLOOKUP(B1336,RPM!$F$2:$H$62,3,TRUE),IF(J1336=2,VLOOKUP(B1336,RPM!$I$2:$K$62,3,TRUE),IF(J1336=3,VLOOKUP(B1336,RPM!$L$2:$N$62,3,TRUE))))</f>
        <v>4300</v>
      </c>
      <c r="L1336" s="17">
        <f t="shared" si="248"/>
        <v>103.81900537489886</v>
      </c>
      <c r="M1336" s="16">
        <f t="shared" si="250"/>
        <v>1.3333328935553708</v>
      </c>
      <c r="N1336" s="17">
        <f>VLOOKUP(K1336,RPM!$A$2:$D$62,3,FALSE)</f>
        <v>11.4</v>
      </c>
      <c r="O1336" s="16">
        <f>VLOOKUP(K1336,RPM!$A$2:$D$62,4,FALSE)</f>
        <v>18.894837209302327</v>
      </c>
      <c r="P1336" s="17">
        <f t="shared" si="240"/>
        <v>14.089880106976747</v>
      </c>
      <c r="Q1336" s="16" cm="1">
        <f t="array" ref="Q1336">_xlfn.XLOOKUP(O1336,BSFC!$A$2:$A$24,_xlfn.XLOOKUP(K1336,BSFC!$B$1:$O$1,BSFC!$B$2:$O$24,,-1),,-1)</f>
        <v>480</v>
      </c>
      <c r="R1336" s="17">
        <f t="shared" si="241"/>
        <v>1.8786506809302328</v>
      </c>
      <c r="S1336" s="16">
        <f t="shared" si="242"/>
        <v>2.9183485335175871E-4</v>
      </c>
      <c r="T1336" s="17">
        <f t="shared" si="245"/>
        <v>0.14008072960884418</v>
      </c>
      <c r="U1336" s="16">
        <f t="shared" si="246"/>
        <v>171.24898851839546</v>
      </c>
      <c r="V1336" s="17">
        <f t="shared" si="247"/>
        <v>0.35181794692167234</v>
      </c>
      <c r="W1336" s="16">
        <f t="shared" si="243"/>
        <v>1266544.6089180205</v>
      </c>
      <c r="X1336">
        <f>('Hybrid Info'!$A$2-Track!P1336)*(L1336-L1335)*1000+X1335</f>
        <v>-13278.452651371053</v>
      </c>
    </row>
    <row r="1337" spans="1:24">
      <c r="A1337" s="16">
        <f t="shared" si="244"/>
        <v>1336</v>
      </c>
      <c r="B1337" s="17">
        <f t="shared" si="251"/>
        <v>13.411199999999999</v>
      </c>
      <c r="C1337" s="16">
        <f>Specification!$G$32</f>
        <v>219.92450400000001</v>
      </c>
      <c r="D1337" s="17">
        <f>0.5*Specification!$K$4*Track!B1337^2*Specification!$K$3*Specification!$K$2</f>
        <v>93.159842569492653</v>
      </c>
      <c r="E1337" s="16">
        <v>-8</v>
      </c>
      <c r="F1337" s="17">
        <f>Specification!$C$23*9.81*SIN((E1337*PI()/180))</f>
        <v>-765.1893799696079</v>
      </c>
      <c r="G1337" s="18">
        <f>IF(J1337=1,VLOOKUP(K1337,RPM!$E$2:$H$62,3,FALSE)-F1337-E1337-D1337,IF(J1337=2,VLOOKUP(K1337,RPM!$H$2:$K$62,3,FALSE)-F1337-E1337-D1337,IF(J1337=3,VLOOKUP(K1337,RPM!$K$2:$N$62,3,FALSE)-F1337-E1337-D1337)))</f>
        <v>1322.7515590078795</v>
      </c>
      <c r="H1337" s="19">
        <f>IF(J1337=1,Specification!$I$14,IF(J1337=2,Specification!$I$15,IF(J1337=3,Specification!$I$16)))</f>
        <v>578.93404261974786</v>
      </c>
      <c r="I1337" s="16">
        <f t="shared" si="249"/>
        <v>0</v>
      </c>
      <c r="J1337" s="17">
        <v>3</v>
      </c>
      <c r="K1337" s="16">
        <f>IF(J1337=1,VLOOKUP(B1337,RPM!$F$2:$H$62,3,TRUE),IF(J1337=2,VLOOKUP(B1337,RPM!$I$2:$K$62,3,TRUE),IF(J1337=3,VLOOKUP(B1337,RPM!$L$2:$N$62,3,TRUE))))</f>
        <v>4300</v>
      </c>
      <c r="L1337" s="17">
        <f t="shared" si="248"/>
        <v>103.89356991796734</v>
      </c>
      <c r="M1337" s="16">
        <f t="shared" si="250"/>
        <v>1.1927920588529792</v>
      </c>
      <c r="N1337" s="17">
        <f>VLOOKUP(K1337,RPM!$A$2:$D$62,3,FALSE)</f>
        <v>11.4</v>
      </c>
      <c r="O1337" s="16">
        <f>VLOOKUP(K1337,RPM!$A$2:$D$62,4,FALSE)</f>
        <v>18.894837209302327</v>
      </c>
      <c r="P1337" s="17">
        <f t="shared" si="240"/>
        <v>14.089880106976747</v>
      </c>
      <c r="Q1337" s="16" cm="1">
        <f t="array" ref="Q1337">_xlfn.XLOOKUP(O1337,BSFC!$A$2:$A$24,_xlfn.XLOOKUP(K1337,BSFC!$B$1:$O$1,BSFC!$B$2:$O$24,,-1),,-1)</f>
        <v>480</v>
      </c>
      <c r="R1337" s="17">
        <f t="shared" si="241"/>
        <v>1.8786506809302328</v>
      </c>
      <c r="S1337" s="16">
        <f t="shared" si="242"/>
        <v>2.9183485335175871E-4</v>
      </c>
      <c r="T1337" s="17">
        <f t="shared" si="245"/>
        <v>0.14008072960884418</v>
      </c>
      <c r="U1337" s="16">
        <f t="shared" si="246"/>
        <v>171.38906924800432</v>
      </c>
      <c r="V1337" s="17">
        <f t="shared" si="247"/>
        <v>0.35210978177502411</v>
      </c>
      <c r="W1337" s="16">
        <f t="shared" si="243"/>
        <v>1267595.2143900867</v>
      </c>
      <c r="X1337">
        <f>('Hybrid Info'!$A$2-Track!P1337)*(L1337-L1336)*1000+X1336</f>
        <v>-13425.301964720456</v>
      </c>
    </row>
    <row r="1338" spans="1:24">
      <c r="A1338" s="16">
        <f t="shared" si="244"/>
        <v>1337</v>
      </c>
      <c r="B1338" s="17">
        <f t="shared" si="251"/>
        <v>13.411199999999999</v>
      </c>
      <c r="C1338" s="16">
        <f>Specification!$G$32</f>
        <v>219.92450400000001</v>
      </c>
      <c r="D1338" s="17">
        <f>0.5*Specification!$K$4*Track!B1338^2*Specification!$K$3*Specification!$K$2</f>
        <v>93.159842569492653</v>
      </c>
      <c r="E1338" s="16">
        <v>-8</v>
      </c>
      <c r="F1338" s="17">
        <f>Specification!$C$23*9.81*SIN((E1338*PI()/180))</f>
        <v>-765.1893799696079</v>
      </c>
      <c r="G1338" s="18">
        <f>IF(J1338=1,VLOOKUP(K1338,RPM!$E$2:$H$62,3,FALSE)-F1338-E1338-D1338,IF(J1338=2,VLOOKUP(K1338,RPM!$H$2:$K$62,3,FALSE)-F1338-E1338-D1338,IF(J1338=3,VLOOKUP(K1338,RPM!$K$2:$N$62,3,FALSE)-F1338-E1338-D1338)))</f>
        <v>1322.7515590078795</v>
      </c>
      <c r="H1338" s="19">
        <f>IF(J1338=1,Specification!$I$14,IF(J1338=2,Specification!$I$15,IF(J1338=3,Specification!$I$16)))</f>
        <v>578.93404261974786</v>
      </c>
      <c r="I1338" s="16">
        <f t="shared" si="249"/>
        <v>0</v>
      </c>
      <c r="J1338" s="17">
        <v>3</v>
      </c>
      <c r="K1338" s="16">
        <f>IF(J1338=1,VLOOKUP(B1338,RPM!$F$2:$H$62,3,TRUE),IF(J1338=2,VLOOKUP(B1338,RPM!$I$2:$K$62,3,TRUE),IF(J1338=3,VLOOKUP(B1338,RPM!$L$2:$N$62,3,TRUE))))</f>
        <v>4300</v>
      </c>
      <c r="L1338" s="17">
        <f t="shared" si="248"/>
        <v>103.96813446103582</v>
      </c>
      <c r="M1338" s="16">
        <f t="shared" si="250"/>
        <v>1.0522512241505877</v>
      </c>
      <c r="N1338" s="17">
        <f>VLOOKUP(K1338,RPM!$A$2:$D$62,3,FALSE)</f>
        <v>11.4</v>
      </c>
      <c r="O1338" s="16">
        <f>VLOOKUP(K1338,RPM!$A$2:$D$62,4,FALSE)</f>
        <v>18.894837209302327</v>
      </c>
      <c r="P1338" s="17">
        <f t="shared" si="240"/>
        <v>14.089880106976747</v>
      </c>
      <c r="Q1338" s="16" cm="1">
        <f t="array" ref="Q1338">_xlfn.XLOOKUP(O1338,BSFC!$A$2:$A$24,_xlfn.XLOOKUP(K1338,BSFC!$B$1:$O$1,BSFC!$B$2:$O$24,,-1),,-1)</f>
        <v>480</v>
      </c>
      <c r="R1338" s="17">
        <f t="shared" si="241"/>
        <v>1.8786506809302328</v>
      </c>
      <c r="S1338" s="16">
        <f t="shared" si="242"/>
        <v>2.9183485335175871E-4</v>
      </c>
      <c r="T1338" s="17">
        <f t="shared" si="245"/>
        <v>0.14008072960884418</v>
      </c>
      <c r="U1338" s="16">
        <f t="shared" si="246"/>
        <v>171.52914997761317</v>
      </c>
      <c r="V1338" s="17">
        <f t="shared" si="247"/>
        <v>0.35240161662837588</v>
      </c>
      <c r="W1338" s="16">
        <f t="shared" si="243"/>
        <v>1268645.8198621531</v>
      </c>
      <c r="X1338">
        <f>('Hybrid Info'!$A$2-Track!P1338)*(L1338-L1337)*1000+X1337</f>
        <v>-13572.151278069859</v>
      </c>
    </row>
    <row r="1339" spans="1:24">
      <c r="A1339" s="16">
        <f t="shared" si="244"/>
        <v>1338</v>
      </c>
      <c r="B1339" s="17">
        <f t="shared" si="251"/>
        <v>13.411199999999999</v>
      </c>
      <c r="C1339" s="16">
        <f>Specification!$G$32</f>
        <v>219.92450400000001</v>
      </c>
      <c r="D1339" s="17">
        <f>0.5*Specification!$K$4*Track!B1339^2*Specification!$K$3*Specification!$K$2</f>
        <v>93.159842569492653</v>
      </c>
      <c r="E1339" s="16">
        <v>-8</v>
      </c>
      <c r="F1339" s="17">
        <f>Specification!$C$23*9.81*SIN((E1339*PI()/180))</f>
        <v>-765.1893799696079</v>
      </c>
      <c r="G1339" s="18">
        <f>IF(J1339=1,VLOOKUP(K1339,RPM!$E$2:$H$62,3,FALSE)-F1339-E1339-D1339,IF(J1339=2,VLOOKUP(K1339,RPM!$H$2:$K$62,3,FALSE)-F1339-E1339-D1339,IF(J1339=3,VLOOKUP(K1339,RPM!$K$2:$N$62,3,FALSE)-F1339-E1339-D1339)))</f>
        <v>1322.7515590078795</v>
      </c>
      <c r="H1339" s="19">
        <f>IF(J1339=1,Specification!$I$14,IF(J1339=2,Specification!$I$15,IF(J1339=3,Specification!$I$16)))</f>
        <v>578.93404261974786</v>
      </c>
      <c r="I1339" s="16">
        <f t="shared" si="249"/>
        <v>0</v>
      </c>
      <c r="J1339" s="17">
        <v>3</v>
      </c>
      <c r="K1339" s="16">
        <f>IF(J1339=1,VLOOKUP(B1339,RPM!$F$2:$H$62,3,TRUE),IF(J1339=2,VLOOKUP(B1339,RPM!$I$2:$K$62,3,TRUE),IF(J1339=3,VLOOKUP(B1339,RPM!$L$2:$N$62,3,TRUE))))</f>
        <v>4300</v>
      </c>
      <c r="L1339" s="17">
        <f t="shared" si="248"/>
        <v>104.04269900410429</v>
      </c>
      <c r="M1339" s="16">
        <f t="shared" si="250"/>
        <v>0.91171038944819627</v>
      </c>
      <c r="N1339" s="17">
        <f>VLOOKUP(K1339,RPM!$A$2:$D$62,3,FALSE)</f>
        <v>11.4</v>
      </c>
      <c r="O1339" s="16">
        <f>VLOOKUP(K1339,RPM!$A$2:$D$62,4,FALSE)</f>
        <v>18.894837209302327</v>
      </c>
      <c r="P1339" s="17">
        <f t="shared" si="240"/>
        <v>14.089880106976747</v>
      </c>
      <c r="Q1339" s="16" cm="1">
        <f t="array" ref="Q1339">_xlfn.XLOOKUP(O1339,BSFC!$A$2:$A$24,_xlfn.XLOOKUP(K1339,BSFC!$B$1:$O$1,BSFC!$B$2:$O$24,,-1),,-1)</f>
        <v>480</v>
      </c>
      <c r="R1339" s="17">
        <f t="shared" si="241"/>
        <v>1.8786506809302328</v>
      </c>
      <c r="S1339" s="16">
        <f t="shared" si="242"/>
        <v>2.9183485335175871E-4</v>
      </c>
      <c r="T1339" s="17">
        <f t="shared" si="245"/>
        <v>0.14008072960884418</v>
      </c>
      <c r="U1339" s="16">
        <f t="shared" si="246"/>
        <v>171.66923070722203</v>
      </c>
      <c r="V1339" s="17">
        <f t="shared" si="247"/>
        <v>0.35269345148172765</v>
      </c>
      <c r="W1339" s="16">
        <f t="shared" si="243"/>
        <v>1269696.4253342196</v>
      </c>
      <c r="X1339">
        <f>('Hybrid Info'!$A$2-Track!P1339)*(L1339-L1338)*1000+X1338</f>
        <v>-13719.000591419262</v>
      </c>
    </row>
    <row r="1340" spans="1:24">
      <c r="A1340" s="16">
        <f t="shared" si="244"/>
        <v>1339</v>
      </c>
      <c r="B1340" s="17">
        <f t="shared" si="251"/>
        <v>13.411199999999999</v>
      </c>
      <c r="C1340" s="16">
        <f>Specification!$G$32</f>
        <v>219.92450400000001</v>
      </c>
      <c r="D1340" s="17">
        <f>0.5*Specification!$K$4*Track!B1340^2*Specification!$K$3*Specification!$K$2</f>
        <v>93.159842569492653</v>
      </c>
      <c r="E1340" s="16">
        <v>-8</v>
      </c>
      <c r="F1340" s="17">
        <f>Specification!$C$23*9.81*SIN((E1340*PI()/180))</f>
        <v>-765.1893799696079</v>
      </c>
      <c r="G1340" s="18">
        <f>IF(J1340=1,VLOOKUP(K1340,RPM!$E$2:$H$62,3,FALSE)-F1340-E1340-D1340,IF(J1340=2,VLOOKUP(K1340,RPM!$H$2:$K$62,3,FALSE)-F1340-E1340-D1340,IF(J1340=3,VLOOKUP(K1340,RPM!$K$2:$N$62,3,FALSE)-F1340-E1340-D1340)))</f>
        <v>1322.7515590078795</v>
      </c>
      <c r="H1340" s="19">
        <f>IF(J1340=1,Specification!$I$14,IF(J1340=2,Specification!$I$15,IF(J1340=3,Specification!$I$16)))</f>
        <v>578.93404261974786</v>
      </c>
      <c r="I1340" s="16">
        <f t="shared" si="249"/>
        <v>0</v>
      </c>
      <c r="J1340" s="17">
        <v>3</v>
      </c>
      <c r="K1340" s="16">
        <f>IF(J1340=1,VLOOKUP(B1340,RPM!$F$2:$H$62,3,TRUE),IF(J1340=2,VLOOKUP(B1340,RPM!$I$2:$K$62,3,TRUE),IF(J1340=3,VLOOKUP(B1340,RPM!$L$2:$N$62,3,TRUE))))</f>
        <v>4300</v>
      </c>
      <c r="L1340" s="17">
        <f t="shared" si="248"/>
        <v>104.11726354717277</v>
      </c>
      <c r="M1340" s="16">
        <f t="shared" si="250"/>
        <v>0.77116955474580484</v>
      </c>
      <c r="N1340" s="17">
        <f>VLOOKUP(K1340,RPM!$A$2:$D$62,3,FALSE)</f>
        <v>11.4</v>
      </c>
      <c r="O1340" s="16">
        <f>VLOOKUP(K1340,RPM!$A$2:$D$62,4,FALSE)</f>
        <v>18.894837209302327</v>
      </c>
      <c r="P1340" s="17">
        <f t="shared" si="240"/>
        <v>14.089880106976747</v>
      </c>
      <c r="Q1340" s="16" cm="1">
        <f t="array" ref="Q1340">_xlfn.XLOOKUP(O1340,BSFC!$A$2:$A$24,_xlfn.XLOOKUP(K1340,BSFC!$B$1:$O$1,BSFC!$B$2:$O$24,,-1),,-1)</f>
        <v>480</v>
      </c>
      <c r="R1340" s="17">
        <f t="shared" si="241"/>
        <v>1.8786506809302328</v>
      </c>
      <c r="S1340" s="16">
        <f t="shared" si="242"/>
        <v>2.9183485335175871E-4</v>
      </c>
      <c r="T1340" s="17">
        <f t="shared" si="245"/>
        <v>0.14008072960884418</v>
      </c>
      <c r="U1340" s="16">
        <f t="shared" si="246"/>
        <v>171.80931143683088</v>
      </c>
      <c r="V1340" s="17">
        <f t="shared" si="247"/>
        <v>0.35298528633507942</v>
      </c>
      <c r="W1340" s="16">
        <f t="shared" si="243"/>
        <v>1270747.030806286</v>
      </c>
      <c r="X1340">
        <f>('Hybrid Info'!$A$2-Track!P1340)*(L1340-L1339)*1000+X1339</f>
        <v>-13865.849904768666</v>
      </c>
    </row>
    <row r="1341" spans="1:24">
      <c r="A1341" s="16">
        <f t="shared" si="244"/>
        <v>1340</v>
      </c>
      <c r="B1341" s="17">
        <f t="shared" si="251"/>
        <v>13.411199999999999</v>
      </c>
      <c r="C1341" s="16">
        <f>Specification!$G$32</f>
        <v>219.92450400000001</v>
      </c>
      <c r="D1341" s="17">
        <f>0.5*Specification!$K$4*Track!B1341^2*Specification!$K$3*Specification!$K$2</f>
        <v>93.159842569492653</v>
      </c>
      <c r="E1341" s="16">
        <v>-8</v>
      </c>
      <c r="F1341" s="17">
        <f>Specification!$C$23*9.81*SIN((E1341*PI()/180))</f>
        <v>-765.1893799696079</v>
      </c>
      <c r="G1341" s="18">
        <f>IF(J1341=1,VLOOKUP(K1341,RPM!$E$2:$H$62,3,FALSE)-F1341-E1341-D1341,IF(J1341=2,VLOOKUP(K1341,RPM!$H$2:$K$62,3,FALSE)-F1341-E1341-D1341,IF(J1341=3,VLOOKUP(K1341,RPM!$K$2:$N$62,3,FALSE)-F1341-E1341-D1341)))</f>
        <v>1322.7515590078795</v>
      </c>
      <c r="H1341" s="19">
        <f>IF(J1341=1,Specification!$I$14,IF(J1341=2,Specification!$I$15,IF(J1341=3,Specification!$I$16)))</f>
        <v>578.93404261974786</v>
      </c>
      <c r="I1341" s="16">
        <f t="shared" si="249"/>
        <v>0</v>
      </c>
      <c r="J1341" s="17">
        <v>3</v>
      </c>
      <c r="K1341" s="16">
        <f>IF(J1341=1,VLOOKUP(B1341,RPM!$F$2:$H$62,3,TRUE),IF(J1341=2,VLOOKUP(B1341,RPM!$I$2:$K$62,3,TRUE),IF(J1341=3,VLOOKUP(B1341,RPM!$L$2:$N$62,3,TRUE))))</f>
        <v>4300</v>
      </c>
      <c r="L1341" s="17">
        <f t="shared" si="248"/>
        <v>104.19182809024124</v>
      </c>
      <c r="M1341" s="16">
        <f t="shared" si="250"/>
        <v>0.63062872004341342</v>
      </c>
      <c r="N1341" s="17">
        <f>VLOOKUP(K1341,RPM!$A$2:$D$62,3,FALSE)</f>
        <v>11.4</v>
      </c>
      <c r="O1341" s="16">
        <f>VLOOKUP(K1341,RPM!$A$2:$D$62,4,FALSE)</f>
        <v>18.894837209302327</v>
      </c>
      <c r="P1341" s="17">
        <f t="shared" si="240"/>
        <v>14.089880106976747</v>
      </c>
      <c r="Q1341" s="16" cm="1">
        <f t="array" ref="Q1341">_xlfn.XLOOKUP(O1341,BSFC!$A$2:$A$24,_xlfn.XLOOKUP(K1341,BSFC!$B$1:$O$1,BSFC!$B$2:$O$24,,-1),,-1)</f>
        <v>480</v>
      </c>
      <c r="R1341" s="17">
        <f t="shared" si="241"/>
        <v>1.8786506809302328</v>
      </c>
      <c r="S1341" s="16">
        <f t="shared" si="242"/>
        <v>2.9183485335175871E-4</v>
      </c>
      <c r="T1341" s="17">
        <f t="shared" si="245"/>
        <v>0.14008072960884418</v>
      </c>
      <c r="U1341" s="16">
        <f t="shared" si="246"/>
        <v>171.94939216643974</v>
      </c>
      <c r="V1341" s="17">
        <f t="shared" si="247"/>
        <v>0.35327712118843119</v>
      </c>
      <c r="W1341" s="16">
        <f t="shared" si="243"/>
        <v>1271797.6362783522</v>
      </c>
      <c r="X1341">
        <f>('Hybrid Info'!$A$2-Track!P1341)*(L1341-L1340)*1000+X1340</f>
        <v>-14012.699218118069</v>
      </c>
    </row>
    <row r="1342" spans="1:24">
      <c r="A1342" s="16">
        <f t="shared" si="244"/>
        <v>1341</v>
      </c>
      <c r="B1342" s="17">
        <f t="shared" si="251"/>
        <v>13.411199999999999</v>
      </c>
      <c r="C1342" s="16">
        <f>Specification!$G$32</f>
        <v>219.92450400000001</v>
      </c>
      <c r="D1342" s="17">
        <f>0.5*Specification!$K$4*Track!B1342^2*Specification!$K$3*Specification!$K$2</f>
        <v>93.159842569492653</v>
      </c>
      <c r="E1342" s="16">
        <v>-8</v>
      </c>
      <c r="F1342" s="17">
        <f>Specification!$C$23*9.81*SIN((E1342*PI()/180))</f>
        <v>-765.1893799696079</v>
      </c>
      <c r="G1342" s="18">
        <f>IF(J1342=1,VLOOKUP(K1342,RPM!$E$2:$H$62,3,FALSE)-F1342-E1342-D1342,IF(J1342=2,VLOOKUP(K1342,RPM!$H$2:$K$62,3,FALSE)-F1342-E1342-D1342,IF(J1342=3,VLOOKUP(K1342,RPM!$K$2:$N$62,3,FALSE)-F1342-E1342-D1342)))</f>
        <v>1322.7515590078795</v>
      </c>
      <c r="H1342" s="19">
        <f>IF(J1342=1,Specification!$I$14,IF(J1342=2,Specification!$I$15,IF(J1342=3,Specification!$I$16)))</f>
        <v>578.93404261974786</v>
      </c>
      <c r="I1342" s="16">
        <f t="shared" si="249"/>
        <v>0</v>
      </c>
      <c r="J1342" s="17">
        <v>3</v>
      </c>
      <c r="K1342" s="16">
        <f>IF(J1342=1,VLOOKUP(B1342,RPM!$F$2:$H$62,3,TRUE),IF(J1342=2,VLOOKUP(B1342,RPM!$I$2:$K$62,3,TRUE),IF(J1342=3,VLOOKUP(B1342,RPM!$L$2:$N$62,3,TRUE))))</f>
        <v>4300</v>
      </c>
      <c r="L1342" s="17">
        <f t="shared" si="248"/>
        <v>104.26639263330972</v>
      </c>
      <c r="M1342" s="16">
        <f t="shared" si="250"/>
        <v>0.49008788534102199</v>
      </c>
      <c r="N1342" s="17">
        <f>VLOOKUP(K1342,RPM!$A$2:$D$62,3,FALSE)</f>
        <v>11.4</v>
      </c>
      <c r="O1342" s="16">
        <f>VLOOKUP(K1342,RPM!$A$2:$D$62,4,FALSE)</f>
        <v>18.894837209302327</v>
      </c>
      <c r="P1342" s="17">
        <f t="shared" si="240"/>
        <v>14.089880106976747</v>
      </c>
      <c r="Q1342" s="16" cm="1">
        <f t="array" ref="Q1342">_xlfn.XLOOKUP(O1342,BSFC!$A$2:$A$24,_xlfn.XLOOKUP(K1342,BSFC!$B$1:$O$1,BSFC!$B$2:$O$24,,-1),,-1)</f>
        <v>480</v>
      </c>
      <c r="R1342" s="17">
        <f t="shared" si="241"/>
        <v>1.8786506809302328</v>
      </c>
      <c r="S1342" s="16">
        <f t="shared" si="242"/>
        <v>2.9183485335175871E-4</v>
      </c>
      <c r="T1342" s="17">
        <f t="shared" si="245"/>
        <v>0.14008072960884418</v>
      </c>
      <c r="U1342" s="16">
        <f t="shared" si="246"/>
        <v>172.08947289604859</v>
      </c>
      <c r="V1342" s="17">
        <f t="shared" si="247"/>
        <v>0.35356895604178296</v>
      </c>
      <c r="W1342" s="16">
        <f t="shared" si="243"/>
        <v>1272848.2417504187</v>
      </c>
      <c r="X1342">
        <f>('Hybrid Info'!$A$2-Track!P1342)*(L1342-L1341)*1000+X1341</f>
        <v>-14159.548531467472</v>
      </c>
    </row>
    <row r="1343" spans="1:24">
      <c r="A1343" s="16">
        <f t="shared" si="244"/>
        <v>1342</v>
      </c>
      <c r="B1343" s="17">
        <f t="shared" si="251"/>
        <v>13.411199999999999</v>
      </c>
      <c r="C1343" s="16">
        <f>Specification!$G$32</f>
        <v>219.92450400000001</v>
      </c>
      <c r="D1343" s="17">
        <f>0.5*Specification!$K$4*Track!B1343^2*Specification!$K$3*Specification!$K$2</f>
        <v>93.159842569492653</v>
      </c>
      <c r="E1343" s="16">
        <v>-7</v>
      </c>
      <c r="F1343" s="17">
        <f>Specification!$C$23*9.81*SIN((E1343*PI()/180))</f>
        <v>-670.05137252956831</v>
      </c>
      <c r="G1343" s="18">
        <f>IF(J1343=1,VLOOKUP(K1343,RPM!$E$2:$H$62,3,FALSE)-F1343-E1343-D1343,IF(J1343=2,VLOOKUP(K1343,RPM!$H$2:$K$62,3,FALSE)-F1343-E1343-D1343,IF(J1343=3,VLOOKUP(K1343,RPM!$K$2:$N$62,3,FALSE)-F1343-E1343-D1343)))</f>
        <v>1226.61355156784</v>
      </c>
      <c r="H1343" s="19">
        <f>IF(J1343=1,Specification!$I$14,IF(J1343=2,Specification!$I$15,IF(J1343=3,Specification!$I$16)))</f>
        <v>578.93404261974786</v>
      </c>
      <c r="I1343" s="16">
        <f t="shared" si="249"/>
        <v>0</v>
      </c>
      <c r="J1343" s="17">
        <v>3</v>
      </c>
      <c r="K1343" s="16">
        <f>IF(J1343=1,VLOOKUP(B1343,RPM!$F$2:$H$62,3,TRUE),IF(J1343=2,VLOOKUP(B1343,RPM!$I$2:$K$62,3,TRUE),IF(J1343=3,VLOOKUP(B1343,RPM!$L$2:$N$62,3,TRUE))))</f>
        <v>4300</v>
      </c>
      <c r="L1343" s="17">
        <f t="shared" si="248"/>
        <v>104.3409571763782</v>
      </c>
      <c r="M1343" s="16">
        <f t="shared" si="250"/>
        <v>0.36730332443811742</v>
      </c>
      <c r="N1343" s="17">
        <f>VLOOKUP(K1343,RPM!$A$2:$D$62,3,FALSE)</f>
        <v>11.4</v>
      </c>
      <c r="O1343" s="16">
        <f>VLOOKUP(K1343,RPM!$A$2:$D$62,4,FALSE)</f>
        <v>18.894837209302327</v>
      </c>
      <c r="P1343" s="17">
        <f t="shared" si="240"/>
        <v>14.089880106976747</v>
      </c>
      <c r="Q1343" s="16" cm="1">
        <f t="array" ref="Q1343">_xlfn.XLOOKUP(O1343,BSFC!$A$2:$A$24,_xlfn.XLOOKUP(K1343,BSFC!$B$1:$O$1,BSFC!$B$2:$O$24,,-1),,-1)</f>
        <v>480</v>
      </c>
      <c r="R1343" s="17">
        <f t="shared" si="241"/>
        <v>1.8786506809302328</v>
      </c>
      <c r="S1343" s="16">
        <f t="shared" si="242"/>
        <v>2.9183485335175871E-4</v>
      </c>
      <c r="T1343" s="17">
        <f t="shared" si="245"/>
        <v>0.14008072960884418</v>
      </c>
      <c r="U1343" s="16">
        <f t="shared" si="246"/>
        <v>172.22955362565745</v>
      </c>
      <c r="V1343" s="17">
        <f t="shared" si="247"/>
        <v>0.35386079089513472</v>
      </c>
      <c r="W1343" s="16">
        <f t="shared" si="243"/>
        <v>1273898.8472224849</v>
      </c>
      <c r="X1343">
        <f>('Hybrid Info'!$A$2-Track!P1343)*(L1343-L1342)*1000+X1342</f>
        <v>-14306.397844816875</v>
      </c>
    </row>
    <row r="1344" spans="1:24">
      <c r="A1344" s="16">
        <f t="shared" si="244"/>
        <v>1343</v>
      </c>
      <c r="B1344" s="17">
        <f t="shared" si="251"/>
        <v>13.411199999999999</v>
      </c>
      <c r="C1344" s="16">
        <f>Specification!$G$32</f>
        <v>219.92450400000001</v>
      </c>
      <c r="D1344" s="17">
        <f>0.5*Specification!$K$4*Track!B1344^2*Specification!$K$3*Specification!$K$2</f>
        <v>93.159842569492653</v>
      </c>
      <c r="E1344" s="16">
        <v>-6</v>
      </c>
      <c r="F1344" s="17">
        <f>Specification!$C$23*9.81*SIN((E1344*PI()/180))</f>
        <v>-574.70926095052266</v>
      </c>
      <c r="G1344" s="18">
        <f>IF(J1344=1,VLOOKUP(K1344,RPM!$E$2:$H$62,3,FALSE)-F1344-E1344-D1344,IF(J1344=2,VLOOKUP(K1344,RPM!$H$2:$K$62,3,FALSE)-F1344-E1344-D1344,IF(J1344=3,VLOOKUP(K1344,RPM!$K$2:$N$62,3,FALSE)-F1344-E1344-D1344)))</f>
        <v>1130.2714399887943</v>
      </c>
      <c r="H1344" s="19">
        <f>IF(J1344=1,Specification!$I$14,IF(J1344=2,Specification!$I$15,IF(J1344=3,Specification!$I$16)))</f>
        <v>578.93404261974786</v>
      </c>
      <c r="I1344" s="16">
        <f t="shared" si="249"/>
        <v>0</v>
      </c>
      <c r="J1344" s="17">
        <v>3</v>
      </c>
      <c r="K1344" s="16">
        <f>IF(J1344=1,VLOOKUP(B1344,RPM!$F$2:$H$62,3,TRUE),IF(J1344=2,VLOOKUP(B1344,RPM!$I$2:$K$62,3,TRUE),IF(J1344=3,VLOOKUP(B1344,RPM!$L$2:$N$62,3,TRUE))))</f>
        <v>4300</v>
      </c>
      <c r="L1344" s="17">
        <f t="shared" si="248"/>
        <v>104.41552171944667</v>
      </c>
      <c r="M1344" s="16">
        <f t="shared" si="250"/>
        <v>0.26219908917244095</v>
      </c>
      <c r="N1344" s="17">
        <f>VLOOKUP(K1344,RPM!$A$2:$D$62,3,FALSE)</f>
        <v>11.4</v>
      </c>
      <c r="O1344" s="16">
        <f>VLOOKUP(K1344,RPM!$A$2:$D$62,4,FALSE)</f>
        <v>18.894837209302327</v>
      </c>
      <c r="P1344" s="17">
        <f t="shared" si="240"/>
        <v>14.089880106976747</v>
      </c>
      <c r="Q1344" s="16" cm="1">
        <f t="array" ref="Q1344">_xlfn.XLOOKUP(O1344,BSFC!$A$2:$A$24,_xlfn.XLOOKUP(K1344,BSFC!$B$1:$O$1,BSFC!$B$2:$O$24,,-1),,-1)</f>
        <v>480</v>
      </c>
      <c r="R1344" s="17">
        <f t="shared" si="241"/>
        <v>1.8786506809302328</v>
      </c>
      <c r="S1344" s="16">
        <f t="shared" si="242"/>
        <v>2.9183485335175871E-4</v>
      </c>
      <c r="T1344" s="17">
        <f t="shared" si="245"/>
        <v>0.14008072960884418</v>
      </c>
      <c r="U1344" s="16">
        <f t="shared" si="246"/>
        <v>172.3696343552663</v>
      </c>
      <c r="V1344" s="17">
        <f t="shared" si="247"/>
        <v>0.35415262574848649</v>
      </c>
      <c r="W1344" s="16">
        <f t="shared" si="243"/>
        <v>1274949.4526945516</v>
      </c>
      <c r="X1344">
        <f>('Hybrid Info'!$A$2-Track!P1344)*(L1344-L1343)*1000+X1343</f>
        <v>-14453.247158166278</v>
      </c>
    </row>
    <row r="1345" spans="1:24">
      <c r="A1345" s="16">
        <f t="shared" si="244"/>
        <v>1344</v>
      </c>
      <c r="B1345" s="17">
        <f t="shared" si="251"/>
        <v>13.411199999999999</v>
      </c>
      <c r="C1345" s="16">
        <f>Specification!$G$32</f>
        <v>219.92450400000001</v>
      </c>
      <c r="D1345" s="17">
        <f>0.5*Specification!$K$4*Track!B1345^2*Specification!$K$3*Specification!$K$2</f>
        <v>93.159842569492653</v>
      </c>
      <c r="E1345" s="16">
        <v>-5</v>
      </c>
      <c r="F1345" s="17">
        <f>Specification!$C$23*9.81*SIN((E1345*PI()/180))</f>
        <v>-479.192087363258</v>
      </c>
      <c r="G1345" s="18">
        <f>IF(J1345=1,VLOOKUP(K1345,RPM!$E$2:$H$62,3,FALSE)-F1345-E1345-D1345,IF(J1345=2,VLOOKUP(K1345,RPM!$H$2:$K$62,3,FALSE)-F1345-E1345-D1345,IF(J1345=3,VLOOKUP(K1345,RPM!$K$2:$N$62,3,FALSE)-F1345-E1345-D1345)))</f>
        <v>1033.7542664015295</v>
      </c>
      <c r="H1345" s="19">
        <f>IF(J1345=1,Specification!$I$14,IF(J1345=2,Specification!$I$15,IF(J1345=3,Specification!$I$16)))</f>
        <v>578.93404261974786</v>
      </c>
      <c r="I1345" s="16">
        <f t="shared" si="249"/>
        <v>0</v>
      </c>
      <c r="J1345" s="17">
        <v>3</v>
      </c>
      <c r="K1345" s="16">
        <f>IF(J1345=1,VLOOKUP(B1345,RPM!$F$2:$H$62,3,TRUE),IF(J1345=2,VLOOKUP(B1345,RPM!$I$2:$K$62,3,TRUE),IF(J1345=3,VLOOKUP(B1345,RPM!$L$2:$N$62,3,TRUE))))</f>
        <v>4300</v>
      </c>
      <c r="L1345" s="17">
        <f t="shared" si="248"/>
        <v>104.49008626251515</v>
      </c>
      <c r="M1345" s="16">
        <f t="shared" si="250"/>
        <v>0.17471042564651695</v>
      </c>
      <c r="N1345" s="17">
        <f>VLOOKUP(K1345,RPM!$A$2:$D$62,3,FALSE)</f>
        <v>11.4</v>
      </c>
      <c r="O1345" s="16">
        <f>VLOOKUP(K1345,RPM!$A$2:$D$62,4,FALSE)</f>
        <v>18.894837209302327</v>
      </c>
      <c r="P1345" s="17">
        <f t="shared" si="240"/>
        <v>14.089880106976747</v>
      </c>
      <c r="Q1345" s="16" cm="1">
        <f t="array" ref="Q1345">_xlfn.XLOOKUP(O1345,BSFC!$A$2:$A$24,_xlfn.XLOOKUP(K1345,BSFC!$B$1:$O$1,BSFC!$B$2:$O$24,,-1),,-1)</f>
        <v>480</v>
      </c>
      <c r="R1345" s="17">
        <f t="shared" si="241"/>
        <v>1.8786506809302328</v>
      </c>
      <c r="S1345" s="16">
        <f t="shared" si="242"/>
        <v>2.9183485335175871E-4</v>
      </c>
      <c r="T1345" s="17">
        <f t="shared" si="245"/>
        <v>0.14008072960884418</v>
      </c>
      <c r="U1345" s="16">
        <f t="shared" si="246"/>
        <v>172.50971508487515</v>
      </c>
      <c r="V1345" s="17">
        <f t="shared" si="247"/>
        <v>0.35444446060183826</v>
      </c>
      <c r="W1345" s="16">
        <f t="shared" si="243"/>
        <v>1276000.0581666178</v>
      </c>
      <c r="X1345">
        <f>('Hybrid Info'!$A$2-Track!P1345)*(L1345-L1344)*1000+X1344</f>
        <v>-14600.096471515681</v>
      </c>
    </row>
    <row r="1346" spans="1:24">
      <c r="A1346" s="16">
        <f t="shared" si="244"/>
        <v>1345</v>
      </c>
      <c r="B1346" s="17">
        <f t="shared" si="251"/>
        <v>13.411199999999999</v>
      </c>
      <c r="C1346" s="16">
        <f>Specification!$G$32</f>
        <v>219.92450400000001</v>
      </c>
      <c r="D1346" s="17">
        <f>0.5*Specification!$K$4*Track!B1346^2*Specification!$K$3*Specification!$K$2</f>
        <v>93.159842569492653</v>
      </c>
      <c r="E1346" s="16">
        <v>-4</v>
      </c>
      <c r="F1346" s="17">
        <f>Specification!$C$23*9.81*SIN((E1346*PI()/180))</f>
        <v>-383.52894722414453</v>
      </c>
      <c r="G1346" s="18">
        <f>IF(J1346=1,VLOOKUP(K1346,RPM!$E$2:$H$62,3,FALSE)-F1346-E1346-D1346,IF(J1346=2,VLOOKUP(K1346,RPM!$H$2:$K$62,3,FALSE)-F1346-E1346-D1346,IF(J1346=3,VLOOKUP(K1346,RPM!$K$2:$N$62,3,FALSE)-F1346-E1346-D1346)))</f>
        <v>937.09112626241608</v>
      </c>
      <c r="H1346" s="19">
        <f>IF(J1346=1,Specification!$I$14,IF(J1346=2,Specification!$I$15,IF(J1346=3,Specification!$I$16)))</f>
        <v>578.93404261974786</v>
      </c>
      <c r="I1346" s="16">
        <f t="shared" si="249"/>
        <v>0</v>
      </c>
      <c r="J1346" s="17">
        <v>3</v>
      </c>
      <c r="K1346" s="16">
        <f>IF(J1346=1,VLOOKUP(B1346,RPM!$F$2:$H$62,3,TRUE),IF(J1346=2,VLOOKUP(B1346,RPM!$I$2:$K$62,3,TRUE),IF(J1346=3,VLOOKUP(B1346,RPM!$L$2:$N$62,3,TRUE))))</f>
        <v>4300</v>
      </c>
      <c r="L1346" s="17">
        <f t="shared" si="248"/>
        <v>104.56465080558363</v>
      </c>
      <c r="M1346" s="16">
        <f t="shared" si="250"/>
        <v>0.10478361370300654</v>
      </c>
      <c r="N1346" s="17">
        <f>VLOOKUP(K1346,RPM!$A$2:$D$62,3,FALSE)</f>
        <v>11.4</v>
      </c>
      <c r="O1346" s="16">
        <f>VLOOKUP(K1346,RPM!$A$2:$D$62,4,FALSE)</f>
        <v>18.894837209302327</v>
      </c>
      <c r="P1346" s="17">
        <f t="shared" ref="P1346:P1409" si="252">O1346*0.7457</f>
        <v>14.089880106976747</v>
      </c>
      <c r="Q1346" s="16" cm="1">
        <f t="array" ref="Q1346">_xlfn.XLOOKUP(O1346,BSFC!$A$2:$A$24,_xlfn.XLOOKUP(K1346,BSFC!$B$1:$O$1,BSFC!$B$2:$O$24,,-1),,-1)</f>
        <v>480</v>
      </c>
      <c r="R1346" s="17">
        <f t="shared" ref="R1346:R1409" si="253">Q1346*P1346/3600</f>
        <v>1.8786506809302328</v>
      </c>
      <c r="S1346" s="16">
        <f t="shared" si="242"/>
        <v>2.9183485335175871E-4</v>
      </c>
      <c r="T1346" s="17">
        <f t="shared" si="245"/>
        <v>0.14008072960884418</v>
      </c>
      <c r="U1346" s="16">
        <f t="shared" si="246"/>
        <v>172.64979581448401</v>
      </c>
      <c r="V1346" s="17">
        <f t="shared" si="247"/>
        <v>0.35473629545519003</v>
      </c>
      <c r="W1346" s="16">
        <f t="shared" si="243"/>
        <v>1277050.6636386842</v>
      </c>
      <c r="X1346">
        <f>('Hybrid Info'!$A$2-Track!P1346)*(L1346-L1345)*1000+X1345</f>
        <v>-14746.945784865084</v>
      </c>
    </row>
    <row r="1347" spans="1:24">
      <c r="A1347" s="16">
        <f t="shared" si="244"/>
        <v>1346</v>
      </c>
      <c r="B1347" s="17">
        <f t="shared" si="251"/>
        <v>13.411199999999999</v>
      </c>
      <c r="C1347" s="16">
        <f>Specification!$G$32</f>
        <v>219.92450400000001</v>
      </c>
      <c r="D1347" s="17">
        <f>0.5*Specification!$K$4*Track!B1347^2*Specification!$K$3*Specification!$K$2</f>
        <v>93.159842569492653</v>
      </c>
      <c r="E1347" s="16">
        <v>-3</v>
      </c>
      <c r="F1347" s="17">
        <f>Specification!$C$23*9.81*SIN((E1347*PI()/180))</f>
        <v>-287.74898045237813</v>
      </c>
      <c r="G1347" s="18">
        <f>IF(J1347=1,VLOOKUP(K1347,RPM!$E$2:$H$62,3,FALSE)-F1347-E1347-D1347,IF(J1347=2,VLOOKUP(K1347,RPM!$H$2:$K$62,3,FALSE)-F1347-E1347-D1347,IF(J1347=3,VLOOKUP(K1347,RPM!$K$2:$N$62,3,FALSE)-F1347-E1347-D1347)))</f>
        <v>840.31115949064974</v>
      </c>
      <c r="H1347" s="19">
        <f>IF(J1347=1,Specification!$I$14,IF(J1347=2,Specification!$I$15,IF(J1347=3,Specification!$I$16)))</f>
        <v>578.93404261974786</v>
      </c>
      <c r="I1347" s="16">
        <f t="shared" si="249"/>
        <v>0</v>
      </c>
      <c r="J1347" s="17">
        <v>3</v>
      </c>
      <c r="K1347" s="16">
        <f>IF(J1347=1,VLOOKUP(B1347,RPM!$F$2:$H$62,3,TRUE),IF(J1347=2,VLOOKUP(B1347,RPM!$I$2:$K$62,3,TRUE),IF(J1347=3,VLOOKUP(B1347,RPM!$L$2:$N$62,3,TRUE))))</f>
        <v>4300</v>
      </c>
      <c r="L1347" s="17">
        <f t="shared" si="248"/>
        <v>104.6392153486521</v>
      </c>
      <c r="M1347" s="16">
        <f t="shared" si="250"/>
        <v>5.2375834419965343E-2</v>
      </c>
      <c r="N1347" s="17">
        <f>VLOOKUP(K1347,RPM!$A$2:$D$62,3,FALSE)</f>
        <v>11.4</v>
      </c>
      <c r="O1347" s="16">
        <f>VLOOKUP(K1347,RPM!$A$2:$D$62,4,FALSE)</f>
        <v>18.894837209302327</v>
      </c>
      <c r="P1347" s="17">
        <f t="shared" si="252"/>
        <v>14.089880106976747</v>
      </c>
      <c r="Q1347" s="16" cm="1">
        <f t="array" ref="Q1347">_xlfn.XLOOKUP(O1347,BSFC!$A$2:$A$24,_xlfn.XLOOKUP(K1347,BSFC!$B$1:$O$1,BSFC!$B$2:$O$24,,-1),,-1)</f>
        <v>480</v>
      </c>
      <c r="R1347" s="17">
        <f t="shared" si="253"/>
        <v>1.8786506809302328</v>
      </c>
      <c r="S1347" s="16">
        <f t="shared" ref="S1347:S1410" si="254">(L1347-L1346)/3600*P1347</f>
        <v>2.9183485335175871E-4</v>
      </c>
      <c r="T1347" s="17">
        <f t="shared" si="245"/>
        <v>0.14008072960884418</v>
      </c>
      <c r="U1347" s="16">
        <f t="shared" si="246"/>
        <v>172.78987654409286</v>
      </c>
      <c r="V1347" s="17">
        <f t="shared" si="247"/>
        <v>0.3550281303085418</v>
      </c>
      <c r="W1347" s="16">
        <f t="shared" ref="W1347:W1410" si="255">V1347*1000*3600</f>
        <v>1278101.2691107504</v>
      </c>
      <c r="X1347">
        <f>('Hybrid Info'!$A$2-Track!P1347)*(L1347-L1346)*1000+X1346</f>
        <v>-14893.795098214487</v>
      </c>
    </row>
    <row r="1348" spans="1:24">
      <c r="A1348" s="16">
        <f t="shared" ref="A1348:A1411" si="256">A1347+1</f>
        <v>1347</v>
      </c>
      <c r="B1348" s="17">
        <f t="shared" si="251"/>
        <v>13.411199999999999</v>
      </c>
      <c r="C1348" s="16">
        <f>Specification!$G$32</f>
        <v>219.92450400000001</v>
      </c>
      <c r="D1348" s="17">
        <f>0.5*Specification!$K$4*Track!B1348^2*Specification!$K$3*Specification!$K$2</f>
        <v>93.159842569492653</v>
      </c>
      <c r="E1348" s="16">
        <v>-2</v>
      </c>
      <c r="F1348" s="17">
        <f>Specification!$C$23*9.81*SIN((E1348*PI()/180))</f>
        <v>-191.88136255367905</v>
      </c>
      <c r="G1348" s="18">
        <f>IF(J1348=1,VLOOKUP(K1348,RPM!$E$2:$H$62,3,FALSE)-F1348-E1348-D1348,IF(J1348=2,VLOOKUP(K1348,RPM!$H$2:$K$62,3,FALSE)-F1348-E1348-D1348,IF(J1348=3,VLOOKUP(K1348,RPM!$K$2:$N$62,3,FALSE)-F1348-E1348-D1348)))</f>
        <v>743.44354159195063</v>
      </c>
      <c r="H1348" s="19">
        <f>IF(J1348=1,Specification!$I$14,IF(J1348=2,Specification!$I$15,IF(J1348=3,Specification!$I$16)))</f>
        <v>578.93404261974786</v>
      </c>
      <c r="I1348" s="16">
        <f t="shared" si="249"/>
        <v>0</v>
      </c>
      <c r="J1348" s="17">
        <v>3</v>
      </c>
      <c r="K1348" s="16">
        <f>IF(J1348=1,VLOOKUP(B1348,RPM!$F$2:$H$62,3,TRUE),IF(J1348=2,VLOOKUP(B1348,RPM!$I$2:$K$62,3,TRUE),IF(J1348=3,VLOOKUP(B1348,RPM!$L$2:$N$62,3,TRUE))))</f>
        <v>4300</v>
      </c>
      <c r="L1348" s="17">
        <f t="shared" si="248"/>
        <v>104.71377989172058</v>
      </c>
      <c r="M1348" s="16">
        <f t="shared" si="250"/>
        <v>1.7455064928217613E-2</v>
      </c>
      <c r="N1348" s="17">
        <f>VLOOKUP(K1348,RPM!$A$2:$D$62,3,FALSE)</f>
        <v>11.4</v>
      </c>
      <c r="O1348" s="16">
        <f>VLOOKUP(K1348,RPM!$A$2:$D$62,4,FALSE)</f>
        <v>18.894837209302327</v>
      </c>
      <c r="P1348" s="17">
        <f t="shared" si="252"/>
        <v>14.089880106976747</v>
      </c>
      <c r="Q1348" s="16" cm="1">
        <f t="array" ref="Q1348">_xlfn.XLOOKUP(O1348,BSFC!$A$2:$A$24,_xlfn.XLOOKUP(K1348,BSFC!$B$1:$O$1,BSFC!$B$2:$O$24,,-1),,-1)</f>
        <v>480</v>
      </c>
      <c r="R1348" s="17">
        <f t="shared" si="253"/>
        <v>1.8786506809302328</v>
      </c>
      <c r="S1348" s="16">
        <f t="shared" si="254"/>
        <v>2.9183485335175871E-4</v>
      </c>
      <c r="T1348" s="17">
        <f t="shared" ref="T1348:T1411" si="257">S1348*Q1348</f>
        <v>0.14008072960884418</v>
      </c>
      <c r="U1348" s="16">
        <f t="shared" ref="U1348:U1411" si="258">U1347+T1348</f>
        <v>172.92995727370172</v>
      </c>
      <c r="V1348" s="17">
        <f t="shared" si="247"/>
        <v>0.35531996516189357</v>
      </c>
      <c r="W1348" s="16">
        <f t="shared" si="255"/>
        <v>1279151.8745828168</v>
      </c>
      <c r="X1348">
        <f>('Hybrid Info'!$A$2-Track!P1348)*(L1348-L1347)*1000+X1347</f>
        <v>-15040.64441156389</v>
      </c>
    </row>
    <row r="1349" spans="1:24">
      <c r="A1349" s="16">
        <f t="shared" si="256"/>
        <v>1348</v>
      </c>
      <c r="B1349" s="17">
        <f t="shared" si="251"/>
        <v>13.411199999999999</v>
      </c>
      <c r="C1349" s="16">
        <f>Specification!$G$32</f>
        <v>219.92450400000001</v>
      </c>
      <c r="D1349" s="17">
        <f>0.5*Specification!$K$4*Track!B1349^2*Specification!$K$3*Specification!$K$2</f>
        <v>93.159842569492653</v>
      </c>
      <c r="E1349" s="16">
        <v>-1</v>
      </c>
      <c r="F1349" s="17">
        <f>Specification!$C$23*9.81*SIN((E1349*PI()/180))</f>
        <v>-95.955295733149597</v>
      </c>
      <c r="G1349" s="18">
        <f>IF(J1349=1,VLOOKUP(K1349,RPM!$E$2:$H$62,3,FALSE)-F1349-E1349-D1349,IF(J1349=2,VLOOKUP(K1349,RPM!$H$2:$K$62,3,FALSE)-F1349-E1349-D1349,IF(J1349=3,VLOOKUP(K1349,RPM!$K$2:$N$62,3,FALSE)-F1349-E1349-D1349)))</f>
        <v>646.51747477142112</v>
      </c>
      <c r="H1349" s="19">
        <f>IF(J1349=1,Specification!$I$14,IF(J1349=2,Specification!$I$15,IF(J1349=3,Specification!$I$16)))</f>
        <v>578.93404261974786</v>
      </c>
      <c r="I1349" s="16">
        <f t="shared" si="249"/>
        <v>0</v>
      </c>
      <c r="J1349" s="17">
        <v>3</v>
      </c>
      <c r="K1349" s="16">
        <f>IF(J1349=1,VLOOKUP(B1349,RPM!$F$2:$H$62,3,TRUE),IF(J1349=2,VLOOKUP(B1349,RPM!$I$2:$K$62,3,TRUE),IF(J1349=3,VLOOKUP(B1349,RPM!$L$2:$N$62,3,TRUE))))</f>
        <v>4300</v>
      </c>
      <c r="L1349" s="17">
        <f t="shared" si="248"/>
        <v>104.78834443478905</v>
      </c>
      <c r="M1349" s="16">
        <v>0</v>
      </c>
      <c r="N1349" s="17">
        <f>VLOOKUP(K1349,RPM!$A$2:$D$62,3,FALSE)</f>
        <v>11.4</v>
      </c>
      <c r="O1349" s="16">
        <f>VLOOKUP(K1349,RPM!$A$2:$D$62,4,FALSE)</f>
        <v>18.894837209302327</v>
      </c>
      <c r="P1349" s="17">
        <f t="shared" si="252"/>
        <v>14.089880106976747</v>
      </c>
      <c r="Q1349" s="16" cm="1">
        <f t="array" ref="Q1349">_xlfn.XLOOKUP(O1349,BSFC!$A$2:$A$24,_xlfn.XLOOKUP(K1349,BSFC!$B$1:$O$1,BSFC!$B$2:$O$24,,-1),,-1)</f>
        <v>480</v>
      </c>
      <c r="R1349" s="17">
        <f t="shared" si="253"/>
        <v>1.8786506809302328</v>
      </c>
      <c r="S1349" s="16">
        <f t="shared" si="254"/>
        <v>2.9183485335175871E-4</v>
      </c>
      <c r="T1349" s="17">
        <f t="shared" si="257"/>
        <v>0.14008072960884418</v>
      </c>
      <c r="U1349" s="16">
        <f t="shared" si="258"/>
        <v>173.07003800331057</v>
      </c>
      <c r="V1349" s="17">
        <f t="shared" ref="V1349:V1412" si="259">V1348+S1349</f>
        <v>0.35561180001524534</v>
      </c>
      <c r="W1349" s="16">
        <f t="shared" si="255"/>
        <v>1280202.4800548833</v>
      </c>
      <c r="X1349">
        <f>('Hybrid Info'!$A$2-Track!P1349)*(L1349-L1348)*1000+X1348</f>
        <v>-15187.493724913293</v>
      </c>
    </row>
    <row r="1350" spans="1:24">
      <c r="A1350" s="16">
        <f t="shared" si="256"/>
        <v>1349</v>
      </c>
      <c r="B1350" s="17">
        <f t="shared" si="251"/>
        <v>13.411199999999999</v>
      </c>
      <c r="C1350" s="16">
        <f>Specification!$G$32</f>
        <v>219.92450400000001</v>
      </c>
      <c r="D1350" s="17">
        <f>0.5*Specification!$K$4*Track!B1350^2*Specification!$K$3*Specification!$K$2</f>
        <v>93.159842569492653</v>
      </c>
      <c r="E1350" s="16">
        <v>0</v>
      </c>
      <c r="F1350" s="17">
        <f>Specification!$C$23*9.81*SIN((E1350*PI()/180))</f>
        <v>0</v>
      </c>
      <c r="G1350" s="18">
        <f>IF(J1350=1,VLOOKUP(K1350,RPM!$E$2:$H$62,3,FALSE)-F1350-E1350-D1350,IF(J1350=2,VLOOKUP(K1350,RPM!$H$2:$K$62,3,FALSE)-F1350-E1350-D1350,IF(J1350=3,VLOOKUP(K1350,RPM!$K$2:$N$62,3,FALSE)-F1350-E1350-D1350)))</f>
        <v>549.56217903827155</v>
      </c>
      <c r="H1350" s="19">
        <f>IF(J1350=1,Specification!$I$14,IF(J1350=2,Specification!$I$15,IF(J1350=3,Specification!$I$16)))</f>
        <v>578.93404261974786</v>
      </c>
      <c r="I1350" s="16">
        <f t="shared" si="249"/>
        <v>0</v>
      </c>
      <c r="J1350" s="17">
        <v>3</v>
      </c>
      <c r="K1350" s="16">
        <f>IF(J1350=1,VLOOKUP(B1350,RPM!$F$2:$H$62,3,TRUE),IF(J1350=2,VLOOKUP(B1350,RPM!$I$2:$K$62,3,TRUE),IF(J1350=3,VLOOKUP(B1350,RPM!$L$2:$N$62,3,TRUE))))</f>
        <v>4300</v>
      </c>
      <c r="L1350" s="17">
        <f t="shared" si="248"/>
        <v>104.86290897785753</v>
      </c>
      <c r="M1350" s="16">
        <f t="shared" si="250"/>
        <v>0</v>
      </c>
      <c r="N1350" s="17">
        <f>VLOOKUP(K1350,RPM!$A$2:$D$62,3,FALSE)</f>
        <v>11.4</v>
      </c>
      <c r="O1350" s="16">
        <f>VLOOKUP(K1350,RPM!$A$2:$D$62,4,FALSE)</f>
        <v>18.894837209302327</v>
      </c>
      <c r="P1350" s="17">
        <f t="shared" si="252"/>
        <v>14.089880106976747</v>
      </c>
      <c r="Q1350" s="16" cm="1">
        <f t="array" ref="Q1350">_xlfn.XLOOKUP(O1350,BSFC!$A$2:$A$24,_xlfn.XLOOKUP(K1350,BSFC!$B$1:$O$1,BSFC!$B$2:$O$24,,-1),,-1)</f>
        <v>480</v>
      </c>
      <c r="R1350" s="17">
        <f t="shared" si="253"/>
        <v>1.8786506809302328</v>
      </c>
      <c r="S1350" s="16">
        <f t="shared" si="254"/>
        <v>2.9183485335175871E-4</v>
      </c>
      <c r="T1350" s="17">
        <f t="shared" si="257"/>
        <v>0.14008072960884418</v>
      </c>
      <c r="U1350" s="16">
        <f t="shared" si="258"/>
        <v>173.21011873291943</v>
      </c>
      <c r="V1350" s="17">
        <f t="shared" si="259"/>
        <v>0.35590363486859711</v>
      </c>
      <c r="W1350" s="16">
        <f t="shared" si="255"/>
        <v>1281253.0855269497</v>
      </c>
      <c r="X1350">
        <f>('Hybrid Info'!$A$2-Track!P1350)*(L1350-L1349)*1000+X1349</f>
        <v>-15334.343038262696</v>
      </c>
    </row>
    <row r="1351" spans="1:24">
      <c r="A1351" s="16">
        <f t="shared" si="256"/>
        <v>1350</v>
      </c>
      <c r="B1351" s="17">
        <f t="shared" si="251"/>
        <v>13.411199999999999</v>
      </c>
      <c r="C1351" s="16">
        <f>Specification!$G$32</f>
        <v>219.92450400000001</v>
      </c>
      <c r="D1351" s="17">
        <f>0.5*Specification!$K$4*Track!B1351^2*Specification!$K$3*Specification!$K$2</f>
        <v>93.159842569492653</v>
      </c>
      <c r="E1351" s="16">
        <v>0</v>
      </c>
      <c r="F1351" s="17">
        <f>Specification!$C$23*9.81*SIN((E1351*PI()/180))</f>
        <v>0</v>
      </c>
      <c r="G1351" s="18">
        <f>IF(J1351=1,VLOOKUP(K1351,RPM!$E$2:$H$62,3,FALSE)-F1351-E1351-D1351,IF(J1351=2,VLOOKUP(K1351,RPM!$H$2:$K$62,3,FALSE)-F1351-E1351-D1351,IF(J1351=3,VLOOKUP(K1351,RPM!$K$2:$N$62,3,FALSE)-F1351-E1351-D1351)))</f>
        <v>549.56217903827155</v>
      </c>
      <c r="H1351" s="19">
        <f>IF(J1351=1,Specification!$I$14,IF(J1351=2,Specification!$I$15,IF(J1351=3,Specification!$I$16)))</f>
        <v>578.93404261974786</v>
      </c>
      <c r="I1351" s="16">
        <f t="shared" si="249"/>
        <v>0</v>
      </c>
      <c r="J1351" s="17">
        <v>3</v>
      </c>
      <c r="K1351" s="16">
        <f>IF(J1351=1,VLOOKUP(B1351,RPM!$F$2:$H$62,3,TRUE),IF(J1351=2,VLOOKUP(B1351,RPM!$I$2:$K$62,3,TRUE),IF(J1351=3,VLOOKUP(B1351,RPM!$L$2:$N$62,3,TRUE))))</f>
        <v>4300</v>
      </c>
      <c r="L1351" s="17">
        <f t="shared" si="248"/>
        <v>104.93747352092601</v>
      </c>
      <c r="M1351" s="16">
        <f t="shared" si="250"/>
        <v>0</v>
      </c>
      <c r="N1351" s="17">
        <f>VLOOKUP(K1351,RPM!$A$2:$D$62,3,FALSE)</f>
        <v>11.4</v>
      </c>
      <c r="O1351" s="16">
        <f>VLOOKUP(K1351,RPM!$A$2:$D$62,4,FALSE)</f>
        <v>18.894837209302327</v>
      </c>
      <c r="P1351" s="17">
        <f t="shared" si="252"/>
        <v>14.089880106976747</v>
      </c>
      <c r="Q1351" s="16" cm="1">
        <f t="array" ref="Q1351">_xlfn.XLOOKUP(O1351,BSFC!$A$2:$A$24,_xlfn.XLOOKUP(K1351,BSFC!$B$1:$O$1,BSFC!$B$2:$O$24,,-1),,-1)</f>
        <v>480</v>
      </c>
      <c r="R1351" s="17">
        <f t="shared" si="253"/>
        <v>1.8786506809302328</v>
      </c>
      <c r="S1351" s="16">
        <f t="shared" si="254"/>
        <v>2.9183485335175871E-4</v>
      </c>
      <c r="T1351" s="17">
        <f t="shared" si="257"/>
        <v>0.14008072960884418</v>
      </c>
      <c r="U1351" s="16">
        <f t="shared" si="258"/>
        <v>173.35019946252828</v>
      </c>
      <c r="V1351" s="17">
        <f t="shared" si="259"/>
        <v>0.35619546972194888</v>
      </c>
      <c r="W1351" s="16">
        <f t="shared" si="255"/>
        <v>1282303.6909990159</v>
      </c>
      <c r="X1351">
        <f>('Hybrid Info'!$A$2-Track!P1351)*(L1351-L1350)*1000+X1350</f>
        <v>-15481.192351612099</v>
      </c>
    </row>
    <row r="1352" spans="1:24">
      <c r="A1352" s="16">
        <f t="shared" si="256"/>
        <v>1351</v>
      </c>
      <c r="B1352" s="17">
        <f t="shared" si="251"/>
        <v>13.411199999999999</v>
      </c>
      <c r="C1352" s="16">
        <f>Specification!$G$32</f>
        <v>219.92450400000001</v>
      </c>
      <c r="D1352" s="17">
        <f>0.5*Specification!$K$4*Track!B1352^2*Specification!$K$3*Specification!$K$2</f>
        <v>93.159842569492653</v>
      </c>
      <c r="E1352" s="16">
        <v>0</v>
      </c>
      <c r="F1352" s="17">
        <f>Specification!$C$23*9.81*SIN((E1352*PI()/180))</f>
        <v>0</v>
      </c>
      <c r="G1352" s="18">
        <f>IF(J1352=1,VLOOKUP(K1352,RPM!$E$2:$H$62,3,FALSE)-F1352-E1352-D1352,IF(J1352=2,VLOOKUP(K1352,RPM!$H$2:$K$62,3,FALSE)-F1352-E1352-D1352,IF(J1352=3,VLOOKUP(K1352,RPM!$K$2:$N$62,3,FALSE)-F1352-E1352-D1352)))</f>
        <v>549.56217903827155</v>
      </c>
      <c r="H1352" s="19">
        <f>IF(J1352=1,Specification!$I$14,IF(J1352=2,Specification!$I$15,IF(J1352=3,Specification!$I$16)))</f>
        <v>578.93404261974786</v>
      </c>
      <c r="I1352" s="16">
        <f t="shared" si="249"/>
        <v>0</v>
      </c>
      <c r="J1352" s="17">
        <v>3</v>
      </c>
      <c r="K1352" s="16">
        <f>IF(J1352=1,VLOOKUP(B1352,RPM!$F$2:$H$62,3,TRUE),IF(J1352=2,VLOOKUP(B1352,RPM!$I$2:$K$62,3,TRUE),IF(J1352=3,VLOOKUP(B1352,RPM!$L$2:$N$62,3,TRUE))))</f>
        <v>4300</v>
      </c>
      <c r="L1352" s="17">
        <f t="shared" si="248"/>
        <v>105.01203806399448</v>
      </c>
      <c r="M1352" s="16">
        <f t="shared" si="250"/>
        <v>0</v>
      </c>
      <c r="N1352" s="17">
        <f>VLOOKUP(K1352,RPM!$A$2:$D$62,3,FALSE)</f>
        <v>11.4</v>
      </c>
      <c r="O1352" s="16">
        <f>VLOOKUP(K1352,RPM!$A$2:$D$62,4,FALSE)</f>
        <v>18.894837209302327</v>
      </c>
      <c r="P1352" s="17">
        <f t="shared" si="252"/>
        <v>14.089880106976747</v>
      </c>
      <c r="Q1352" s="16" cm="1">
        <f t="array" ref="Q1352">_xlfn.XLOOKUP(O1352,BSFC!$A$2:$A$24,_xlfn.XLOOKUP(K1352,BSFC!$B$1:$O$1,BSFC!$B$2:$O$24,,-1),,-1)</f>
        <v>480</v>
      </c>
      <c r="R1352" s="17">
        <f t="shared" si="253"/>
        <v>1.8786506809302328</v>
      </c>
      <c r="S1352" s="16">
        <f t="shared" si="254"/>
        <v>2.9183485335175871E-4</v>
      </c>
      <c r="T1352" s="17">
        <f t="shared" si="257"/>
        <v>0.14008072960884418</v>
      </c>
      <c r="U1352" s="16">
        <f t="shared" si="258"/>
        <v>173.49028019213713</v>
      </c>
      <c r="V1352" s="17">
        <f t="shared" si="259"/>
        <v>0.35648730457530065</v>
      </c>
      <c r="W1352" s="16">
        <f t="shared" si="255"/>
        <v>1283354.2964710824</v>
      </c>
      <c r="X1352">
        <f>('Hybrid Info'!$A$2-Track!P1352)*(L1352-L1351)*1000+X1351</f>
        <v>-15628.041664961502</v>
      </c>
    </row>
    <row r="1353" spans="1:24">
      <c r="A1353" s="16">
        <f t="shared" si="256"/>
        <v>1352</v>
      </c>
      <c r="B1353" s="17">
        <f t="shared" si="251"/>
        <v>13.411199999999999</v>
      </c>
      <c r="C1353" s="16">
        <f>Specification!$G$32</f>
        <v>219.92450400000001</v>
      </c>
      <c r="D1353" s="17">
        <f>0.5*Specification!$K$4*Track!B1353^2*Specification!$K$3*Specification!$K$2</f>
        <v>93.159842569492653</v>
      </c>
      <c r="E1353" s="16">
        <v>0</v>
      </c>
      <c r="F1353" s="17">
        <f>Specification!$C$23*9.81*SIN((E1353*PI()/180))</f>
        <v>0</v>
      </c>
      <c r="G1353" s="18">
        <f>IF(J1353=1,VLOOKUP(K1353,RPM!$E$2:$H$62,3,FALSE)-F1353-E1353-D1353,IF(J1353=2,VLOOKUP(K1353,RPM!$H$2:$K$62,3,FALSE)-F1353-E1353-D1353,IF(J1353=3,VLOOKUP(K1353,RPM!$K$2:$N$62,3,FALSE)-F1353-E1353-D1353)))</f>
        <v>549.56217903827155</v>
      </c>
      <c r="H1353" s="19">
        <f>IF(J1353=1,Specification!$I$14,IF(J1353=2,Specification!$I$15,IF(J1353=3,Specification!$I$16)))</f>
        <v>578.93404261974786</v>
      </c>
      <c r="I1353" s="16">
        <f t="shared" si="249"/>
        <v>0</v>
      </c>
      <c r="J1353" s="17">
        <v>3</v>
      </c>
      <c r="K1353" s="16">
        <f>IF(J1353=1,VLOOKUP(B1353,RPM!$F$2:$H$62,3,TRUE),IF(J1353=2,VLOOKUP(B1353,RPM!$I$2:$K$62,3,TRUE),IF(J1353=3,VLOOKUP(B1353,RPM!$L$2:$N$62,3,TRUE))))</f>
        <v>4300</v>
      </c>
      <c r="L1353" s="17">
        <f t="shared" si="248"/>
        <v>105.08660260706296</v>
      </c>
      <c r="M1353" s="16">
        <f t="shared" si="250"/>
        <v>0</v>
      </c>
      <c r="N1353" s="17">
        <f>VLOOKUP(K1353,RPM!$A$2:$D$62,3,FALSE)</f>
        <v>11.4</v>
      </c>
      <c r="O1353" s="16">
        <f>VLOOKUP(K1353,RPM!$A$2:$D$62,4,FALSE)</f>
        <v>18.894837209302327</v>
      </c>
      <c r="P1353" s="17">
        <f t="shared" si="252"/>
        <v>14.089880106976747</v>
      </c>
      <c r="Q1353" s="16" cm="1">
        <f t="array" ref="Q1353">_xlfn.XLOOKUP(O1353,BSFC!$A$2:$A$24,_xlfn.XLOOKUP(K1353,BSFC!$B$1:$O$1,BSFC!$B$2:$O$24,,-1),,-1)</f>
        <v>480</v>
      </c>
      <c r="R1353" s="17">
        <f t="shared" si="253"/>
        <v>1.8786506809302328</v>
      </c>
      <c r="S1353" s="16">
        <f t="shared" si="254"/>
        <v>2.9183485335175871E-4</v>
      </c>
      <c r="T1353" s="17">
        <f t="shared" si="257"/>
        <v>0.14008072960884418</v>
      </c>
      <c r="U1353" s="16">
        <f t="shared" si="258"/>
        <v>173.63036092174599</v>
      </c>
      <c r="V1353" s="17">
        <f t="shared" si="259"/>
        <v>0.35677913942865241</v>
      </c>
      <c r="W1353" s="16">
        <f t="shared" si="255"/>
        <v>1284404.9019431486</v>
      </c>
      <c r="X1353">
        <f>('Hybrid Info'!$A$2-Track!P1353)*(L1353-L1352)*1000+X1352</f>
        <v>-15774.890978310905</v>
      </c>
    </row>
    <row r="1354" spans="1:24">
      <c r="A1354" s="16">
        <f t="shared" si="256"/>
        <v>1353</v>
      </c>
      <c r="B1354" s="17">
        <f t="shared" si="251"/>
        <v>13.411199999999999</v>
      </c>
      <c r="C1354" s="16">
        <f>Specification!$G$32</f>
        <v>219.92450400000001</v>
      </c>
      <c r="D1354" s="17">
        <f>0.5*Specification!$K$4*Track!B1354^2*Specification!$K$3*Specification!$K$2</f>
        <v>93.159842569492653</v>
      </c>
      <c r="E1354" s="16">
        <v>0</v>
      </c>
      <c r="F1354" s="17">
        <f>Specification!$C$23*9.81*SIN((E1354*PI()/180))</f>
        <v>0</v>
      </c>
      <c r="G1354" s="18">
        <f>IF(J1354=1,VLOOKUP(K1354,RPM!$E$2:$H$62,3,FALSE)-F1354-E1354-D1354,IF(J1354=2,VLOOKUP(K1354,RPM!$H$2:$K$62,3,FALSE)-F1354-E1354-D1354,IF(J1354=3,VLOOKUP(K1354,RPM!$K$2:$N$62,3,FALSE)-F1354-E1354-D1354)))</f>
        <v>549.56217903827155</v>
      </c>
      <c r="H1354" s="19">
        <f>IF(J1354=1,Specification!$I$14,IF(J1354=2,Specification!$I$15,IF(J1354=3,Specification!$I$16)))</f>
        <v>578.93404261974786</v>
      </c>
      <c r="I1354" s="16">
        <f t="shared" si="249"/>
        <v>0</v>
      </c>
      <c r="J1354" s="17">
        <v>3</v>
      </c>
      <c r="K1354" s="16">
        <f>IF(J1354=1,VLOOKUP(B1354,RPM!$F$2:$H$62,3,TRUE),IF(J1354=2,VLOOKUP(B1354,RPM!$I$2:$K$62,3,TRUE),IF(J1354=3,VLOOKUP(B1354,RPM!$L$2:$N$62,3,TRUE))))</f>
        <v>4300</v>
      </c>
      <c r="L1354" s="17">
        <f t="shared" si="248"/>
        <v>105.16116715013143</v>
      </c>
      <c r="M1354" s="16">
        <f t="shared" si="250"/>
        <v>0</v>
      </c>
      <c r="N1354" s="17">
        <f>VLOOKUP(K1354,RPM!$A$2:$D$62,3,FALSE)</f>
        <v>11.4</v>
      </c>
      <c r="O1354" s="16">
        <f>VLOOKUP(K1354,RPM!$A$2:$D$62,4,FALSE)</f>
        <v>18.894837209302327</v>
      </c>
      <c r="P1354" s="17">
        <f t="shared" si="252"/>
        <v>14.089880106976747</v>
      </c>
      <c r="Q1354" s="16" cm="1">
        <f t="array" ref="Q1354">_xlfn.XLOOKUP(O1354,BSFC!$A$2:$A$24,_xlfn.XLOOKUP(K1354,BSFC!$B$1:$O$1,BSFC!$B$2:$O$24,,-1),,-1)</f>
        <v>480</v>
      </c>
      <c r="R1354" s="17">
        <f t="shared" si="253"/>
        <v>1.8786506809302328</v>
      </c>
      <c r="S1354" s="16">
        <f t="shared" si="254"/>
        <v>2.9183485335175871E-4</v>
      </c>
      <c r="T1354" s="17">
        <f t="shared" si="257"/>
        <v>0.14008072960884418</v>
      </c>
      <c r="U1354" s="16">
        <f t="shared" si="258"/>
        <v>173.77044165135484</v>
      </c>
      <c r="V1354" s="17">
        <f t="shared" si="259"/>
        <v>0.35707097428200418</v>
      </c>
      <c r="W1354" s="16">
        <f t="shared" si="255"/>
        <v>1285455.507415215</v>
      </c>
      <c r="X1354">
        <f>('Hybrid Info'!$A$2-Track!P1354)*(L1354-L1353)*1000+X1353</f>
        <v>-15921.740291660308</v>
      </c>
    </row>
    <row r="1355" spans="1:24">
      <c r="A1355" s="16">
        <f t="shared" si="256"/>
        <v>1354</v>
      </c>
      <c r="B1355" s="17">
        <f t="shared" si="251"/>
        <v>13.411199999999999</v>
      </c>
      <c r="C1355" s="16">
        <f>Specification!$G$32</f>
        <v>219.92450400000001</v>
      </c>
      <c r="D1355" s="17">
        <f>0.5*Specification!$K$4*Track!B1355^2*Specification!$K$3*Specification!$K$2</f>
        <v>93.159842569492653</v>
      </c>
      <c r="E1355" s="16">
        <v>0</v>
      </c>
      <c r="F1355" s="17">
        <f>Specification!$C$23*9.81*SIN((E1355*PI()/180))</f>
        <v>0</v>
      </c>
      <c r="G1355" s="18">
        <f>IF(J1355=1,VLOOKUP(K1355,RPM!$E$2:$H$62,3,FALSE)-F1355-E1355-D1355,IF(J1355=2,VLOOKUP(K1355,RPM!$H$2:$K$62,3,FALSE)-F1355-E1355-D1355,IF(J1355=3,VLOOKUP(K1355,RPM!$K$2:$N$62,3,FALSE)-F1355-E1355-D1355)))</f>
        <v>549.56217903827155</v>
      </c>
      <c r="H1355" s="19">
        <f>IF(J1355=1,Specification!$I$14,IF(J1355=2,Specification!$I$15,IF(J1355=3,Specification!$I$16)))</f>
        <v>578.93404261974786</v>
      </c>
      <c r="I1355" s="16">
        <f t="shared" si="249"/>
        <v>0</v>
      </c>
      <c r="J1355" s="17">
        <v>3</v>
      </c>
      <c r="K1355" s="16">
        <f>IF(J1355=1,VLOOKUP(B1355,RPM!$F$2:$H$62,3,TRUE),IF(J1355=2,VLOOKUP(B1355,RPM!$I$2:$K$62,3,TRUE),IF(J1355=3,VLOOKUP(B1355,RPM!$L$2:$N$62,3,TRUE))))</f>
        <v>4300</v>
      </c>
      <c r="L1355" s="17">
        <f t="shared" si="248"/>
        <v>105.23573169319991</v>
      </c>
      <c r="M1355" s="16">
        <f t="shared" si="250"/>
        <v>0</v>
      </c>
      <c r="N1355" s="17">
        <f>VLOOKUP(K1355,RPM!$A$2:$D$62,3,FALSE)</f>
        <v>11.4</v>
      </c>
      <c r="O1355" s="16">
        <f>VLOOKUP(K1355,RPM!$A$2:$D$62,4,FALSE)</f>
        <v>18.894837209302327</v>
      </c>
      <c r="P1355" s="17">
        <f t="shared" si="252"/>
        <v>14.089880106976747</v>
      </c>
      <c r="Q1355" s="16" cm="1">
        <f t="array" ref="Q1355">_xlfn.XLOOKUP(O1355,BSFC!$A$2:$A$24,_xlfn.XLOOKUP(K1355,BSFC!$B$1:$O$1,BSFC!$B$2:$O$24,,-1),,-1)</f>
        <v>480</v>
      </c>
      <c r="R1355" s="17">
        <f t="shared" si="253"/>
        <v>1.8786506809302328</v>
      </c>
      <c r="S1355" s="16">
        <f t="shared" si="254"/>
        <v>2.9183485335175871E-4</v>
      </c>
      <c r="T1355" s="17">
        <f t="shared" si="257"/>
        <v>0.14008072960884418</v>
      </c>
      <c r="U1355" s="16">
        <f t="shared" si="258"/>
        <v>173.9105223809637</v>
      </c>
      <c r="V1355" s="17">
        <f t="shared" si="259"/>
        <v>0.35736280913535595</v>
      </c>
      <c r="W1355" s="16">
        <f t="shared" si="255"/>
        <v>1286506.1128872815</v>
      </c>
      <c r="X1355">
        <f>('Hybrid Info'!$A$2-Track!P1355)*(L1355-L1354)*1000+X1354</f>
        <v>-16068.589605009711</v>
      </c>
    </row>
    <row r="1356" spans="1:24">
      <c r="A1356" s="16">
        <f t="shared" si="256"/>
        <v>1355</v>
      </c>
      <c r="B1356" s="17">
        <f t="shared" si="251"/>
        <v>13.411199999999999</v>
      </c>
      <c r="C1356" s="16">
        <f>Specification!$G$32</f>
        <v>219.92450400000001</v>
      </c>
      <c r="D1356" s="17">
        <f>0.5*Specification!$K$4*Track!B1356^2*Specification!$K$3*Specification!$K$2</f>
        <v>93.159842569492653</v>
      </c>
      <c r="E1356" s="16">
        <v>0</v>
      </c>
      <c r="F1356" s="17">
        <f>Specification!$C$23*9.81*SIN((E1356*PI()/180))</f>
        <v>0</v>
      </c>
      <c r="G1356" s="18">
        <f>IF(J1356=1,VLOOKUP(K1356,RPM!$E$2:$H$62,3,FALSE)-F1356-E1356-D1356,IF(J1356=2,VLOOKUP(K1356,RPM!$H$2:$K$62,3,FALSE)-F1356-E1356-D1356,IF(J1356=3,VLOOKUP(K1356,RPM!$K$2:$N$62,3,FALSE)-F1356-E1356-D1356)))</f>
        <v>549.56217903827155</v>
      </c>
      <c r="H1356" s="19">
        <f>IF(J1356=1,Specification!$I$14,IF(J1356=2,Specification!$I$15,IF(J1356=3,Specification!$I$16)))</f>
        <v>578.93404261974786</v>
      </c>
      <c r="I1356" s="16">
        <f t="shared" si="249"/>
        <v>0</v>
      </c>
      <c r="J1356" s="17">
        <v>3</v>
      </c>
      <c r="K1356" s="16">
        <f>IF(J1356=1,VLOOKUP(B1356,RPM!$F$2:$H$62,3,TRUE),IF(J1356=2,VLOOKUP(B1356,RPM!$I$2:$K$62,3,TRUE),IF(J1356=3,VLOOKUP(B1356,RPM!$L$2:$N$62,3,TRUE))))</f>
        <v>4300</v>
      </c>
      <c r="L1356" s="17">
        <f t="shared" si="248"/>
        <v>105.31029623626839</v>
      </c>
      <c r="M1356" s="16">
        <f t="shared" si="250"/>
        <v>0</v>
      </c>
      <c r="N1356" s="17">
        <f>VLOOKUP(K1356,RPM!$A$2:$D$62,3,FALSE)</f>
        <v>11.4</v>
      </c>
      <c r="O1356" s="16">
        <f>VLOOKUP(K1356,RPM!$A$2:$D$62,4,FALSE)</f>
        <v>18.894837209302327</v>
      </c>
      <c r="P1356" s="17">
        <f t="shared" si="252"/>
        <v>14.089880106976747</v>
      </c>
      <c r="Q1356" s="16" cm="1">
        <f t="array" ref="Q1356">_xlfn.XLOOKUP(O1356,BSFC!$A$2:$A$24,_xlfn.XLOOKUP(K1356,BSFC!$B$1:$O$1,BSFC!$B$2:$O$24,,-1),,-1)</f>
        <v>480</v>
      </c>
      <c r="R1356" s="17">
        <f t="shared" si="253"/>
        <v>1.8786506809302328</v>
      </c>
      <c r="S1356" s="16">
        <f t="shared" si="254"/>
        <v>2.9183485335175871E-4</v>
      </c>
      <c r="T1356" s="17">
        <f t="shared" si="257"/>
        <v>0.14008072960884418</v>
      </c>
      <c r="U1356" s="16">
        <f t="shared" si="258"/>
        <v>174.05060311057255</v>
      </c>
      <c r="V1356" s="17">
        <f t="shared" si="259"/>
        <v>0.35765464398870772</v>
      </c>
      <c r="W1356" s="16">
        <f t="shared" si="255"/>
        <v>1287556.7183593479</v>
      </c>
      <c r="X1356">
        <f>('Hybrid Info'!$A$2-Track!P1356)*(L1356-L1355)*1000+X1355</f>
        <v>-16215.438918359114</v>
      </c>
    </row>
    <row r="1357" spans="1:24">
      <c r="A1357" s="16">
        <f t="shared" si="256"/>
        <v>1356</v>
      </c>
      <c r="B1357" s="17">
        <f t="shared" si="251"/>
        <v>13.411199999999999</v>
      </c>
      <c r="C1357" s="16">
        <f>Specification!$G$32</f>
        <v>219.92450400000001</v>
      </c>
      <c r="D1357" s="17">
        <f>0.5*Specification!$K$4*Track!B1357^2*Specification!$K$3*Specification!$K$2</f>
        <v>93.159842569492653</v>
      </c>
      <c r="E1357" s="16">
        <v>0</v>
      </c>
      <c r="F1357" s="17">
        <f>Specification!$C$23*9.81*SIN((E1357*PI()/180))</f>
        <v>0</v>
      </c>
      <c r="G1357" s="18">
        <f>IF(J1357=1,VLOOKUP(K1357,RPM!$E$2:$H$62,3,FALSE)-F1357-E1357-D1357,IF(J1357=2,VLOOKUP(K1357,RPM!$H$2:$K$62,3,FALSE)-F1357-E1357-D1357,IF(J1357=3,VLOOKUP(K1357,RPM!$K$2:$N$62,3,FALSE)-F1357-E1357-D1357)))</f>
        <v>549.56217903827155</v>
      </c>
      <c r="H1357" s="19">
        <f>IF(J1357=1,Specification!$I$14,IF(J1357=2,Specification!$I$15,IF(J1357=3,Specification!$I$16)))</f>
        <v>578.93404261974786</v>
      </c>
      <c r="I1357" s="16">
        <f t="shared" si="249"/>
        <v>0</v>
      </c>
      <c r="J1357" s="17">
        <v>3</v>
      </c>
      <c r="K1357" s="16">
        <f>IF(J1357=1,VLOOKUP(B1357,RPM!$F$2:$H$62,3,TRUE),IF(J1357=2,VLOOKUP(B1357,RPM!$I$2:$K$62,3,TRUE),IF(J1357=3,VLOOKUP(B1357,RPM!$L$2:$N$62,3,TRUE))))</f>
        <v>4300</v>
      </c>
      <c r="L1357" s="17">
        <f t="shared" ref="L1357:L1420" si="260">IF(I1357=0,ABS(1/B1357)+L1356,IF(ABS(B1358-B1357)=0,1/B1357+L1356,ABS((B1358-B1357)/I1357)+L1356))</f>
        <v>105.38486077933686</v>
      </c>
      <c r="M1357" s="16">
        <f t="shared" si="250"/>
        <v>0</v>
      </c>
      <c r="N1357" s="17">
        <f>VLOOKUP(K1357,RPM!$A$2:$D$62,3,FALSE)</f>
        <v>11.4</v>
      </c>
      <c r="O1357" s="16">
        <f>VLOOKUP(K1357,RPM!$A$2:$D$62,4,FALSE)</f>
        <v>18.894837209302327</v>
      </c>
      <c r="P1357" s="17">
        <f t="shared" si="252"/>
        <v>14.089880106976747</v>
      </c>
      <c r="Q1357" s="16" cm="1">
        <f t="array" ref="Q1357">_xlfn.XLOOKUP(O1357,BSFC!$A$2:$A$24,_xlfn.XLOOKUP(K1357,BSFC!$B$1:$O$1,BSFC!$B$2:$O$24,,-1),,-1)</f>
        <v>480</v>
      </c>
      <c r="R1357" s="17">
        <f t="shared" si="253"/>
        <v>1.8786506809302328</v>
      </c>
      <c r="S1357" s="16">
        <f t="shared" si="254"/>
        <v>2.9183485335175871E-4</v>
      </c>
      <c r="T1357" s="17">
        <f t="shared" si="257"/>
        <v>0.14008072960884418</v>
      </c>
      <c r="U1357" s="16">
        <f t="shared" si="258"/>
        <v>174.19068384018141</v>
      </c>
      <c r="V1357" s="17">
        <f t="shared" si="259"/>
        <v>0.35794647884205949</v>
      </c>
      <c r="W1357" s="16">
        <f t="shared" si="255"/>
        <v>1288607.3238314141</v>
      </c>
      <c r="X1357">
        <f>('Hybrid Info'!$A$2-Track!P1357)*(L1357-L1356)*1000+X1356</f>
        <v>-16362.288231708517</v>
      </c>
    </row>
    <row r="1358" spans="1:24">
      <c r="A1358" s="16">
        <f t="shared" si="256"/>
        <v>1357</v>
      </c>
      <c r="B1358" s="17">
        <f t="shared" si="251"/>
        <v>13.411199999999999</v>
      </c>
      <c r="C1358" s="16">
        <f>Specification!$G$32</f>
        <v>219.92450400000001</v>
      </c>
      <c r="D1358" s="17">
        <f>0.5*Specification!$K$4*Track!B1358^2*Specification!$K$3*Specification!$K$2</f>
        <v>93.159842569492653</v>
      </c>
      <c r="E1358" s="16">
        <v>0</v>
      </c>
      <c r="F1358" s="17">
        <f>Specification!$C$23*9.81*SIN((E1358*PI()/180))</f>
        <v>0</v>
      </c>
      <c r="G1358" s="18">
        <f>IF(J1358=1,VLOOKUP(K1358,RPM!$E$2:$H$62,3,FALSE)-F1358-E1358-D1358,IF(J1358=2,VLOOKUP(K1358,RPM!$H$2:$K$62,3,FALSE)-F1358-E1358-D1358,IF(J1358=3,VLOOKUP(K1358,RPM!$K$2:$N$62,3,FALSE)-F1358-E1358-D1358)))</f>
        <v>549.56217903827155</v>
      </c>
      <c r="H1358" s="19">
        <f>IF(J1358=1,Specification!$I$14,IF(J1358=2,Specification!$I$15,IF(J1358=3,Specification!$I$16)))</f>
        <v>578.93404261974786</v>
      </c>
      <c r="I1358" s="16">
        <f t="shared" si="249"/>
        <v>0</v>
      </c>
      <c r="J1358" s="17">
        <v>3</v>
      </c>
      <c r="K1358" s="16">
        <f>IF(J1358=1,VLOOKUP(B1358,RPM!$F$2:$H$62,3,TRUE),IF(J1358=2,VLOOKUP(B1358,RPM!$I$2:$K$62,3,TRUE),IF(J1358=3,VLOOKUP(B1358,RPM!$L$2:$N$62,3,TRUE))))</f>
        <v>4300</v>
      </c>
      <c r="L1358" s="17">
        <f t="shared" si="260"/>
        <v>105.45942532240534</v>
      </c>
      <c r="M1358" s="16">
        <f t="shared" si="250"/>
        <v>0</v>
      </c>
      <c r="N1358" s="17">
        <f>VLOOKUP(K1358,RPM!$A$2:$D$62,3,FALSE)</f>
        <v>11.4</v>
      </c>
      <c r="O1358" s="16">
        <f>VLOOKUP(K1358,RPM!$A$2:$D$62,4,FALSE)</f>
        <v>18.894837209302327</v>
      </c>
      <c r="P1358" s="17">
        <f t="shared" si="252"/>
        <v>14.089880106976747</v>
      </c>
      <c r="Q1358" s="16" cm="1">
        <f t="array" ref="Q1358">_xlfn.XLOOKUP(O1358,BSFC!$A$2:$A$24,_xlfn.XLOOKUP(K1358,BSFC!$B$1:$O$1,BSFC!$B$2:$O$24,,-1),,-1)</f>
        <v>480</v>
      </c>
      <c r="R1358" s="17">
        <f t="shared" si="253"/>
        <v>1.8786506809302328</v>
      </c>
      <c r="S1358" s="16">
        <f t="shared" si="254"/>
        <v>2.9183485335175871E-4</v>
      </c>
      <c r="T1358" s="17">
        <f t="shared" si="257"/>
        <v>0.14008072960884418</v>
      </c>
      <c r="U1358" s="16">
        <f t="shared" si="258"/>
        <v>174.33076456979026</v>
      </c>
      <c r="V1358" s="17">
        <f t="shared" si="259"/>
        <v>0.35823831369541126</v>
      </c>
      <c r="W1358" s="16">
        <f t="shared" si="255"/>
        <v>1289657.9293034805</v>
      </c>
      <c r="X1358">
        <f>('Hybrid Info'!$A$2-Track!P1358)*(L1358-L1357)*1000+X1357</f>
        <v>-16509.137545057922</v>
      </c>
    </row>
    <row r="1359" spans="1:24">
      <c r="A1359" s="16">
        <f t="shared" si="256"/>
        <v>1358</v>
      </c>
      <c r="B1359" s="17">
        <f t="shared" si="251"/>
        <v>13.411199999999999</v>
      </c>
      <c r="C1359" s="16">
        <f>Specification!$G$32</f>
        <v>219.92450400000001</v>
      </c>
      <c r="D1359" s="17">
        <f>0.5*Specification!$K$4*Track!B1359^2*Specification!$K$3*Specification!$K$2</f>
        <v>93.159842569492653</v>
      </c>
      <c r="E1359" s="16">
        <v>0</v>
      </c>
      <c r="F1359" s="17">
        <f>Specification!$C$23*9.81*SIN((E1359*PI()/180))</f>
        <v>0</v>
      </c>
      <c r="G1359" s="18">
        <f>IF(J1359=1,VLOOKUP(K1359,RPM!$E$2:$H$62,3,FALSE)-F1359-E1359-D1359,IF(J1359=2,VLOOKUP(K1359,RPM!$H$2:$K$62,3,FALSE)-F1359-E1359-D1359,IF(J1359=3,VLOOKUP(K1359,RPM!$K$2:$N$62,3,FALSE)-F1359-E1359-D1359)))</f>
        <v>549.56217903827155</v>
      </c>
      <c r="H1359" s="19">
        <f>IF(J1359=1,Specification!$I$14,IF(J1359=2,Specification!$I$15,IF(J1359=3,Specification!$I$16)))</f>
        <v>578.93404261974786</v>
      </c>
      <c r="I1359" s="16">
        <f t="shared" si="249"/>
        <v>0</v>
      </c>
      <c r="J1359" s="17">
        <v>3</v>
      </c>
      <c r="K1359" s="16">
        <f>IF(J1359=1,VLOOKUP(B1359,RPM!$F$2:$H$62,3,TRUE),IF(J1359=2,VLOOKUP(B1359,RPM!$I$2:$K$62,3,TRUE),IF(J1359=3,VLOOKUP(B1359,RPM!$L$2:$N$62,3,TRUE))))</f>
        <v>4300</v>
      </c>
      <c r="L1359" s="17">
        <f t="shared" si="260"/>
        <v>105.53398986547381</v>
      </c>
      <c r="M1359" s="16">
        <f t="shared" si="250"/>
        <v>0</v>
      </c>
      <c r="N1359" s="17">
        <f>VLOOKUP(K1359,RPM!$A$2:$D$62,3,FALSE)</f>
        <v>11.4</v>
      </c>
      <c r="O1359" s="16">
        <f>VLOOKUP(K1359,RPM!$A$2:$D$62,4,FALSE)</f>
        <v>18.894837209302327</v>
      </c>
      <c r="P1359" s="17">
        <f t="shared" si="252"/>
        <v>14.089880106976747</v>
      </c>
      <c r="Q1359" s="16" cm="1">
        <f t="array" ref="Q1359">_xlfn.XLOOKUP(O1359,BSFC!$A$2:$A$24,_xlfn.XLOOKUP(K1359,BSFC!$B$1:$O$1,BSFC!$B$2:$O$24,,-1),,-1)</f>
        <v>480</v>
      </c>
      <c r="R1359" s="17">
        <f t="shared" si="253"/>
        <v>1.8786506809302328</v>
      </c>
      <c r="S1359" s="16">
        <f t="shared" si="254"/>
        <v>2.9183485335175871E-4</v>
      </c>
      <c r="T1359" s="17">
        <f t="shared" si="257"/>
        <v>0.14008072960884418</v>
      </c>
      <c r="U1359" s="16">
        <f t="shared" si="258"/>
        <v>174.47084529939912</v>
      </c>
      <c r="V1359" s="17">
        <f t="shared" si="259"/>
        <v>0.35853014854876303</v>
      </c>
      <c r="W1359" s="16">
        <f t="shared" si="255"/>
        <v>1290708.5347755468</v>
      </c>
      <c r="X1359">
        <f>('Hybrid Info'!$A$2-Track!P1359)*(L1359-L1358)*1000+X1358</f>
        <v>-16655.986858407327</v>
      </c>
    </row>
    <row r="1360" spans="1:24">
      <c r="A1360" s="16">
        <f t="shared" si="256"/>
        <v>1359</v>
      </c>
      <c r="B1360" s="17">
        <f t="shared" si="251"/>
        <v>13.411199999999999</v>
      </c>
      <c r="C1360" s="16">
        <f>Specification!$G$32</f>
        <v>219.92450400000001</v>
      </c>
      <c r="D1360" s="17">
        <f>0.5*Specification!$K$4*Track!B1360^2*Specification!$K$3*Specification!$K$2</f>
        <v>93.159842569492653</v>
      </c>
      <c r="E1360" s="16">
        <v>0</v>
      </c>
      <c r="F1360" s="17">
        <f>Specification!$C$23*9.81*SIN((E1360*PI()/180))</f>
        <v>0</v>
      </c>
      <c r="G1360" s="18">
        <f>IF(J1360=1,VLOOKUP(K1360,RPM!$E$2:$H$62,3,FALSE)-F1360-E1360-D1360,IF(J1360=2,VLOOKUP(K1360,RPM!$H$2:$K$62,3,FALSE)-F1360-E1360-D1360,IF(J1360=3,VLOOKUP(K1360,RPM!$K$2:$N$62,3,FALSE)-F1360-E1360-D1360)))</f>
        <v>549.56217903827155</v>
      </c>
      <c r="H1360" s="19">
        <f>IF(J1360=1,Specification!$I$14,IF(J1360=2,Specification!$I$15,IF(J1360=3,Specification!$I$16)))</f>
        <v>578.93404261974786</v>
      </c>
      <c r="I1360" s="16">
        <f t="shared" si="249"/>
        <v>0</v>
      </c>
      <c r="J1360" s="17">
        <v>3</v>
      </c>
      <c r="K1360" s="16">
        <f>IF(J1360=1,VLOOKUP(B1360,RPM!$F$2:$H$62,3,TRUE),IF(J1360=2,VLOOKUP(B1360,RPM!$I$2:$K$62,3,TRUE),IF(J1360=3,VLOOKUP(B1360,RPM!$L$2:$N$62,3,TRUE))))</f>
        <v>4300</v>
      </c>
      <c r="L1360" s="17">
        <f t="shared" si="260"/>
        <v>105.60855440854229</v>
      </c>
      <c r="M1360" s="16">
        <f t="shared" si="250"/>
        <v>0</v>
      </c>
      <c r="N1360" s="17">
        <f>VLOOKUP(K1360,RPM!$A$2:$D$62,3,FALSE)</f>
        <v>11.4</v>
      </c>
      <c r="O1360" s="16">
        <f>VLOOKUP(K1360,RPM!$A$2:$D$62,4,FALSE)</f>
        <v>18.894837209302327</v>
      </c>
      <c r="P1360" s="17">
        <f t="shared" si="252"/>
        <v>14.089880106976747</v>
      </c>
      <c r="Q1360" s="16" cm="1">
        <f t="array" ref="Q1360">_xlfn.XLOOKUP(O1360,BSFC!$A$2:$A$24,_xlfn.XLOOKUP(K1360,BSFC!$B$1:$O$1,BSFC!$B$2:$O$24,,-1),,-1)</f>
        <v>480</v>
      </c>
      <c r="R1360" s="17">
        <f t="shared" si="253"/>
        <v>1.8786506809302328</v>
      </c>
      <c r="S1360" s="16">
        <f t="shared" si="254"/>
        <v>2.9183485335175871E-4</v>
      </c>
      <c r="T1360" s="17">
        <f t="shared" si="257"/>
        <v>0.14008072960884418</v>
      </c>
      <c r="U1360" s="16">
        <f t="shared" si="258"/>
        <v>174.61092602900797</v>
      </c>
      <c r="V1360" s="17">
        <f t="shared" si="259"/>
        <v>0.3588219834021148</v>
      </c>
      <c r="W1360" s="16">
        <f t="shared" si="255"/>
        <v>1291759.1402476134</v>
      </c>
      <c r="X1360">
        <f>('Hybrid Info'!$A$2-Track!P1360)*(L1360-L1359)*1000+X1359</f>
        <v>-16802.836171756731</v>
      </c>
    </row>
    <row r="1361" spans="1:24">
      <c r="A1361" s="16">
        <f t="shared" si="256"/>
        <v>1360</v>
      </c>
      <c r="B1361" s="17">
        <f t="shared" si="251"/>
        <v>13.411199999999999</v>
      </c>
      <c r="C1361" s="16">
        <f>Specification!$G$32</f>
        <v>219.92450400000001</v>
      </c>
      <c r="D1361" s="17">
        <f>0.5*Specification!$K$4*Track!B1361^2*Specification!$K$3*Specification!$K$2</f>
        <v>93.159842569492653</v>
      </c>
      <c r="E1361" s="16">
        <v>0</v>
      </c>
      <c r="F1361" s="17">
        <f>Specification!$C$23*9.81*SIN((E1361*PI()/180))</f>
        <v>0</v>
      </c>
      <c r="G1361" s="18">
        <f>IF(J1361=1,VLOOKUP(K1361,RPM!$E$2:$H$62,3,FALSE)-F1361-E1361-D1361,IF(J1361=2,VLOOKUP(K1361,RPM!$H$2:$K$62,3,FALSE)-F1361-E1361-D1361,IF(J1361=3,VLOOKUP(K1361,RPM!$K$2:$N$62,3,FALSE)-F1361-E1361-D1361)))</f>
        <v>549.56217903827155</v>
      </c>
      <c r="H1361" s="19">
        <f>IF(J1361=1,Specification!$I$14,IF(J1361=2,Specification!$I$15,IF(J1361=3,Specification!$I$16)))</f>
        <v>578.93404261974786</v>
      </c>
      <c r="I1361" s="16">
        <f t="shared" si="249"/>
        <v>0</v>
      </c>
      <c r="J1361" s="17">
        <v>3</v>
      </c>
      <c r="K1361" s="16">
        <f>IF(J1361=1,VLOOKUP(B1361,RPM!$F$2:$H$62,3,TRUE),IF(J1361=2,VLOOKUP(B1361,RPM!$I$2:$K$62,3,TRUE),IF(J1361=3,VLOOKUP(B1361,RPM!$L$2:$N$62,3,TRUE))))</f>
        <v>4300</v>
      </c>
      <c r="L1361" s="17">
        <f t="shared" si="260"/>
        <v>105.68311895161077</v>
      </c>
      <c r="M1361" s="16">
        <f t="shared" si="250"/>
        <v>0</v>
      </c>
      <c r="N1361" s="17">
        <f>VLOOKUP(K1361,RPM!$A$2:$D$62,3,FALSE)</f>
        <v>11.4</v>
      </c>
      <c r="O1361" s="16">
        <f>VLOOKUP(K1361,RPM!$A$2:$D$62,4,FALSE)</f>
        <v>18.894837209302327</v>
      </c>
      <c r="P1361" s="17">
        <f t="shared" si="252"/>
        <v>14.089880106976747</v>
      </c>
      <c r="Q1361" s="16" cm="1">
        <f t="array" ref="Q1361">_xlfn.XLOOKUP(O1361,BSFC!$A$2:$A$24,_xlfn.XLOOKUP(K1361,BSFC!$B$1:$O$1,BSFC!$B$2:$O$24,,-1),,-1)</f>
        <v>480</v>
      </c>
      <c r="R1361" s="17">
        <f t="shared" si="253"/>
        <v>1.8786506809302328</v>
      </c>
      <c r="S1361" s="16">
        <f t="shared" si="254"/>
        <v>2.9183485335175871E-4</v>
      </c>
      <c r="T1361" s="17">
        <f t="shared" si="257"/>
        <v>0.14008072960884418</v>
      </c>
      <c r="U1361" s="16">
        <f t="shared" si="258"/>
        <v>174.75100675861682</v>
      </c>
      <c r="V1361" s="17">
        <f t="shared" si="259"/>
        <v>0.35911381825546657</v>
      </c>
      <c r="W1361" s="16">
        <f t="shared" si="255"/>
        <v>1292809.7457196796</v>
      </c>
      <c r="X1361">
        <f>('Hybrid Info'!$A$2-Track!P1361)*(L1361-L1360)*1000+X1360</f>
        <v>-16949.685485106136</v>
      </c>
    </row>
    <row r="1362" spans="1:24">
      <c r="A1362" s="16">
        <f t="shared" si="256"/>
        <v>1361</v>
      </c>
      <c r="B1362" s="17">
        <f t="shared" si="251"/>
        <v>13.411199999999999</v>
      </c>
      <c r="C1362" s="16">
        <f>Specification!$G$32</f>
        <v>219.92450400000001</v>
      </c>
      <c r="D1362" s="17">
        <f>0.5*Specification!$K$4*Track!B1362^2*Specification!$K$3*Specification!$K$2</f>
        <v>93.159842569492653</v>
      </c>
      <c r="E1362" s="16">
        <v>0</v>
      </c>
      <c r="F1362" s="17">
        <f>Specification!$C$23*9.81*SIN((E1362*PI()/180))</f>
        <v>0</v>
      </c>
      <c r="G1362" s="18">
        <f>IF(J1362=1,VLOOKUP(K1362,RPM!$E$2:$H$62,3,FALSE)-F1362-E1362-D1362,IF(J1362=2,VLOOKUP(K1362,RPM!$H$2:$K$62,3,FALSE)-F1362-E1362-D1362,IF(J1362=3,VLOOKUP(K1362,RPM!$K$2:$N$62,3,FALSE)-F1362-E1362-D1362)))</f>
        <v>549.56217903827155</v>
      </c>
      <c r="H1362" s="19">
        <f>IF(J1362=1,Specification!$I$14,IF(J1362=2,Specification!$I$15,IF(J1362=3,Specification!$I$16)))</f>
        <v>578.93404261974786</v>
      </c>
      <c r="I1362" s="16">
        <f t="shared" si="249"/>
        <v>0</v>
      </c>
      <c r="J1362" s="17">
        <v>3</v>
      </c>
      <c r="K1362" s="16">
        <f>IF(J1362=1,VLOOKUP(B1362,RPM!$F$2:$H$62,3,TRUE),IF(J1362=2,VLOOKUP(B1362,RPM!$I$2:$K$62,3,TRUE),IF(J1362=3,VLOOKUP(B1362,RPM!$L$2:$N$62,3,TRUE))))</f>
        <v>4300</v>
      </c>
      <c r="L1362" s="17">
        <f t="shared" si="260"/>
        <v>105.75768349467924</v>
      </c>
      <c r="M1362" s="16">
        <f t="shared" si="250"/>
        <v>0</v>
      </c>
      <c r="N1362" s="17">
        <f>VLOOKUP(K1362,RPM!$A$2:$D$62,3,FALSE)</f>
        <v>11.4</v>
      </c>
      <c r="O1362" s="16">
        <f>VLOOKUP(K1362,RPM!$A$2:$D$62,4,FALSE)</f>
        <v>18.894837209302327</v>
      </c>
      <c r="P1362" s="17">
        <f t="shared" si="252"/>
        <v>14.089880106976747</v>
      </c>
      <c r="Q1362" s="16" cm="1">
        <f t="array" ref="Q1362">_xlfn.XLOOKUP(O1362,BSFC!$A$2:$A$24,_xlfn.XLOOKUP(K1362,BSFC!$B$1:$O$1,BSFC!$B$2:$O$24,,-1),,-1)</f>
        <v>480</v>
      </c>
      <c r="R1362" s="17">
        <f t="shared" si="253"/>
        <v>1.8786506809302328</v>
      </c>
      <c r="S1362" s="16">
        <f t="shared" si="254"/>
        <v>2.9183485335175871E-4</v>
      </c>
      <c r="T1362" s="17">
        <f t="shared" si="257"/>
        <v>0.14008072960884418</v>
      </c>
      <c r="U1362" s="16">
        <f t="shared" si="258"/>
        <v>174.89108748822568</v>
      </c>
      <c r="V1362" s="17">
        <f t="shared" si="259"/>
        <v>0.35940565310881833</v>
      </c>
      <c r="W1362" s="16">
        <f t="shared" si="255"/>
        <v>1293860.3511917461</v>
      </c>
      <c r="X1362">
        <f>('Hybrid Info'!$A$2-Track!P1362)*(L1362-L1361)*1000+X1361</f>
        <v>-17096.534798455541</v>
      </c>
    </row>
    <row r="1363" spans="1:24">
      <c r="A1363" s="16">
        <f t="shared" si="256"/>
        <v>1362</v>
      </c>
      <c r="B1363" s="17">
        <f t="shared" si="251"/>
        <v>13.411199999999999</v>
      </c>
      <c r="C1363" s="16">
        <f>Specification!$G$32</f>
        <v>219.92450400000001</v>
      </c>
      <c r="D1363" s="17">
        <f>0.5*Specification!$K$4*Track!B1363^2*Specification!$K$3*Specification!$K$2</f>
        <v>93.159842569492653</v>
      </c>
      <c r="E1363" s="16">
        <v>0</v>
      </c>
      <c r="F1363" s="17">
        <f>Specification!$C$23*9.81*SIN((E1363*PI()/180))</f>
        <v>0</v>
      </c>
      <c r="G1363" s="18">
        <f>IF(J1363=1,VLOOKUP(K1363,RPM!$E$2:$H$62,3,FALSE)-F1363-E1363-D1363,IF(J1363=2,VLOOKUP(K1363,RPM!$H$2:$K$62,3,FALSE)-F1363-E1363-D1363,IF(J1363=3,VLOOKUP(K1363,RPM!$K$2:$N$62,3,FALSE)-F1363-E1363-D1363)))</f>
        <v>549.56217903827155</v>
      </c>
      <c r="H1363" s="19">
        <f>IF(J1363=1,Specification!$I$14,IF(J1363=2,Specification!$I$15,IF(J1363=3,Specification!$I$16)))</f>
        <v>578.93404261974786</v>
      </c>
      <c r="I1363" s="16">
        <f t="shared" si="249"/>
        <v>0</v>
      </c>
      <c r="J1363" s="17">
        <v>3</v>
      </c>
      <c r="K1363" s="16">
        <f>IF(J1363=1,VLOOKUP(B1363,RPM!$F$2:$H$62,3,TRUE),IF(J1363=2,VLOOKUP(B1363,RPM!$I$2:$K$62,3,TRUE),IF(J1363=3,VLOOKUP(B1363,RPM!$L$2:$N$62,3,TRUE))))</f>
        <v>4300</v>
      </c>
      <c r="L1363" s="17">
        <f t="shared" si="260"/>
        <v>105.83224803774772</v>
      </c>
      <c r="M1363" s="16">
        <f t="shared" si="250"/>
        <v>0</v>
      </c>
      <c r="N1363" s="17">
        <f>VLOOKUP(K1363,RPM!$A$2:$D$62,3,FALSE)</f>
        <v>11.4</v>
      </c>
      <c r="O1363" s="16">
        <f>VLOOKUP(K1363,RPM!$A$2:$D$62,4,FALSE)</f>
        <v>18.894837209302327</v>
      </c>
      <c r="P1363" s="17">
        <f t="shared" si="252"/>
        <v>14.089880106976747</v>
      </c>
      <c r="Q1363" s="16" cm="1">
        <f t="array" ref="Q1363">_xlfn.XLOOKUP(O1363,BSFC!$A$2:$A$24,_xlfn.XLOOKUP(K1363,BSFC!$B$1:$O$1,BSFC!$B$2:$O$24,,-1),,-1)</f>
        <v>480</v>
      </c>
      <c r="R1363" s="17">
        <f t="shared" si="253"/>
        <v>1.8786506809302328</v>
      </c>
      <c r="S1363" s="16">
        <f t="shared" si="254"/>
        <v>2.9183485335175871E-4</v>
      </c>
      <c r="T1363" s="17">
        <f t="shared" si="257"/>
        <v>0.14008072960884418</v>
      </c>
      <c r="U1363" s="16">
        <f t="shared" si="258"/>
        <v>175.03116821783453</v>
      </c>
      <c r="V1363" s="17">
        <f t="shared" si="259"/>
        <v>0.3596974879621701</v>
      </c>
      <c r="W1363" s="16">
        <f t="shared" si="255"/>
        <v>1294910.9566638123</v>
      </c>
      <c r="X1363">
        <f>('Hybrid Info'!$A$2-Track!P1363)*(L1363-L1362)*1000+X1362</f>
        <v>-17243.384111804946</v>
      </c>
    </row>
    <row r="1364" spans="1:24">
      <c r="A1364" s="16">
        <f t="shared" si="256"/>
        <v>1363</v>
      </c>
      <c r="B1364" s="17">
        <f t="shared" si="251"/>
        <v>13.411199999999999</v>
      </c>
      <c r="C1364" s="16">
        <f>Specification!$G$32</f>
        <v>219.92450400000001</v>
      </c>
      <c r="D1364" s="17">
        <f>0.5*Specification!$K$4*Track!B1364^2*Specification!$K$3*Specification!$K$2</f>
        <v>93.159842569492653</v>
      </c>
      <c r="E1364" s="16">
        <v>0</v>
      </c>
      <c r="F1364" s="17">
        <f>Specification!$C$23*9.81*SIN((E1364*PI()/180))</f>
        <v>0</v>
      </c>
      <c r="G1364" s="18">
        <f>IF(J1364=1,VLOOKUP(K1364,RPM!$E$2:$H$62,3,FALSE)-F1364-E1364-D1364,IF(J1364=2,VLOOKUP(K1364,RPM!$H$2:$K$62,3,FALSE)-F1364-E1364-D1364,IF(J1364=3,VLOOKUP(K1364,RPM!$K$2:$N$62,3,FALSE)-F1364-E1364-D1364)))</f>
        <v>549.56217903827155</v>
      </c>
      <c r="H1364" s="19">
        <f>IF(J1364=1,Specification!$I$14,IF(J1364=2,Specification!$I$15,IF(J1364=3,Specification!$I$16)))</f>
        <v>578.93404261974786</v>
      </c>
      <c r="I1364" s="16">
        <f t="shared" si="249"/>
        <v>0</v>
      </c>
      <c r="J1364" s="17">
        <v>3</v>
      </c>
      <c r="K1364" s="16">
        <f>IF(J1364=1,VLOOKUP(B1364,RPM!$F$2:$H$62,3,TRUE),IF(J1364=2,VLOOKUP(B1364,RPM!$I$2:$K$62,3,TRUE),IF(J1364=3,VLOOKUP(B1364,RPM!$L$2:$N$62,3,TRUE))))</f>
        <v>4300</v>
      </c>
      <c r="L1364" s="17">
        <f t="shared" si="260"/>
        <v>105.90681258081619</v>
      </c>
      <c r="M1364" s="16">
        <f t="shared" si="250"/>
        <v>0</v>
      </c>
      <c r="N1364" s="17">
        <f>VLOOKUP(K1364,RPM!$A$2:$D$62,3,FALSE)</f>
        <v>11.4</v>
      </c>
      <c r="O1364" s="16">
        <f>VLOOKUP(K1364,RPM!$A$2:$D$62,4,FALSE)</f>
        <v>18.894837209302327</v>
      </c>
      <c r="P1364" s="17">
        <f t="shared" si="252"/>
        <v>14.089880106976747</v>
      </c>
      <c r="Q1364" s="16" cm="1">
        <f t="array" ref="Q1364">_xlfn.XLOOKUP(O1364,BSFC!$A$2:$A$24,_xlfn.XLOOKUP(K1364,BSFC!$B$1:$O$1,BSFC!$B$2:$O$24,,-1),,-1)</f>
        <v>480</v>
      </c>
      <c r="R1364" s="17">
        <f t="shared" si="253"/>
        <v>1.8786506809302328</v>
      </c>
      <c r="S1364" s="16">
        <f t="shared" si="254"/>
        <v>2.9183485335175871E-4</v>
      </c>
      <c r="T1364" s="17">
        <f t="shared" si="257"/>
        <v>0.14008072960884418</v>
      </c>
      <c r="U1364" s="16">
        <f t="shared" si="258"/>
        <v>175.17124894744339</v>
      </c>
      <c r="V1364" s="17">
        <f t="shared" si="259"/>
        <v>0.35998932281552187</v>
      </c>
      <c r="W1364" s="16">
        <f t="shared" si="255"/>
        <v>1295961.5621358787</v>
      </c>
      <c r="X1364">
        <f>('Hybrid Info'!$A$2-Track!P1364)*(L1364-L1363)*1000+X1363</f>
        <v>-17390.233425154351</v>
      </c>
    </row>
    <row r="1365" spans="1:24">
      <c r="A1365" s="16">
        <f t="shared" si="256"/>
        <v>1364</v>
      </c>
      <c r="B1365" s="17">
        <f t="shared" si="251"/>
        <v>13.411199999999999</v>
      </c>
      <c r="C1365" s="16">
        <f>Specification!$G$32</f>
        <v>219.92450400000001</v>
      </c>
      <c r="D1365" s="17">
        <f>0.5*Specification!$K$4*Track!B1365^2*Specification!$K$3*Specification!$K$2</f>
        <v>93.159842569492653</v>
      </c>
      <c r="E1365" s="16">
        <v>0</v>
      </c>
      <c r="F1365" s="17">
        <f>Specification!$C$23*9.81*SIN((E1365*PI()/180))</f>
        <v>0</v>
      </c>
      <c r="G1365" s="18">
        <f>IF(J1365=1,VLOOKUP(K1365,RPM!$E$2:$H$62,3,FALSE)-F1365-E1365-D1365,IF(J1365=2,VLOOKUP(K1365,RPM!$H$2:$K$62,3,FALSE)-F1365-E1365-D1365,IF(J1365=3,VLOOKUP(K1365,RPM!$K$2:$N$62,3,FALSE)-F1365-E1365-D1365)))</f>
        <v>549.56217903827155</v>
      </c>
      <c r="H1365" s="19">
        <f>IF(J1365=1,Specification!$I$14,IF(J1365=2,Specification!$I$15,IF(J1365=3,Specification!$I$16)))</f>
        <v>578.93404261974786</v>
      </c>
      <c r="I1365" s="16">
        <f t="shared" si="249"/>
        <v>0</v>
      </c>
      <c r="J1365" s="17">
        <v>3</v>
      </c>
      <c r="K1365" s="16">
        <f>IF(J1365=1,VLOOKUP(B1365,RPM!$F$2:$H$62,3,TRUE),IF(J1365=2,VLOOKUP(B1365,RPM!$I$2:$K$62,3,TRUE),IF(J1365=3,VLOOKUP(B1365,RPM!$L$2:$N$62,3,TRUE))))</f>
        <v>4300</v>
      </c>
      <c r="L1365" s="17">
        <f t="shared" si="260"/>
        <v>105.98137712388467</v>
      </c>
      <c r="M1365" s="16">
        <f t="shared" si="250"/>
        <v>0</v>
      </c>
      <c r="N1365" s="17">
        <f>VLOOKUP(K1365,RPM!$A$2:$D$62,3,FALSE)</f>
        <v>11.4</v>
      </c>
      <c r="O1365" s="16">
        <f>VLOOKUP(K1365,RPM!$A$2:$D$62,4,FALSE)</f>
        <v>18.894837209302327</v>
      </c>
      <c r="P1365" s="17">
        <f t="shared" si="252"/>
        <v>14.089880106976747</v>
      </c>
      <c r="Q1365" s="16" cm="1">
        <f t="array" ref="Q1365">_xlfn.XLOOKUP(O1365,BSFC!$A$2:$A$24,_xlfn.XLOOKUP(K1365,BSFC!$B$1:$O$1,BSFC!$B$2:$O$24,,-1),,-1)</f>
        <v>480</v>
      </c>
      <c r="R1365" s="17">
        <f t="shared" si="253"/>
        <v>1.8786506809302328</v>
      </c>
      <c r="S1365" s="16">
        <f t="shared" si="254"/>
        <v>2.9183485335175871E-4</v>
      </c>
      <c r="T1365" s="17">
        <f t="shared" si="257"/>
        <v>0.14008072960884418</v>
      </c>
      <c r="U1365" s="16">
        <f t="shared" si="258"/>
        <v>175.31132967705224</v>
      </c>
      <c r="V1365" s="17">
        <f t="shared" si="259"/>
        <v>0.36028115766887364</v>
      </c>
      <c r="W1365" s="16">
        <f t="shared" si="255"/>
        <v>1297012.1676079449</v>
      </c>
      <c r="X1365">
        <f>('Hybrid Info'!$A$2-Track!P1365)*(L1365-L1364)*1000+X1364</f>
        <v>-17537.082738503756</v>
      </c>
    </row>
    <row r="1366" spans="1:24">
      <c r="A1366" s="16">
        <f t="shared" si="256"/>
        <v>1365</v>
      </c>
      <c r="B1366" s="17">
        <f t="shared" si="251"/>
        <v>13.411199999999999</v>
      </c>
      <c r="C1366" s="16">
        <f>Specification!$G$32</f>
        <v>219.92450400000001</v>
      </c>
      <c r="D1366" s="17">
        <f>0.5*Specification!$K$4*Track!B1366^2*Specification!$K$3*Specification!$K$2</f>
        <v>93.159842569492653</v>
      </c>
      <c r="E1366" s="16">
        <v>0</v>
      </c>
      <c r="F1366" s="17">
        <f>Specification!$C$23*9.81*SIN((E1366*PI()/180))</f>
        <v>0</v>
      </c>
      <c r="G1366" s="18">
        <f>IF(J1366=1,VLOOKUP(K1366,RPM!$E$2:$H$62,3,FALSE)-F1366-E1366-D1366,IF(J1366=2,VLOOKUP(K1366,RPM!$H$2:$K$62,3,FALSE)-F1366-E1366-D1366,IF(J1366=3,VLOOKUP(K1366,RPM!$K$2:$N$62,3,FALSE)-F1366-E1366-D1366)))</f>
        <v>549.56217903827155</v>
      </c>
      <c r="H1366" s="19">
        <f>IF(J1366=1,Specification!$I$14,IF(J1366=2,Specification!$I$15,IF(J1366=3,Specification!$I$16)))</f>
        <v>578.93404261974786</v>
      </c>
      <c r="I1366" s="16">
        <f t="shared" si="249"/>
        <v>0</v>
      </c>
      <c r="J1366" s="17">
        <v>3</v>
      </c>
      <c r="K1366" s="16">
        <f>IF(J1366=1,VLOOKUP(B1366,RPM!$F$2:$H$62,3,TRUE),IF(J1366=2,VLOOKUP(B1366,RPM!$I$2:$K$62,3,TRUE),IF(J1366=3,VLOOKUP(B1366,RPM!$L$2:$N$62,3,TRUE))))</f>
        <v>4300</v>
      </c>
      <c r="L1366" s="17">
        <f t="shared" si="260"/>
        <v>106.05594166695315</v>
      </c>
      <c r="M1366" s="16">
        <f t="shared" si="250"/>
        <v>0</v>
      </c>
      <c r="N1366" s="17">
        <f>VLOOKUP(K1366,RPM!$A$2:$D$62,3,FALSE)</f>
        <v>11.4</v>
      </c>
      <c r="O1366" s="16">
        <f>VLOOKUP(K1366,RPM!$A$2:$D$62,4,FALSE)</f>
        <v>18.894837209302327</v>
      </c>
      <c r="P1366" s="17">
        <f t="shared" si="252"/>
        <v>14.089880106976747</v>
      </c>
      <c r="Q1366" s="16" cm="1">
        <f t="array" ref="Q1366">_xlfn.XLOOKUP(O1366,BSFC!$A$2:$A$24,_xlfn.XLOOKUP(K1366,BSFC!$B$1:$O$1,BSFC!$B$2:$O$24,,-1),,-1)</f>
        <v>480</v>
      </c>
      <c r="R1366" s="17">
        <f t="shared" si="253"/>
        <v>1.8786506809302328</v>
      </c>
      <c r="S1366" s="16">
        <f t="shared" si="254"/>
        <v>2.9183485335175871E-4</v>
      </c>
      <c r="T1366" s="17">
        <f t="shared" si="257"/>
        <v>0.14008072960884418</v>
      </c>
      <c r="U1366" s="16">
        <f t="shared" si="258"/>
        <v>175.4514104066611</v>
      </c>
      <c r="V1366" s="17">
        <f t="shared" si="259"/>
        <v>0.36057299252222541</v>
      </c>
      <c r="W1366" s="16">
        <f t="shared" si="255"/>
        <v>1298062.7730800116</v>
      </c>
      <c r="X1366">
        <f>('Hybrid Info'!$A$2-Track!P1366)*(L1366-L1365)*1000+X1365</f>
        <v>-17683.93205185316</v>
      </c>
    </row>
    <row r="1367" spans="1:24">
      <c r="A1367" s="16">
        <f t="shared" si="256"/>
        <v>1366</v>
      </c>
      <c r="B1367" s="17">
        <f t="shared" si="251"/>
        <v>13.411199999999999</v>
      </c>
      <c r="C1367" s="16">
        <f>Specification!$G$32</f>
        <v>219.92450400000001</v>
      </c>
      <c r="D1367" s="17">
        <f>0.5*Specification!$K$4*Track!B1367^2*Specification!$K$3*Specification!$K$2</f>
        <v>93.159842569492653</v>
      </c>
      <c r="E1367" s="16">
        <v>0</v>
      </c>
      <c r="F1367" s="17">
        <f>Specification!$C$23*9.81*SIN((E1367*PI()/180))</f>
        <v>0</v>
      </c>
      <c r="G1367" s="18">
        <f>IF(J1367=1,VLOOKUP(K1367,RPM!$E$2:$H$62,3,FALSE)-F1367-E1367-D1367,IF(J1367=2,VLOOKUP(K1367,RPM!$H$2:$K$62,3,FALSE)-F1367-E1367-D1367,IF(J1367=3,VLOOKUP(K1367,RPM!$K$2:$N$62,3,FALSE)-F1367-E1367-D1367)))</f>
        <v>549.56217903827155</v>
      </c>
      <c r="H1367" s="19">
        <f>IF(J1367=1,Specification!$I$14,IF(J1367=2,Specification!$I$15,IF(J1367=3,Specification!$I$16)))</f>
        <v>578.93404261974786</v>
      </c>
      <c r="I1367" s="16">
        <f t="shared" si="249"/>
        <v>0</v>
      </c>
      <c r="J1367" s="17">
        <v>3</v>
      </c>
      <c r="K1367" s="16">
        <f>IF(J1367=1,VLOOKUP(B1367,RPM!$F$2:$H$62,3,TRUE),IF(J1367=2,VLOOKUP(B1367,RPM!$I$2:$K$62,3,TRUE),IF(J1367=3,VLOOKUP(B1367,RPM!$L$2:$N$62,3,TRUE))))</f>
        <v>4300</v>
      </c>
      <c r="L1367" s="17">
        <f t="shared" si="260"/>
        <v>106.13050621002162</v>
      </c>
      <c r="M1367" s="16">
        <f t="shared" si="250"/>
        <v>0</v>
      </c>
      <c r="N1367" s="17">
        <f>VLOOKUP(K1367,RPM!$A$2:$D$62,3,FALSE)</f>
        <v>11.4</v>
      </c>
      <c r="O1367" s="16">
        <f>VLOOKUP(K1367,RPM!$A$2:$D$62,4,FALSE)</f>
        <v>18.894837209302327</v>
      </c>
      <c r="P1367" s="17">
        <f t="shared" si="252"/>
        <v>14.089880106976747</v>
      </c>
      <c r="Q1367" s="16" cm="1">
        <f t="array" ref="Q1367">_xlfn.XLOOKUP(O1367,BSFC!$A$2:$A$24,_xlfn.XLOOKUP(K1367,BSFC!$B$1:$O$1,BSFC!$B$2:$O$24,,-1),,-1)</f>
        <v>480</v>
      </c>
      <c r="R1367" s="17">
        <f t="shared" si="253"/>
        <v>1.8786506809302328</v>
      </c>
      <c r="S1367" s="16">
        <f t="shared" si="254"/>
        <v>2.9183485335175871E-4</v>
      </c>
      <c r="T1367" s="17">
        <f t="shared" si="257"/>
        <v>0.14008072960884418</v>
      </c>
      <c r="U1367" s="16">
        <f t="shared" si="258"/>
        <v>175.59149113626995</v>
      </c>
      <c r="V1367" s="17">
        <f t="shared" si="259"/>
        <v>0.36086482737557718</v>
      </c>
      <c r="W1367" s="16">
        <f t="shared" si="255"/>
        <v>1299113.3785520778</v>
      </c>
      <c r="X1367">
        <f>('Hybrid Info'!$A$2-Track!P1367)*(L1367-L1366)*1000+X1366</f>
        <v>-17830.781365202565</v>
      </c>
    </row>
    <row r="1368" spans="1:24">
      <c r="A1368" s="16">
        <f t="shared" si="256"/>
        <v>1367</v>
      </c>
      <c r="B1368" s="17">
        <f t="shared" si="251"/>
        <v>13.411199999999999</v>
      </c>
      <c r="C1368" s="16">
        <f>Specification!$G$32</f>
        <v>219.92450400000001</v>
      </c>
      <c r="D1368" s="17">
        <f>0.5*Specification!$K$4*Track!B1368^2*Specification!$K$3*Specification!$K$2</f>
        <v>93.159842569492653</v>
      </c>
      <c r="E1368" s="16">
        <v>0</v>
      </c>
      <c r="F1368" s="17">
        <f>Specification!$C$23*9.81*SIN((E1368*PI()/180))</f>
        <v>0</v>
      </c>
      <c r="G1368" s="18">
        <f>IF(J1368=1,VLOOKUP(K1368,RPM!$E$2:$H$62,3,FALSE)-F1368-E1368-D1368,IF(J1368=2,VLOOKUP(K1368,RPM!$H$2:$K$62,3,FALSE)-F1368-E1368-D1368,IF(J1368=3,VLOOKUP(K1368,RPM!$K$2:$N$62,3,FALSE)-F1368-E1368-D1368)))</f>
        <v>549.56217903827155</v>
      </c>
      <c r="H1368" s="19">
        <f>IF(J1368=1,Specification!$I$14,IF(J1368=2,Specification!$I$15,IF(J1368=3,Specification!$I$16)))</f>
        <v>578.93404261974786</v>
      </c>
      <c r="I1368" s="16">
        <f t="shared" si="249"/>
        <v>0</v>
      </c>
      <c r="J1368" s="17">
        <v>3</v>
      </c>
      <c r="K1368" s="16">
        <f>IF(J1368=1,VLOOKUP(B1368,RPM!$F$2:$H$62,3,TRUE),IF(J1368=2,VLOOKUP(B1368,RPM!$I$2:$K$62,3,TRUE),IF(J1368=3,VLOOKUP(B1368,RPM!$L$2:$N$62,3,TRUE))))</f>
        <v>4300</v>
      </c>
      <c r="L1368" s="17">
        <f t="shared" si="260"/>
        <v>106.2050707530901</v>
      </c>
      <c r="M1368" s="16">
        <f t="shared" si="250"/>
        <v>0</v>
      </c>
      <c r="N1368" s="17">
        <f>VLOOKUP(K1368,RPM!$A$2:$D$62,3,FALSE)</f>
        <v>11.4</v>
      </c>
      <c r="O1368" s="16">
        <f>VLOOKUP(K1368,RPM!$A$2:$D$62,4,FALSE)</f>
        <v>18.894837209302327</v>
      </c>
      <c r="P1368" s="17">
        <f t="shared" si="252"/>
        <v>14.089880106976747</v>
      </c>
      <c r="Q1368" s="16" cm="1">
        <f t="array" ref="Q1368">_xlfn.XLOOKUP(O1368,BSFC!$A$2:$A$24,_xlfn.XLOOKUP(K1368,BSFC!$B$1:$O$1,BSFC!$B$2:$O$24,,-1),,-1)</f>
        <v>480</v>
      </c>
      <c r="R1368" s="17">
        <f t="shared" si="253"/>
        <v>1.8786506809302328</v>
      </c>
      <c r="S1368" s="16">
        <f t="shared" si="254"/>
        <v>2.9183485335175871E-4</v>
      </c>
      <c r="T1368" s="17">
        <f t="shared" si="257"/>
        <v>0.14008072960884418</v>
      </c>
      <c r="U1368" s="16">
        <f t="shared" si="258"/>
        <v>175.73157186587881</v>
      </c>
      <c r="V1368" s="17">
        <f t="shared" si="259"/>
        <v>0.36115666222892895</v>
      </c>
      <c r="W1368" s="16">
        <f t="shared" si="255"/>
        <v>1300163.9840241442</v>
      </c>
      <c r="X1368">
        <f>('Hybrid Info'!$A$2-Track!P1368)*(L1368-L1367)*1000+X1367</f>
        <v>-17977.63067855197</v>
      </c>
    </row>
    <row r="1369" spans="1:24">
      <c r="A1369" s="16">
        <f t="shared" si="256"/>
        <v>1368</v>
      </c>
      <c r="B1369" s="17">
        <f t="shared" si="251"/>
        <v>13.411199999999999</v>
      </c>
      <c r="C1369" s="16">
        <f>Specification!$G$32</f>
        <v>219.92450400000001</v>
      </c>
      <c r="D1369" s="17">
        <f>0.5*Specification!$K$4*Track!B1369^2*Specification!$K$3*Specification!$K$2</f>
        <v>93.159842569492653</v>
      </c>
      <c r="E1369" s="16">
        <v>0</v>
      </c>
      <c r="F1369" s="17">
        <f>Specification!$C$23*9.81*SIN((E1369*PI()/180))</f>
        <v>0</v>
      </c>
      <c r="G1369" s="18">
        <f>IF(J1369=1,VLOOKUP(K1369,RPM!$E$2:$H$62,3,FALSE)-F1369-E1369-D1369,IF(J1369=2,VLOOKUP(K1369,RPM!$H$2:$K$62,3,FALSE)-F1369-E1369-D1369,IF(J1369=3,VLOOKUP(K1369,RPM!$K$2:$N$62,3,FALSE)-F1369-E1369-D1369)))</f>
        <v>549.56217903827155</v>
      </c>
      <c r="H1369" s="19">
        <f>IF(J1369=1,Specification!$I$14,IF(J1369=2,Specification!$I$15,IF(J1369=3,Specification!$I$16)))</f>
        <v>578.93404261974786</v>
      </c>
      <c r="I1369" s="16">
        <f t="shared" si="249"/>
        <v>0</v>
      </c>
      <c r="J1369" s="17">
        <v>3</v>
      </c>
      <c r="K1369" s="16">
        <f>IF(J1369=1,VLOOKUP(B1369,RPM!$F$2:$H$62,3,TRUE),IF(J1369=2,VLOOKUP(B1369,RPM!$I$2:$K$62,3,TRUE),IF(J1369=3,VLOOKUP(B1369,RPM!$L$2:$N$62,3,TRUE))))</f>
        <v>4300</v>
      </c>
      <c r="L1369" s="17">
        <f t="shared" si="260"/>
        <v>106.27963529615857</v>
      </c>
      <c r="M1369" s="16">
        <f t="shared" si="250"/>
        <v>0</v>
      </c>
      <c r="N1369" s="17">
        <f>VLOOKUP(K1369,RPM!$A$2:$D$62,3,FALSE)</f>
        <v>11.4</v>
      </c>
      <c r="O1369" s="16">
        <f>VLOOKUP(K1369,RPM!$A$2:$D$62,4,FALSE)</f>
        <v>18.894837209302327</v>
      </c>
      <c r="P1369" s="17">
        <f t="shared" si="252"/>
        <v>14.089880106976747</v>
      </c>
      <c r="Q1369" s="16" cm="1">
        <f t="array" ref="Q1369">_xlfn.XLOOKUP(O1369,BSFC!$A$2:$A$24,_xlfn.XLOOKUP(K1369,BSFC!$B$1:$O$1,BSFC!$B$2:$O$24,,-1),,-1)</f>
        <v>480</v>
      </c>
      <c r="R1369" s="17">
        <f t="shared" si="253"/>
        <v>1.8786506809302328</v>
      </c>
      <c r="S1369" s="16">
        <f t="shared" si="254"/>
        <v>2.9183485335175871E-4</v>
      </c>
      <c r="T1369" s="17">
        <f t="shared" si="257"/>
        <v>0.14008072960884418</v>
      </c>
      <c r="U1369" s="16">
        <f t="shared" si="258"/>
        <v>175.87165259548766</v>
      </c>
      <c r="V1369" s="17">
        <f t="shared" si="259"/>
        <v>0.36144849708228072</v>
      </c>
      <c r="W1369" s="16">
        <f t="shared" si="255"/>
        <v>1301214.5894962105</v>
      </c>
      <c r="X1369">
        <f>('Hybrid Info'!$A$2-Track!P1369)*(L1369-L1368)*1000+X1368</f>
        <v>-18124.479991901375</v>
      </c>
    </row>
    <row r="1370" spans="1:24">
      <c r="A1370" s="16">
        <f t="shared" si="256"/>
        <v>1369</v>
      </c>
      <c r="B1370" s="17">
        <f t="shared" si="251"/>
        <v>13.411199999999999</v>
      </c>
      <c r="C1370" s="16">
        <f>Specification!$G$32</f>
        <v>219.92450400000001</v>
      </c>
      <c r="D1370" s="17">
        <f>0.5*Specification!$K$4*Track!B1370^2*Specification!$K$3*Specification!$K$2</f>
        <v>93.159842569492653</v>
      </c>
      <c r="E1370" s="16">
        <v>0</v>
      </c>
      <c r="F1370" s="17">
        <f>Specification!$C$23*9.81*SIN((E1370*PI()/180))</f>
        <v>0</v>
      </c>
      <c r="G1370" s="18">
        <f>IF(J1370=1,VLOOKUP(K1370,RPM!$E$2:$H$62,3,FALSE)-F1370-E1370-D1370,IF(J1370=2,VLOOKUP(K1370,RPM!$H$2:$K$62,3,FALSE)-F1370-E1370-D1370,IF(J1370=3,VLOOKUP(K1370,RPM!$K$2:$N$62,3,FALSE)-F1370-E1370-D1370)))</f>
        <v>549.56217903827155</v>
      </c>
      <c r="H1370" s="19">
        <f>IF(J1370=1,Specification!$I$14,IF(J1370=2,Specification!$I$15,IF(J1370=3,Specification!$I$16)))</f>
        <v>578.93404261974786</v>
      </c>
      <c r="I1370" s="16">
        <f t="shared" si="249"/>
        <v>0</v>
      </c>
      <c r="J1370" s="17">
        <v>3</v>
      </c>
      <c r="K1370" s="16">
        <f>IF(J1370=1,VLOOKUP(B1370,RPM!$F$2:$H$62,3,TRUE),IF(J1370=2,VLOOKUP(B1370,RPM!$I$2:$K$62,3,TRUE),IF(J1370=3,VLOOKUP(B1370,RPM!$L$2:$N$62,3,TRUE))))</f>
        <v>4300</v>
      </c>
      <c r="L1370" s="17">
        <f t="shared" si="260"/>
        <v>106.35419983922705</v>
      </c>
      <c r="M1370" s="16">
        <f t="shared" si="250"/>
        <v>0</v>
      </c>
      <c r="N1370" s="17">
        <f>VLOOKUP(K1370,RPM!$A$2:$D$62,3,FALSE)</f>
        <v>11.4</v>
      </c>
      <c r="O1370" s="16">
        <f>VLOOKUP(K1370,RPM!$A$2:$D$62,4,FALSE)</f>
        <v>18.894837209302327</v>
      </c>
      <c r="P1370" s="17">
        <f t="shared" si="252"/>
        <v>14.089880106976747</v>
      </c>
      <c r="Q1370" s="16" cm="1">
        <f t="array" ref="Q1370">_xlfn.XLOOKUP(O1370,BSFC!$A$2:$A$24,_xlfn.XLOOKUP(K1370,BSFC!$B$1:$O$1,BSFC!$B$2:$O$24,,-1),,-1)</f>
        <v>480</v>
      </c>
      <c r="R1370" s="17">
        <f t="shared" si="253"/>
        <v>1.8786506809302328</v>
      </c>
      <c r="S1370" s="16">
        <f t="shared" si="254"/>
        <v>2.9183485335175871E-4</v>
      </c>
      <c r="T1370" s="17">
        <f t="shared" si="257"/>
        <v>0.14008072960884418</v>
      </c>
      <c r="U1370" s="16">
        <f t="shared" si="258"/>
        <v>176.01173332509651</v>
      </c>
      <c r="V1370" s="17">
        <f t="shared" si="259"/>
        <v>0.36174033193563249</v>
      </c>
      <c r="W1370" s="16">
        <f t="shared" si="255"/>
        <v>1302265.1949682769</v>
      </c>
      <c r="X1370">
        <f>('Hybrid Info'!$A$2-Track!P1370)*(L1370-L1369)*1000+X1369</f>
        <v>-18271.32930525078</v>
      </c>
    </row>
    <row r="1371" spans="1:24">
      <c r="A1371" s="16">
        <f t="shared" si="256"/>
        <v>1370</v>
      </c>
      <c r="B1371" s="17">
        <f t="shared" si="251"/>
        <v>13.411199999999999</v>
      </c>
      <c r="C1371" s="16">
        <f>Specification!$G$32</f>
        <v>219.92450400000001</v>
      </c>
      <c r="D1371" s="17">
        <f>0.5*Specification!$K$4*Track!B1371^2*Specification!$K$3*Specification!$K$2</f>
        <v>93.159842569492653</v>
      </c>
      <c r="E1371" s="16">
        <v>0</v>
      </c>
      <c r="F1371" s="17">
        <f>Specification!$C$23*9.81*SIN((E1371*PI()/180))</f>
        <v>0</v>
      </c>
      <c r="G1371" s="18">
        <f>IF(J1371=1,VLOOKUP(K1371,RPM!$E$2:$H$62,3,FALSE)-F1371-E1371-D1371,IF(J1371=2,VLOOKUP(K1371,RPM!$H$2:$K$62,3,FALSE)-F1371-E1371-D1371,IF(J1371=3,VLOOKUP(K1371,RPM!$K$2:$N$62,3,FALSE)-F1371-E1371-D1371)))</f>
        <v>549.56217903827155</v>
      </c>
      <c r="H1371" s="19">
        <f>IF(J1371=1,Specification!$I$14,IF(J1371=2,Specification!$I$15,IF(J1371=3,Specification!$I$16)))</f>
        <v>578.93404261974786</v>
      </c>
      <c r="I1371" s="16">
        <f t="shared" si="249"/>
        <v>0</v>
      </c>
      <c r="J1371" s="17">
        <v>3</v>
      </c>
      <c r="K1371" s="16">
        <f>IF(J1371=1,VLOOKUP(B1371,RPM!$F$2:$H$62,3,TRUE),IF(J1371=2,VLOOKUP(B1371,RPM!$I$2:$K$62,3,TRUE),IF(J1371=3,VLOOKUP(B1371,RPM!$L$2:$N$62,3,TRUE))))</f>
        <v>4300</v>
      </c>
      <c r="L1371" s="17">
        <f t="shared" si="260"/>
        <v>106.42876438229553</v>
      </c>
      <c r="M1371" s="16">
        <f t="shared" si="250"/>
        <v>0</v>
      </c>
      <c r="N1371" s="17">
        <f>VLOOKUP(K1371,RPM!$A$2:$D$62,3,FALSE)</f>
        <v>11.4</v>
      </c>
      <c r="O1371" s="16">
        <f>VLOOKUP(K1371,RPM!$A$2:$D$62,4,FALSE)</f>
        <v>18.894837209302327</v>
      </c>
      <c r="P1371" s="17">
        <f t="shared" si="252"/>
        <v>14.089880106976747</v>
      </c>
      <c r="Q1371" s="16" cm="1">
        <f t="array" ref="Q1371">_xlfn.XLOOKUP(O1371,BSFC!$A$2:$A$24,_xlfn.XLOOKUP(K1371,BSFC!$B$1:$O$1,BSFC!$B$2:$O$24,,-1),,-1)</f>
        <v>480</v>
      </c>
      <c r="R1371" s="17">
        <f t="shared" si="253"/>
        <v>1.8786506809302328</v>
      </c>
      <c r="S1371" s="16">
        <f t="shared" si="254"/>
        <v>2.9183485335175871E-4</v>
      </c>
      <c r="T1371" s="17">
        <f t="shared" si="257"/>
        <v>0.14008072960884418</v>
      </c>
      <c r="U1371" s="16">
        <f t="shared" si="258"/>
        <v>176.15181405470537</v>
      </c>
      <c r="V1371" s="17">
        <f t="shared" si="259"/>
        <v>0.36203216678898426</v>
      </c>
      <c r="W1371" s="16">
        <f t="shared" si="255"/>
        <v>1303315.8004403433</v>
      </c>
      <c r="X1371">
        <f>('Hybrid Info'!$A$2-Track!P1371)*(L1371-L1370)*1000+X1370</f>
        <v>-18418.178618600185</v>
      </c>
    </row>
    <row r="1372" spans="1:24">
      <c r="A1372" s="16">
        <f t="shared" si="256"/>
        <v>1371</v>
      </c>
      <c r="B1372" s="17">
        <f t="shared" si="251"/>
        <v>13.411199999999999</v>
      </c>
      <c r="C1372" s="16">
        <f>Specification!$G$32</f>
        <v>219.92450400000001</v>
      </c>
      <c r="D1372" s="17">
        <f>0.5*Specification!$K$4*Track!B1372^2*Specification!$K$3*Specification!$K$2</f>
        <v>93.159842569492653</v>
      </c>
      <c r="E1372" s="16">
        <v>0</v>
      </c>
      <c r="F1372" s="17">
        <f>Specification!$C$23*9.81*SIN((E1372*PI()/180))</f>
        <v>0</v>
      </c>
      <c r="G1372" s="18">
        <f>IF(J1372=1,VLOOKUP(K1372,RPM!$E$2:$H$62,3,FALSE)-F1372-E1372-D1372,IF(J1372=2,VLOOKUP(K1372,RPM!$H$2:$K$62,3,FALSE)-F1372-E1372-D1372,IF(J1372=3,VLOOKUP(K1372,RPM!$K$2:$N$62,3,FALSE)-F1372-E1372-D1372)))</f>
        <v>549.56217903827155</v>
      </c>
      <c r="H1372" s="19">
        <f>IF(J1372=1,Specification!$I$14,IF(J1372=2,Specification!$I$15,IF(J1372=3,Specification!$I$16)))</f>
        <v>578.93404261974786</v>
      </c>
      <c r="I1372" s="16">
        <f t="shared" si="249"/>
        <v>0</v>
      </c>
      <c r="J1372" s="17">
        <v>3</v>
      </c>
      <c r="K1372" s="16">
        <f>IF(J1372=1,VLOOKUP(B1372,RPM!$F$2:$H$62,3,TRUE),IF(J1372=2,VLOOKUP(B1372,RPM!$I$2:$K$62,3,TRUE),IF(J1372=3,VLOOKUP(B1372,RPM!$L$2:$N$62,3,TRUE))))</f>
        <v>4300</v>
      </c>
      <c r="L1372" s="17">
        <f t="shared" si="260"/>
        <v>106.503328925364</v>
      </c>
      <c r="M1372" s="16">
        <f t="shared" si="250"/>
        <v>0</v>
      </c>
      <c r="N1372" s="17">
        <f>VLOOKUP(K1372,RPM!$A$2:$D$62,3,FALSE)</f>
        <v>11.4</v>
      </c>
      <c r="O1372" s="16">
        <f>VLOOKUP(K1372,RPM!$A$2:$D$62,4,FALSE)</f>
        <v>18.894837209302327</v>
      </c>
      <c r="P1372" s="17">
        <f t="shared" si="252"/>
        <v>14.089880106976747</v>
      </c>
      <c r="Q1372" s="16" cm="1">
        <f t="array" ref="Q1372">_xlfn.XLOOKUP(O1372,BSFC!$A$2:$A$24,_xlfn.XLOOKUP(K1372,BSFC!$B$1:$O$1,BSFC!$B$2:$O$24,,-1),,-1)</f>
        <v>480</v>
      </c>
      <c r="R1372" s="17">
        <f t="shared" si="253"/>
        <v>1.8786506809302328</v>
      </c>
      <c r="S1372" s="16">
        <f t="shared" si="254"/>
        <v>2.9183485335175871E-4</v>
      </c>
      <c r="T1372" s="17">
        <f t="shared" si="257"/>
        <v>0.14008072960884418</v>
      </c>
      <c r="U1372" s="16">
        <f t="shared" si="258"/>
        <v>176.29189478431422</v>
      </c>
      <c r="V1372" s="17">
        <f t="shared" si="259"/>
        <v>0.36232400164233602</v>
      </c>
      <c r="W1372" s="16">
        <f t="shared" si="255"/>
        <v>1304366.4059124098</v>
      </c>
      <c r="X1372">
        <f>('Hybrid Info'!$A$2-Track!P1372)*(L1372-L1371)*1000+X1371</f>
        <v>-18565.027931949589</v>
      </c>
    </row>
    <row r="1373" spans="1:24">
      <c r="A1373" s="16">
        <f t="shared" si="256"/>
        <v>1372</v>
      </c>
      <c r="B1373" s="17">
        <f t="shared" si="251"/>
        <v>13.411199999999999</v>
      </c>
      <c r="C1373" s="16">
        <f>Specification!$G$32</f>
        <v>219.92450400000001</v>
      </c>
      <c r="D1373" s="17">
        <f>0.5*Specification!$K$4*Track!B1373^2*Specification!$K$3*Specification!$K$2</f>
        <v>93.159842569492653</v>
      </c>
      <c r="E1373" s="16">
        <v>0</v>
      </c>
      <c r="F1373" s="17">
        <f>Specification!$C$23*9.81*SIN((E1373*PI()/180))</f>
        <v>0</v>
      </c>
      <c r="G1373" s="18">
        <f>IF(J1373=1,VLOOKUP(K1373,RPM!$E$2:$H$62,3,FALSE)-F1373-E1373-D1373,IF(J1373=2,VLOOKUP(K1373,RPM!$H$2:$K$62,3,FALSE)-F1373-E1373-D1373,IF(J1373=3,VLOOKUP(K1373,RPM!$K$2:$N$62,3,FALSE)-F1373-E1373-D1373)))</f>
        <v>549.56217903827155</v>
      </c>
      <c r="H1373" s="19">
        <f>IF(J1373=1,Specification!$I$14,IF(J1373=2,Specification!$I$15,IF(J1373=3,Specification!$I$16)))</f>
        <v>578.93404261974786</v>
      </c>
      <c r="I1373" s="16">
        <f t="shared" si="249"/>
        <v>0</v>
      </c>
      <c r="J1373" s="17">
        <v>3</v>
      </c>
      <c r="K1373" s="16">
        <f>IF(J1373=1,VLOOKUP(B1373,RPM!$F$2:$H$62,3,TRUE),IF(J1373=2,VLOOKUP(B1373,RPM!$I$2:$K$62,3,TRUE),IF(J1373=3,VLOOKUP(B1373,RPM!$L$2:$N$62,3,TRUE))))</f>
        <v>4300</v>
      </c>
      <c r="L1373" s="17">
        <f t="shared" si="260"/>
        <v>106.57789346843248</v>
      </c>
      <c r="M1373" s="16">
        <f t="shared" si="250"/>
        <v>0</v>
      </c>
      <c r="N1373" s="17">
        <f>VLOOKUP(K1373,RPM!$A$2:$D$62,3,FALSE)</f>
        <v>11.4</v>
      </c>
      <c r="O1373" s="16">
        <f>VLOOKUP(K1373,RPM!$A$2:$D$62,4,FALSE)</f>
        <v>18.894837209302327</v>
      </c>
      <c r="P1373" s="17">
        <f t="shared" si="252"/>
        <v>14.089880106976747</v>
      </c>
      <c r="Q1373" s="16" cm="1">
        <f t="array" ref="Q1373">_xlfn.XLOOKUP(O1373,BSFC!$A$2:$A$24,_xlfn.XLOOKUP(K1373,BSFC!$B$1:$O$1,BSFC!$B$2:$O$24,,-1),,-1)</f>
        <v>480</v>
      </c>
      <c r="R1373" s="17">
        <f t="shared" si="253"/>
        <v>1.8786506809302328</v>
      </c>
      <c r="S1373" s="16">
        <f t="shared" si="254"/>
        <v>2.9183485335175871E-4</v>
      </c>
      <c r="T1373" s="17">
        <f t="shared" si="257"/>
        <v>0.14008072960884418</v>
      </c>
      <c r="U1373" s="16">
        <f t="shared" si="258"/>
        <v>176.43197551392308</v>
      </c>
      <c r="V1373" s="17">
        <f t="shared" si="259"/>
        <v>0.36261583649568779</v>
      </c>
      <c r="W1373" s="16">
        <f t="shared" si="255"/>
        <v>1305417.011384476</v>
      </c>
      <c r="X1373">
        <f>('Hybrid Info'!$A$2-Track!P1373)*(L1373-L1372)*1000+X1372</f>
        <v>-18711.877245298994</v>
      </c>
    </row>
    <row r="1374" spans="1:24">
      <c r="A1374" s="16">
        <f t="shared" si="256"/>
        <v>1373</v>
      </c>
      <c r="B1374" s="17">
        <f t="shared" si="251"/>
        <v>13.411199999999999</v>
      </c>
      <c r="C1374" s="16">
        <f>Specification!$G$32</f>
        <v>219.92450400000001</v>
      </c>
      <c r="D1374" s="17">
        <f>0.5*Specification!$K$4*Track!B1374^2*Specification!$K$3*Specification!$K$2</f>
        <v>93.159842569492653</v>
      </c>
      <c r="E1374" s="16">
        <v>0</v>
      </c>
      <c r="F1374" s="17">
        <f>Specification!$C$23*9.81*SIN((E1374*PI()/180))</f>
        <v>0</v>
      </c>
      <c r="G1374" s="18">
        <f>IF(J1374=1,VLOOKUP(K1374,RPM!$E$2:$H$62,3,FALSE)-F1374-E1374-D1374,IF(J1374=2,VLOOKUP(K1374,RPM!$H$2:$K$62,3,FALSE)-F1374-E1374-D1374,IF(J1374=3,VLOOKUP(K1374,RPM!$K$2:$N$62,3,FALSE)-F1374-E1374-D1374)))</f>
        <v>549.56217903827155</v>
      </c>
      <c r="H1374" s="19">
        <f>IF(J1374=1,Specification!$I$14,IF(J1374=2,Specification!$I$15,IF(J1374=3,Specification!$I$16)))</f>
        <v>578.93404261974786</v>
      </c>
      <c r="I1374" s="16">
        <f t="shared" si="249"/>
        <v>0</v>
      </c>
      <c r="J1374" s="17">
        <v>3</v>
      </c>
      <c r="K1374" s="16">
        <f>IF(J1374=1,VLOOKUP(B1374,RPM!$F$2:$H$62,3,TRUE),IF(J1374=2,VLOOKUP(B1374,RPM!$I$2:$K$62,3,TRUE),IF(J1374=3,VLOOKUP(B1374,RPM!$L$2:$N$62,3,TRUE))))</f>
        <v>4300</v>
      </c>
      <c r="L1374" s="17">
        <f t="shared" si="260"/>
        <v>106.65245801150095</v>
      </c>
      <c r="M1374" s="16">
        <f t="shared" si="250"/>
        <v>0</v>
      </c>
      <c r="N1374" s="17">
        <f>VLOOKUP(K1374,RPM!$A$2:$D$62,3,FALSE)</f>
        <v>11.4</v>
      </c>
      <c r="O1374" s="16">
        <f>VLOOKUP(K1374,RPM!$A$2:$D$62,4,FALSE)</f>
        <v>18.894837209302327</v>
      </c>
      <c r="P1374" s="17">
        <f t="shared" si="252"/>
        <v>14.089880106976747</v>
      </c>
      <c r="Q1374" s="16" cm="1">
        <f t="array" ref="Q1374">_xlfn.XLOOKUP(O1374,BSFC!$A$2:$A$24,_xlfn.XLOOKUP(K1374,BSFC!$B$1:$O$1,BSFC!$B$2:$O$24,,-1),,-1)</f>
        <v>480</v>
      </c>
      <c r="R1374" s="17">
        <f t="shared" si="253"/>
        <v>1.8786506809302328</v>
      </c>
      <c r="S1374" s="16">
        <f t="shared" si="254"/>
        <v>2.9183485335175871E-4</v>
      </c>
      <c r="T1374" s="17">
        <f t="shared" si="257"/>
        <v>0.14008072960884418</v>
      </c>
      <c r="U1374" s="16">
        <f t="shared" si="258"/>
        <v>176.57205624353193</v>
      </c>
      <c r="V1374" s="17">
        <f t="shared" si="259"/>
        <v>0.36290767134903956</v>
      </c>
      <c r="W1374" s="16">
        <f t="shared" si="255"/>
        <v>1306467.6168565424</v>
      </c>
      <c r="X1374">
        <f>('Hybrid Info'!$A$2-Track!P1374)*(L1374-L1373)*1000+X1373</f>
        <v>-18858.726558648399</v>
      </c>
    </row>
    <row r="1375" spans="1:24">
      <c r="A1375" s="16">
        <f t="shared" si="256"/>
        <v>1374</v>
      </c>
      <c r="B1375" s="17">
        <f t="shared" si="251"/>
        <v>13.411199999999999</v>
      </c>
      <c r="C1375" s="16">
        <f>Specification!$G$32</f>
        <v>219.92450400000001</v>
      </c>
      <c r="D1375" s="17">
        <f>0.5*Specification!$K$4*Track!B1375^2*Specification!$K$3*Specification!$K$2</f>
        <v>93.159842569492653</v>
      </c>
      <c r="E1375" s="16">
        <v>0</v>
      </c>
      <c r="F1375" s="17">
        <f>Specification!$C$23*9.81*SIN((E1375*PI()/180))</f>
        <v>0</v>
      </c>
      <c r="G1375" s="18">
        <f>IF(J1375=1,VLOOKUP(K1375,RPM!$E$2:$H$62,3,FALSE)-F1375-E1375-D1375,IF(J1375=2,VLOOKUP(K1375,RPM!$H$2:$K$62,3,FALSE)-F1375-E1375-D1375,IF(J1375=3,VLOOKUP(K1375,RPM!$K$2:$N$62,3,FALSE)-F1375-E1375-D1375)))</f>
        <v>549.56217903827155</v>
      </c>
      <c r="H1375" s="19">
        <f>IF(J1375=1,Specification!$I$14,IF(J1375=2,Specification!$I$15,IF(J1375=3,Specification!$I$16)))</f>
        <v>578.93404261974786</v>
      </c>
      <c r="I1375" s="16">
        <f t="shared" si="249"/>
        <v>0</v>
      </c>
      <c r="J1375" s="17">
        <v>3</v>
      </c>
      <c r="K1375" s="16">
        <f>IF(J1375=1,VLOOKUP(B1375,RPM!$F$2:$H$62,3,TRUE),IF(J1375=2,VLOOKUP(B1375,RPM!$I$2:$K$62,3,TRUE),IF(J1375=3,VLOOKUP(B1375,RPM!$L$2:$N$62,3,TRUE))))</f>
        <v>4300</v>
      </c>
      <c r="L1375" s="17">
        <f t="shared" si="260"/>
        <v>106.72702255456943</v>
      </c>
      <c r="M1375" s="16">
        <f t="shared" si="250"/>
        <v>0</v>
      </c>
      <c r="N1375" s="17">
        <f>VLOOKUP(K1375,RPM!$A$2:$D$62,3,FALSE)</f>
        <v>11.4</v>
      </c>
      <c r="O1375" s="16">
        <f>VLOOKUP(K1375,RPM!$A$2:$D$62,4,FALSE)</f>
        <v>18.894837209302327</v>
      </c>
      <c r="P1375" s="17">
        <f t="shared" si="252"/>
        <v>14.089880106976747</v>
      </c>
      <c r="Q1375" s="16" cm="1">
        <f t="array" ref="Q1375">_xlfn.XLOOKUP(O1375,BSFC!$A$2:$A$24,_xlfn.XLOOKUP(K1375,BSFC!$B$1:$O$1,BSFC!$B$2:$O$24,,-1),,-1)</f>
        <v>480</v>
      </c>
      <c r="R1375" s="17">
        <f t="shared" si="253"/>
        <v>1.8786506809302328</v>
      </c>
      <c r="S1375" s="16">
        <f t="shared" si="254"/>
        <v>2.9183485335175871E-4</v>
      </c>
      <c r="T1375" s="17">
        <f t="shared" si="257"/>
        <v>0.14008072960884418</v>
      </c>
      <c r="U1375" s="16">
        <f t="shared" si="258"/>
        <v>176.71213697314079</v>
      </c>
      <c r="V1375" s="17">
        <f t="shared" si="259"/>
        <v>0.36319950620239133</v>
      </c>
      <c r="W1375" s="16">
        <f t="shared" si="255"/>
        <v>1307518.2223286089</v>
      </c>
      <c r="X1375">
        <f>('Hybrid Info'!$A$2-Track!P1375)*(L1375-L1374)*1000+X1374</f>
        <v>-19005.575871997804</v>
      </c>
    </row>
    <row r="1376" spans="1:24">
      <c r="A1376" s="16">
        <f t="shared" si="256"/>
        <v>1375</v>
      </c>
      <c r="B1376" s="17">
        <f t="shared" si="251"/>
        <v>13.411199999999999</v>
      </c>
      <c r="C1376" s="16">
        <f>Specification!$G$32</f>
        <v>219.92450400000001</v>
      </c>
      <c r="D1376" s="17">
        <f>0.5*Specification!$K$4*Track!B1376^2*Specification!$K$3*Specification!$K$2</f>
        <v>93.159842569492653</v>
      </c>
      <c r="E1376" s="16">
        <v>0</v>
      </c>
      <c r="F1376" s="17">
        <f>Specification!$C$23*9.81*SIN((E1376*PI()/180))</f>
        <v>0</v>
      </c>
      <c r="G1376" s="18">
        <f>IF(J1376=1,VLOOKUP(K1376,RPM!$E$2:$H$62,3,FALSE)-F1376-E1376-D1376,IF(J1376=2,VLOOKUP(K1376,RPM!$H$2:$K$62,3,FALSE)-F1376-E1376-D1376,IF(J1376=3,VLOOKUP(K1376,RPM!$K$2:$N$62,3,FALSE)-F1376-E1376-D1376)))</f>
        <v>549.56217903827155</v>
      </c>
      <c r="H1376" s="19">
        <f>IF(J1376=1,Specification!$I$14,IF(J1376=2,Specification!$I$15,IF(J1376=3,Specification!$I$16)))</f>
        <v>578.93404261974786</v>
      </c>
      <c r="I1376" s="16">
        <f t="shared" si="249"/>
        <v>0</v>
      </c>
      <c r="J1376" s="17">
        <v>3</v>
      </c>
      <c r="K1376" s="16">
        <f>IF(J1376=1,VLOOKUP(B1376,RPM!$F$2:$H$62,3,TRUE),IF(J1376=2,VLOOKUP(B1376,RPM!$I$2:$K$62,3,TRUE),IF(J1376=3,VLOOKUP(B1376,RPM!$L$2:$N$62,3,TRUE))))</f>
        <v>4300</v>
      </c>
      <c r="L1376" s="17">
        <f t="shared" si="260"/>
        <v>106.80158709763791</v>
      </c>
      <c r="M1376" s="16">
        <f t="shared" si="250"/>
        <v>0</v>
      </c>
      <c r="N1376" s="17">
        <f>VLOOKUP(K1376,RPM!$A$2:$D$62,3,FALSE)</f>
        <v>11.4</v>
      </c>
      <c r="O1376" s="16">
        <f>VLOOKUP(K1376,RPM!$A$2:$D$62,4,FALSE)</f>
        <v>18.894837209302327</v>
      </c>
      <c r="P1376" s="17">
        <f t="shared" si="252"/>
        <v>14.089880106976747</v>
      </c>
      <c r="Q1376" s="16" cm="1">
        <f t="array" ref="Q1376">_xlfn.XLOOKUP(O1376,BSFC!$A$2:$A$24,_xlfn.XLOOKUP(K1376,BSFC!$B$1:$O$1,BSFC!$B$2:$O$24,,-1),,-1)</f>
        <v>480</v>
      </c>
      <c r="R1376" s="17">
        <f t="shared" si="253"/>
        <v>1.8786506809302328</v>
      </c>
      <c r="S1376" s="16">
        <f t="shared" si="254"/>
        <v>2.9183485335175871E-4</v>
      </c>
      <c r="T1376" s="17">
        <f t="shared" si="257"/>
        <v>0.14008072960884418</v>
      </c>
      <c r="U1376" s="16">
        <f t="shared" si="258"/>
        <v>176.85221770274964</v>
      </c>
      <c r="V1376" s="17">
        <f t="shared" si="259"/>
        <v>0.3634913410557431</v>
      </c>
      <c r="W1376" s="16">
        <f t="shared" si="255"/>
        <v>1308568.8278006751</v>
      </c>
      <c r="X1376">
        <f>('Hybrid Info'!$A$2-Track!P1376)*(L1376-L1375)*1000+X1375</f>
        <v>-19152.425185347209</v>
      </c>
    </row>
    <row r="1377" spans="1:24">
      <c r="A1377" s="16">
        <f t="shared" si="256"/>
        <v>1376</v>
      </c>
      <c r="B1377" s="17">
        <f t="shared" si="251"/>
        <v>13.411199999999999</v>
      </c>
      <c r="C1377" s="16">
        <f>Specification!$G$32</f>
        <v>219.92450400000001</v>
      </c>
      <c r="D1377" s="17">
        <f>0.5*Specification!$K$4*Track!B1377^2*Specification!$K$3*Specification!$K$2</f>
        <v>93.159842569492653</v>
      </c>
      <c r="E1377" s="16">
        <v>0</v>
      </c>
      <c r="F1377" s="17">
        <f>Specification!$C$23*9.81*SIN((E1377*PI()/180))</f>
        <v>0</v>
      </c>
      <c r="G1377" s="18">
        <f>IF(J1377=1,VLOOKUP(K1377,RPM!$E$2:$H$62,3,FALSE)-F1377-E1377-D1377,IF(J1377=2,VLOOKUP(K1377,RPM!$H$2:$K$62,3,FALSE)-F1377-E1377-D1377,IF(J1377=3,VLOOKUP(K1377,RPM!$K$2:$N$62,3,FALSE)-F1377-E1377-D1377)))</f>
        <v>549.56217903827155</v>
      </c>
      <c r="H1377" s="19">
        <f>IF(J1377=1,Specification!$I$14,IF(J1377=2,Specification!$I$15,IF(J1377=3,Specification!$I$16)))</f>
        <v>578.93404261974786</v>
      </c>
      <c r="I1377" s="16">
        <f t="shared" si="249"/>
        <v>0</v>
      </c>
      <c r="J1377" s="17">
        <v>3</v>
      </c>
      <c r="K1377" s="16">
        <f>IF(J1377=1,VLOOKUP(B1377,RPM!$F$2:$H$62,3,TRUE),IF(J1377=2,VLOOKUP(B1377,RPM!$I$2:$K$62,3,TRUE),IF(J1377=3,VLOOKUP(B1377,RPM!$L$2:$N$62,3,TRUE))))</f>
        <v>4300</v>
      </c>
      <c r="L1377" s="17">
        <f t="shared" si="260"/>
        <v>106.87615164070638</v>
      </c>
      <c r="M1377" s="16">
        <f t="shared" si="250"/>
        <v>0</v>
      </c>
      <c r="N1377" s="17">
        <f>VLOOKUP(K1377,RPM!$A$2:$D$62,3,FALSE)</f>
        <v>11.4</v>
      </c>
      <c r="O1377" s="16">
        <f>VLOOKUP(K1377,RPM!$A$2:$D$62,4,FALSE)</f>
        <v>18.894837209302327</v>
      </c>
      <c r="P1377" s="17">
        <f t="shared" si="252"/>
        <v>14.089880106976747</v>
      </c>
      <c r="Q1377" s="16" cm="1">
        <f t="array" ref="Q1377">_xlfn.XLOOKUP(O1377,BSFC!$A$2:$A$24,_xlfn.XLOOKUP(K1377,BSFC!$B$1:$O$1,BSFC!$B$2:$O$24,,-1),,-1)</f>
        <v>480</v>
      </c>
      <c r="R1377" s="17">
        <f t="shared" si="253"/>
        <v>1.8786506809302328</v>
      </c>
      <c r="S1377" s="16">
        <f t="shared" si="254"/>
        <v>2.9183485335175871E-4</v>
      </c>
      <c r="T1377" s="17">
        <f t="shared" si="257"/>
        <v>0.14008072960884418</v>
      </c>
      <c r="U1377" s="16">
        <f t="shared" si="258"/>
        <v>176.9922984323585</v>
      </c>
      <c r="V1377" s="17">
        <f t="shared" si="259"/>
        <v>0.36378317590909487</v>
      </c>
      <c r="W1377" s="16">
        <f t="shared" si="255"/>
        <v>1309619.4332727415</v>
      </c>
      <c r="X1377">
        <f>('Hybrid Info'!$A$2-Track!P1377)*(L1377-L1376)*1000+X1376</f>
        <v>-19299.274498696614</v>
      </c>
    </row>
    <row r="1378" spans="1:24">
      <c r="A1378" s="16">
        <f t="shared" si="256"/>
        <v>1377</v>
      </c>
      <c r="B1378" s="17">
        <f t="shared" si="251"/>
        <v>13.411199999999999</v>
      </c>
      <c r="C1378" s="16">
        <f>Specification!$G$32</f>
        <v>219.92450400000001</v>
      </c>
      <c r="D1378" s="17">
        <f>0.5*Specification!$K$4*Track!B1378^2*Specification!$K$3*Specification!$K$2</f>
        <v>93.159842569492653</v>
      </c>
      <c r="E1378" s="16">
        <v>0</v>
      </c>
      <c r="F1378" s="17">
        <f>Specification!$C$23*9.81*SIN((E1378*PI()/180))</f>
        <v>0</v>
      </c>
      <c r="G1378" s="18">
        <f>IF(J1378=1,VLOOKUP(K1378,RPM!$E$2:$H$62,3,FALSE)-F1378-E1378-D1378,IF(J1378=2,VLOOKUP(K1378,RPM!$H$2:$K$62,3,FALSE)-F1378-E1378-D1378,IF(J1378=3,VLOOKUP(K1378,RPM!$K$2:$N$62,3,FALSE)-F1378-E1378-D1378)))</f>
        <v>549.56217903827155</v>
      </c>
      <c r="H1378" s="19">
        <f>IF(J1378=1,Specification!$I$14,IF(J1378=2,Specification!$I$15,IF(J1378=3,Specification!$I$16)))</f>
        <v>578.93404261974786</v>
      </c>
      <c r="I1378" s="16">
        <f t="shared" si="249"/>
        <v>0</v>
      </c>
      <c r="J1378" s="17">
        <v>3</v>
      </c>
      <c r="K1378" s="16">
        <f>IF(J1378=1,VLOOKUP(B1378,RPM!$F$2:$H$62,3,TRUE),IF(J1378=2,VLOOKUP(B1378,RPM!$I$2:$K$62,3,TRUE),IF(J1378=3,VLOOKUP(B1378,RPM!$L$2:$N$62,3,TRUE))))</f>
        <v>4300</v>
      </c>
      <c r="L1378" s="17">
        <f t="shared" si="260"/>
        <v>106.95071618377486</v>
      </c>
      <c r="M1378" s="16">
        <f t="shared" si="250"/>
        <v>0</v>
      </c>
      <c r="N1378" s="17">
        <f>VLOOKUP(K1378,RPM!$A$2:$D$62,3,FALSE)</f>
        <v>11.4</v>
      </c>
      <c r="O1378" s="16">
        <f>VLOOKUP(K1378,RPM!$A$2:$D$62,4,FALSE)</f>
        <v>18.894837209302327</v>
      </c>
      <c r="P1378" s="17">
        <f t="shared" si="252"/>
        <v>14.089880106976747</v>
      </c>
      <c r="Q1378" s="16" cm="1">
        <f t="array" ref="Q1378">_xlfn.XLOOKUP(O1378,BSFC!$A$2:$A$24,_xlfn.XLOOKUP(K1378,BSFC!$B$1:$O$1,BSFC!$B$2:$O$24,,-1),,-1)</f>
        <v>480</v>
      </c>
      <c r="R1378" s="17">
        <f t="shared" si="253"/>
        <v>1.8786506809302328</v>
      </c>
      <c r="S1378" s="16">
        <f t="shared" si="254"/>
        <v>2.9183485335175871E-4</v>
      </c>
      <c r="T1378" s="17">
        <f t="shared" si="257"/>
        <v>0.14008072960884418</v>
      </c>
      <c r="U1378" s="16">
        <f t="shared" si="258"/>
        <v>177.13237916196735</v>
      </c>
      <c r="V1378" s="17">
        <f t="shared" si="259"/>
        <v>0.36407501076244664</v>
      </c>
      <c r="W1378" s="16">
        <f t="shared" si="255"/>
        <v>1310670.0387448079</v>
      </c>
      <c r="X1378">
        <f>('Hybrid Info'!$A$2-Track!P1378)*(L1378-L1377)*1000+X1377</f>
        <v>-19446.123812046018</v>
      </c>
    </row>
    <row r="1379" spans="1:24">
      <c r="A1379" s="16">
        <f t="shared" si="256"/>
        <v>1378</v>
      </c>
      <c r="B1379" s="17">
        <f t="shared" si="251"/>
        <v>13.411199999999999</v>
      </c>
      <c r="C1379" s="16">
        <f>Specification!$G$32</f>
        <v>219.92450400000001</v>
      </c>
      <c r="D1379" s="17">
        <f>0.5*Specification!$K$4*Track!B1379^2*Specification!$K$3*Specification!$K$2</f>
        <v>93.159842569492653</v>
      </c>
      <c r="E1379" s="16">
        <v>0</v>
      </c>
      <c r="F1379" s="17">
        <f>Specification!$C$23*9.81*SIN((E1379*PI()/180))</f>
        <v>0</v>
      </c>
      <c r="G1379" s="18">
        <f>IF(J1379=1,VLOOKUP(K1379,RPM!$E$2:$H$62,3,FALSE)-F1379-E1379-D1379,IF(J1379=2,VLOOKUP(K1379,RPM!$H$2:$K$62,3,FALSE)-F1379-E1379-D1379,IF(J1379=3,VLOOKUP(K1379,RPM!$K$2:$N$62,3,FALSE)-F1379-E1379-D1379)))</f>
        <v>549.56217903827155</v>
      </c>
      <c r="H1379" s="19">
        <f>IF(J1379=1,Specification!$I$14,IF(J1379=2,Specification!$I$15,IF(J1379=3,Specification!$I$16)))</f>
        <v>578.93404261974786</v>
      </c>
      <c r="I1379" s="16">
        <f t="shared" si="249"/>
        <v>0</v>
      </c>
      <c r="J1379" s="17">
        <v>3</v>
      </c>
      <c r="K1379" s="16">
        <f>IF(J1379=1,VLOOKUP(B1379,RPM!$F$2:$H$62,3,TRUE),IF(J1379=2,VLOOKUP(B1379,RPM!$I$2:$K$62,3,TRUE),IF(J1379=3,VLOOKUP(B1379,RPM!$L$2:$N$62,3,TRUE))))</f>
        <v>4300</v>
      </c>
      <c r="L1379" s="17">
        <f t="shared" si="260"/>
        <v>107.02528072684333</v>
      </c>
      <c r="M1379" s="16">
        <f t="shared" si="250"/>
        <v>0</v>
      </c>
      <c r="N1379" s="17">
        <f>VLOOKUP(K1379,RPM!$A$2:$D$62,3,FALSE)</f>
        <v>11.4</v>
      </c>
      <c r="O1379" s="16">
        <f>VLOOKUP(K1379,RPM!$A$2:$D$62,4,FALSE)</f>
        <v>18.894837209302327</v>
      </c>
      <c r="P1379" s="17">
        <f t="shared" si="252"/>
        <v>14.089880106976747</v>
      </c>
      <c r="Q1379" s="16" cm="1">
        <f t="array" ref="Q1379">_xlfn.XLOOKUP(O1379,BSFC!$A$2:$A$24,_xlfn.XLOOKUP(K1379,BSFC!$B$1:$O$1,BSFC!$B$2:$O$24,,-1),,-1)</f>
        <v>480</v>
      </c>
      <c r="R1379" s="17">
        <f t="shared" si="253"/>
        <v>1.8786506809302328</v>
      </c>
      <c r="S1379" s="16">
        <f t="shared" si="254"/>
        <v>2.9183485335175871E-4</v>
      </c>
      <c r="T1379" s="17">
        <f t="shared" si="257"/>
        <v>0.14008072960884418</v>
      </c>
      <c r="U1379" s="16">
        <f t="shared" si="258"/>
        <v>177.2724598915762</v>
      </c>
      <c r="V1379" s="17">
        <f t="shared" si="259"/>
        <v>0.36436684561579841</v>
      </c>
      <c r="W1379" s="16">
        <f t="shared" si="255"/>
        <v>1311720.6442168744</v>
      </c>
      <c r="X1379">
        <f>('Hybrid Info'!$A$2-Track!P1379)*(L1379-L1378)*1000+X1378</f>
        <v>-19592.973125395423</v>
      </c>
    </row>
    <row r="1380" spans="1:24">
      <c r="A1380" s="16">
        <f t="shared" si="256"/>
        <v>1379</v>
      </c>
      <c r="B1380" s="17">
        <f t="shared" si="251"/>
        <v>13.411199999999999</v>
      </c>
      <c r="C1380" s="16">
        <f>Specification!$G$32</f>
        <v>219.92450400000001</v>
      </c>
      <c r="D1380" s="17">
        <f>0.5*Specification!$K$4*Track!B1380^2*Specification!$K$3*Specification!$K$2</f>
        <v>93.159842569492653</v>
      </c>
      <c r="E1380" s="16">
        <v>0</v>
      </c>
      <c r="F1380" s="17">
        <f>Specification!$C$23*9.81*SIN((E1380*PI()/180))</f>
        <v>0</v>
      </c>
      <c r="G1380" s="18">
        <f>IF(J1380=1,VLOOKUP(K1380,RPM!$E$2:$H$62,3,FALSE)-F1380-E1380-D1380,IF(J1380=2,VLOOKUP(K1380,RPM!$H$2:$K$62,3,FALSE)-F1380-E1380-D1380,IF(J1380=3,VLOOKUP(K1380,RPM!$K$2:$N$62,3,FALSE)-F1380-E1380-D1380)))</f>
        <v>549.56217903827155</v>
      </c>
      <c r="H1380" s="19">
        <f>IF(J1380=1,Specification!$I$14,IF(J1380=2,Specification!$I$15,IF(J1380=3,Specification!$I$16)))</f>
        <v>578.93404261974786</v>
      </c>
      <c r="I1380" s="16">
        <f t="shared" ref="I1380:I1443" si="261">IF(B1380=13.4112,0,G1380/H1380)</f>
        <v>0</v>
      </c>
      <c r="J1380" s="17">
        <v>3</v>
      </c>
      <c r="K1380" s="16">
        <f>IF(J1380=1,VLOOKUP(B1380,RPM!$F$2:$H$62,3,TRUE),IF(J1380=2,VLOOKUP(B1380,RPM!$I$2:$K$62,3,TRUE),IF(J1380=3,VLOOKUP(B1380,RPM!$L$2:$N$62,3,TRUE))))</f>
        <v>4300</v>
      </c>
      <c r="L1380" s="17">
        <f t="shared" si="260"/>
        <v>107.09984526991181</v>
      </c>
      <c r="M1380" s="16">
        <f t="shared" si="250"/>
        <v>0</v>
      </c>
      <c r="N1380" s="17">
        <f>VLOOKUP(K1380,RPM!$A$2:$D$62,3,FALSE)</f>
        <v>11.4</v>
      </c>
      <c r="O1380" s="16">
        <f>VLOOKUP(K1380,RPM!$A$2:$D$62,4,FALSE)</f>
        <v>18.894837209302327</v>
      </c>
      <c r="P1380" s="17">
        <f t="shared" si="252"/>
        <v>14.089880106976747</v>
      </c>
      <c r="Q1380" s="16" cm="1">
        <f t="array" ref="Q1380">_xlfn.XLOOKUP(O1380,BSFC!$A$2:$A$24,_xlfn.XLOOKUP(K1380,BSFC!$B$1:$O$1,BSFC!$B$2:$O$24,,-1),,-1)</f>
        <v>480</v>
      </c>
      <c r="R1380" s="17">
        <f t="shared" si="253"/>
        <v>1.8786506809302328</v>
      </c>
      <c r="S1380" s="16">
        <f t="shared" si="254"/>
        <v>2.9183485335175871E-4</v>
      </c>
      <c r="T1380" s="17">
        <f t="shared" si="257"/>
        <v>0.14008072960884418</v>
      </c>
      <c r="U1380" s="16">
        <f t="shared" si="258"/>
        <v>177.41254062118506</v>
      </c>
      <c r="V1380" s="17">
        <f t="shared" si="259"/>
        <v>0.36465868046915018</v>
      </c>
      <c r="W1380" s="16">
        <f t="shared" si="255"/>
        <v>1312771.2496889406</v>
      </c>
      <c r="X1380">
        <f>('Hybrid Info'!$A$2-Track!P1380)*(L1380-L1379)*1000+X1379</f>
        <v>-19739.822438744828</v>
      </c>
    </row>
    <row r="1381" spans="1:24">
      <c r="A1381" s="16">
        <f t="shared" si="256"/>
        <v>1380</v>
      </c>
      <c r="B1381" s="17">
        <f t="shared" si="251"/>
        <v>13.411199999999999</v>
      </c>
      <c r="C1381" s="16">
        <f>Specification!$G$32</f>
        <v>219.92450400000001</v>
      </c>
      <c r="D1381" s="17">
        <f>0.5*Specification!$K$4*Track!B1381^2*Specification!$K$3*Specification!$K$2</f>
        <v>93.159842569492653</v>
      </c>
      <c r="E1381" s="16">
        <v>0</v>
      </c>
      <c r="F1381" s="17">
        <f>Specification!$C$23*9.81*SIN((E1381*PI()/180))</f>
        <v>0</v>
      </c>
      <c r="G1381" s="18">
        <f>IF(J1381=1,VLOOKUP(K1381,RPM!$E$2:$H$62,3,FALSE)-F1381-E1381-D1381,IF(J1381=2,VLOOKUP(K1381,RPM!$H$2:$K$62,3,FALSE)-F1381-E1381-D1381,IF(J1381=3,VLOOKUP(K1381,RPM!$K$2:$N$62,3,FALSE)-F1381-E1381-D1381)))</f>
        <v>549.56217903827155</v>
      </c>
      <c r="H1381" s="19">
        <f>IF(J1381=1,Specification!$I$14,IF(J1381=2,Specification!$I$15,IF(J1381=3,Specification!$I$16)))</f>
        <v>578.93404261974786</v>
      </c>
      <c r="I1381" s="16">
        <f t="shared" si="261"/>
        <v>0</v>
      </c>
      <c r="J1381" s="17">
        <v>3</v>
      </c>
      <c r="K1381" s="16">
        <f>IF(J1381=1,VLOOKUP(B1381,RPM!$F$2:$H$62,3,TRUE),IF(J1381=2,VLOOKUP(B1381,RPM!$I$2:$K$62,3,TRUE),IF(J1381=3,VLOOKUP(B1381,RPM!$L$2:$N$62,3,TRUE))))</f>
        <v>4300</v>
      </c>
      <c r="L1381" s="17">
        <f t="shared" si="260"/>
        <v>107.17440981298029</v>
      </c>
      <c r="M1381" s="16">
        <f t="shared" si="250"/>
        <v>0</v>
      </c>
      <c r="N1381" s="17">
        <f>VLOOKUP(K1381,RPM!$A$2:$D$62,3,FALSE)</f>
        <v>11.4</v>
      </c>
      <c r="O1381" s="16">
        <f>VLOOKUP(K1381,RPM!$A$2:$D$62,4,FALSE)</f>
        <v>18.894837209302327</v>
      </c>
      <c r="P1381" s="17">
        <f t="shared" si="252"/>
        <v>14.089880106976747</v>
      </c>
      <c r="Q1381" s="16" cm="1">
        <f t="array" ref="Q1381">_xlfn.XLOOKUP(O1381,BSFC!$A$2:$A$24,_xlfn.XLOOKUP(K1381,BSFC!$B$1:$O$1,BSFC!$B$2:$O$24,,-1),,-1)</f>
        <v>480</v>
      </c>
      <c r="R1381" s="17">
        <f t="shared" si="253"/>
        <v>1.8786506809302328</v>
      </c>
      <c r="S1381" s="16">
        <f t="shared" si="254"/>
        <v>2.9183485335175871E-4</v>
      </c>
      <c r="T1381" s="17">
        <f t="shared" si="257"/>
        <v>0.14008072960884418</v>
      </c>
      <c r="U1381" s="16">
        <f t="shared" si="258"/>
        <v>177.55262135079391</v>
      </c>
      <c r="V1381" s="17">
        <f t="shared" si="259"/>
        <v>0.36495051532250194</v>
      </c>
      <c r="W1381" s="16">
        <f t="shared" si="255"/>
        <v>1313821.855161007</v>
      </c>
      <c r="X1381">
        <f>('Hybrid Info'!$A$2-Track!P1381)*(L1381-L1380)*1000+X1380</f>
        <v>-19886.671752094233</v>
      </c>
    </row>
    <row r="1382" spans="1:24">
      <c r="A1382" s="16">
        <f t="shared" si="256"/>
        <v>1381</v>
      </c>
      <c r="B1382" s="17">
        <f t="shared" si="251"/>
        <v>13.411199999999999</v>
      </c>
      <c r="C1382" s="16">
        <f>Specification!$G$32</f>
        <v>219.92450400000001</v>
      </c>
      <c r="D1382" s="17">
        <f>0.5*Specification!$K$4*Track!B1382^2*Specification!$K$3*Specification!$K$2</f>
        <v>93.159842569492653</v>
      </c>
      <c r="E1382" s="16">
        <v>0</v>
      </c>
      <c r="F1382" s="17">
        <f>Specification!$C$23*9.81*SIN((E1382*PI()/180))</f>
        <v>0</v>
      </c>
      <c r="G1382" s="18">
        <f>IF(J1382=1,VLOOKUP(K1382,RPM!$E$2:$H$62,3,FALSE)-F1382-E1382-D1382,IF(J1382=2,VLOOKUP(K1382,RPM!$H$2:$K$62,3,FALSE)-F1382-E1382-D1382,IF(J1382=3,VLOOKUP(K1382,RPM!$K$2:$N$62,3,FALSE)-F1382-E1382-D1382)))</f>
        <v>549.56217903827155</v>
      </c>
      <c r="H1382" s="19">
        <f>IF(J1382=1,Specification!$I$14,IF(J1382=2,Specification!$I$15,IF(J1382=3,Specification!$I$16)))</f>
        <v>578.93404261974786</v>
      </c>
      <c r="I1382" s="16">
        <f t="shared" si="261"/>
        <v>0</v>
      </c>
      <c r="J1382" s="17">
        <v>3</v>
      </c>
      <c r="K1382" s="16">
        <f>IF(J1382=1,VLOOKUP(B1382,RPM!$F$2:$H$62,3,TRUE),IF(J1382=2,VLOOKUP(B1382,RPM!$I$2:$K$62,3,TRUE),IF(J1382=3,VLOOKUP(B1382,RPM!$L$2:$N$62,3,TRUE))))</f>
        <v>4300</v>
      </c>
      <c r="L1382" s="17">
        <f t="shared" si="260"/>
        <v>107.24897435604876</v>
      </c>
      <c r="M1382" s="16">
        <f t="shared" si="250"/>
        <v>0</v>
      </c>
      <c r="N1382" s="17">
        <f>VLOOKUP(K1382,RPM!$A$2:$D$62,3,FALSE)</f>
        <v>11.4</v>
      </c>
      <c r="O1382" s="16">
        <f>VLOOKUP(K1382,RPM!$A$2:$D$62,4,FALSE)</f>
        <v>18.894837209302327</v>
      </c>
      <c r="P1382" s="17">
        <f t="shared" si="252"/>
        <v>14.089880106976747</v>
      </c>
      <c r="Q1382" s="16" cm="1">
        <f t="array" ref="Q1382">_xlfn.XLOOKUP(O1382,BSFC!$A$2:$A$24,_xlfn.XLOOKUP(K1382,BSFC!$B$1:$O$1,BSFC!$B$2:$O$24,,-1),,-1)</f>
        <v>480</v>
      </c>
      <c r="R1382" s="17">
        <f t="shared" si="253"/>
        <v>1.8786506809302328</v>
      </c>
      <c r="S1382" s="16">
        <f t="shared" si="254"/>
        <v>2.9183485335175871E-4</v>
      </c>
      <c r="T1382" s="17">
        <f t="shared" si="257"/>
        <v>0.14008072960884418</v>
      </c>
      <c r="U1382" s="16">
        <f t="shared" si="258"/>
        <v>177.69270208040277</v>
      </c>
      <c r="V1382" s="17">
        <f t="shared" si="259"/>
        <v>0.36524235017585371</v>
      </c>
      <c r="W1382" s="16">
        <f t="shared" si="255"/>
        <v>1314872.4606330732</v>
      </c>
      <c r="X1382">
        <f>('Hybrid Info'!$A$2-Track!P1382)*(L1382-L1381)*1000+X1381</f>
        <v>-20033.521065443638</v>
      </c>
    </row>
    <row r="1383" spans="1:24">
      <c r="A1383" s="16">
        <f t="shared" si="256"/>
        <v>1382</v>
      </c>
      <c r="B1383" s="17">
        <f t="shared" si="251"/>
        <v>13.411199999999999</v>
      </c>
      <c r="C1383" s="16">
        <f>Specification!$G$32</f>
        <v>219.92450400000001</v>
      </c>
      <c r="D1383" s="17">
        <f>0.5*Specification!$K$4*Track!B1383^2*Specification!$K$3*Specification!$K$2</f>
        <v>93.159842569492653</v>
      </c>
      <c r="E1383" s="16">
        <v>0</v>
      </c>
      <c r="F1383" s="17">
        <f>Specification!$C$23*9.81*SIN((E1383*PI()/180))</f>
        <v>0</v>
      </c>
      <c r="G1383" s="18">
        <f>IF(J1383=1,VLOOKUP(K1383,RPM!$E$2:$H$62,3,FALSE)-F1383-E1383-D1383,IF(J1383=2,VLOOKUP(K1383,RPM!$H$2:$K$62,3,FALSE)-F1383-E1383-D1383,IF(J1383=3,VLOOKUP(K1383,RPM!$K$2:$N$62,3,FALSE)-F1383-E1383-D1383)))</f>
        <v>549.56217903827155</v>
      </c>
      <c r="H1383" s="19">
        <f>IF(J1383=1,Specification!$I$14,IF(J1383=2,Specification!$I$15,IF(J1383=3,Specification!$I$16)))</f>
        <v>578.93404261974786</v>
      </c>
      <c r="I1383" s="16">
        <f t="shared" si="261"/>
        <v>0</v>
      </c>
      <c r="J1383" s="17">
        <v>3</v>
      </c>
      <c r="K1383" s="16">
        <f>IF(J1383=1,VLOOKUP(B1383,RPM!$F$2:$H$62,3,TRUE),IF(J1383=2,VLOOKUP(B1383,RPM!$I$2:$K$62,3,TRUE),IF(J1383=3,VLOOKUP(B1383,RPM!$L$2:$N$62,3,TRUE))))</f>
        <v>4300</v>
      </c>
      <c r="L1383" s="17">
        <f t="shared" si="260"/>
        <v>107.32353889911724</v>
      </c>
      <c r="M1383" s="16">
        <f t="shared" si="250"/>
        <v>0</v>
      </c>
      <c r="N1383" s="17">
        <f>VLOOKUP(K1383,RPM!$A$2:$D$62,3,FALSE)</f>
        <v>11.4</v>
      </c>
      <c r="O1383" s="16">
        <f>VLOOKUP(K1383,RPM!$A$2:$D$62,4,FALSE)</f>
        <v>18.894837209302327</v>
      </c>
      <c r="P1383" s="17">
        <f t="shared" si="252"/>
        <v>14.089880106976747</v>
      </c>
      <c r="Q1383" s="16" cm="1">
        <f t="array" ref="Q1383">_xlfn.XLOOKUP(O1383,BSFC!$A$2:$A$24,_xlfn.XLOOKUP(K1383,BSFC!$B$1:$O$1,BSFC!$B$2:$O$24,,-1),,-1)</f>
        <v>480</v>
      </c>
      <c r="R1383" s="17">
        <f t="shared" si="253"/>
        <v>1.8786506809302328</v>
      </c>
      <c r="S1383" s="16">
        <f t="shared" si="254"/>
        <v>2.9183485335175871E-4</v>
      </c>
      <c r="T1383" s="17">
        <f t="shared" si="257"/>
        <v>0.14008072960884418</v>
      </c>
      <c r="U1383" s="16">
        <f t="shared" si="258"/>
        <v>177.83278281001162</v>
      </c>
      <c r="V1383" s="17">
        <f t="shared" si="259"/>
        <v>0.36553418502920548</v>
      </c>
      <c r="W1383" s="16">
        <f t="shared" si="255"/>
        <v>1315923.0661051399</v>
      </c>
      <c r="X1383">
        <f>('Hybrid Info'!$A$2-Track!P1383)*(L1383-L1382)*1000+X1382</f>
        <v>-20180.370378793043</v>
      </c>
    </row>
    <row r="1384" spans="1:24">
      <c r="A1384" s="16">
        <f t="shared" si="256"/>
        <v>1383</v>
      </c>
      <c r="B1384" s="17">
        <f t="shared" si="251"/>
        <v>13.411199999999999</v>
      </c>
      <c r="C1384" s="16">
        <f>Specification!$G$32</f>
        <v>219.92450400000001</v>
      </c>
      <c r="D1384" s="17">
        <f>0.5*Specification!$K$4*Track!B1384^2*Specification!$K$3*Specification!$K$2</f>
        <v>93.159842569492653</v>
      </c>
      <c r="E1384" s="16">
        <v>0</v>
      </c>
      <c r="F1384" s="17">
        <f>Specification!$C$23*9.81*SIN((E1384*PI()/180))</f>
        <v>0</v>
      </c>
      <c r="G1384" s="18">
        <f>IF(J1384=1,VLOOKUP(K1384,RPM!$E$2:$H$62,3,FALSE)-F1384-E1384-D1384,IF(J1384=2,VLOOKUP(K1384,RPM!$H$2:$K$62,3,FALSE)-F1384-E1384-D1384,IF(J1384=3,VLOOKUP(K1384,RPM!$K$2:$N$62,3,FALSE)-F1384-E1384-D1384)))</f>
        <v>549.56217903827155</v>
      </c>
      <c r="H1384" s="19">
        <f>IF(J1384=1,Specification!$I$14,IF(J1384=2,Specification!$I$15,IF(J1384=3,Specification!$I$16)))</f>
        <v>578.93404261974786</v>
      </c>
      <c r="I1384" s="16">
        <f t="shared" si="261"/>
        <v>0</v>
      </c>
      <c r="J1384" s="17">
        <v>3</v>
      </c>
      <c r="K1384" s="16">
        <f>IF(J1384=1,VLOOKUP(B1384,RPM!$F$2:$H$62,3,TRUE),IF(J1384=2,VLOOKUP(B1384,RPM!$I$2:$K$62,3,TRUE),IF(J1384=3,VLOOKUP(B1384,RPM!$L$2:$N$62,3,TRUE))))</f>
        <v>4300</v>
      </c>
      <c r="L1384" s="17">
        <f t="shared" si="260"/>
        <v>107.39810344218571</v>
      </c>
      <c r="M1384" s="16">
        <f t="shared" si="250"/>
        <v>0</v>
      </c>
      <c r="N1384" s="17">
        <f>VLOOKUP(K1384,RPM!$A$2:$D$62,3,FALSE)</f>
        <v>11.4</v>
      </c>
      <c r="O1384" s="16">
        <f>VLOOKUP(K1384,RPM!$A$2:$D$62,4,FALSE)</f>
        <v>18.894837209302327</v>
      </c>
      <c r="P1384" s="17">
        <f t="shared" si="252"/>
        <v>14.089880106976747</v>
      </c>
      <c r="Q1384" s="16" cm="1">
        <f t="array" ref="Q1384">_xlfn.XLOOKUP(O1384,BSFC!$A$2:$A$24,_xlfn.XLOOKUP(K1384,BSFC!$B$1:$O$1,BSFC!$B$2:$O$24,,-1),,-1)</f>
        <v>480</v>
      </c>
      <c r="R1384" s="17">
        <f t="shared" si="253"/>
        <v>1.8786506809302328</v>
      </c>
      <c r="S1384" s="16">
        <f t="shared" si="254"/>
        <v>2.9183485335175871E-4</v>
      </c>
      <c r="T1384" s="17">
        <f t="shared" si="257"/>
        <v>0.14008072960884418</v>
      </c>
      <c r="U1384" s="16">
        <f t="shared" si="258"/>
        <v>177.97286353962048</v>
      </c>
      <c r="V1384" s="17">
        <f t="shared" si="259"/>
        <v>0.36582601988255725</v>
      </c>
      <c r="W1384" s="16">
        <f t="shared" si="255"/>
        <v>1316973.6715772061</v>
      </c>
      <c r="X1384">
        <f>('Hybrid Info'!$A$2-Track!P1384)*(L1384-L1383)*1000+X1383</f>
        <v>-20327.219692142447</v>
      </c>
    </row>
    <row r="1385" spans="1:24">
      <c r="A1385" s="16">
        <f t="shared" si="256"/>
        <v>1384</v>
      </c>
      <c r="B1385" s="17">
        <f t="shared" si="251"/>
        <v>13.411199999999999</v>
      </c>
      <c r="C1385" s="16">
        <f>Specification!$G$32</f>
        <v>219.92450400000001</v>
      </c>
      <c r="D1385" s="17">
        <f>0.5*Specification!$K$4*Track!B1385^2*Specification!$K$3*Specification!$K$2</f>
        <v>93.159842569492653</v>
      </c>
      <c r="E1385" s="16">
        <v>0</v>
      </c>
      <c r="F1385" s="17">
        <f>Specification!$C$23*9.81*SIN((E1385*PI()/180))</f>
        <v>0</v>
      </c>
      <c r="G1385" s="18">
        <f>IF(J1385=1,VLOOKUP(K1385,RPM!$E$2:$H$62,3,FALSE)-F1385-E1385-D1385,IF(J1385=2,VLOOKUP(K1385,RPM!$H$2:$K$62,3,FALSE)-F1385-E1385-D1385,IF(J1385=3,VLOOKUP(K1385,RPM!$K$2:$N$62,3,FALSE)-F1385-E1385-D1385)))</f>
        <v>549.56217903827155</v>
      </c>
      <c r="H1385" s="19">
        <f>IF(J1385=1,Specification!$I$14,IF(J1385=2,Specification!$I$15,IF(J1385=3,Specification!$I$16)))</f>
        <v>578.93404261974786</v>
      </c>
      <c r="I1385" s="16">
        <f t="shared" si="261"/>
        <v>0</v>
      </c>
      <c r="J1385" s="17">
        <v>3</v>
      </c>
      <c r="K1385" s="16">
        <f>IF(J1385=1,VLOOKUP(B1385,RPM!$F$2:$H$62,3,TRUE),IF(J1385=2,VLOOKUP(B1385,RPM!$I$2:$K$62,3,TRUE),IF(J1385=3,VLOOKUP(B1385,RPM!$L$2:$N$62,3,TRUE))))</f>
        <v>4300</v>
      </c>
      <c r="L1385" s="17">
        <f t="shared" si="260"/>
        <v>107.47266798525419</v>
      </c>
      <c r="M1385" s="16">
        <f t="shared" si="250"/>
        <v>0</v>
      </c>
      <c r="N1385" s="17">
        <f>VLOOKUP(K1385,RPM!$A$2:$D$62,3,FALSE)</f>
        <v>11.4</v>
      </c>
      <c r="O1385" s="16">
        <f>VLOOKUP(K1385,RPM!$A$2:$D$62,4,FALSE)</f>
        <v>18.894837209302327</v>
      </c>
      <c r="P1385" s="17">
        <f t="shared" si="252"/>
        <v>14.089880106976747</v>
      </c>
      <c r="Q1385" s="16" cm="1">
        <f t="array" ref="Q1385">_xlfn.XLOOKUP(O1385,BSFC!$A$2:$A$24,_xlfn.XLOOKUP(K1385,BSFC!$B$1:$O$1,BSFC!$B$2:$O$24,,-1),,-1)</f>
        <v>480</v>
      </c>
      <c r="R1385" s="17">
        <f t="shared" si="253"/>
        <v>1.8786506809302328</v>
      </c>
      <c r="S1385" s="16">
        <f t="shared" si="254"/>
        <v>2.9183485335175871E-4</v>
      </c>
      <c r="T1385" s="17">
        <f t="shared" si="257"/>
        <v>0.14008072960884418</v>
      </c>
      <c r="U1385" s="16">
        <f t="shared" si="258"/>
        <v>178.11294426922933</v>
      </c>
      <c r="V1385" s="17">
        <f t="shared" si="259"/>
        <v>0.36611785473590902</v>
      </c>
      <c r="W1385" s="16">
        <f t="shared" si="255"/>
        <v>1318024.2770492726</v>
      </c>
      <c r="X1385">
        <f>('Hybrid Info'!$A$2-Track!P1385)*(L1385-L1384)*1000+X1384</f>
        <v>-20474.069005491852</v>
      </c>
    </row>
    <row r="1386" spans="1:24">
      <c r="A1386" s="16">
        <f t="shared" si="256"/>
        <v>1385</v>
      </c>
      <c r="B1386" s="17">
        <f t="shared" si="251"/>
        <v>13.411199999999999</v>
      </c>
      <c r="C1386" s="16">
        <f>Specification!$G$32</f>
        <v>219.92450400000001</v>
      </c>
      <c r="D1386" s="17">
        <f>0.5*Specification!$K$4*Track!B1386^2*Specification!$K$3*Specification!$K$2</f>
        <v>93.159842569492653</v>
      </c>
      <c r="E1386" s="16">
        <v>0</v>
      </c>
      <c r="F1386" s="17">
        <f>Specification!$C$23*9.81*SIN((E1386*PI()/180))</f>
        <v>0</v>
      </c>
      <c r="G1386" s="18">
        <f>IF(J1386=1,VLOOKUP(K1386,RPM!$E$2:$H$62,3,FALSE)-F1386-E1386-D1386,IF(J1386=2,VLOOKUP(K1386,RPM!$H$2:$K$62,3,FALSE)-F1386-E1386-D1386,IF(J1386=3,VLOOKUP(K1386,RPM!$K$2:$N$62,3,FALSE)-F1386-E1386-D1386)))</f>
        <v>549.56217903827155</v>
      </c>
      <c r="H1386" s="19">
        <f>IF(J1386=1,Specification!$I$14,IF(J1386=2,Specification!$I$15,IF(J1386=3,Specification!$I$16)))</f>
        <v>578.93404261974786</v>
      </c>
      <c r="I1386" s="16">
        <f t="shared" si="261"/>
        <v>0</v>
      </c>
      <c r="J1386" s="17">
        <v>3</v>
      </c>
      <c r="K1386" s="16">
        <f>IF(J1386=1,VLOOKUP(B1386,RPM!$F$2:$H$62,3,TRUE),IF(J1386=2,VLOOKUP(B1386,RPM!$I$2:$K$62,3,TRUE),IF(J1386=3,VLOOKUP(B1386,RPM!$L$2:$N$62,3,TRUE))))</f>
        <v>4300</v>
      </c>
      <c r="L1386" s="17">
        <f t="shared" si="260"/>
        <v>107.54723252832267</v>
      </c>
      <c r="M1386" s="16">
        <f t="shared" si="250"/>
        <v>0</v>
      </c>
      <c r="N1386" s="17">
        <f>VLOOKUP(K1386,RPM!$A$2:$D$62,3,FALSE)</f>
        <v>11.4</v>
      </c>
      <c r="O1386" s="16">
        <f>VLOOKUP(K1386,RPM!$A$2:$D$62,4,FALSE)</f>
        <v>18.894837209302327</v>
      </c>
      <c r="P1386" s="17">
        <f t="shared" si="252"/>
        <v>14.089880106976747</v>
      </c>
      <c r="Q1386" s="16" cm="1">
        <f t="array" ref="Q1386">_xlfn.XLOOKUP(O1386,BSFC!$A$2:$A$24,_xlfn.XLOOKUP(K1386,BSFC!$B$1:$O$1,BSFC!$B$2:$O$24,,-1),,-1)</f>
        <v>480</v>
      </c>
      <c r="R1386" s="17">
        <f t="shared" si="253"/>
        <v>1.8786506809302328</v>
      </c>
      <c r="S1386" s="16">
        <f t="shared" si="254"/>
        <v>2.9183485335175871E-4</v>
      </c>
      <c r="T1386" s="17">
        <f t="shared" si="257"/>
        <v>0.14008072960884418</v>
      </c>
      <c r="U1386" s="16">
        <f t="shared" si="258"/>
        <v>178.25302499883819</v>
      </c>
      <c r="V1386" s="17">
        <f t="shared" si="259"/>
        <v>0.36640968958926079</v>
      </c>
      <c r="W1386" s="16">
        <f t="shared" si="255"/>
        <v>1319074.8825213388</v>
      </c>
      <c r="X1386">
        <f>('Hybrid Info'!$A$2-Track!P1386)*(L1386-L1385)*1000+X1385</f>
        <v>-20620.918318841257</v>
      </c>
    </row>
    <row r="1387" spans="1:24">
      <c r="A1387" s="16">
        <f t="shared" si="256"/>
        <v>1386</v>
      </c>
      <c r="B1387" s="17">
        <f t="shared" si="251"/>
        <v>13.411199999999999</v>
      </c>
      <c r="C1387" s="16">
        <f>Specification!$G$32</f>
        <v>219.92450400000001</v>
      </c>
      <c r="D1387" s="17">
        <f>0.5*Specification!$K$4*Track!B1387^2*Specification!$K$3*Specification!$K$2</f>
        <v>93.159842569492653</v>
      </c>
      <c r="E1387" s="16">
        <v>0</v>
      </c>
      <c r="F1387" s="17">
        <f>Specification!$C$23*9.81*SIN((E1387*PI()/180))</f>
        <v>0</v>
      </c>
      <c r="G1387" s="18">
        <f>IF(J1387=1,VLOOKUP(K1387,RPM!$E$2:$H$62,3,FALSE)-F1387-E1387-D1387,IF(J1387=2,VLOOKUP(K1387,RPM!$H$2:$K$62,3,FALSE)-F1387-E1387-D1387,IF(J1387=3,VLOOKUP(K1387,RPM!$K$2:$N$62,3,FALSE)-F1387-E1387-D1387)))</f>
        <v>549.56217903827155</v>
      </c>
      <c r="H1387" s="19">
        <f>IF(J1387=1,Specification!$I$14,IF(J1387=2,Specification!$I$15,IF(J1387=3,Specification!$I$16)))</f>
        <v>578.93404261974786</v>
      </c>
      <c r="I1387" s="16">
        <f t="shared" si="261"/>
        <v>0</v>
      </c>
      <c r="J1387" s="17">
        <v>3</v>
      </c>
      <c r="K1387" s="16">
        <f>IF(J1387=1,VLOOKUP(B1387,RPM!$F$2:$H$62,3,TRUE),IF(J1387=2,VLOOKUP(B1387,RPM!$I$2:$K$62,3,TRUE),IF(J1387=3,VLOOKUP(B1387,RPM!$L$2:$N$62,3,TRUE))))</f>
        <v>4300</v>
      </c>
      <c r="L1387" s="17">
        <f t="shared" si="260"/>
        <v>107.62179707139114</v>
      </c>
      <c r="M1387" s="16">
        <f t="shared" si="250"/>
        <v>0</v>
      </c>
      <c r="N1387" s="17">
        <f>VLOOKUP(K1387,RPM!$A$2:$D$62,3,FALSE)</f>
        <v>11.4</v>
      </c>
      <c r="O1387" s="16">
        <f>VLOOKUP(K1387,RPM!$A$2:$D$62,4,FALSE)</f>
        <v>18.894837209302327</v>
      </c>
      <c r="P1387" s="17">
        <f t="shared" si="252"/>
        <v>14.089880106976747</v>
      </c>
      <c r="Q1387" s="16" cm="1">
        <f t="array" ref="Q1387">_xlfn.XLOOKUP(O1387,BSFC!$A$2:$A$24,_xlfn.XLOOKUP(K1387,BSFC!$B$1:$O$1,BSFC!$B$2:$O$24,,-1),,-1)</f>
        <v>480</v>
      </c>
      <c r="R1387" s="17">
        <f t="shared" si="253"/>
        <v>1.8786506809302328</v>
      </c>
      <c r="S1387" s="16">
        <f t="shared" si="254"/>
        <v>2.9183485335175871E-4</v>
      </c>
      <c r="T1387" s="17">
        <f t="shared" si="257"/>
        <v>0.14008072960884418</v>
      </c>
      <c r="U1387" s="16">
        <f t="shared" si="258"/>
        <v>178.39310572844704</v>
      </c>
      <c r="V1387" s="17">
        <f t="shared" si="259"/>
        <v>0.36670152444261256</v>
      </c>
      <c r="W1387" s="16">
        <f t="shared" si="255"/>
        <v>1320125.4879934052</v>
      </c>
      <c r="X1387">
        <f>('Hybrid Info'!$A$2-Track!P1387)*(L1387-L1386)*1000+X1386</f>
        <v>-20767.767632190662</v>
      </c>
    </row>
    <row r="1388" spans="1:24">
      <c r="A1388" s="16">
        <f t="shared" si="256"/>
        <v>1387</v>
      </c>
      <c r="B1388" s="17">
        <f t="shared" si="251"/>
        <v>13.411199999999999</v>
      </c>
      <c r="C1388" s="16">
        <f>Specification!$G$32</f>
        <v>219.92450400000001</v>
      </c>
      <c r="D1388" s="17">
        <f>0.5*Specification!$K$4*Track!B1388^2*Specification!$K$3*Specification!$K$2</f>
        <v>93.159842569492653</v>
      </c>
      <c r="E1388" s="16">
        <v>0</v>
      </c>
      <c r="F1388" s="17">
        <f>Specification!$C$23*9.81*SIN((E1388*PI()/180))</f>
        <v>0</v>
      </c>
      <c r="G1388" s="18">
        <f>IF(J1388=1,VLOOKUP(K1388,RPM!$E$2:$H$62,3,FALSE)-F1388-E1388-D1388,IF(J1388=2,VLOOKUP(K1388,RPM!$H$2:$K$62,3,FALSE)-F1388-E1388-D1388,IF(J1388=3,VLOOKUP(K1388,RPM!$K$2:$N$62,3,FALSE)-F1388-E1388-D1388)))</f>
        <v>549.56217903827155</v>
      </c>
      <c r="H1388" s="19">
        <f>IF(J1388=1,Specification!$I$14,IF(J1388=2,Specification!$I$15,IF(J1388=3,Specification!$I$16)))</f>
        <v>578.93404261974786</v>
      </c>
      <c r="I1388" s="16">
        <f t="shared" si="261"/>
        <v>0</v>
      </c>
      <c r="J1388" s="17">
        <v>3</v>
      </c>
      <c r="K1388" s="16">
        <f>IF(J1388=1,VLOOKUP(B1388,RPM!$F$2:$H$62,3,TRUE),IF(J1388=2,VLOOKUP(B1388,RPM!$I$2:$K$62,3,TRUE),IF(J1388=3,VLOOKUP(B1388,RPM!$L$2:$N$62,3,TRUE))))</f>
        <v>4300</v>
      </c>
      <c r="L1388" s="17">
        <f t="shared" si="260"/>
        <v>107.69636161445962</v>
      </c>
      <c r="M1388" s="16">
        <f t="shared" si="250"/>
        <v>0</v>
      </c>
      <c r="N1388" s="17">
        <f>VLOOKUP(K1388,RPM!$A$2:$D$62,3,FALSE)</f>
        <v>11.4</v>
      </c>
      <c r="O1388" s="16">
        <f>VLOOKUP(K1388,RPM!$A$2:$D$62,4,FALSE)</f>
        <v>18.894837209302327</v>
      </c>
      <c r="P1388" s="17">
        <f t="shared" si="252"/>
        <v>14.089880106976747</v>
      </c>
      <c r="Q1388" s="16" cm="1">
        <f t="array" ref="Q1388">_xlfn.XLOOKUP(O1388,BSFC!$A$2:$A$24,_xlfn.XLOOKUP(K1388,BSFC!$B$1:$O$1,BSFC!$B$2:$O$24,,-1),,-1)</f>
        <v>480</v>
      </c>
      <c r="R1388" s="17">
        <f t="shared" si="253"/>
        <v>1.8786506809302328</v>
      </c>
      <c r="S1388" s="16">
        <f t="shared" si="254"/>
        <v>2.9183485335175871E-4</v>
      </c>
      <c r="T1388" s="17">
        <f t="shared" si="257"/>
        <v>0.14008072960884418</v>
      </c>
      <c r="U1388" s="16">
        <f t="shared" si="258"/>
        <v>178.53318645805589</v>
      </c>
      <c r="V1388" s="17">
        <f t="shared" si="259"/>
        <v>0.36699335929596433</v>
      </c>
      <c r="W1388" s="16">
        <f t="shared" si="255"/>
        <v>1321176.0934654716</v>
      </c>
      <c r="X1388">
        <f>('Hybrid Info'!$A$2-Track!P1388)*(L1388-L1387)*1000+X1387</f>
        <v>-20914.616945540067</v>
      </c>
    </row>
    <row r="1389" spans="1:24">
      <c r="A1389" s="16">
        <f t="shared" si="256"/>
        <v>1388</v>
      </c>
      <c r="B1389" s="17">
        <f t="shared" si="251"/>
        <v>13.411199999999999</v>
      </c>
      <c r="C1389" s="16">
        <f>Specification!$G$32</f>
        <v>219.92450400000001</v>
      </c>
      <c r="D1389" s="17">
        <f>0.5*Specification!$K$4*Track!B1389^2*Specification!$K$3*Specification!$K$2</f>
        <v>93.159842569492653</v>
      </c>
      <c r="E1389" s="16">
        <v>0</v>
      </c>
      <c r="F1389" s="17">
        <f>Specification!$C$23*9.81*SIN((E1389*PI()/180))</f>
        <v>0</v>
      </c>
      <c r="G1389" s="18">
        <f>IF(J1389=1,VLOOKUP(K1389,RPM!$E$2:$H$62,3,FALSE)-F1389-E1389-D1389,IF(J1389=2,VLOOKUP(K1389,RPM!$H$2:$K$62,3,FALSE)-F1389-E1389-D1389,IF(J1389=3,VLOOKUP(K1389,RPM!$K$2:$N$62,3,FALSE)-F1389-E1389-D1389)))</f>
        <v>549.56217903827155</v>
      </c>
      <c r="H1389" s="19">
        <f>IF(J1389=1,Specification!$I$14,IF(J1389=2,Specification!$I$15,IF(J1389=3,Specification!$I$16)))</f>
        <v>578.93404261974786</v>
      </c>
      <c r="I1389" s="16">
        <f t="shared" si="261"/>
        <v>0</v>
      </c>
      <c r="J1389" s="17">
        <v>3</v>
      </c>
      <c r="K1389" s="16">
        <f>IF(J1389=1,VLOOKUP(B1389,RPM!$F$2:$H$62,3,TRUE),IF(J1389=2,VLOOKUP(B1389,RPM!$I$2:$K$62,3,TRUE),IF(J1389=3,VLOOKUP(B1389,RPM!$L$2:$N$62,3,TRUE))))</f>
        <v>4300</v>
      </c>
      <c r="L1389" s="17">
        <f t="shared" si="260"/>
        <v>107.77092615752809</v>
      </c>
      <c r="M1389" s="16">
        <f t="shared" si="250"/>
        <v>0</v>
      </c>
      <c r="N1389" s="17">
        <f>VLOOKUP(K1389,RPM!$A$2:$D$62,3,FALSE)</f>
        <v>11.4</v>
      </c>
      <c r="O1389" s="16">
        <f>VLOOKUP(K1389,RPM!$A$2:$D$62,4,FALSE)</f>
        <v>18.894837209302327</v>
      </c>
      <c r="P1389" s="17">
        <f t="shared" si="252"/>
        <v>14.089880106976747</v>
      </c>
      <c r="Q1389" s="16" cm="1">
        <f t="array" ref="Q1389">_xlfn.XLOOKUP(O1389,BSFC!$A$2:$A$24,_xlfn.XLOOKUP(K1389,BSFC!$B$1:$O$1,BSFC!$B$2:$O$24,,-1),,-1)</f>
        <v>480</v>
      </c>
      <c r="R1389" s="17">
        <f t="shared" si="253"/>
        <v>1.8786506809302328</v>
      </c>
      <c r="S1389" s="16">
        <f t="shared" si="254"/>
        <v>2.9183485335175871E-4</v>
      </c>
      <c r="T1389" s="17">
        <f t="shared" si="257"/>
        <v>0.14008072960884418</v>
      </c>
      <c r="U1389" s="16">
        <f t="shared" si="258"/>
        <v>178.67326718766475</v>
      </c>
      <c r="V1389" s="17">
        <f t="shared" si="259"/>
        <v>0.3672851941493161</v>
      </c>
      <c r="W1389" s="16">
        <f t="shared" si="255"/>
        <v>1322226.6989375381</v>
      </c>
      <c r="X1389">
        <f>('Hybrid Info'!$A$2-Track!P1389)*(L1389-L1388)*1000+X1388</f>
        <v>-21061.466258889472</v>
      </c>
    </row>
    <row r="1390" spans="1:24">
      <c r="A1390" s="16">
        <f t="shared" si="256"/>
        <v>1389</v>
      </c>
      <c r="B1390" s="17">
        <f t="shared" si="251"/>
        <v>13.411199999999999</v>
      </c>
      <c r="C1390" s="16">
        <f>Specification!$G$32</f>
        <v>219.92450400000001</v>
      </c>
      <c r="D1390" s="17">
        <f>0.5*Specification!$K$4*Track!B1390^2*Specification!$K$3*Specification!$K$2</f>
        <v>93.159842569492653</v>
      </c>
      <c r="E1390" s="16">
        <v>0</v>
      </c>
      <c r="F1390" s="17">
        <f>Specification!$C$23*9.81*SIN((E1390*PI()/180))</f>
        <v>0</v>
      </c>
      <c r="G1390" s="18">
        <f>IF(J1390=1,VLOOKUP(K1390,RPM!$E$2:$H$62,3,FALSE)-F1390-E1390-D1390,IF(J1390=2,VLOOKUP(K1390,RPM!$H$2:$K$62,3,FALSE)-F1390-E1390-D1390,IF(J1390=3,VLOOKUP(K1390,RPM!$K$2:$N$62,3,FALSE)-F1390-E1390-D1390)))</f>
        <v>549.56217903827155</v>
      </c>
      <c r="H1390" s="19">
        <f>IF(J1390=1,Specification!$I$14,IF(J1390=2,Specification!$I$15,IF(J1390=3,Specification!$I$16)))</f>
        <v>578.93404261974786</v>
      </c>
      <c r="I1390" s="16">
        <f t="shared" si="261"/>
        <v>0</v>
      </c>
      <c r="J1390" s="17">
        <v>3</v>
      </c>
      <c r="K1390" s="16">
        <f>IF(J1390=1,VLOOKUP(B1390,RPM!$F$2:$H$62,3,TRUE),IF(J1390=2,VLOOKUP(B1390,RPM!$I$2:$K$62,3,TRUE),IF(J1390=3,VLOOKUP(B1390,RPM!$L$2:$N$62,3,TRUE))))</f>
        <v>4300</v>
      </c>
      <c r="L1390" s="17">
        <f t="shared" si="260"/>
        <v>107.84549070059657</v>
      </c>
      <c r="M1390" s="16">
        <f t="shared" ref="M1390:M1453" si="262">TAN(E1390*PI()/180)+M1389</f>
        <v>0</v>
      </c>
      <c r="N1390" s="17">
        <f>VLOOKUP(K1390,RPM!$A$2:$D$62,3,FALSE)</f>
        <v>11.4</v>
      </c>
      <c r="O1390" s="16">
        <f>VLOOKUP(K1390,RPM!$A$2:$D$62,4,FALSE)</f>
        <v>18.894837209302327</v>
      </c>
      <c r="P1390" s="17">
        <f t="shared" si="252"/>
        <v>14.089880106976747</v>
      </c>
      <c r="Q1390" s="16" cm="1">
        <f t="array" ref="Q1390">_xlfn.XLOOKUP(O1390,BSFC!$A$2:$A$24,_xlfn.XLOOKUP(K1390,BSFC!$B$1:$O$1,BSFC!$B$2:$O$24,,-1),,-1)</f>
        <v>480</v>
      </c>
      <c r="R1390" s="17">
        <f t="shared" si="253"/>
        <v>1.8786506809302328</v>
      </c>
      <c r="S1390" s="16">
        <f t="shared" si="254"/>
        <v>2.9183485335175871E-4</v>
      </c>
      <c r="T1390" s="17">
        <f t="shared" si="257"/>
        <v>0.14008072960884418</v>
      </c>
      <c r="U1390" s="16">
        <f t="shared" si="258"/>
        <v>178.8133479172736</v>
      </c>
      <c r="V1390" s="17">
        <f t="shared" si="259"/>
        <v>0.36757702900266787</v>
      </c>
      <c r="W1390" s="16">
        <f t="shared" si="255"/>
        <v>1323277.3044096043</v>
      </c>
      <c r="X1390">
        <f>('Hybrid Info'!$A$2-Track!P1390)*(L1390-L1389)*1000+X1389</f>
        <v>-21208.315572238876</v>
      </c>
    </row>
    <row r="1391" spans="1:24">
      <c r="A1391" s="16">
        <f t="shared" si="256"/>
        <v>1390</v>
      </c>
      <c r="B1391" s="17">
        <f t="shared" si="251"/>
        <v>13.411199999999999</v>
      </c>
      <c r="C1391" s="16">
        <f>Specification!$G$32</f>
        <v>219.92450400000001</v>
      </c>
      <c r="D1391" s="17">
        <f>0.5*Specification!$K$4*Track!B1391^2*Specification!$K$3*Specification!$K$2</f>
        <v>93.159842569492653</v>
      </c>
      <c r="E1391" s="16">
        <v>0</v>
      </c>
      <c r="F1391" s="17">
        <f>Specification!$C$23*9.81*SIN((E1391*PI()/180))</f>
        <v>0</v>
      </c>
      <c r="G1391" s="18">
        <f>IF(J1391=1,VLOOKUP(K1391,RPM!$E$2:$H$62,3,FALSE)-F1391-E1391-D1391,IF(J1391=2,VLOOKUP(K1391,RPM!$H$2:$K$62,3,FALSE)-F1391-E1391-D1391,IF(J1391=3,VLOOKUP(K1391,RPM!$K$2:$N$62,3,FALSE)-F1391-E1391-D1391)))</f>
        <v>549.56217903827155</v>
      </c>
      <c r="H1391" s="19">
        <f>IF(J1391=1,Specification!$I$14,IF(J1391=2,Specification!$I$15,IF(J1391=3,Specification!$I$16)))</f>
        <v>578.93404261974786</v>
      </c>
      <c r="I1391" s="16">
        <f t="shared" si="261"/>
        <v>0</v>
      </c>
      <c r="J1391" s="17">
        <v>3</v>
      </c>
      <c r="K1391" s="16">
        <f>IF(J1391=1,VLOOKUP(B1391,RPM!$F$2:$H$62,3,TRUE),IF(J1391=2,VLOOKUP(B1391,RPM!$I$2:$K$62,3,TRUE),IF(J1391=3,VLOOKUP(B1391,RPM!$L$2:$N$62,3,TRUE))))</f>
        <v>4300</v>
      </c>
      <c r="L1391" s="17">
        <f t="shared" si="260"/>
        <v>107.92005524366505</v>
      </c>
      <c r="M1391" s="16">
        <f t="shared" si="262"/>
        <v>0</v>
      </c>
      <c r="N1391" s="17">
        <f>VLOOKUP(K1391,RPM!$A$2:$D$62,3,FALSE)</f>
        <v>11.4</v>
      </c>
      <c r="O1391" s="16">
        <f>VLOOKUP(K1391,RPM!$A$2:$D$62,4,FALSE)</f>
        <v>18.894837209302327</v>
      </c>
      <c r="P1391" s="17">
        <f t="shared" si="252"/>
        <v>14.089880106976747</v>
      </c>
      <c r="Q1391" s="16" cm="1">
        <f t="array" ref="Q1391">_xlfn.XLOOKUP(O1391,BSFC!$A$2:$A$24,_xlfn.XLOOKUP(K1391,BSFC!$B$1:$O$1,BSFC!$B$2:$O$24,,-1),,-1)</f>
        <v>480</v>
      </c>
      <c r="R1391" s="17">
        <f t="shared" si="253"/>
        <v>1.8786506809302328</v>
      </c>
      <c r="S1391" s="16">
        <f t="shared" si="254"/>
        <v>2.9183485335175871E-4</v>
      </c>
      <c r="T1391" s="17">
        <f t="shared" si="257"/>
        <v>0.14008072960884418</v>
      </c>
      <c r="U1391" s="16">
        <f t="shared" si="258"/>
        <v>178.95342864688246</v>
      </c>
      <c r="V1391" s="17">
        <f t="shared" si="259"/>
        <v>0.36786886385601963</v>
      </c>
      <c r="W1391" s="16">
        <f t="shared" si="255"/>
        <v>1324327.9098816707</v>
      </c>
      <c r="X1391">
        <f>('Hybrid Info'!$A$2-Track!P1391)*(L1391-L1390)*1000+X1390</f>
        <v>-21355.164885588281</v>
      </c>
    </row>
    <row r="1392" spans="1:24">
      <c r="A1392" s="16">
        <f t="shared" si="256"/>
        <v>1391</v>
      </c>
      <c r="B1392" s="17">
        <f t="shared" si="251"/>
        <v>13.411199999999999</v>
      </c>
      <c r="C1392" s="16">
        <f>Specification!$G$32</f>
        <v>219.92450400000001</v>
      </c>
      <c r="D1392" s="17">
        <f>0.5*Specification!$K$4*Track!B1392^2*Specification!$K$3*Specification!$K$2</f>
        <v>93.159842569492653</v>
      </c>
      <c r="E1392" s="16">
        <v>0</v>
      </c>
      <c r="F1392" s="17">
        <f>Specification!$C$23*9.81*SIN((E1392*PI()/180))</f>
        <v>0</v>
      </c>
      <c r="G1392" s="18">
        <f>IF(J1392=1,VLOOKUP(K1392,RPM!$E$2:$H$62,3,FALSE)-F1392-E1392-D1392,IF(J1392=2,VLOOKUP(K1392,RPM!$H$2:$K$62,3,FALSE)-F1392-E1392-D1392,IF(J1392=3,VLOOKUP(K1392,RPM!$K$2:$N$62,3,FALSE)-F1392-E1392-D1392)))</f>
        <v>549.56217903827155</v>
      </c>
      <c r="H1392" s="19">
        <f>IF(J1392=1,Specification!$I$14,IF(J1392=2,Specification!$I$15,IF(J1392=3,Specification!$I$16)))</f>
        <v>578.93404261974786</v>
      </c>
      <c r="I1392" s="16">
        <f t="shared" si="261"/>
        <v>0</v>
      </c>
      <c r="J1392" s="17">
        <v>3</v>
      </c>
      <c r="K1392" s="16">
        <f>IF(J1392=1,VLOOKUP(B1392,RPM!$F$2:$H$62,3,TRUE),IF(J1392=2,VLOOKUP(B1392,RPM!$I$2:$K$62,3,TRUE),IF(J1392=3,VLOOKUP(B1392,RPM!$L$2:$N$62,3,TRUE))))</f>
        <v>4300</v>
      </c>
      <c r="L1392" s="17">
        <f t="shared" si="260"/>
        <v>107.99461978673352</v>
      </c>
      <c r="M1392" s="16">
        <f t="shared" si="262"/>
        <v>0</v>
      </c>
      <c r="N1392" s="17">
        <f>VLOOKUP(K1392,RPM!$A$2:$D$62,3,FALSE)</f>
        <v>11.4</v>
      </c>
      <c r="O1392" s="16">
        <f>VLOOKUP(K1392,RPM!$A$2:$D$62,4,FALSE)</f>
        <v>18.894837209302327</v>
      </c>
      <c r="P1392" s="17">
        <f t="shared" si="252"/>
        <v>14.089880106976747</v>
      </c>
      <c r="Q1392" s="16" cm="1">
        <f t="array" ref="Q1392">_xlfn.XLOOKUP(O1392,BSFC!$A$2:$A$24,_xlfn.XLOOKUP(K1392,BSFC!$B$1:$O$1,BSFC!$B$2:$O$24,,-1),,-1)</f>
        <v>480</v>
      </c>
      <c r="R1392" s="17">
        <f t="shared" si="253"/>
        <v>1.8786506809302328</v>
      </c>
      <c r="S1392" s="16">
        <f t="shared" si="254"/>
        <v>2.9183485335175871E-4</v>
      </c>
      <c r="T1392" s="17">
        <f t="shared" si="257"/>
        <v>0.14008072960884418</v>
      </c>
      <c r="U1392" s="16">
        <f t="shared" si="258"/>
        <v>179.09350937649131</v>
      </c>
      <c r="V1392" s="17">
        <f t="shared" si="259"/>
        <v>0.3681606987093714</v>
      </c>
      <c r="W1392" s="16">
        <f t="shared" si="255"/>
        <v>1325378.5153537369</v>
      </c>
      <c r="X1392">
        <f>('Hybrid Info'!$A$2-Track!P1392)*(L1392-L1391)*1000+X1391</f>
        <v>-21502.014198937686</v>
      </c>
    </row>
    <row r="1393" spans="1:24">
      <c r="A1393" s="16">
        <f t="shared" si="256"/>
        <v>1392</v>
      </c>
      <c r="B1393" s="17">
        <f t="shared" ref="B1393:B1456" si="263">IF(SQRT(B1392^2+2*I1392)&gt;13.4112,13.4112,SQRT(B1392^2+2*I1392))</f>
        <v>13.411199999999999</v>
      </c>
      <c r="C1393" s="16">
        <f>Specification!$G$32</f>
        <v>219.92450400000001</v>
      </c>
      <c r="D1393" s="17">
        <f>0.5*Specification!$K$4*Track!B1393^2*Specification!$K$3*Specification!$K$2</f>
        <v>93.159842569492653</v>
      </c>
      <c r="E1393" s="16">
        <v>0</v>
      </c>
      <c r="F1393" s="17">
        <f>Specification!$C$23*9.81*SIN((E1393*PI()/180))</f>
        <v>0</v>
      </c>
      <c r="G1393" s="18">
        <f>IF(J1393=1,VLOOKUP(K1393,RPM!$E$2:$H$62,3,FALSE)-F1393-E1393-D1393,IF(J1393=2,VLOOKUP(K1393,RPM!$H$2:$K$62,3,FALSE)-F1393-E1393-D1393,IF(J1393=3,VLOOKUP(K1393,RPM!$K$2:$N$62,3,FALSE)-F1393-E1393-D1393)))</f>
        <v>549.56217903827155</v>
      </c>
      <c r="H1393" s="19">
        <f>IF(J1393=1,Specification!$I$14,IF(J1393=2,Specification!$I$15,IF(J1393=3,Specification!$I$16)))</f>
        <v>578.93404261974786</v>
      </c>
      <c r="I1393" s="16">
        <f t="shared" si="261"/>
        <v>0</v>
      </c>
      <c r="J1393" s="17">
        <v>3</v>
      </c>
      <c r="K1393" s="16">
        <f>IF(J1393=1,VLOOKUP(B1393,RPM!$F$2:$H$62,3,TRUE),IF(J1393=2,VLOOKUP(B1393,RPM!$I$2:$K$62,3,TRUE),IF(J1393=3,VLOOKUP(B1393,RPM!$L$2:$N$62,3,TRUE))))</f>
        <v>4300</v>
      </c>
      <c r="L1393" s="17">
        <f t="shared" si="260"/>
        <v>108.069184329802</v>
      </c>
      <c r="M1393" s="16">
        <f t="shared" si="262"/>
        <v>0</v>
      </c>
      <c r="N1393" s="17">
        <f>VLOOKUP(K1393,RPM!$A$2:$D$62,3,FALSE)</f>
        <v>11.4</v>
      </c>
      <c r="O1393" s="16">
        <f>VLOOKUP(K1393,RPM!$A$2:$D$62,4,FALSE)</f>
        <v>18.894837209302327</v>
      </c>
      <c r="P1393" s="17">
        <f t="shared" si="252"/>
        <v>14.089880106976747</v>
      </c>
      <c r="Q1393" s="16" cm="1">
        <f t="array" ref="Q1393">_xlfn.XLOOKUP(O1393,BSFC!$A$2:$A$24,_xlfn.XLOOKUP(K1393,BSFC!$B$1:$O$1,BSFC!$B$2:$O$24,,-1),,-1)</f>
        <v>480</v>
      </c>
      <c r="R1393" s="17">
        <f t="shared" si="253"/>
        <v>1.8786506809302328</v>
      </c>
      <c r="S1393" s="16">
        <f t="shared" si="254"/>
        <v>2.9183485335175871E-4</v>
      </c>
      <c r="T1393" s="17">
        <f t="shared" si="257"/>
        <v>0.14008072960884418</v>
      </c>
      <c r="U1393" s="16">
        <f t="shared" si="258"/>
        <v>179.23359010610017</v>
      </c>
      <c r="V1393" s="17">
        <f t="shared" si="259"/>
        <v>0.36845253356272317</v>
      </c>
      <c r="W1393" s="16">
        <f t="shared" si="255"/>
        <v>1326429.1208258034</v>
      </c>
      <c r="X1393">
        <f>('Hybrid Info'!$A$2-Track!P1393)*(L1393-L1392)*1000+X1392</f>
        <v>-21648.863512287091</v>
      </c>
    </row>
    <row r="1394" spans="1:24">
      <c r="A1394" s="16">
        <f t="shared" si="256"/>
        <v>1393</v>
      </c>
      <c r="B1394" s="17">
        <f t="shared" si="263"/>
        <v>13.411199999999999</v>
      </c>
      <c r="C1394" s="16">
        <f>Specification!$G$32</f>
        <v>219.92450400000001</v>
      </c>
      <c r="D1394" s="17">
        <f>0.5*Specification!$K$4*Track!B1394^2*Specification!$K$3*Specification!$K$2</f>
        <v>93.159842569492653</v>
      </c>
      <c r="E1394" s="16">
        <v>0</v>
      </c>
      <c r="F1394" s="17">
        <f>Specification!$C$23*9.81*SIN((E1394*PI()/180))</f>
        <v>0</v>
      </c>
      <c r="G1394" s="18">
        <f>IF(J1394=1,VLOOKUP(K1394,RPM!$E$2:$H$62,3,FALSE)-F1394-E1394-D1394,IF(J1394=2,VLOOKUP(K1394,RPM!$H$2:$K$62,3,FALSE)-F1394-E1394-D1394,IF(J1394=3,VLOOKUP(K1394,RPM!$K$2:$N$62,3,FALSE)-F1394-E1394-D1394)))</f>
        <v>549.56217903827155</v>
      </c>
      <c r="H1394" s="19">
        <f>IF(J1394=1,Specification!$I$14,IF(J1394=2,Specification!$I$15,IF(J1394=3,Specification!$I$16)))</f>
        <v>578.93404261974786</v>
      </c>
      <c r="I1394" s="16">
        <f t="shared" si="261"/>
        <v>0</v>
      </c>
      <c r="J1394" s="17">
        <v>3</v>
      </c>
      <c r="K1394" s="16">
        <f>IF(J1394=1,VLOOKUP(B1394,RPM!$F$2:$H$62,3,TRUE),IF(J1394=2,VLOOKUP(B1394,RPM!$I$2:$K$62,3,TRUE),IF(J1394=3,VLOOKUP(B1394,RPM!$L$2:$N$62,3,TRUE))))</f>
        <v>4300</v>
      </c>
      <c r="L1394" s="17">
        <f t="shared" si="260"/>
        <v>108.14374887287047</v>
      </c>
      <c r="M1394" s="16">
        <f t="shared" si="262"/>
        <v>0</v>
      </c>
      <c r="N1394" s="17">
        <f>VLOOKUP(K1394,RPM!$A$2:$D$62,3,FALSE)</f>
        <v>11.4</v>
      </c>
      <c r="O1394" s="16">
        <f>VLOOKUP(K1394,RPM!$A$2:$D$62,4,FALSE)</f>
        <v>18.894837209302327</v>
      </c>
      <c r="P1394" s="17">
        <f t="shared" si="252"/>
        <v>14.089880106976747</v>
      </c>
      <c r="Q1394" s="16" cm="1">
        <f t="array" ref="Q1394">_xlfn.XLOOKUP(O1394,BSFC!$A$2:$A$24,_xlfn.XLOOKUP(K1394,BSFC!$B$1:$O$1,BSFC!$B$2:$O$24,,-1),,-1)</f>
        <v>480</v>
      </c>
      <c r="R1394" s="17">
        <f t="shared" si="253"/>
        <v>1.8786506809302328</v>
      </c>
      <c r="S1394" s="16">
        <f t="shared" si="254"/>
        <v>2.9183485335175871E-4</v>
      </c>
      <c r="T1394" s="17">
        <f t="shared" si="257"/>
        <v>0.14008072960884418</v>
      </c>
      <c r="U1394" s="16">
        <f t="shared" si="258"/>
        <v>179.37367083570902</v>
      </c>
      <c r="V1394" s="17">
        <f t="shared" si="259"/>
        <v>0.36874436841607494</v>
      </c>
      <c r="W1394" s="16">
        <f t="shared" si="255"/>
        <v>1327479.7262978698</v>
      </c>
      <c r="X1394">
        <f>('Hybrid Info'!$A$2-Track!P1394)*(L1394-L1393)*1000+X1393</f>
        <v>-21795.712825636496</v>
      </c>
    </row>
    <row r="1395" spans="1:24">
      <c r="A1395" s="16">
        <f t="shared" si="256"/>
        <v>1394</v>
      </c>
      <c r="B1395" s="17">
        <f t="shared" si="263"/>
        <v>13.411199999999999</v>
      </c>
      <c r="C1395" s="16">
        <f>Specification!$G$32</f>
        <v>219.92450400000001</v>
      </c>
      <c r="D1395" s="17">
        <f>0.5*Specification!$K$4*Track!B1395^2*Specification!$K$3*Specification!$K$2</f>
        <v>93.159842569492653</v>
      </c>
      <c r="E1395" s="16">
        <v>0</v>
      </c>
      <c r="F1395" s="17">
        <f>Specification!$C$23*9.81*SIN((E1395*PI()/180))</f>
        <v>0</v>
      </c>
      <c r="G1395" s="18">
        <f>IF(J1395=1,VLOOKUP(K1395,RPM!$E$2:$H$62,3,FALSE)-F1395-E1395-D1395,IF(J1395=2,VLOOKUP(K1395,RPM!$H$2:$K$62,3,FALSE)-F1395-E1395-D1395,IF(J1395=3,VLOOKUP(K1395,RPM!$K$2:$N$62,3,FALSE)-F1395-E1395-D1395)))</f>
        <v>549.56217903827155</v>
      </c>
      <c r="H1395" s="19">
        <f>IF(J1395=1,Specification!$I$14,IF(J1395=2,Specification!$I$15,IF(J1395=3,Specification!$I$16)))</f>
        <v>578.93404261974786</v>
      </c>
      <c r="I1395" s="16">
        <f t="shared" si="261"/>
        <v>0</v>
      </c>
      <c r="J1395" s="17">
        <v>3</v>
      </c>
      <c r="K1395" s="16">
        <f>IF(J1395=1,VLOOKUP(B1395,RPM!$F$2:$H$62,3,TRUE),IF(J1395=2,VLOOKUP(B1395,RPM!$I$2:$K$62,3,TRUE),IF(J1395=3,VLOOKUP(B1395,RPM!$L$2:$N$62,3,TRUE))))</f>
        <v>4300</v>
      </c>
      <c r="L1395" s="17">
        <f t="shared" si="260"/>
        <v>108.21831341593895</v>
      </c>
      <c r="M1395" s="16">
        <f t="shared" si="262"/>
        <v>0</v>
      </c>
      <c r="N1395" s="17">
        <f>VLOOKUP(K1395,RPM!$A$2:$D$62,3,FALSE)</f>
        <v>11.4</v>
      </c>
      <c r="O1395" s="16">
        <f>VLOOKUP(K1395,RPM!$A$2:$D$62,4,FALSE)</f>
        <v>18.894837209302327</v>
      </c>
      <c r="P1395" s="17">
        <f t="shared" si="252"/>
        <v>14.089880106976747</v>
      </c>
      <c r="Q1395" s="16" cm="1">
        <f t="array" ref="Q1395">_xlfn.XLOOKUP(O1395,BSFC!$A$2:$A$24,_xlfn.XLOOKUP(K1395,BSFC!$B$1:$O$1,BSFC!$B$2:$O$24,,-1),,-1)</f>
        <v>480</v>
      </c>
      <c r="R1395" s="17">
        <f t="shared" si="253"/>
        <v>1.8786506809302328</v>
      </c>
      <c r="S1395" s="16">
        <f t="shared" si="254"/>
        <v>2.9183485335175871E-4</v>
      </c>
      <c r="T1395" s="17">
        <f t="shared" si="257"/>
        <v>0.14008072960884418</v>
      </c>
      <c r="U1395" s="16">
        <f t="shared" si="258"/>
        <v>179.51375156531788</v>
      </c>
      <c r="V1395" s="17">
        <f t="shared" si="259"/>
        <v>0.36903620326942671</v>
      </c>
      <c r="W1395" s="16">
        <f t="shared" si="255"/>
        <v>1328530.3317699363</v>
      </c>
      <c r="X1395">
        <f>('Hybrid Info'!$A$2-Track!P1395)*(L1395-L1394)*1000+X1394</f>
        <v>-21942.562138985901</v>
      </c>
    </row>
    <row r="1396" spans="1:24">
      <c r="A1396" s="16">
        <f t="shared" si="256"/>
        <v>1395</v>
      </c>
      <c r="B1396" s="17">
        <f t="shared" si="263"/>
        <v>13.411199999999999</v>
      </c>
      <c r="C1396" s="16">
        <f>Specification!$G$32</f>
        <v>219.92450400000001</v>
      </c>
      <c r="D1396" s="17">
        <f>0.5*Specification!$K$4*Track!B1396^2*Specification!$K$3*Specification!$K$2</f>
        <v>93.159842569492653</v>
      </c>
      <c r="E1396" s="16">
        <v>0</v>
      </c>
      <c r="F1396" s="17">
        <f>Specification!$C$23*9.81*SIN((E1396*PI()/180))</f>
        <v>0</v>
      </c>
      <c r="G1396" s="18">
        <f>IF(J1396=1,VLOOKUP(K1396,RPM!$E$2:$H$62,3,FALSE)-F1396-E1396-D1396,IF(J1396=2,VLOOKUP(K1396,RPM!$H$2:$K$62,3,FALSE)-F1396-E1396-D1396,IF(J1396=3,VLOOKUP(K1396,RPM!$K$2:$N$62,3,FALSE)-F1396-E1396-D1396)))</f>
        <v>549.56217903827155</v>
      </c>
      <c r="H1396" s="19">
        <f>IF(J1396=1,Specification!$I$14,IF(J1396=2,Specification!$I$15,IF(J1396=3,Specification!$I$16)))</f>
        <v>578.93404261974786</v>
      </c>
      <c r="I1396" s="16">
        <f t="shared" si="261"/>
        <v>0</v>
      </c>
      <c r="J1396" s="17">
        <v>3</v>
      </c>
      <c r="K1396" s="16">
        <f>IF(J1396=1,VLOOKUP(B1396,RPM!$F$2:$H$62,3,TRUE),IF(J1396=2,VLOOKUP(B1396,RPM!$I$2:$K$62,3,TRUE),IF(J1396=3,VLOOKUP(B1396,RPM!$L$2:$N$62,3,TRUE))))</f>
        <v>4300</v>
      </c>
      <c r="L1396" s="17">
        <f t="shared" si="260"/>
        <v>108.29287795900743</v>
      </c>
      <c r="M1396" s="16">
        <f t="shared" si="262"/>
        <v>0</v>
      </c>
      <c r="N1396" s="17">
        <f>VLOOKUP(K1396,RPM!$A$2:$D$62,3,FALSE)</f>
        <v>11.4</v>
      </c>
      <c r="O1396" s="16">
        <f>VLOOKUP(K1396,RPM!$A$2:$D$62,4,FALSE)</f>
        <v>18.894837209302327</v>
      </c>
      <c r="P1396" s="17">
        <f t="shared" si="252"/>
        <v>14.089880106976747</v>
      </c>
      <c r="Q1396" s="16" cm="1">
        <f t="array" ref="Q1396">_xlfn.XLOOKUP(O1396,BSFC!$A$2:$A$24,_xlfn.XLOOKUP(K1396,BSFC!$B$1:$O$1,BSFC!$B$2:$O$24,,-1),,-1)</f>
        <v>480</v>
      </c>
      <c r="R1396" s="17">
        <f t="shared" si="253"/>
        <v>1.8786506809302328</v>
      </c>
      <c r="S1396" s="16">
        <f t="shared" si="254"/>
        <v>2.9183485335175871E-4</v>
      </c>
      <c r="T1396" s="17">
        <f t="shared" si="257"/>
        <v>0.14008072960884418</v>
      </c>
      <c r="U1396" s="16">
        <f t="shared" si="258"/>
        <v>179.65383229492673</v>
      </c>
      <c r="V1396" s="17">
        <f t="shared" si="259"/>
        <v>0.36932803812277848</v>
      </c>
      <c r="W1396" s="16">
        <f t="shared" si="255"/>
        <v>1329580.9372420025</v>
      </c>
      <c r="X1396">
        <f>('Hybrid Info'!$A$2-Track!P1396)*(L1396-L1395)*1000+X1395</f>
        <v>-22089.411452335306</v>
      </c>
    </row>
    <row r="1397" spans="1:24">
      <c r="A1397" s="16">
        <f t="shared" si="256"/>
        <v>1396</v>
      </c>
      <c r="B1397" s="17">
        <f t="shared" si="263"/>
        <v>13.411199999999999</v>
      </c>
      <c r="C1397" s="16">
        <f>Specification!$G$32</f>
        <v>219.92450400000001</v>
      </c>
      <c r="D1397" s="17">
        <f>0.5*Specification!$K$4*Track!B1397^2*Specification!$K$3*Specification!$K$2</f>
        <v>93.159842569492653</v>
      </c>
      <c r="E1397" s="16">
        <v>0</v>
      </c>
      <c r="F1397" s="17">
        <f>Specification!$C$23*9.81*SIN((E1397*PI()/180))</f>
        <v>0</v>
      </c>
      <c r="G1397" s="18">
        <f>IF(J1397=1,VLOOKUP(K1397,RPM!$E$2:$H$62,3,FALSE)-F1397-E1397-D1397,IF(J1397=2,VLOOKUP(K1397,RPM!$H$2:$K$62,3,FALSE)-F1397-E1397-D1397,IF(J1397=3,VLOOKUP(K1397,RPM!$K$2:$N$62,3,FALSE)-F1397-E1397-D1397)))</f>
        <v>549.56217903827155</v>
      </c>
      <c r="H1397" s="19">
        <f>IF(J1397=1,Specification!$I$14,IF(J1397=2,Specification!$I$15,IF(J1397=3,Specification!$I$16)))</f>
        <v>578.93404261974786</v>
      </c>
      <c r="I1397" s="16">
        <f t="shared" si="261"/>
        <v>0</v>
      </c>
      <c r="J1397" s="17">
        <v>3</v>
      </c>
      <c r="K1397" s="16">
        <f>IF(J1397=1,VLOOKUP(B1397,RPM!$F$2:$H$62,3,TRUE),IF(J1397=2,VLOOKUP(B1397,RPM!$I$2:$K$62,3,TRUE),IF(J1397=3,VLOOKUP(B1397,RPM!$L$2:$N$62,3,TRUE))))</f>
        <v>4300</v>
      </c>
      <c r="L1397" s="17">
        <f t="shared" si="260"/>
        <v>108.3674425020759</v>
      </c>
      <c r="M1397" s="16">
        <f t="shared" si="262"/>
        <v>0</v>
      </c>
      <c r="N1397" s="17">
        <f>VLOOKUP(K1397,RPM!$A$2:$D$62,3,FALSE)</f>
        <v>11.4</v>
      </c>
      <c r="O1397" s="16">
        <f>VLOOKUP(K1397,RPM!$A$2:$D$62,4,FALSE)</f>
        <v>18.894837209302327</v>
      </c>
      <c r="P1397" s="17">
        <f t="shared" si="252"/>
        <v>14.089880106976747</v>
      </c>
      <c r="Q1397" s="16" cm="1">
        <f t="array" ref="Q1397">_xlfn.XLOOKUP(O1397,BSFC!$A$2:$A$24,_xlfn.XLOOKUP(K1397,BSFC!$B$1:$O$1,BSFC!$B$2:$O$24,,-1),,-1)</f>
        <v>480</v>
      </c>
      <c r="R1397" s="17">
        <f t="shared" si="253"/>
        <v>1.8786506809302328</v>
      </c>
      <c r="S1397" s="16">
        <f t="shared" si="254"/>
        <v>2.9183485335175871E-4</v>
      </c>
      <c r="T1397" s="17">
        <f t="shared" si="257"/>
        <v>0.14008072960884418</v>
      </c>
      <c r="U1397" s="16">
        <f t="shared" si="258"/>
        <v>179.79391302453558</v>
      </c>
      <c r="V1397" s="17">
        <f t="shared" si="259"/>
        <v>0.36961987297613025</v>
      </c>
      <c r="W1397" s="16">
        <f t="shared" si="255"/>
        <v>1330631.5427140689</v>
      </c>
      <c r="X1397">
        <f>('Hybrid Info'!$A$2-Track!P1397)*(L1397-L1396)*1000+X1396</f>
        <v>-22236.26076568471</v>
      </c>
    </row>
    <row r="1398" spans="1:24">
      <c r="A1398" s="16">
        <f t="shared" si="256"/>
        <v>1397</v>
      </c>
      <c r="B1398" s="17">
        <f t="shared" si="263"/>
        <v>13.411199999999999</v>
      </c>
      <c r="C1398" s="16">
        <f>Specification!$G$32</f>
        <v>219.92450400000001</v>
      </c>
      <c r="D1398" s="17">
        <f>0.5*Specification!$K$4*Track!B1398^2*Specification!$K$3*Specification!$K$2</f>
        <v>93.159842569492653</v>
      </c>
      <c r="E1398" s="16">
        <v>0</v>
      </c>
      <c r="F1398" s="17">
        <f>Specification!$C$23*9.81*SIN((E1398*PI()/180))</f>
        <v>0</v>
      </c>
      <c r="G1398" s="18">
        <f>IF(J1398=1,VLOOKUP(K1398,RPM!$E$2:$H$62,3,FALSE)-F1398-E1398-D1398,IF(J1398=2,VLOOKUP(K1398,RPM!$H$2:$K$62,3,FALSE)-F1398-E1398-D1398,IF(J1398=3,VLOOKUP(K1398,RPM!$K$2:$N$62,3,FALSE)-F1398-E1398-D1398)))</f>
        <v>549.56217903827155</v>
      </c>
      <c r="H1398" s="19">
        <f>IF(J1398=1,Specification!$I$14,IF(J1398=2,Specification!$I$15,IF(J1398=3,Specification!$I$16)))</f>
        <v>578.93404261974786</v>
      </c>
      <c r="I1398" s="16">
        <f t="shared" si="261"/>
        <v>0</v>
      </c>
      <c r="J1398" s="17">
        <v>3</v>
      </c>
      <c r="K1398" s="16">
        <f>IF(J1398=1,VLOOKUP(B1398,RPM!$F$2:$H$62,3,TRUE),IF(J1398=2,VLOOKUP(B1398,RPM!$I$2:$K$62,3,TRUE),IF(J1398=3,VLOOKUP(B1398,RPM!$L$2:$N$62,3,TRUE))))</f>
        <v>4300</v>
      </c>
      <c r="L1398" s="17">
        <f t="shared" si="260"/>
        <v>108.44200704514438</v>
      </c>
      <c r="M1398" s="16">
        <f t="shared" si="262"/>
        <v>0</v>
      </c>
      <c r="N1398" s="17">
        <f>VLOOKUP(K1398,RPM!$A$2:$D$62,3,FALSE)</f>
        <v>11.4</v>
      </c>
      <c r="O1398" s="16">
        <f>VLOOKUP(K1398,RPM!$A$2:$D$62,4,FALSE)</f>
        <v>18.894837209302327</v>
      </c>
      <c r="P1398" s="17">
        <f t="shared" si="252"/>
        <v>14.089880106976747</v>
      </c>
      <c r="Q1398" s="16" cm="1">
        <f t="array" ref="Q1398">_xlfn.XLOOKUP(O1398,BSFC!$A$2:$A$24,_xlfn.XLOOKUP(K1398,BSFC!$B$1:$O$1,BSFC!$B$2:$O$24,,-1),,-1)</f>
        <v>480</v>
      </c>
      <c r="R1398" s="17">
        <f t="shared" si="253"/>
        <v>1.8786506809302328</v>
      </c>
      <c r="S1398" s="16">
        <f t="shared" si="254"/>
        <v>2.9183485335175871E-4</v>
      </c>
      <c r="T1398" s="17">
        <f t="shared" si="257"/>
        <v>0.14008072960884418</v>
      </c>
      <c r="U1398" s="16">
        <f t="shared" si="258"/>
        <v>179.93399375414444</v>
      </c>
      <c r="V1398" s="17">
        <f t="shared" si="259"/>
        <v>0.36991170782948202</v>
      </c>
      <c r="W1398" s="16">
        <f t="shared" si="255"/>
        <v>1331682.1481861351</v>
      </c>
      <c r="X1398">
        <f>('Hybrid Info'!$A$2-Track!P1398)*(L1398-L1397)*1000+X1397</f>
        <v>-22383.110079034115</v>
      </c>
    </row>
    <row r="1399" spans="1:24">
      <c r="A1399" s="16">
        <f t="shared" si="256"/>
        <v>1398</v>
      </c>
      <c r="B1399" s="17">
        <f t="shared" si="263"/>
        <v>13.411199999999999</v>
      </c>
      <c r="C1399" s="16">
        <f>Specification!$G$32</f>
        <v>219.92450400000001</v>
      </c>
      <c r="D1399" s="17">
        <f>0.5*Specification!$K$4*Track!B1399^2*Specification!$K$3*Specification!$K$2</f>
        <v>93.159842569492653</v>
      </c>
      <c r="E1399" s="16">
        <v>0</v>
      </c>
      <c r="F1399" s="17">
        <f>Specification!$C$23*9.81*SIN((E1399*PI()/180))</f>
        <v>0</v>
      </c>
      <c r="G1399" s="18">
        <f>IF(J1399=1,VLOOKUP(K1399,RPM!$E$2:$H$62,3,FALSE)-F1399-E1399-D1399,IF(J1399=2,VLOOKUP(K1399,RPM!$H$2:$K$62,3,FALSE)-F1399-E1399-D1399,IF(J1399=3,VLOOKUP(K1399,RPM!$K$2:$N$62,3,FALSE)-F1399-E1399-D1399)))</f>
        <v>688.48526429214962</v>
      </c>
      <c r="H1399" s="19">
        <f>IF(J1399=1,Specification!$I$14,IF(J1399=2,Specification!$I$15,IF(J1399=3,Specification!$I$16)))</f>
        <v>582.50936296077191</v>
      </c>
      <c r="I1399" s="16">
        <f t="shared" si="261"/>
        <v>0</v>
      </c>
      <c r="J1399" s="17">
        <v>2</v>
      </c>
      <c r="K1399" s="16">
        <f>IF(J1399=1,VLOOKUP(B1399,RPM!$F$2:$H$62,3,TRUE),IF(J1399=2,VLOOKUP(B1399,RPM!$I$2:$K$62,3,TRUE),IF(J1399=3,VLOOKUP(B1399,RPM!$L$2:$N$62,3,TRUE))))</f>
        <v>7000</v>
      </c>
      <c r="L1399" s="17">
        <f t="shared" si="260"/>
        <v>108.51657158821286</v>
      </c>
      <c r="M1399" s="16">
        <f t="shared" si="262"/>
        <v>0</v>
      </c>
      <c r="N1399" s="17">
        <f>VLOOKUP(K1399,RPM!$A$2:$D$62,3,FALSE)</f>
        <v>13</v>
      </c>
      <c r="O1399" s="16">
        <f>VLOOKUP(K1399,RPM!$A$2:$D$62,4,FALSE)</f>
        <v>13.235857142857142</v>
      </c>
      <c r="P1399" s="17">
        <f t="shared" si="252"/>
        <v>9.8699786714285711</v>
      </c>
      <c r="Q1399" s="16" cm="1">
        <f t="array" ref="Q1399">_xlfn.XLOOKUP(O1399,BSFC!$A$2:$A$24,_xlfn.XLOOKUP(K1399,BSFC!$B$1:$O$1,BSFC!$B$2:$O$24,,-1),,-1)</f>
        <v>520</v>
      </c>
      <c r="R1399" s="17">
        <f t="shared" si="253"/>
        <v>1.425663585873016</v>
      </c>
      <c r="S1399" s="16">
        <f t="shared" si="254"/>
        <v>2.0443068048074323E-4</v>
      </c>
      <c r="T1399" s="17">
        <f t="shared" si="257"/>
        <v>0.10630395384998648</v>
      </c>
      <c r="U1399" s="16">
        <f t="shared" si="258"/>
        <v>180.04029770799443</v>
      </c>
      <c r="V1399" s="17">
        <f t="shared" si="259"/>
        <v>0.37011613850996278</v>
      </c>
      <c r="W1399" s="16">
        <f t="shared" si="255"/>
        <v>1332418.0986358658</v>
      </c>
      <c r="X1399">
        <f>('Hybrid Info'!$A$2-Track!P1399)*(L1399-L1398)*1000+X1398</f>
        <v>-22215.304370047863</v>
      </c>
    </row>
    <row r="1400" spans="1:24">
      <c r="A1400" s="16">
        <f t="shared" si="256"/>
        <v>1399</v>
      </c>
      <c r="B1400" s="17">
        <f t="shared" si="263"/>
        <v>13.411199999999999</v>
      </c>
      <c r="C1400" s="16">
        <f>Specification!$G$32</f>
        <v>219.92450400000001</v>
      </c>
      <c r="D1400" s="17">
        <f>0.5*Specification!$K$4*Track!B1400^2*Specification!$K$3*Specification!$K$2</f>
        <v>93.159842569492653</v>
      </c>
      <c r="E1400" s="16">
        <v>0</v>
      </c>
      <c r="F1400" s="17">
        <f>Specification!$C$23*9.81*SIN((E1400*PI()/180))</f>
        <v>0</v>
      </c>
      <c r="G1400" s="18">
        <f>IF(J1400=1,VLOOKUP(K1400,RPM!$E$2:$H$62,3,FALSE)-F1400-E1400-D1400,IF(J1400=2,VLOOKUP(K1400,RPM!$H$2:$K$62,3,FALSE)-F1400-E1400-D1400,IF(J1400=3,VLOOKUP(K1400,RPM!$K$2:$N$62,3,FALSE)-F1400-E1400-D1400)))</f>
        <v>688.48526429214962</v>
      </c>
      <c r="H1400" s="19">
        <f>IF(J1400=1,Specification!$I$14,IF(J1400=2,Specification!$I$15,IF(J1400=3,Specification!$I$16)))</f>
        <v>582.50936296077191</v>
      </c>
      <c r="I1400" s="16">
        <f t="shared" si="261"/>
        <v>0</v>
      </c>
      <c r="J1400" s="17">
        <v>2</v>
      </c>
      <c r="K1400" s="16">
        <f>IF(J1400=1,VLOOKUP(B1400,RPM!$F$2:$H$62,3,TRUE),IF(J1400=2,VLOOKUP(B1400,RPM!$I$2:$K$62,3,TRUE),IF(J1400=3,VLOOKUP(B1400,RPM!$L$2:$N$62,3,TRUE))))</f>
        <v>7000</v>
      </c>
      <c r="L1400" s="17">
        <f t="shared" si="260"/>
        <v>108.59113613128133</v>
      </c>
      <c r="M1400" s="16">
        <f t="shared" si="262"/>
        <v>0</v>
      </c>
      <c r="N1400" s="17">
        <f>VLOOKUP(K1400,RPM!$A$2:$D$62,3,FALSE)</f>
        <v>13</v>
      </c>
      <c r="O1400" s="16">
        <f>VLOOKUP(K1400,RPM!$A$2:$D$62,4,FALSE)</f>
        <v>13.235857142857142</v>
      </c>
      <c r="P1400" s="17">
        <f t="shared" si="252"/>
        <v>9.8699786714285711</v>
      </c>
      <c r="Q1400" s="16" cm="1">
        <f t="array" ref="Q1400">_xlfn.XLOOKUP(O1400,BSFC!$A$2:$A$24,_xlfn.XLOOKUP(K1400,BSFC!$B$1:$O$1,BSFC!$B$2:$O$24,,-1),,-1)</f>
        <v>520</v>
      </c>
      <c r="R1400" s="17">
        <f t="shared" si="253"/>
        <v>1.425663585873016</v>
      </c>
      <c r="S1400" s="16">
        <f t="shared" si="254"/>
        <v>2.0443068048074323E-4</v>
      </c>
      <c r="T1400" s="17">
        <f t="shared" si="257"/>
        <v>0.10630395384998648</v>
      </c>
      <c r="U1400" s="16">
        <f t="shared" si="258"/>
        <v>180.14660166184441</v>
      </c>
      <c r="V1400" s="17">
        <f t="shared" si="259"/>
        <v>0.37032056919044354</v>
      </c>
      <c r="W1400" s="16">
        <f t="shared" si="255"/>
        <v>1333154.0490855968</v>
      </c>
      <c r="X1400">
        <f>('Hybrid Info'!$A$2-Track!P1400)*(L1400-L1399)*1000+X1399</f>
        <v>-22047.498661061611</v>
      </c>
    </row>
    <row r="1401" spans="1:24">
      <c r="A1401" s="16">
        <f t="shared" si="256"/>
        <v>1400</v>
      </c>
      <c r="B1401" s="17">
        <f t="shared" si="263"/>
        <v>13.411199999999999</v>
      </c>
      <c r="C1401" s="16">
        <f>Specification!$G$32</f>
        <v>219.92450400000001</v>
      </c>
      <c r="D1401" s="17">
        <f>0.5*Specification!$K$4*Track!B1401^2*Specification!$K$3*Specification!$K$2</f>
        <v>93.159842569492653</v>
      </c>
      <c r="E1401" s="16">
        <v>0</v>
      </c>
      <c r="F1401" s="17">
        <f>Specification!$C$23*9.81*SIN((E1401*PI()/180))</f>
        <v>0</v>
      </c>
      <c r="G1401" s="18">
        <f>IF(J1401=1,VLOOKUP(K1401,RPM!$E$2:$H$62,3,FALSE)-F1401-E1401-D1401,IF(J1401=2,VLOOKUP(K1401,RPM!$H$2:$K$62,3,FALSE)-F1401-E1401-D1401,IF(J1401=3,VLOOKUP(K1401,RPM!$K$2:$N$62,3,FALSE)-F1401-E1401-D1401)))</f>
        <v>688.48526429214962</v>
      </c>
      <c r="H1401" s="19">
        <f>IF(J1401=1,Specification!$I$14,IF(J1401=2,Specification!$I$15,IF(J1401=3,Specification!$I$16)))</f>
        <v>582.50936296077191</v>
      </c>
      <c r="I1401" s="16">
        <f t="shared" si="261"/>
        <v>0</v>
      </c>
      <c r="J1401" s="17">
        <v>2</v>
      </c>
      <c r="K1401" s="16">
        <f>IF(J1401=1,VLOOKUP(B1401,RPM!$F$2:$H$62,3,TRUE),IF(J1401=2,VLOOKUP(B1401,RPM!$I$2:$K$62,3,TRUE),IF(J1401=3,VLOOKUP(B1401,RPM!$L$2:$N$62,3,TRUE))))</f>
        <v>7000</v>
      </c>
      <c r="L1401" s="17">
        <f t="shared" si="260"/>
        <v>108.66570067434981</v>
      </c>
      <c r="M1401" s="16">
        <f t="shared" si="262"/>
        <v>0</v>
      </c>
      <c r="N1401" s="17">
        <f>VLOOKUP(K1401,RPM!$A$2:$D$62,3,FALSE)</f>
        <v>13</v>
      </c>
      <c r="O1401" s="16">
        <f>VLOOKUP(K1401,RPM!$A$2:$D$62,4,FALSE)</f>
        <v>13.235857142857142</v>
      </c>
      <c r="P1401" s="17">
        <f t="shared" si="252"/>
        <v>9.8699786714285711</v>
      </c>
      <c r="Q1401" s="16" cm="1">
        <f t="array" ref="Q1401">_xlfn.XLOOKUP(O1401,BSFC!$A$2:$A$24,_xlfn.XLOOKUP(K1401,BSFC!$B$1:$O$1,BSFC!$B$2:$O$24,,-1),,-1)</f>
        <v>520</v>
      </c>
      <c r="R1401" s="17">
        <f t="shared" si="253"/>
        <v>1.425663585873016</v>
      </c>
      <c r="S1401" s="16">
        <f t="shared" si="254"/>
        <v>2.0443068048074323E-4</v>
      </c>
      <c r="T1401" s="17">
        <f t="shared" si="257"/>
        <v>0.10630395384998648</v>
      </c>
      <c r="U1401" s="16">
        <f t="shared" si="258"/>
        <v>180.2529056156944</v>
      </c>
      <c r="V1401" s="17">
        <f t="shared" si="259"/>
        <v>0.3705249998709243</v>
      </c>
      <c r="W1401" s="16">
        <f t="shared" si="255"/>
        <v>1333889.9995353275</v>
      </c>
      <c r="X1401">
        <f>('Hybrid Info'!$A$2-Track!P1401)*(L1401-L1400)*1000+X1400</f>
        <v>-21879.692952075358</v>
      </c>
    </row>
    <row r="1402" spans="1:24">
      <c r="A1402" s="16">
        <f t="shared" si="256"/>
        <v>1401</v>
      </c>
      <c r="B1402" s="17">
        <f t="shared" si="263"/>
        <v>13.411199999999999</v>
      </c>
      <c r="C1402" s="16">
        <f>Specification!$G$32</f>
        <v>219.92450400000001</v>
      </c>
      <c r="D1402" s="17">
        <f>0.5*Specification!$K$4*Track!B1402^2*Specification!$K$3*Specification!$K$2</f>
        <v>93.159842569492653</v>
      </c>
      <c r="E1402" s="16">
        <v>0</v>
      </c>
      <c r="F1402" s="17">
        <f>Specification!$C$23*9.81*SIN((E1402*PI()/180))</f>
        <v>0</v>
      </c>
      <c r="G1402" s="18">
        <f>IF(J1402=1,VLOOKUP(K1402,RPM!$E$2:$H$62,3,FALSE)-F1402-E1402-D1402,IF(J1402=2,VLOOKUP(K1402,RPM!$H$2:$K$62,3,FALSE)-F1402-E1402-D1402,IF(J1402=3,VLOOKUP(K1402,RPM!$K$2:$N$62,3,FALSE)-F1402-E1402-D1402)))</f>
        <v>688.48526429214962</v>
      </c>
      <c r="H1402" s="19">
        <f>IF(J1402=1,Specification!$I$14,IF(J1402=2,Specification!$I$15,IF(J1402=3,Specification!$I$16)))</f>
        <v>582.50936296077191</v>
      </c>
      <c r="I1402" s="16">
        <f t="shared" si="261"/>
        <v>0</v>
      </c>
      <c r="J1402" s="17">
        <v>2</v>
      </c>
      <c r="K1402" s="16">
        <f>IF(J1402=1,VLOOKUP(B1402,RPM!$F$2:$H$62,3,TRUE),IF(J1402=2,VLOOKUP(B1402,RPM!$I$2:$K$62,3,TRUE),IF(J1402=3,VLOOKUP(B1402,RPM!$L$2:$N$62,3,TRUE))))</f>
        <v>7000</v>
      </c>
      <c r="L1402" s="17">
        <f t="shared" si="260"/>
        <v>108.74026521741828</v>
      </c>
      <c r="M1402" s="16">
        <f t="shared" si="262"/>
        <v>0</v>
      </c>
      <c r="N1402" s="17">
        <f>VLOOKUP(K1402,RPM!$A$2:$D$62,3,FALSE)</f>
        <v>13</v>
      </c>
      <c r="O1402" s="16">
        <f>VLOOKUP(K1402,RPM!$A$2:$D$62,4,FALSE)</f>
        <v>13.235857142857142</v>
      </c>
      <c r="P1402" s="17">
        <f t="shared" si="252"/>
        <v>9.8699786714285711</v>
      </c>
      <c r="Q1402" s="16" cm="1">
        <f t="array" ref="Q1402">_xlfn.XLOOKUP(O1402,BSFC!$A$2:$A$24,_xlfn.XLOOKUP(K1402,BSFC!$B$1:$O$1,BSFC!$B$2:$O$24,,-1),,-1)</f>
        <v>520</v>
      </c>
      <c r="R1402" s="17">
        <f t="shared" si="253"/>
        <v>1.425663585873016</v>
      </c>
      <c r="S1402" s="16">
        <f t="shared" si="254"/>
        <v>2.0443068048074323E-4</v>
      </c>
      <c r="T1402" s="17">
        <f t="shared" si="257"/>
        <v>0.10630395384998648</v>
      </c>
      <c r="U1402" s="16">
        <f t="shared" si="258"/>
        <v>180.35920956954439</v>
      </c>
      <c r="V1402" s="17">
        <f t="shared" si="259"/>
        <v>0.37072943055140506</v>
      </c>
      <c r="W1402" s="16">
        <f t="shared" si="255"/>
        <v>1334625.9499850583</v>
      </c>
      <c r="X1402">
        <f>('Hybrid Info'!$A$2-Track!P1402)*(L1402-L1401)*1000+X1401</f>
        <v>-21711.887243089106</v>
      </c>
    </row>
    <row r="1403" spans="1:24">
      <c r="A1403" s="16">
        <f t="shared" si="256"/>
        <v>1402</v>
      </c>
      <c r="B1403" s="17">
        <f t="shared" si="263"/>
        <v>13.411199999999999</v>
      </c>
      <c r="C1403" s="16">
        <f>Specification!$G$32</f>
        <v>219.92450400000001</v>
      </c>
      <c r="D1403" s="17">
        <f>0.5*Specification!$K$4*Track!B1403^2*Specification!$K$3*Specification!$K$2</f>
        <v>93.159842569492653</v>
      </c>
      <c r="E1403" s="16">
        <v>0</v>
      </c>
      <c r="F1403" s="17">
        <f>Specification!$C$23*9.81*SIN((E1403*PI()/180))</f>
        <v>0</v>
      </c>
      <c r="G1403" s="18">
        <f>IF(J1403=1,VLOOKUP(K1403,RPM!$E$2:$H$62,3,FALSE)-F1403-E1403-D1403,IF(J1403=2,VLOOKUP(K1403,RPM!$H$2:$K$62,3,FALSE)-F1403-E1403-D1403,IF(J1403=3,VLOOKUP(K1403,RPM!$K$2:$N$62,3,FALSE)-F1403-E1403-D1403)))</f>
        <v>688.48526429214962</v>
      </c>
      <c r="H1403" s="19">
        <f>IF(J1403=1,Specification!$I$14,IF(J1403=2,Specification!$I$15,IF(J1403=3,Specification!$I$16)))</f>
        <v>582.50936296077191</v>
      </c>
      <c r="I1403" s="16">
        <f t="shared" si="261"/>
        <v>0</v>
      </c>
      <c r="J1403" s="17">
        <v>2</v>
      </c>
      <c r="K1403" s="16">
        <f>IF(J1403=1,VLOOKUP(B1403,RPM!$F$2:$H$62,3,TRUE),IF(J1403=2,VLOOKUP(B1403,RPM!$I$2:$K$62,3,TRUE),IF(J1403=3,VLOOKUP(B1403,RPM!$L$2:$N$62,3,TRUE))))</f>
        <v>7000</v>
      </c>
      <c r="L1403" s="17">
        <f t="shared" si="260"/>
        <v>108.81482976048676</v>
      </c>
      <c r="M1403" s="16">
        <f t="shared" si="262"/>
        <v>0</v>
      </c>
      <c r="N1403" s="17">
        <f>VLOOKUP(K1403,RPM!$A$2:$D$62,3,FALSE)</f>
        <v>13</v>
      </c>
      <c r="O1403" s="16">
        <f>VLOOKUP(K1403,RPM!$A$2:$D$62,4,FALSE)</f>
        <v>13.235857142857142</v>
      </c>
      <c r="P1403" s="17">
        <f t="shared" si="252"/>
        <v>9.8699786714285711</v>
      </c>
      <c r="Q1403" s="16" cm="1">
        <f t="array" ref="Q1403">_xlfn.XLOOKUP(O1403,BSFC!$A$2:$A$24,_xlfn.XLOOKUP(K1403,BSFC!$B$1:$O$1,BSFC!$B$2:$O$24,,-1),,-1)</f>
        <v>520</v>
      </c>
      <c r="R1403" s="17">
        <f t="shared" si="253"/>
        <v>1.425663585873016</v>
      </c>
      <c r="S1403" s="16">
        <f t="shared" si="254"/>
        <v>2.0443068048074323E-4</v>
      </c>
      <c r="T1403" s="17">
        <f t="shared" si="257"/>
        <v>0.10630395384998648</v>
      </c>
      <c r="U1403" s="16">
        <f t="shared" si="258"/>
        <v>180.46551352339438</v>
      </c>
      <c r="V1403" s="17">
        <f t="shared" si="259"/>
        <v>0.37093386123188582</v>
      </c>
      <c r="W1403" s="16">
        <f t="shared" si="255"/>
        <v>1335361.900434789</v>
      </c>
      <c r="X1403">
        <f>('Hybrid Info'!$A$2-Track!P1403)*(L1403-L1402)*1000+X1402</f>
        <v>-21544.081534102854</v>
      </c>
    </row>
    <row r="1404" spans="1:24">
      <c r="A1404" s="16">
        <f t="shared" si="256"/>
        <v>1403</v>
      </c>
      <c r="B1404" s="17">
        <f t="shared" si="263"/>
        <v>13.411199999999999</v>
      </c>
      <c r="C1404" s="16">
        <f>Specification!$G$32</f>
        <v>219.92450400000001</v>
      </c>
      <c r="D1404" s="17">
        <f>0.5*Specification!$K$4*Track!B1404^2*Specification!$K$3*Specification!$K$2</f>
        <v>93.159842569492653</v>
      </c>
      <c r="E1404" s="16">
        <v>0</v>
      </c>
      <c r="F1404" s="17">
        <f>Specification!$C$23*9.81*SIN((E1404*PI()/180))</f>
        <v>0</v>
      </c>
      <c r="G1404" s="18">
        <f>IF(J1404=1,VLOOKUP(K1404,RPM!$E$2:$H$62,3,FALSE)-F1404-E1404-D1404,IF(J1404=2,VLOOKUP(K1404,RPM!$H$2:$K$62,3,FALSE)-F1404-E1404-D1404,IF(J1404=3,VLOOKUP(K1404,RPM!$K$2:$N$62,3,FALSE)-F1404-E1404-D1404)))</f>
        <v>688.48526429214962</v>
      </c>
      <c r="H1404" s="19">
        <f>IF(J1404=1,Specification!$I$14,IF(J1404=2,Specification!$I$15,IF(J1404=3,Specification!$I$16)))</f>
        <v>582.50936296077191</v>
      </c>
      <c r="I1404" s="16">
        <f t="shared" si="261"/>
        <v>0</v>
      </c>
      <c r="J1404" s="17">
        <v>2</v>
      </c>
      <c r="K1404" s="16">
        <f>IF(J1404=1,VLOOKUP(B1404,RPM!$F$2:$H$62,3,TRUE),IF(J1404=2,VLOOKUP(B1404,RPM!$I$2:$K$62,3,TRUE),IF(J1404=3,VLOOKUP(B1404,RPM!$L$2:$N$62,3,TRUE))))</f>
        <v>7000</v>
      </c>
      <c r="L1404" s="17">
        <f t="shared" si="260"/>
        <v>108.88939430355524</v>
      </c>
      <c r="M1404" s="16">
        <f t="shared" si="262"/>
        <v>0</v>
      </c>
      <c r="N1404" s="17">
        <f>VLOOKUP(K1404,RPM!$A$2:$D$62,3,FALSE)</f>
        <v>13</v>
      </c>
      <c r="O1404" s="16">
        <f>VLOOKUP(K1404,RPM!$A$2:$D$62,4,FALSE)</f>
        <v>13.235857142857142</v>
      </c>
      <c r="P1404" s="17">
        <f t="shared" si="252"/>
        <v>9.8699786714285711</v>
      </c>
      <c r="Q1404" s="16" cm="1">
        <f t="array" ref="Q1404">_xlfn.XLOOKUP(O1404,BSFC!$A$2:$A$24,_xlfn.XLOOKUP(K1404,BSFC!$B$1:$O$1,BSFC!$B$2:$O$24,,-1),,-1)</f>
        <v>520</v>
      </c>
      <c r="R1404" s="17">
        <f t="shared" si="253"/>
        <v>1.425663585873016</v>
      </c>
      <c r="S1404" s="16">
        <f t="shared" si="254"/>
        <v>2.0443068048074323E-4</v>
      </c>
      <c r="T1404" s="17">
        <f t="shared" si="257"/>
        <v>0.10630395384998648</v>
      </c>
      <c r="U1404" s="16">
        <f t="shared" si="258"/>
        <v>180.57181747724437</v>
      </c>
      <c r="V1404" s="17">
        <f t="shared" si="259"/>
        <v>0.37113829191236658</v>
      </c>
      <c r="W1404" s="16">
        <f t="shared" si="255"/>
        <v>1336097.8508845198</v>
      </c>
      <c r="X1404">
        <f>('Hybrid Info'!$A$2-Track!P1404)*(L1404-L1403)*1000+X1403</f>
        <v>-21376.275825116601</v>
      </c>
    </row>
    <row r="1405" spans="1:24">
      <c r="A1405" s="16">
        <f t="shared" si="256"/>
        <v>1404</v>
      </c>
      <c r="B1405" s="17">
        <f t="shared" si="263"/>
        <v>13.411199999999999</v>
      </c>
      <c r="C1405" s="16">
        <f>Specification!$G$32</f>
        <v>219.92450400000001</v>
      </c>
      <c r="D1405" s="17">
        <f>0.5*Specification!$K$4*Track!B1405^2*Specification!$K$3*Specification!$K$2</f>
        <v>93.159842569492653</v>
      </c>
      <c r="E1405" s="16">
        <v>0</v>
      </c>
      <c r="F1405" s="17">
        <f>Specification!$C$23*9.81*SIN((E1405*PI()/180))</f>
        <v>0</v>
      </c>
      <c r="G1405" s="18">
        <f>IF(J1405=1,VLOOKUP(K1405,RPM!$E$2:$H$62,3,FALSE)-F1405-E1405-D1405,IF(J1405=2,VLOOKUP(K1405,RPM!$H$2:$K$62,3,FALSE)-F1405-E1405-D1405,IF(J1405=3,VLOOKUP(K1405,RPM!$K$2:$N$62,3,FALSE)-F1405-E1405-D1405)))</f>
        <v>688.48526429214962</v>
      </c>
      <c r="H1405" s="19">
        <f>IF(J1405=1,Specification!$I$14,IF(J1405=2,Specification!$I$15,IF(J1405=3,Specification!$I$16)))</f>
        <v>582.50936296077191</v>
      </c>
      <c r="I1405" s="16">
        <f t="shared" si="261"/>
        <v>0</v>
      </c>
      <c r="J1405" s="17">
        <v>2</v>
      </c>
      <c r="K1405" s="16">
        <f>IF(J1405=1,VLOOKUP(B1405,RPM!$F$2:$H$62,3,TRUE),IF(J1405=2,VLOOKUP(B1405,RPM!$I$2:$K$62,3,TRUE),IF(J1405=3,VLOOKUP(B1405,RPM!$L$2:$N$62,3,TRUE))))</f>
        <v>7000</v>
      </c>
      <c r="L1405" s="17">
        <f t="shared" si="260"/>
        <v>108.96395884662371</v>
      </c>
      <c r="M1405" s="16">
        <f t="shared" si="262"/>
        <v>0</v>
      </c>
      <c r="N1405" s="17">
        <f>VLOOKUP(K1405,RPM!$A$2:$D$62,3,FALSE)</f>
        <v>13</v>
      </c>
      <c r="O1405" s="16">
        <f>VLOOKUP(K1405,RPM!$A$2:$D$62,4,FALSE)</f>
        <v>13.235857142857142</v>
      </c>
      <c r="P1405" s="17">
        <f t="shared" si="252"/>
        <v>9.8699786714285711</v>
      </c>
      <c r="Q1405" s="16" cm="1">
        <f t="array" ref="Q1405">_xlfn.XLOOKUP(O1405,BSFC!$A$2:$A$24,_xlfn.XLOOKUP(K1405,BSFC!$B$1:$O$1,BSFC!$B$2:$O$24,,-1),,-1)</f>
        <v>520</v>
      </c>
      <c r="R1405" s="17">
        <f t="shared" si="253"/>
        <v>1.425663585873016</v>
      </c>
      <c r="S1405" s="16">
        <f t="shared" si="254"/>
        <v>2.0443068048074323E-4</v>
      </c>
      <c r="T1405" s="17">
        <f t="shared" si="257"/>
        <v>0.10630395384998648</v>
      </c>
      <c r="U1405" s="16">
        <f t="shared" si="258"/>
        <v>180.67812143109435</v>
      </c>
      <c r="V1405" s="17">
        <f t="shared" si="259"/>
        <v>0.37134272259284734</v>
      </c>
      <c r="W1405" s="16">
        <f t="shared" si="255"/>
        <v>1336833.8013342505</v>
      </c>
      <c r="X1405">
        <f>('Hybrid Info'!$A$2-Track!P1405)*(L1405-L1404)*1000+X1404</f>
        <v>-21208.470116130349</v>
      </c>
    </row>
    <row r="1406" spans="1:24">
      <c r="A1406" s="16">
        <f t="shared" si="256"/>
        <v>1405</v>
      </c>
      <c r="B1406" s="17">
        <f t="shared" si="263"/>
        <v>13.411199999999999</v>
      </c>
      <c r="C1406" s="16">
        <f>Specification!$G$32</f>
        <v>219.92450400000001</v>
      </c>
      <c r="D1406" s="17">
        <f>0.5*Specification!$K$4*Track!B1406^2*Specification!$K$3*Specification!$K$2</f>
        <v>93.159842569492653</v>
      </c>
      <c r="E1406" s="16">
        <v>0</v>
      </c>
      <c r="F1406" s="17">
        <f>Specification!$C$23*9.81*SIN((E1406*PI()/180))</f>
        <v>0</v>
      </c>
      <c r="G1406" s="18">
        <f>IF(J1406=1,VLOOKUP(K1406,RPM!$E$2:$H$62,3,FALSE)-F1406-E1406-D1406,IF(J1406=2,VLOOKUP(K1406,RPM!$H$2:$K$62,3,FALSE)-F1406-E1406-D1406,IF(J1406=3,VLOOKUP(K1406,RPM!$K$2:$N$62,3,FALSE)-F1406-E1406-D1406)))</f>
        <v>688.48526429214962</v>
      </c>
      <c r="H1406" s="19">
        <f>IF(J1406=1,Specification!$I$14,IF(J1406=2,Specification!$I$15,IF(J1406=3,Specification!$I$16)))</f>
        <v>582.50936296077191</v>
      </c>
      <c r="I1406" s="16">
        <f t="shared" si="261"/>
        <v>0</v>
      </c>
      <c r="J1406" s="17">
        <v>2</v>
      </c>
      <c r="K1406" s="16">
        <f>IF(J1406=1,VLOOKUP(B1406,RPM!$F$2:$H$62,3,TRUE),IF(J1406=2,VLOOKUP(B1406,RPM!$I$2:$K$62,3,TRUE),IF(J1406=3,VLOOKUP(B1406,RPM!$L$2:$N$62,3,TRUE))))</f>
        <v>7000</v>
      </c>
      <c r="L1406" s="17">
        <f t="shared" si="260"/>
        <v>109.03852338969219</v>
      </c>
      <c r="M1406" s="16">
        <f t="shared" si="262"/>
        <v>0</v>
      </c>
      <c r="N1406" s="17">
        <f>VLOOKUP(K1406,RPM!$A$2:$D$62,3,FALSE)</f>
        <v>13</v>
      </c>
      <c r="O1406" s="16">
        <f>VLOOKUP(K1406,RPM!$A$2:$D$62,4,FALSE)</f>
        <v>13.235857142857142</v>
      </c>
      <c r="P1406" s="17">
        <f t="shared" si="252"/>
        <v>9.8699786714285711</v>
      </c>
      <c r="Q1406" s="16" cm="1">
        <f t="array" ref="Q1406">_xlfn.XLOOKUP(O1406,BSFC!$A$2:$A$24,_xlfn.XLOOKUP(K1406,BSFC!$B$1:$O$1,BSFC!$B$2:$O$24,,-1),,-1)</f>
        <v>520</v>
      </c>
      <c r="R1406" s="17">
        <f t="shared" si="253"/>
        <v>1.425663585873016</v>
      </c>
      <c r="S1406" s="16">
        <f t="shared" si="254"/>
        <v>2.0443068048074323E-4</v>
      </c>
      <c r="T1406" s="17">
        <f t="shared" si="257"/>
        <v>0.10630395384998648</v>
      </c>
      <c r="U1406" s="16">
        <f t="shared" si="258"/>
        <v>180.78442538494434</v>
      </c>
      <c r="V1406" s="17">
        <f t="shared" si="259"/>
        <v>0.3715471532733281</v>
      </c>
      <c r="W1406" s="16">
        <f t="shared" si="255"/>
        <v>1337569.7517839812</v>
      </c>
      <c r="X1406">
        <f>('Hybrid Info'!$A$2-Track!P1406)*(L1406-L1405)*1000+X1405</f>
        <v>-21040.664407144097</v>
      </c>
    </row>
    <row r="1407" spans="1:24">
      <c r="A1407" s="16">
        <f t="shared" si="256"/>
        <v>1406</v>
      </c>
      <c r="B1407" s="17">
        <f t="shared" si="263"/>
        <v>13.411199999999999</v>
      </c>
      <c r="C1407" s="16">
        <f>Specification!$G$32</f>
        <v>219.92450400000001</v>
      </c>
      <c r="D1407" s="17">
        <f>0.5*Specification!$K$4*Track!B1407^2*Specification!$K$3*Specification!$K$2</f>
        <v>93.159842569492653</v>
      </c>
      <c r="E1407" s="16">
        <v>0</v>
      </c>
      <c r="F1407" s="17">
        <f>Specification!$C$23*9.81*SIN((E1407*PI()/180))</f>
        <v>0</v>
      </c>
      <c r="G1407" s="18">
        <f>IF(J1407=1,VLOOKUP(K1407,RPM!$E$2:$H$62,3,FALSE)-F1407-E1407-D1407,IF(J1407=2,VLOOKUP(K1407,RPM!$H$2:$K$62,3,FALSE)-F1407-E1407-D1407,IF(J1407=3,VLOOKUP(K1407,RPM!$K$2:$N$62,3,FALSE)-F1407-E1407-D1407)))</f>
        <v>688.48526429214962</v>
      </c>
      <c r="H1407" s="19">
        <f>IF(J1407=1,Specification!$I$14,IF(J1407=2,Specification!$I$15,IF(J1407=3,Specification!$I$16)))</f>
        <v>582.50936296077191</v>
      </c>
      <c r="I1407" s="16">
        <f t="shared" si="261"/>
        <v>0</v>
      </c>
      <c r="J1407" s="17">
        <v>2</v>
      </c>
      <c r="K1407" s="16">
        <f>IF(J1407=1,VLOOKUP(B1407,RPM!$F$2:$H$62,3,TRUE),IF(J1407=2,VLOOKUP(B1407,RPM!$I$2:$K$62,3,TRUE),IF(J1407=3,VLOOKUP(B1407,RPM!$L$2:$N$62,3,TRUE))))</f>
        <v>7000</v>
      </c>
      <c r="L1407" s="17">
        <f t="shared" si="260"/>
        <v>109.11308793276066</v>
      </c>
      <c r="M1407" s="16">
        <f t="shared" si="262"/>
        <v>0</v>
      </c>
      <c r="N1407" s="17">
        <f>VLOOKUP(K1407,RPM!$A$2:$D$62,3,FALSE)</f>
        <v>13</v>
      </c>
      <c r="O1407" s="16">
        <f>VLOOKUP(K1407,RPM!$A$2:$D$62,4,FALSE)</f>
        <v>13.235857142857142</v>
      </c>
      <c r="P1407" s="17">
        <f t="shared" si="252"/>
        <v>9.8699786714285711</v>
      </c>
      <c r="Q1407" s="16" cm="1">
        <f t="array" ref="Q1407">_xlfn.XLOOKUP(O1407,BSFC!$A$2:$A$24,_xlfn.XLOOKUP(K1407,BSFC!$B$1:$O$1,BSFC!$B$2:$O$24,,-1),,-1)</f>
        <v>520</v>
      </c>
      <c r="R1407" s="17">
        <f t="shared" si="253"/>
        <v>1.425663585873016</v>
      </c>
      <c r="S1407" s="16">
        <f t="shared" si="254"/>
        <v>2.0443068048074323E-4</v>
      </c>
      <c r="T1407" s="17">
        <f t="shared" si="257"/>
        <v>0.10630395384998648</v>
      </c>
      <c r="U1407" s="16">
        <f t="shared" si="258"/>
        <v>180.89072933879433</v>
      </c>
      <c r="V1407" s="17">
        <f t="shared" si="259"/>
        <v>0.37175158395380886</v>
      </c>
      <c r="W1407" s="16">
        <f t="shared" si="255"/>
        <v>1338305.702233712</v>
      </c>
      <c r="X1407">
        <f>('Hybrid Info'!$A$2-Track!P1407)*(L1407-L1406)*1000+X1406</f>
        <v>-20872.858698157845</v>
      </c>
    </row>
    <row r="1408" spans="1:24">
      <c r="A1408" s="16">
        <f t="shared" si="256"/>
        <v>1407</v>
      </c>
      <c r="B1408" s="17">
        <f t="shared" si="263"/>
        <v>13.411199999999999</v>
      </c>
      <c r="C1408" s="16">
        <f>Specification!$G$32</f>
        <v>219.92450400000001</v>
      </c>
      <c r="D1408" s="17">
        <f>0.5*Specification!$K$4*Track!B1408^2*Specification!$K$3*Specification!$K$2</f>
        <v>93.159842569492653</v>
      </c>
      <c r="E1408" s="16">
        <v>0</v>
      </c>
      <c r="F1408" s="17">
        <f>Specification!$C$23*9.81*SIN((E1408*PI()/180))</f>
        <v>0</v>
      </c>
      <c r="G1408" s="18">
        <f>IF(J1408=1,VLOOKUP(K1408,RPM!$E$2:$H$62,3,FALSE)-F1408-E1408-D1408,IF(J1408=2,VLOOKUP(K1408,RPM!$H$2:$K$62,3,FALSE)-F1408-E1408-D1408,IF(J1408=3,VLOOKUP(K1408,RPM!$K$2:$N$62,3,FALSE)-F1408-E1408-D1408)))</f>
        <v>688.48526429214962</v>
      </c>
      <c r="H1408" s="19">
        <f>IF(J1408=1,Specification!$I$14,IF(J1408=2,Specification!$I$15,IF(J1408=3,Specification!$I$16)))</f>
        <v>582.50936296077191</v>
      </c>
      <c r="I1408" s="16">
        <f t="shared" si="261"/>
        <v>0</v>
      </c>
      <c r="J1408" s="17">
        <v>2</v>
      </c>
      <c r="K1408" s="16">
        <f>IF(J1408=1,VLOOKUP(B1408,RPM!$F$2:$H$62,3,TRUE),IF(J1408=2,VLOOKUP(B1408,RPM!$I$2:$K$62,3,TRUE),IF(J1408=3,VLOOKUP(B1408,RPM!$L$2:$N$62,3,TRUE))))</f>
        <v>7000</v>
      </c>
      <c r="L1408" s="17">
        <f t="shared" si="260"/>
        <v>109.18765247582914</v>
      </c>
      <c r="M1408" s="16">
        <f t="shared" si="262"/>
        <v>0</v>
      </c>
      <c r="N1408" s="17">
        <f>VLOOKUP(K1408,RPM!$A$2:$D$62,3,FALSE)</f>
        <v>13</v>
      </c>
      <c r="O1408" s="16">
        <f>VLOOKUP(K1408,RPM!$A$2:$D$62,4,FALSE)</f>
        <v>13.235857142857142</v>
      </c>
      <c r="P1408" s="17">
        <f t="shared" si="252"/>
        <v>9.8699786714285711</v>
      </c>
      <c r="Q1408" s="16" cm="1">
        <f t="array" ref="Q1408">_xlfn.XLOOKUP(O1408,BSFC!$A$2:$A$24,_xlfn.XLOOKUP(K1408,BSFC!$B$1:$O$1,BSFC!$B$2:$O$24,,-1),,-1)</f>
        <v>520</v>
      </c>
      <c r="R1408" s="17">
        <f t="shared" si="253"/>
        <v>1.425663585873016</v>
      </c>
      <c r="S1408" s="16">
        <f t="shared" si="254"/>
        <v>2.0443068048074323E-4</v>
      </c>
      <c r="T1408" s="17">
        <f t="shared" si="257"/>
        <v>0.10630395384998648</v>
      </c>
      <c r="U1408" s="16">
        <f t="shared" si="258"/>
        <v>180.99703329264432</v>
      </c>
      <c r="V1408" s="17">
        <f t="shared" si="259"/>
        <v>0.37195601463428962</v>
      </c>
      <c r="W1408" s="16">
        <f t="shared" si="255"/>
        <v>1339041.6526834425</v>
      </c>
      <c r="X1408">
        <f>('Hybrid Info'!$A$2-Track!P1408)*(L1408-L1407)*1000+X1407</f>
        <v>-20705.052989171592</v>
      </c>
    </row>
    <row r="1409" spans="1:24">
      <c r="A1409" s="16">
        <f t="shared" si="256"/>
        <v>1408</v>
      </c>
      <c r="B1409" s="17">
        <f t="shared" si="263"/>
        <v>13.411199999999999</v>
      </c>
      <c r="C1409" s="16">
        <f>Specification!$G$32</f>
        <v>219.92450400000001</v>
      </c>
      <c r="D1409" s="17">
        <f>0.5*Specification!$K$4*Track!B1409^2*Specification!$K$3*Specification!$K$2</f>
        <v>93.159842569492653</v>
      </c>
      <c r="E1409" s="16">
        <v>0</v>
      </c>
      <c r="F1409" s="17">
        <f>Specification!$C$23*9.81*SIN((E1409*PI()/180))</f>
        <v>0</v>
      </c>
      <c r="G1409" s="18">
        <f>IF(J1409=1,VLOOKUP(K1409,RPM!$E$2:$H$62,3,FALSE)-F1409-E1409-D1409,IF(J1409=2,VLOOKUP(K1409,RPM!$H$2:$K$62,3,FALSE)-F1409-E1409-D1409,IF(J1409=3,VLOOKUP(K1409,RPM!$K$2:$N$62,3,FALSE)-F1409-E1409-D1409)))</f>
        <v>688.48526429214962</v>
      </c>
      <c r="H1409" s="19">
        <f>IF(J1409=1,Specification!$I$14,IF(J1409=2,Specification!$I$15,IF(J1409=3,Specification!$I$16)))</f>
        <v>582.50936296077191</v>
      </c>
      <c r="I1409" s="16">
        <f t="shared" si="261"/>
        <v>0</v>
      </c>
      <c r="J1409" s="17">
        <v>2</v>
      </c>
      <c r="K1409" s="16">
        <f>IF(J1409=1,VLOOKUP(B1409,RPM!$F$2:$H$62,3,TRUE),IF(J1409=2,VLOOKUP(B1409,RPM!$I$2:$K$62,3,TRUE),IF(J1409=3,VLOOKUP(B1409,RPM!$L$2:$N$62,3,TRUE))))</f>
        <v>7000</v>
      </c>
      <c r="L1409" s="17">
        <f t="shared" si="260"/>
        <v>109.26221701889762</v>
      </c>
      <c r="M1409" s="16">
        <f t="shared" si="262"/>
        <v>0</v>
      </c>
      <c r="N1409" s="17">
        <f>VLOOKUP(K1409,RPM!$A$2:$D$62,3,FALSE)</f>
        <v>13</v>
      </c>
      <c r="O1409" s="16">
        <f>VLOOKUP(K1409,RPM!$A$2:$D$62,4,FALSE)</f>
        <v>13.235857142857142</v>
      </c>
      <c r="P1409" s="17">
        <f t="shared" si="252"/>
        <v>9.8699786714285711</v>
      </c>
      <c r="Q1409" s="16" cm="1">
        <f t="array" ref="Q1409">_xlfn.XLOOKUP(O1409,BSFC!$A$2:$A$24,_xlfn.XLOOKUP(K1409,BSFC!$B$1:$O$1,BSFC!$B$2:$O$24,,-1),,-1)</f>
        <v>520</v>
      </c>
      <c r="R1409" s="17">
        <f t="shared" si="253"/>
        <v>1.425663585873016</v>
      </c>
      <c r="S1409" s="16">
        <f t="shared" si="254"/>
        <v>2.0443068048074323E-4</v>
      </c>
      <c r="T1409" s="17">
        <f t="shared" si="257"/>
        <v>0.10630395384998648</v>
      </c>
      <c r="U1409" s="16">
        <f t="shared" si="258"/>
        <v>181.10333724649431</v>
      </c>
      <c r="V1409" s="17">
        <f t="shared" si="259"/>
        <v>0.37216044531477038</v>
      </c>
      <c r="W1409" s="16">
        <f t="shared" si="255"/>
        <v>1339777.6031331732</v>
      </c>
      <c r="X1409">
        <f>('Hybrid Info'!$A$2-Track!P1409)*(L1409-L1408)*1000+X1408</f>
        <v>-20537.24728018534</v>
      </c>
    </row>
    <row r="1410" spans="1:24">
      <c r="A1410" s="16">
        <f t="shared" si="256"/>
        <v>1409</v>
      </c>
      <c r="B1410" s="17">
        <f t="shared" si="263"/>
        <v>13.411199999999999</v>
      </c>
      <c r="C1410" s="16">
        <f>Specification!$G$32</f>
        <v>219.92450400000001</v>
      </c>
      <c r="D1410" s="17">
        <f>0.5*Specification!$K$4*Track!B1410^2*Specification!$K$3*Specification!$K$2</f>
        <v>93.159842569492653</v>
      </c>
      <c r="E1410" s="16">
        <v>0</v>
      </c>
      <c r="F1410" s="17">
        <f>Specification!$C$23*9.81*SIN((E1410*PI()/180))</f>
        <v>0</v>
      </c>
      <c r="G1410" s="18">
        <f>IF(J1410=1,VLOOKUP(K1410,RPM!$E$2:$H$62,3,FALSE)-F1410-E1410-D1410,IF(J1410=2,VLOOKUP(K1410,RPM!$H$2:$K$62,3,FALSE)-F1410-E1410-D1410,IF(J1410=3,VLOOKUP(K1410,RPM!$K$2:$N$62,3,FALSE)-F1410-E1410-D1410)))</f>
        <v>688.48526429214962</v>
      </c>
      <c r="H1410" s="19">
        <f>IF(J1410=1,Specification!$I$14,IF(J1410=2,Specification!$I$15,IF(J1410=3,Specification!$I$16)))</f>
        <v>582.50936296077191</v>
      </c>
      <c r="I1410" s="16">
        <f t="shared" si="261"/>
        <v>0</v>
      </c>
      <c r="J1410" s="17">
        <v>2</v>
      </c>
      <c r="K1410" s="16">
        <f>IF(J1410=1,VLOOKUP(B1410,RPM!$F$2:$H$62,3,TRUE),IF(J1410=2,VLOOKUP(B1410,RPM!$I$2:$K$62,3,TRUE),IF(J1410=3,VLOOKUP(B1410,RPM!$L$2:$N$62,3,TRUE))))</f>
        <v>7000</v>
      </c>
      <c r="L1410" s="17">
        <f t="shared" si="260"/>
        <v>109.33678156196609</v>
      </c>
      <c r="M1410" s="16">
        <f t="shared" si="262"/>
        <v>0</v>
      </c>
      <c r="N1410" s="17">
        <f>VLOOKUP(K1410,RPM!$A$2:$D$62,3,FALSE)</f>
        <v>13</v>
      </c>
      <c r="O1410" s="16">
        <f>VLOOKUP(K1410,RPM!$A$2:$D$62,4,FALSE)</f>
        <v>13.235857142857142</v>
      </c>
      <c r="P1410" s="17">
        <f t="shared" ref="P1410:P1473" si="264">O1410*0.7457</f>
        <v>9.8699786714285711</v>
      </c>
      <c r="Q1410" s="16" cm="1">
        <f t="array" ref="Q1410">_xlfn.XLOOKUP(O1410,BSFC!$A$2:$A$24,_xlfn.XLOOKUP(K1410,BSFC!$B$1:$O$1,BSFC!$B$2:$O$24,,-1),,-1)</f>
        <v>520</v>
      </c>
      <c r="R1410" s="17">
        <f t="shared" ref="R1410:R1473" si="265">Q1410*P1410/3600</f>
        <v>1.425663585873016</v>
      </c>
      <c r="S1410" s="16">
        <f t="shared" si="254"/>
        <v>2.0443068048074323E-4</v>
      </c>
      <c r="T1410" s="17">
        <f t="shared" si="257"/>
        <v>0.10630395384998648</v>
      </c>
      <c r="U1410" s="16">
        <f t="shared" si="258"/>
        <v>181.20964120034429</v>
      </c>
      <c r="V1410" s="17">
        <f t="shared" si="259"/>
        <v>0.37236487599525114</v>
      </c>
      <c r="W1410" s="16">
        <f t="shared" si="255"/>
        <v>1340513.5535829042</v>
      </c>
      <c r="X1410">
        <f>('Hybrid Info'!$A$2-Track!P1410)*(L1410-L1409)*1000+X1409</f>
        <v>-20369.441571199088</v>
      </c>
    </row>
    <row r="1411" spans="1:24">
      <c r="A1411" s="16">
        <f t="shared" si="256"/>
        <v>1410</v>
      </c>
      <c r="B1411" s="17">
        <f t="shared" si="263"/>
        <v>13.411199999999999</v>
      </c>
      <c r="C1411" s="16">
        <f>Specification!$G$32</f>
        <v>219.92450400000001</v>
      </c>
      <c r="D1411" s="17">
        <f>0.5*Specification!$K$4*Track!B1411^2*Specification!$K$3*Specification!$K$2</f>
        <v>93.159842569492653</v>
      </c>
      <c r="E1411" s="16">
        <v>0</v>
      </c>
      <c r="F1411" s="17">
        <f>Specification!$C$23*9.81*SIN((E1411*PI()/180))</f>
        <v>0</v>
      </c>
      <c r="G1411" s="18">
        <f>IF(J1411=1,VLOOKUP(K1411,RPM!$E$2:$H$62,3,FALSE)-F1411-E1411-D1411,IF(J1411=2,VLOOKUP(K1411,RPM!$H$2:$K$62,3,FALSE)-F1411-E1411-D1411,IF(J1411=3,VLOOKUP(K1411,RPM!$K$2:$N$62,3,FALSE)-F1411-E1411-D1411)))</f>
        <v>688.48526429214962</v>
      </c>
      <c r="H1411" s="19">
        <f>IF(J1411=1,Specification!$I$14,IF(J1411=2,Specification!$I$15,IF(J1411=3,Specification!$I$16)))</f>
        <v>582.50936296077191</v>
      </c>
      <c r="I1411" s="16">
        <f t="shared" si="261"/>
        <v>0</v>
      </c>
      <c r="J1411" s="17">
        <v>2</v>
      </c>
      <c r="K1411" s="16">
        <f>IF(J1411=1,VLOOKUP(B1411,RPM!$F$2:$H$62,3,TRUE),IF(J1411=2,VLOOKUP(B1411,RPM!$I$2:$K$62,3,TRUE),IF(J1411=3,VLOOKUP(B1411,RPM!$L$2:$N$62,3,TRUE))))</f>
        <v>7000</v>
      </c>
      <c r="L1411" s="17">
        <f t="shared" si="260"/>
        <v>109.41134610503457</v>
      </c>
      <c r="M1411" s="16">
        <f t="shared" si="262"/>
        <v>0</v>
      </c>
      <c r="N1411" s="17">
        <f>VLOOKUP(K1411,RPM!$A$2:$D$62,3,FALSE)</f>
        <v>13</v>
      </c>
      <c r="O1411" s="16">
        <f>VLOOKUP(K1411,RPM!$A$2:$D$62,4,FALSE)</f>
        <v>13.235857142857142</v>
      </c>
      <c r="P1411" s="17">
        <f t="shared" si="264"/>
        <v>9.8699786714285711</v>
      </c>
      <c r="Q1411" s="16" cm="1">
        <f t="array" ref="Q1411">_xlfn.XLOOKUP(O1411,BSFC!$A$2:$A$24,_xlfn.XLOOKUP(K1411,BSFC!$B$1:$O$1,BSFC!$B$2:$O$24,,-1),,-1)</f>
        <v>520</v>
      </c>
      <c r="R1411" s="17">
        <f t="shared" si="265"/>
        <v>1.425663585873016</v>
      </c>
      <c r="S1411" s="16">
        <f t="shared" ref="S1411:S1474" si="266">(L1411-L1410)/3600*P1411</f>
        <v>2.0443068048074323E-4</v>
      </c>
      <c r="T1411" s="17">
        <f t="shared" si="257"/>
        <v>0.10630395384998648</v>
      </c>
      <c r="U1411" s="16">
        <f t="shared" si="258"/>
        <v>181.31594515419428</v>
      </c>
      <c r="V1411" s="17">
        <f t="shared" si="259"/>
        <v>0.3725693066757319</v>
      </c>
      <c r="W1411" s="16">
        <f t="shared" ref="W1411:W1474" si="267">V1411*1000*3600</f>
        <v>1341249.5040326349</v>
      </c>
      <c r="X1411">
        <f>('Hybrid Info'!$A$2-Track!P1411)*(L1411-L1410)*1000+X1410</f>
        <v>-20201.635862212835</v>
      </c>
    </row>
    <row r="1412" spans="1:24">
      <c r="A1412" s="16">
        <f t="shared" ref="A1412:A1475" si="268">A1411+1</f>
        <v>1411</v>
      </c>
      <c r="B1412" s="17">
        <f t="shared" si="263"/>
        <v>13.411199999999999</v>
      </c>
      <c r="C1412" s="16">
        <f>Specification!$G$32</f>
        <v>219.92450400000001</v>
      </c>
      <c r="D1412" s="17">
        <f>0.5*Specification!$K$4*Track!B1412^2*Specification!$K$3*Specification!$K$2</f>
        <v>93.159842569492653</v>
      </c>
      <c r="E1412" s="16">
        <v>0</v>
      </c>
      <c r="F1412" s="17">
        <f>Specification!$C$23*9.81*SIN((E1412*PI()/180))</f>
        <v>0</v>
      </c>
      <c r="G1412" s="18">
        <f>IF(J1412=1,VLOOKUP(K1412,RPM!$E$2:$H$62,3,FALSE)-F1412-E1412-D1412,IF(J1412=2,VLOOKUP(K1412,RPM!$H$2:$K$62,3,FALSE)-F1412-E1412-D1412,IF(J1412=3,VLOOKUP(K1412,RPM!$K$2:$N$62,3,FALSE)-F1412-E1412-D1412)))</f>
        <v>688.48526429214962</v>
      </c>
      <c r="H1412" s="19">
        <f>IF(J1412=1,Specification!$I$14,IF(J1412=2,Specification!$I$15,IF(J1412=3,Specification!$I$16)))</f>
        <v>582.50936296077191</v>
      </c>
      <c r="I1412" s="16">
        <f t="shared" si="261"/>
        <v>0</v>
      </c>
      <c r="J1412" s="17">
        <v>2</v>
      </c>
      <c r="K1412" s="16">
        <f>IF(J1412=1,VLOOKUP(B1412,RPM!$F$2:$H$62,3,TRUE),IF(J1412=2,VLOOKUP(B1412,RPM!$I$2:$K$62,3,TRUE),IF(J1412=3,VLOOKUP(B1412,RPM!$L$2:$N$62,3,TRUE))))</f>
        <v>7000</v>
      </c>
      <c r="L1412" s="17">
        <f t="shared" si="260"/>
        <v>109.48591064810304</v>
      </c>
      <c r="M1412" s="16">
        <f t="shared" si="262"/>
        <v>0</v>
      </c>
      <c r="N1412" s="17">
        <f>VLOOKUP(K1412,RPM!$A$2:$D$62,3,FALSE)</f>
        <v>13</v>
      </c>
      <c r="O1412" s="16">
        <f>VLOOKUP(K1412,RPM!$A$2:$D$62,4,FALSE)</f>
        <v>13.235857142857142</v>
      </c>
      <c r="P1412" s="17">
        <f t="shared" si="264"/>
        <v>9.8699786714285711</v>
      </c>
      <c r="Q1412" s="16" cm="1">
        <f t="array" ref="Q1412">_xlfn.XLOOKUP(O1412,BSFC!$A$2:$A$24,_xlfn.XLOOKUP(K1412,BSFC!$B$1:$O$1,BSFC!$B$2:$O$24,,-1),,-1)</f>
        <v>520</v>
      </c>
      <c r="R1412" s="17">
        <f t="shared" si="265"/>
        <v>1.425663585873016</v>
      </c>
      <c r="S1412" s="16">
        <f t="shared" si="266"/>
        <v>2.0443068048074323E-4</v>
      </c>
      <c r="T1412" s="17">
        <f t="shared" ref="T1412:T1475" si="269">S1412*Q1412</f>
        <v>0.10630395384998648</v>
      </c>
      <c r="U1412" s="16">
        <f t="shared" ref="U1412:U1475" si="270">U1411+T1412</f>
        <v>181.42224910804427</v>
      </c>
      <c r="V1412" s="17">
        <f t="shared" si="259"/>
        <v>0.37277373735621266</v>
      </c>
      <c r="W1412" s="16">
        <f t="shared" si="267"/>
        <v>1341985.4544823656</v>
      </c>
      <c r="X1412">
        <f>('Hybrid Info'!$A$2-Track!P1412)*(L1412-L1411)*1000+X1411</f>
        <v>-20033.830153226583</v>
      </c>
    </row>
    <row r="1413" spans="1:24">
      <c r="A1413" s="16">
        <f t="shared" si="268"/>
        <v>1412</v>
      </c>
      <c r="B1413" s="17">
        <f t="shared" si="263"/>
        <v>13.411199999999999</v>
      </c>
      <c r="C1413" s="16">
        <f>Specification!$G$32</f>
        <v>219.92450400000001</v>
      </c>
      <c r="D1413" s="17">
        <f>0.5*Specification!$K$4*Track!B1413^2*Specification!$K$3*Specification!$K$2</f>
        <v>93.159842569492653</v>
      </c>
      <c r="E1413" s="16">
        <v>0</v>
      </c>
      <c r="F1413" s="17">
        <f>Specification!$C$23*9.81*SIN((E1413*PI()/180))</f>
        <v>0</v>
      </c>
      <c r="G1413" s="18">
        <f>IF(J1413=1,VLOOKUP(K1413,RPM!$E$2:$H$62,3,FALSE)-F1413-E1413-D1413,IF(J1413=2,VLOOKUP(K1413,RPM!$H$2:$K$62,3,FALSE)-F1413-E1413-D1413,IF(J1413=3,VLOOKUP(K1413,RPM!$K$2:$N$62,3,FALSE)-F1413-E1413-D1413)))</f>
        <v>688.48526429214962</v>
      </c>
      <c r="H1413" s="19">
        <f>IF(J1413=1,Specification!$I$14,IF(J1413=2,Specification!$I$15,IF(J1413=3,Specification!$I$16)))</f>
        <v>582.50936296077191</v>
      </c>
      <c r="I1413" s="16">
        <f t="shared" si="261"/>
        <v>0</v>
      </c>
      <c r="J1413" s="17">
        <v>2</v>
      </c>
      <c r="K1413" s="16">
        <f>IF(J1413=1,VLOOKUP(B1413,RPM!$F$2:$H$62,3,TRUE),IF(J1413=2,VLOOKUP(B1413,RPM!$I$2:$K$62,3,TRUE),IF(J1413=3,VLOOKUP(B1413,RPM!$L$2:$N$62,3,TRUE))))</f>
        <v>7000</v>
      </c>
      <c r="L1413" s="17">
        <f t="shared" si="260"/>
        <v>109.56047519117152</v>
      </c>
      <c r="M1413" s="16">
        <f t="shared" si="262"/>
        <v>0</v>
      </c>
      <c r="N1413" s="17">
        <f>VLOOKUP(K1413,RPM!$A$2:$D$62,3,FALSE)</f>
        <v>13</v>
      </c>
      <c r="O1413" s="16">
        <f>VLOOKUP(K1413,RPM!$A$2:$D$62,4,FALSE)</f>
        <v>13.235857142857142</v>
      </c>
      <c r="P1413" s="17">
        <f t="shared" si="264"/>
        <v>9.8699786714285711</v>
      </c>
      <c r="Q1413" s="16" cm="1">
        <f t="array" ref="Q1413">_xlfn.XLOOKUP(O1413,BSFC!$A$2:$A$24,_xlfn.XLOOKUP(K1413,BSFC!$B$1:$O$1,BSFC!$B$2:$O$24,,-1),,-1)</f>
        <v>520</v>
      </c>
      <c r="R1413" s="17">
        <f t="shared" si="265"/>
        <v>1.425663585873016</v>
      </c>
      <c r="S1413" s="16">
        <f t="shared" si="266"/>
        <v>2.0443068048074323E-4</v>
      </c>
      <c r="T1413" s="17">
        <f t="shared" si="269"/>
        <v>0.10630395384998648</v>
      </c>
      <c r="U1413" s="16">
        <f t="shared" si="270"/>
        <v>181.52855306189426</v>
      </c>
      <c r="V1413" s="17">
        <f t="shared" ref="V1413:V1476" si="271">V1412+S1413</f>
        <v>0.37297816803669342</v>
      </c>
      <c r="W1413" s="16">
        <f t="shared" si="267"/>
        <v>1342721.4049320964</v>
      </c>
      <c r="X1413">
        <f>('Hybrid Info'!$A$2-Track!P1413)*(L1413-L1412)*1000+X1412</f>
        <v>-19866.024444240331</v>
      </c>
    </row>
    <row r="1414" spans="1:24">
      <c r="A1414" s="16">
        <f t="shared" si="268"/>
        <v>1413</v>
      </c>
      <c r="B1414" s="17">
        <f t="shared" si="263"/>
        <v>13.411199999999999</v>
      </c>
      <c r="C1414" s="16">
        <f>Specification!$G$32</f>
        <v>219.92450400000001</v>
      </c>
      <c r="D1414" s="17">
        <f>0.5*Specification!$K$4*Track!B1414^2*Specification!$K$3*Specification!$K$2</f>
        <v>93.159842569492653</v>
      </c>
      <c r="E1414" s="16">
        <v>0</v>
      </c>
      <c r="F1414" s="17">
        <f>Specification!$C$23*9.81*SIN((E1414*PI()/180))</f>
        <v>0</v>
      </c>
      <c r="G1414" s="18">
        <f>IF(J1414=1,VLOOKUP(K1414,RPM!$E$2:$H$62,3,FALSE)-F1414-E1414-D1414,IF(J1414=2,VLOOKUP(K1414,RPM!$H$2:$K$62,3,FALSE)-F1414-E1414-D1414,IF(J1414=3,VLOOKUP(K1414,RPM!$K$2:$N$62,3,FALSE)-F1414-E1414-D1414)))</f>
        <v>688.48526429214962</v>
      </c>
      <c r="H1414" s="19">
        <f>IF(J1414=1,Specification!$I$14,IF(J1414=2,Specification!$I$15,IF(J1414=3,Specification!$I$16)))</f>
        <v>582.50936296077191</v>
      </c>
      <c r="I1414" s="16">
        <f t="shared" si="261"/>
        <v>0</v>
      </c>
      <c r="J1414" s="17">
        <v>2</v>
      </c>
      <c r="K1414" s="16">
        <f>IF(J1414=1,VLOOKUP(B1414,RPM!$F$2:$H$62,3,TRUE),IF(J1414=2,VLOOKUP(B1414,RPM!$I$2:$K$62,3,TRUE),IF(J1414=3,VLOOKUP(B1414,RPM!$L$2:$N$62,3,TRUE))))</f>
        <v>7000</v>
      </c>
      <c r="L1414" s="17">
        <f t="shared" si="260"/>
        <v>109.63503973424</v>
      </c>
      <c r="M1414" s="16">
        <f t="shared" si="262"/>
        <v>0</v>
      </c>
      <c r="N1414" s="17">
        <f>VLOOKUP(K1414,RPM!$A$2:$D$62,3,FALSE)</f>
        <v>13</v>
      </c>
      <c r="O1414" s="16">
        <f>VLOOKUP(K1414,RPM!$A$2:$D$62,4,FALSE)</f>
        <v>13.235857142857142</v>
      </c>
      <c r="P1414" s="17">
        <f t="shared" si="264"/>
        <v>9.8699786714285711</v>
      </c>
      <c r="Q1414" s="16" cm="1">
        <f t="array" ref="Q1414">_xlfn.XLOOKUP(O1414,BSFC!$A$2:$A$24,_xlfn.XLOOKUP(K1414,BSFC!$B$1:$O$1,BSFC!$B$2:$O$24,,-1),,-1)</f>
        <v>520</v>
      </c>
      <c r="R1414" s="17">
        <f t="shared" si="265"/>
        <v>1.425663585873016</v>
      </c>
      <c r="S1414" s="16">
        <f t="shared" si="266"/>
        <v>2.0443068048074323E-4</v>
      </c>
      <c r="T1414" s="17">
        <f t="shared" si="269"/>
        <v>0.10630395384998648</v>
      </c>
      <c r="U1414" s="16">
        <f t="shared" si="270"/>
        <v>181.63485701574425</v>
      </c>
      <c r="V1414" s="17">
        <f t="shared" si="271"/>
        <v>0.37318259871717419</v>
      </c>
      <c r="W1414" s="16">
        <f t="shared" si="267"/>
        <v>1343457.3553818271</v>
      </c>
      <c r="X1414">
        <f>('Hybrid Info'!$A$2-Track!P1414)*(L1414-L1413)*1000+X1413</f>
        <v>-19698.218735254079</v>
      </c>
    </row>
    <row r="1415" spans="1:24">
      <c r="A1415" s="16">
        <f t="shared" si="268"/>
        <v>1414</v>
      </c>
      <c r="B1415" s="17">
        <f t="shared" si="263"/>
        <v>13.411199999999999</v>
      </c>
      <c r="C1415" s="16">
        <f>Specification!$G$32</f>
        <v>219.92450400000001</v>
      </c>
      <c r="D1415" s="17">
        <f>0.5*Specification!$K$4*Track!B1415^2*Specification!$K$3*Specification!$K$2</f>
        <v>93.159842569492653</v>
      </c>
      <c r="E1415" s="16">
        <v>0</v>
      </c>
      <c r="F1415" s="17">
        <f>Specification!$C$23*9.81*SIN((E1415*PI()/180))</f>
        <v>0</v>
      </c>
      <c r="G1415" s="18">
        <f>IF(J1415=1,VLOOKUP(K1415,RPM!$E$2:$H$62,3,FALSE)-F1415-E1415-D1415,IF(J1415=2,VLOOKUP(K1415,RPM!$H$2:$K$62,3,FALSE)-F1415-E1415-D1415,IF(J1415=3,VLOOKUP(K1415,RPM!$K$2:$N$62,3,FALSE)-F1415-E1415-D1415)))</f>
        <v>688.48526429214962</v>
      </c>
      <c r="H1415" s="19">
        <f>IF(J1415=1,Specification!$I$14,IF(J1415=2,Specification!$I$15,IF(J1415=3,Specification!$I$16)))</f>
        <v>582.50936296077191</v>
      </c>
      <c r="I1415" s="16">
        <f t="shared" si="261"/>
        <v>0</v>
      </c>
      <c r="J1415" s="17">
        <v>2</v>
      </c>
      <c r="K1415" s="16">
        <f>IF(J1415=1,VLOOKUP(B1415,RPM!$F$2:$H$62,3,TRUE),IF(J1415=2,VLOOKUP(B1415,RPM!$I$2:$K$62,3,TRUE),IF(J1415=3,VLOOKUP(B1415,RPM!$L$2:$N$62,3,TRUE))))</f>
        <v>7000</v>
      </c>
      <c r="L1415" s="17">
        <f t="shared" si="260"/>
        <v>109.70960427730847</v>
      </c>
      <c r="M1415" s="16">
        <f t="shared" si="262"/>
        <v>0</v>
      </c>
      <c r="N1415" s="17">
        <f>VLOOKUP(K1415,RPM!$A$2:$D$62,3,FALSE)</f>
        <v>13</v>
      </c>
      <c r="O1415" s="16">
        <f>VLOOKUP(K1415,RPM!$A$2:$D$62,4,FALSE)</f>
        <v>13.235857142857142</v>
      </c>
      <c r="P1415" s="17">
        <f t="shared" si="264"/>
        <v>9.8699786714285711</v>
      </c>
      <c r="Q1415" s="16" cm="1">
        <f t="array" ref="Q1415">_xlfn.XLOOKUP(O1415,BSFC!$A$2:$A$24,_xlfn.XLOOKUP(K1415,BSFC!$B$1:$O$1,BSFC!$B$2:$O$24,,-1),,-1)</f>
        <v>520</v>
      </c>
      <c r="R1415" s="17">
        <f t="shared" si="265"/>
        <v>1.425663585873016</v>
      </c>
      <c r="S1415" s="16">
        <f t="shared" si="266"/>
        <v>2.0443068048074323E-4</v>
      </c>
      <c r="T1415" s="17">
        <f t="shared" si="269"/>
        <v>0.10630395384998648</v>
      </c>
      <c r="U1415" s="16">
        <f t="shared" si="270"/>
        <v>181.74116096959423</v>
      </c>
      <c r="V1415" s="17">
        <f t="shared" si="271"/>
        <v>0.37338702939765495</v>
      </c>
      <c r="W1415" s="16">
        <f t="shared" si="267"/>
        <v>1344193.3058315578</v>
      </c>
      <c r="X1415">
        <f>('Hybrid Info'!$A$2-Track!P1415)*(L1415-L1414)*1000+X1414</f>
        <v>-19530.413026267826</v>
      </c>
    </row>
    <row r="1416" spans="1:24">
      <c r="A1416" s="16">
        <f t="shared" si="268"/>
        <v>1415</v>
      </c>
      <c r="B1416" s="17">
        <f t="shared" si="263"/>
        <v>13.411199999999999</v>
      </c>
      <c r="C1416" s="16">
        <f>Specification!$G$32</f>
        <v>219.92450400000001</v>
      </c>
      <c r="D1416" s="17">
        <f>0.5*Specification!$K$4*Track!B1416^2*Specification!$K$3*Specification!$K$2</f>
        <v>93.159842569492653</v>
      </c>
      <c r="E1416" s="16">
        <v>0</v>
      </c>
      <c r="F1416" s="17">
        <f>Specification!$C$23*9.81*SIN((E1416*PI()/180))</f>
        <v>0</v>
      </c>
      <c r="G1416" s="18">
        <f>IF(J1416=1,VLOOKUP(K1416,RPM!$E$2:$H$62,3,FALSE)-F1416-E1416-D1416,IF(J1416=2,VLOOKUP(K1416,RPM!$H$2:$K$62,3,FALSE)-F1416-E1416-D1416,IF(J1416=3,VLOOKUP(K1416,RPM!$K$2:$N$62,3,FALSE)-F1416-E1416-D1416)))</f>
        <v>688.48526429214962</v>
      </c>
      <c r="H1416" s="19">
        <f>IF(J1416=1,Specification!$I$14,IF(J1416=2,Specification!$I$15,IF(J1416=3,Specification!$I$16)))</f>
        <v>582.50936296077191</v>
      </c>
      <c r="I1416" s="16">
        <f t="shared" si="261"/>
        <v>0</v>
      </c>
      <c r="J1416" s="17">
        <v>2</v>
      </c>
      <c r="K1416" s="16">
        <f>IF(J1416=1,VLOOKUP(B1416,RPM!$F$2:$H$62,3,TRUE),IF(J1416=2,VLOOKUP(B1416,RPM!$I$2:$K$62,3,TRUE),IF(J1416=3,VLOOKUP(B1416,RPM!$L$2:$N$62,3,TRUE))))</f>
        <v>7000</v>
      </c>
      <c r="L1416" s="17">
        <f t="shared" si="260"/>
        <v>109.78416882037695</v>
      </c>
      <c r="M1416" s="16">
        <f t="shared" si="262"/>
        <v>0</v>
      </c>
      <c r="N1416" s="17">
        <f>VLOOKUP(K1416,RPM!$A$2:$D$62,3,FALSE)</f>
        <v>13</v>
      </c>
      <c r="O1416" s="16">
        <f>VLOOKUP(K1416,RPM!$A$2:$D$62,4,FALSE)</f>
        <v>13.235857142857142</v>
      </c>
      <c r="P1416" s="17">
        <f t="shared" si="264"/>
        <v>9.8699786714285711</v>
      </c>
      <c r="Q1416" s="16" cm="1">
        <f t="array" ref="Q1416">_xlfn.XLOOKUP(O1416,BSFC!$A$2:$A$24,_xlfn.XLOOKUP(K1416,BSFC!$B$1:$O$1,BSFC!$B$2:$O$24,,-1),,-1)</f>
        <v>520</v>
      </c>
      <c r="R1416" s="17">
        <f t="shared" si="265"/>
        <v>1.425663585873016</v>
      </c>
      <c r="S1416" s="16">
        <f t="shared" si="266"/>
        <v>2.0443068048074323E-4</v>
      </c>
      <c r="T1416" s="17">
        <f t="shared" si="269"/>
        <v>0.10630395384998648</v>
      </c>
      <c r="U1416" s="16">
        <f t="shared" si="270"/>
        <v>181.84746492344422</v>
      </c>
      <c r="V1416" s="17">
        <f t="shared" si="271"/>
        <v>0.37359146007813571</v>
      </c>
      <c r="W1416" s="16">
        <f t="shared" si="267"/>
        <v>1344929.2562812886</v>
      </c>
      <c r="X1416">
        <f>('Hybrid Info'!$A$2-Track!P1416)*(L1416-L1415)*1000+X1415</f>
        <v>-19362.607317281574</v>
      </c>
    </row>
    <row r="1417" spans="1:24">
      <c r="A1417" s="16">
        <f t="shared" si="268"/>
        <v>1416</v>
      </c>
      <c r="B1417" s="17">
        <f t="shared" si="263"/>
        <v>13.411199999999999</v>
      </c>
      <c r="C1417" s="16">
        <f>Specification!$G$32</f>
        <v>219.92450400000001</v>
      </c>
      <c r="D1417" s="17">
        <f>0.5*Specification!$K$4*Track!B1417^2*Specification!$K$3*Specification!$K$2</f>
        <v>93.159842569492653</v>
      </c>
      <c r="E1417" s="16">
        <v>0</v>
      </c>
      <c r="F1417" s="17">
        <f>Specification!$C$23*9.81*SIN((E1417*PI()/180))</f>
        <v>0</v>
      </c>
      <c r="G1417" s="18">
        <f>IF(J1417=1,VLOOKUP(K1417,RPM!$E$2:$H$62,3,FALSE)-F1417-E1417-D1417,IF(J1417=2,VLOOKUP(K1417,RPM!$H$2:$K$62,3,FALSE)-F1417-E1417-D1417,IF(J1417=3,VLOOKUP(K1417,RPM!$K$2:$N$62,3,FALSE)-F1417-E1417-D1417)))</f>
        <v>688.48526429214962</v>
      </c>
      <c r="H1417" s="19">
        <f>IF(J1417=1,Specification!$I$14,IF(J1417=2,Specification!$I$15,IF(J1417=3,Specification!$I$16)))</f>
        <v>582.50936296077191</v>
      </c>
      <c r="I1417" s="16">
        <f t="shared" si="261"/>
        <v>0</v>
      </c>
      <c r="J1417" s="17">
        <v>2</v>
      </c>
      <c r="K1417" s="16">
        <f>IF(J1417=1,VLOOKUP(B1417,RPM!$F$2:$H$62,3,TRUE),IF(J1417=2,VLOOKUP(B1417,RPM!$I$2:$K$62,3,TRUE),IF(J1417=3,VLOOKUP(B1417,RPM!$L$2:$N$62,3,TRUE))))</f>
        <v>7000</v>
      </c>
      <c r="L1417" s="17">
        <f t="shared" si="260"/>
        <v>109.85873336344542</v>
      </c>
      <c r="M1417" s="16">
        <f t="shared" si="262"/>
        <v>0</v>
      </c>
      <c r="N1417" s="17">
        <f>VLOOKUP(K1417,RPM!$A$2:$D$62,3,FALSE)</f>
        <v>13</v>
      </c>
      <c r="O1417" s="16">
        <f>VLOOKUP(K1417,RPM!$A$2:$D$62,4,FALSE)</f>
        <v>13.235857142857142</v>
      </c>
      <c r="P1417" s="17">
        <f t="shared" si="264"/>
        <v>9.8699786714285711</v>
      </c>
      <c r="Q1417" s="16" cm="1">
        <f t="array" ref="Q1417">_xlfn.XLOOKUP(O1417,BSFC!$A$2:$A$24,_xlfn.XLOOKUP(K1417,BSFC!$B$1:$O$1,BSFC!$B$2:$O$24,,-1),,-1)</f>
        <v>520</v>
      </c>
      <c r="R1417" s="17">
        <f t="shared" si="265"/>
        <v>1.425663585873016</v>
      </c>
      <c r="S1417" s="16">
        <f t="shared" si="266"/>
        <v>2.0443068048074323E-4</v>
      </c>
      <c r="T1417" s="17">
        <f t="shared" si="269"/>
        <v>0.10630395384998648</v>
      </c>
      <c r="U1417" s="16">
        <f t="shared" si="270"/>
        <v>181.95376887729421</v>
      </c>
      <c r="V1417" s="17">
        <f t="shared" si="271"/>
        <v>0.37379589075861647</v>
      </c>
      <c r="W1417" s="16">
        <f t="shared" si="267"/>
        <v>1345665.2067310193</v>
      </c>
      <c r="X1417">
        <f>('Hybrid Info'!$A$2-Track!P1417)*(L1417-L1416)*1000+X1416</f>
        <v>-19194.801608295322</v>
      </c>
    </row>
    <row r="1418" spans="1:24">
      <c r="A1418" s="16">
        <f t="shared" si="268"/>
        <v>1417</v>
      </c>
      <c r="B1418" s="17">
        <f t="shared" si="263"/>
        <v>13.411199999999999</v>
      </c>
      <c r="C1418" s="16">
        <f>Specification!$G$32</f>
        <v>219.92450400000001</v>
      </c>
      <c r="D1418" s="17">
        <f>0.5*Specification!$K$4*Track!B1418^2*Specification!$K$3*Specification!$K$2</f>
        <v>93.159842569492653</v>
      </c>
      <c r="E1418" s="16">
        <v>0</v>
      </c>
      <c r="F1418" s="17">
        <f>Specification!$C$23*9.81*SIN((E1418*PI()/180))</f>
        <v>0</v>
      </c>
      <c r="G1418" s="18">
        <f>IF(J1418=1,VLOOKUP(K1418,RPM!$E$2:$H$62,3,FALSE)-F1418-E1418-D1418,IF(J1418=2,VLOOKUP(K1418,RPM!$H$2:$K$62,3,FALSE)-F1418-E1418-D1418,IF(J1418=3,VLOOKUP(K1418,RPM!$K$2:$N$62,3,FALSE)-F1418-E1418-D1418)))</f>
        <v>688.48526429214962</v>
      </c>
      <c r="H1418" s="19">
        <f>IF(J1418=1,Specification!$I$14,IF(J1418=2,Specification!$I$15,IF(J1418=3,Specification!$I$16)))</f>
        <v>582.50936296077191</v>
      </c>
      <c r="I1418" s="16">
        <f t="shared" si="261"/>
        <v>0</v>
      </c>
      <c r="J1418" s="17">
        <v>2</v>
      </c>
      <c r="K1418" s="16">
        <f>IF(J1418=1,VLOOKUP(B1418,RPM!$F$2:$H$62,3,TRUE),IF(J1418=2,VLOOKUP(B1418,RPM!$I$2:$K$62,3,TRUE),IF(J1418=3,VLOOKUP(B1418,RPM!$L$2:$N$62,3,TRUE))))</f>
        <v>7000</v>
      </c>
      <c r="L1418" s="17">
        <f t="shared" si="260"/>
        <v>109.9332979065139</v>
      </c>
      <c r="M1418" s="16">
        <f t="shared" si="262"/>
        <v>0</v>
      </c>
      <c r="N1418" s="17">
        <f>VLOOKUP(K1418,RPM!$A$2:$D$62,3,FALSE)</f>
        <v>13</v>
      </c>
      <c r="O1418" s="16">
        <f>VLOOKUP(K1418,RPM!$A$2:$D$62,4,FALSE)</f>
        <v>13.235857142857142</v>
      </c>
      <c r="P1418" s="17">
        <f t="shared" si="264"/>
        <v>9.8699786714285711</v>
      </c>
      <c r="Q1418" s="16" cm="1">
        <f t="array" ref="Q1418">_xlfn.XLOOKUP(O1418,BSFC!$A$2:$A$24,_xlfn.XLOOKUP(K1418,BSFC!$B$1:$O$1,BSFC!$B$2:$O$24,,-1),,-1)</f>
        <v>520</v>
      </c>
      <c r="R1418" s="17">
        <f t="shared" si="265"/>
        <v>1.425663585873016</v>
      </c>
      <c r="S1418" s="16">
        <f t="shared" si="266"/>
        <v>2.0443068048074323E-4</v>
      </c>
      <c r="T1418" s="17">
        <f t="shared" si="269"/>
        <v>0.10630395384998648</v>
      </c>
      <c r="U1418" s="16">
        <f t="shared" si="270"/>
        <v>182.0600728311442</v>
      </c>
      <c r="V1418" s="17">
        <f t="shared" si="271"/>
        <v>0.37400032143909723</v>
      </c>
      <c r="W1418" s="16">
        <f t="shared" si="267"/>
        <v>1346401.15718075</v>
      </c>
      <c r="X1418">
        <f>('Hybrid Info'!$A$2-Track!P1418)*(L1418-L1417)*1000+X1417</f>
        <v>-19026.99589930907</v>
      </c>
    </row>
    <row r="1419" spans="1:24">
      <c r="A1419" s="16">
        <f t="shared" si="268"/>
        <v>1418</v>
      </c>
      <c r="B1419" s="17">
        <f t="shared" si="263"/>
        <v>13.411199999999999</v>
      </c>
      <c r="C1419" s="16">
        <f>Specification!$G$32</f>
        <v>219.92450400000001</v>
      </c>
      <c r="D1419" s="17">
        <f>0.5*Specification!$K$4*Track!B1419^2*Specification!$K$3*Specification!$K$2</f>
        <v>93.159842569492653</v>
      </c>
      <c r="E1419" s="16">
        <v>0</v>
      </c>
      <c r="F1419" s="17">
        <f>Specification!$C$23*9.81*SIN((E1419*PI()/180))</f>
        <v>0</v>
      </c>
      <c r="G1419" s="18">
        <f>IF(J1419=1,VLOOKUP(K1419,RPM!$E$2:$H$62,3,FALSE)-F1419-E1419-D1419,IF(J1419=2,VLOOKUP(K1419,RPM!$H$2:$K$62,3,FALSE)-F1419-E1419-D1419,IF(J1419=3,VLOOKUP(K1419,RPM!$K$2:$N$62,3,FALSE)-F1419-E1419-D1419)))</f>
        <v>688.48526429214962</v>
      </c>
      <c r="H1419" s="19">
        <f>IF(J1419=1,Specification!$I$14,IF(J1419=2,Specification!$I$15,IF(J1419=3,Specification!$I$16)))</f>
        <v>582.50936296077191</v>
      </c>
      <c r="I1419" s="16">
        <f t="shared" si="261"/>
        <v>0</v>
      </c>
      <c r="J1419" s="17">
        <v>2</v>
      </c>
      <c r="K1419" s="16">
        <f>IF(J1419=1,VLOOKUP(B1419,RPM!$F$2:$H$62,3,TRUE),IF(J1419=2,VLOOKUP(B1419,RPM!$I$2:$K$62,3,TRUE),IF(J1419=3,VLOOKUP(B1419,RPM!$L$2:$N$62,3,TRUE))))</f>
        <v>7000</v>
      </c>
      <c r="L1419" s="17">
        <f t="shared" si="260"/>
        <v>110.00786244958238</v>
      </c>
      <c r="M1419" s="16">
        <f t="shared" si="262"/>
        <v>0</v>
      </c>
      <c r="N1419" s="17">
        <f>VLOOKUP(K1419,RPM!$A$2:$D$62,3,FALSE)</f>
        <v>13</v>
      </c>
      <c r="O1419" s="16">
        <f>VLOOKUP(K1419,RPM!$A$2:$D$62,4,FALSE)</f>
        <v>13.235857142857142</v>
      </c>
      <c r="P1419" s="17">
        <f t="shared" si="264"/>
        <v>9.8699786714285711</v>
      </c>
      <c r="Q1419" s="16" cm="1">
        <f t="array" ref="Q1419">_xlfn.XLOOKUP(O1419,BSFC!$A$2:$A$24,_xlfn.XLOOKUP(K1419,BSFC!$B$1:$O$1,BSFC!$B$2:$O$24,,-1),,-1)</f>
        <v>520</v>
      </c>
      <c r="R1419" s="17">
        <f t="shared" si="265"/>
        <v>1.425663585873016</v>
      </c>
      <c r="S1419" s="16">
        <f t="shared" si="266"/>
        <v>2.0443068048074323E-4</v>
      </c>
      <c r="T1419" s="17">
        <f t="shared" si="269"/>
        <v>0.10630395384998648</v>
      </c>
      <c r="U1419" s="16">
        <f t="shared" si="270"/>
        <v>182.16637678499418</v>
      </c>
      <c r="V1419" s="17">
        <f t="shared" si="271"/>
        <v>0.37420475211957799</v>
      </c>
      <c r="W1419" s="16">
        <f t="shared" si="267"/>
        <v>1347137.1076304805</v>
      </c>
      <c r="X1419">
        <f>('Hybrid Info'!$A$2-Track!P1419)*(L1419-L1418)*1000+X1418</f>
        <v>-18859.190190322817</v>
      </c>
    </row>
    <row r="1420" spans="1:24">
      <c r="A1420" s="16">
        <f t="shared" si="268"/>
        <v>1419</v>
      </c>
      <c r="B1420" s="17">
        <f t="shared" si="263"/>
        <v>13.411199999999999</v>
      </c>
      <c r="C1420" s="16">
        <f>Specification!$G$32</f>
        <v>219.92450400000001</v>
      </c>
      <c r="D1420" s="17">
        <f>0.5*Specification!$K$4*Track!B1420^2*Specification!$K$3*Specification!$K$2</f>
        <v>93.159842569492653</v>
      </c>
      <c r="E1420" s="16">
        <v>0</v>
      </c>
      <c r="F1420" s="17">
        <f>Specification!$C$23*9.81*SIN((E1420*PI()/180))</f>
        <v>0</v>
      </c>
      <c r="G1420" s="18">
        <f>IF(J1420=1,VLOOKUP(K1420,RPM!$E$2:$H$62,3,FALSE)-F1420-E1420-D1420,IF(J1420=2,VLOOKUP(K1420,RPM!$H$2:$K$62,3,FALSE)-F1420-E1420-D1420,IF(J1420=3,VLOOKUP(K1420,RPM!$K$2:$N$62,3,FALSE)-F1420-E1420-D1420)))</f>
        <v>688.48526429214962</v>
      </c>
      <c r="H1420" s="19">
        <f>IF(J1420=1,Specification!$I$14,IF(J1420=2,Specification!$I$15,IF(J1420=3,Specification!$I$16)))</f>
        <v>582.50936296077191</v>
      </c>
      <c r="I1420" s="16">
        <f t="shared" si="261"/>
        <v>0</v>
      </c>
      <c r="J1420" s="17">
        <v>2</v>
      </c>
      <c r="K1420" s="16">
        <f>IF(J1420=1,VLOOKUP(B1420,RPM!$F$2:$H$62,3,TRUE),IF(J1420=2,VLOOKUP(B1420,RPM!$I$2:$K$62,3,TRUE),IF(J1420=3,VLOOKUP(B1420,RPM!$L$2:$N$62,3,TRUE))))</f>
        <v>7000</v>
      </c>
      <c r="L1420" s="17">
        <f t="shared" si="260"/>
        <v>110.08242699265085</v>
      </c>
      <c r="M1420" s="16">
        <f t="shared" si="262"/>
        <v>0</v>
      </c>
      <c r="N1420" s="17">
        <f>VLOOKUP(K1420,RPM!$A$2:$D$62,3,FALSE)</f>
        <v>13</v>
      </c>
      <c r="O1420" s="16">
        <f>VLOOKUP(K1420,RPM!$A$2:$D$62,4,FALSE)</f>
        <v>13.235857142857142</v>
      </c>
      <c r="P1420" s="17">
        <f t="shared" si="264"/>
        <v>9.8699786714285711</v>
      </c>
      <c r="Q1420" s="16" cm="1">
        <f t="array" ref="Q1420">_xlfn.XLOOKUP(O1420,BSFC!$A$2:$A$24,_xlfn.XLOOKUP(K1420,BSFC!$B$1:$O$1,BSFC!$B$2:$O$24,,-1),,-1)</f>
        <v>520</v>
      </c>
      <c r="R1420" s="17">
        <f t="shared" si="265"/>
        <v>1.425663585873016</v>
      </c>
      <c r="S1420" s="16">
        <f t="shared" si="266"/>
        <v>2.0443068048074323E-4</v>
      </c>
      <c r="T1420" s="17">
        <f t="shared" si="269"/>
        <v>0.10630395384998648</v>
      </c>
      <c r="U1420" s="16">
        <f t="shared" si="270"/>
        <v>182.27268073884417</v>
      </c>
      <c r="V1420" s="17">
        <f t="shared" si="271"/>
        <v>0.37440918280005875</v>
      </c>
      <c r="W1420" s="16">
        <f t="shared" si="267"/>
        <v>1347873.0580802115</v>
      </c>
      <c r="X1420">
        <f>('Hybrid Info'!$A$2-Track!P1420)*(L1420-L1419)*1000+X1419</f>
        <v>-18691.384481336565</v>
      </c>
    </row>
    <row r="1421" spans="1:24">
      <c r="A1421" s="16">
        <f t="shared" si="268"/>
        <v>1420</v>
      </c>
      <c r="B1421" s="17">
        <f t="shared" si="263"/>
        <v>13.411199999999999</v>
      </c>
      <c r="C1421" s="16">
        <f>Specification!$G$32</f>
        <v>219.92450400000001</v>
      </c>
      <c r="D1421" s="17">
        <f>0.5*Specification!$K$4*Track!B1421^2*Specification!$K$3*Specification!$K$2</f>
        <v>93.159842569492653</v>
      </c>
      <c r="E1421" s="16">
        <v>0</v>
      </c>
      <c r="F1421" s="17">
        <f>Specification!$C$23*9.81*SIN((E1421*PI()/180))</f>
        <v>0</v>
      </c>
      <c r="G1421" s="18">
        <f>IF(J1421=1,VLOOKUP(K1421,RPM!$E$2:$H$62,3,FALSE)-F1421-E1421-D1421,IF(J1421=2,VLOOKUP(K1421,RPM!$H$2:$K$62,3,FALSE)-F1421-E1421-D1421,IF(J1421=3,VLOOKUP(K1421,RPM!$K$2:$N$62,3,FALSE)-F1421-E1421-D1421)))</f>
        <v>688.48526429214962</v>
      </c>
      <c r="H1421" s="19">
        <f>IF(J1421=1,Specification!$I$14,IF(J1421=2,Specification!$I$15,IF(J1421=3,Specification!$I$16)))</f>
        <v>582.50936296077191</v>
      </c>
      <c r="I1421" s="16">
        <f t="shared" si="261"/>
        <v>0</v>
      </c>
      <c r="J1421" s="17">
        <v>2</v>
      </c>
      <c r="K1421" s="16">
        <f>IF(J1421=1,VLOOKUP(B1421,RPM!$F$2:$H$62,3,TRUE),IF(J1421=2,VLOOKUP(B1421,RPM!$I$2:$K$62,3,TRUE),IF(J1421=3,VLOOKUP(B1421,RPM!$L$2:$N$62,3,TRUE))))</f>
        <v>7000</v>
      </c>
      <c r="L1421" s="17">
        <f t="shared" ref="L1421:L1484" si="272">IF(I1421=0,ABS(1/B1421)+L1420,IF(ABS(B1422-B1421)=0,1/B1421+L1420,ABS((B1422-B1421)/I1421)+L1420))</f>
        <v>110.15699153571933</v>
      </c>
      <c r="M1421" s="16">
        <f t="shared" si="262"/>
        <v>0</v>
      </c>
      <c r="N1421" s="17">
        <f>VLOOKUP(K1421,RPM!$A$2:$D$62,3,FALSE)</f>
        <v>13</v>
      </c>
      <c r="O1421" s="16">
        <f>VLOOKUP(K1421,RPM!$A$2:$D$62,4,FALSE)</f>
        <v>13.235857142857142</v>
      </c>
      <c r="P1421" s="17">
        <f t="shared" si="264"/>
        <v>9.8699786714285711</v>
      </c>
      <c r="Q1421" s="16" cm="1">
        <f t="array" ref="Q1421">_xlfn.XLOOKUP(O1421,BSFC!$A$2:$A$24,_xlfn.XLOOKUP(K1421,BSFC!$B$1:$O$1,BSFC!$B$2:$O$24,,-1),,-1)</f>
        <v>520</v>
      </c>
      <c r="R1421" s="17">
        <f t="shared" si="265"/>
        <v>1.425663585873016</v>
      </c>
      <c r="S1421" s="16">
        <f t="shared" si="266"/>
        <v>2.0443068048074323E-4</v>
      </c>
      <c r="T1421" s="17">
        <f t="shared" si="269"/>
        <v>0.10630395384998648</v>
      </c>
      <c r="U1421" s="16">
        <f t="shared" si="270"/>
        <v>182.37898469269416</v>
      </c>
      <c r="V1421" s="17">
        <f t="shared" si="271"/>
        <v>0.37461361348053951</v>
      </c>
      <c r="W1421" s="16">
        <f t="shared" si="267"/>
        <v>1348609.0085299422</v>
      </c>
      <c r="X1421">
        <f>('Hybrid Info'!$A$2-Track!P1421)*(L1421-L1420)*1000+X1420</f>
        <v>-18523.578772350313</v>
      </c>
    </row>
    <row r="1422" spans="1:24">
      <c r="A1422" s="16">
        <f t="shared" si="268"/>
        <v>1421</v>
      </c>
      <c r="B1422" s="17">
        <f t="shared" si="263"/>
        <v>13.411199999999999</v>
      </c>
      <c r="C1422" s="16">
        <f>Specification!$G$32</f>
        <v>219.92450400000001</v>
      </c>
      <c r="D1422" s="17">
        <f>0.5*Specification!$K$4*Track!B1422^2*Specification!$K$3*Specification!$K$2</f>
        <v>93.159842569492653</v>
      </c>
      <c r="E1422" s="16">
        <v>0</v>
      </c>
      <c r="F1422" s="17">
        <f>Specification!$C$23*9.81*SIN((E1422*PI()/180))</f>
        <v>0</v>
      </c>
      <c r="G1422" s="18">
        <f>IF(J1422=1,VLOOKUP(K1422,RPM!$E$2:$H$62,3,FALSE)-F1422-E1422-D1422,IF(J1422=2,VLOOKUP(K1422,RPM!$H$2:$K$62,3,FALSE)-F1422-E1422-D1422,IF(J1422=3,VLOOKUP(K1422,RPM!$K$2:$N$62,3,FALSE)-F1422-E1422-D1422)))</f>
        <v>688.48526429214962</v>
      </c>
      <c r="H1422" s="19">
        <f>IF(J1422=1,Specification!$I$14,IF(J1422=2,Specification!$I$15,IF(J1422=3,Specification!$I$16)))</f>
        <v>582.50936296077191</v>
      </c>
      <c r="I1422" s="16">
        <f t="shared" si="261"/>
        <v>0</v>
      </c>
      <c r="J1422" s="17">
        <v>2</v>
      </c>
      <c r="K1422" s="16">
        <f>IF(J1422=1,VLOOKUP(B1422,RPM!$F$2:$H$62,3,TRUE),IF(J1422=2,VLOOKUP(B1422,RPM!$I$2:$K$62,3,TRUE),IF(J1422=3,VLOOKUP(B1422,RPM!$L$2:$N$62,3,TRUE))))</f>
        <v>7000</v>
      </c>
      <c r="L1422" s="17">
        <f t="shared" si="272"/>
        <v>110.2315560787878</v>
      </c>
      <c r="M1422" s="16">
        <f t="shared" si="262"/>
        <v>0</v>
      </c>
      <c r="N1422" s="17">
        <f>VLOOKUP(K1422,RPM!$A$2:$D$62,3,FALSE)</f>
        <v>13</v>
      </c>
      <c r="O1422" s="16">
        <f>VLOOKUP(K1422,RPM!$A$2:$D$62,4,FALSE)</f>
        <v>13.235857142857142</v>
      </c>
      <c r="P1422" s="17">
        <f t="shared" si="264"/>
        <v>9.8699786714285711</v>
      </c>
      <c r="Q1422" s="16" cm="1">
        <f t="array" ref="Q1422">_xlfn.XLOOKUP(O1422,BSFC!$A$2:$A$24,_xlfn.XLOOKUP(K1422,BSFC!$B$1:$O$1,BSFC!$B$2:$O$24,,-1),,-1)</f>
        <v>520</v>
      </c>
      <c r="R1422" s="17">
        <f t="shared" si="265"/>
        <v>1.425663585873016</v>
      </c>
      <c r="S1422" s="16">
        <f t="shared" si="266"/>
        <v>2.0443068048074323E-4</v>
      </c>
      <c r="T1422" s="17">
        <f t="shared" si="269"/>
        <v>0.10630395384998648</v>
      </c>
      <c r="U1422" s="16">
        <f t="shared" si="270"/>
        <v>182.48528864654415</v>
      </c>
      <c r="V1422" s="17">
        <f t="shared" si="271"/>
        <v>0.37481804416102027</v>
      </c>
      <c r="W1422" s="16">
        <f t="shared" si="267"/>
        <v>1349344.958979673</v>
      </c>
      <c r="X1422">
        <f>('Hybrid Info'!$A$2-Track!P1422)*(L1422-L1421)*1000+X1421</f>
        <v>-18355.77306336406</v>
      </c>
    </row>
    <row r="1423" spans="1:24">
      <c r="A1423" s="16">
        <f t="shared" si="268"/>
        <v>1422</v>
      </c>
      <c r="B1423" s="17">
        <f t="shared" si="263"/>
        <v>13.411199999999999</v>
      </c>
      <c r="C1423" s="16">
        <f>Specification!$G$32</f>
        <v>219.92450400000001</v>
      </c>
      <c r="D1423" s="17">
        <f>0.5*Specification!$K$4*Track!B1423^2*Specification!$K$3*Specification!$K$2</f>
        <v>93.159842569492653</v>
      </c>
      <c r="E1423" s="16">
        <v>0</v>
      </c>
      <c r="F1423" s="17">
        <f>Specification!$C$23*9.81*SIN((E1423*PI()/180))</f>
        <v>0</v>
      </c>
      <c r="G1423" s="18">
        <f>IF(J1423=1,VLOOKUP(K1423,RPM!$E$2:$H$62,3,FALSE)-F1423-E1423-D1423,IF(J1423=2,VLOOKUP(K1423,RPM!$H$2:$K$62,3,FALSE)-F1423-E1423-D1423,IF(J1423=3,VLOOKUP(K1423,RPM!$K$2:$N$62,3,FALSE)-F1423-E1423-D1423)))</f>
        <v>688.48526429214962</v>
      </c>
      <c r="H1423" s="19">
        <f>IF(J1423=1,Specification!$I$14,IF(J1423=2,Specification!$I$15,IF(J1423=3,Specification!$I$16)))</f>
        <v>582.50936296077191</v>
      </c>
      <c r="I1423" s="16">
        <f t="shared" si="261"/>
        <v>0</v>
      </c>
      <c r="J1423" s="17">
        <v>2</v>
      </c>
      <c r="K1423" s="16">
        <f>IF(J1423=1,VLOOKUP(B1423,RPM!$F$2:$H$62,3,TRUE),IF(J1423=2,VLOOKUP(B1423,RPM!$I$2:$K$62,3,TRUE),IF(J1423=3,VLOOKUP(B1423,RPM!$L$2:$N$62,3,TRUE))))</f>
        <v>7000</v>
      </c>
      <c r="L1423" s="17">
        <f t="shared" si="272"/>
        <v>110.30612062185628</v>
      </c>
      <c r="M1423" s="16">
        <f t="shared" si="262"/>
        <v>0</v>
      </c>
      <c r="N1423" s="17">
        <f>VLOOKUP(K1423,RPM!$A$2:$D$62,3,FALSE)</f>
        <v>13</v>
      </c>
      <c r="O1423" s="16">
        <f>VLOOKUP(K1423,RPM!$A$2:$D$62,4,FALSE)</f>
        <v>13.235857142857142</v>
      </c>
      <c r="P1423" s="17">
        <f t="shared" si="264"/>
        <v>9.8699786714285711</v>
      </c>
      <c r="Q1423" s="16" cm="1">
        <f t="array" ref="Q1423">_xlfn.XLOOKUP(O1423,BSFC!$A$2:$A$24,_xlfn.XLOOKUP(K1423,BSFC!$B$1:$O$1,BSFC!$B$2:$O$24,,-1),,-1)</f>
        <v>520</v>
      </c>
      <c r="R1423" s="17">
        <f t="shared" si="265"/>
        <v>1.425663585873016</v>
      </c>
      <c r="S1423" s="16">
        <f t="shared" si="266"/>
        <v>2.0443068048074323E-4</v>
      </c>
      <c r="T1423" s="17">
        <f t="shared" si="269"/>
        <v>0.10630395384998648</v>
      </c>
      <c r="U1423" s="16">
        <f t="shared" si="270"/>
        <v>182.59159260039414</v>
      </c>
      <c r="V1423" s="17">
        <f t="shared" si="271"/>
        <v>0.37502247484150103</v>
      </c>
      <c r="W1423" s="16">
        <f t="shared" si="267"/>
        <v>1350080.9094294037</v>
      </c>
      <c r="X1423">
        <f>('Hybrid Info'!$A$2-Track!P1423)*(L1423-L1422)*1000+X1422</f>
        <v>-18187.967354377808</v>
      </c>
    </row>
    <row r="1424" spans="1:24">
      <c r="A1424" s="16">
        <f t="shared" si="268"/>
        <v>1423</v>
      </c>
      <c r="B1424" s="17">
        <f t="shared" si="263"/>
        <v>13.411199999999999</v>
      </c>
      <c r="C1424" s="16">
        <f>Specification!$G$32</f>
        <v>219.92450400000001</v>
      </c>
      <c r="D1424" s="17">
        <f>0.5*Specification!$K$4*Track!B1424^2*Specification!$K$3*Specification!$K$2</f>
        <v>93.159842569492653</v>
      </c>
      <c r="E1424" s="16">
        <v>0</v>
      </c>
      <c r="F1424" s="17">
        <f>Specification!$C$23*9.81*SIN((E1424*PI()/180))</f>
        <v>0</v>
      </c>
      <c r="G1424" s="18">
        <f>IF(J1424=1,VLOOKUP(K1424,RPM!$E$2:$H$62,3,FALSE)-F1424-E1424-D1424,IF(J1424=2,VLOOKUP(K1424,RPM!$H$2:$K$62,3,FALSE)-F1424-E1424-D1424,IF(J1424=3,VLOOKUP(K1424,RPM!$K$2:$N$62,3,FALSE)-F1424-E1424-D1424)))</f>
        <v>688.48526429214962</v>
      </c>
      <c r="H1424" s="19">
        <f>IF(J1424=1,Specification!$I$14,IF(J1424=2,Specification!$I$15,IF(J1424=3,Specification!$I$16)))</f>
        <v>582.50936296077191</v>
      </c>
      <c r="I1424" s="16">
        <f t="shared" si="261"/>
        <v>0</v>
      </c>
      <c r="J1424" s="17">
        <v>2</v>
      </c>
      <c r="K1424" s="16">
        <f>IF(J1424=1,VLOOKUP(B1424,RPM!$F$2:$H$62,3,TRUE),IF(J1424=2,VLOOKUP(B1424,RPM!$I$2:$K$62,3,TRUE),IF(J1424=3,VLOOKUP(B1424,RPM!$L$2:$N$62,3,TRUE))))</f>
        <v>7000</v>
      </c>
      <c r="L1424" s="17">
        <f t="shared" si="272"/>
        <v>110.38068516492476</v>
      </c>
      <c r="M1424" s="16">
        <f t="shared" si="262"/>
        <v>0</v>
      </c>
      <c r="N1424" s="17">
        <f>VLOOKUP(K1424,RPM!$A$2:$D$62,3,FALSE)</f>
        <v>13</v>
      </c>
      <c r="O1424" s="16">
        <f>VLOOKUP(K1424,RPM!$A$2:$D$62,4,FALSE)</f>
        <v>13.235857142857142</v>
      </c>
      <c r="P1424" s="17">
        <f t="shared" si="264"/>
        <v>9.8699786714285711</v>
      </c>
      <c r="Q1424" s="16" cm="1">
        <f t="array" ref="Q1424">_xlfn.XLOOKUP(O1424,BSFC!$A$2:$A$24,_xlfn.XLOOKUP(K1424,BSFC!$B$1:$O$1,BSFC!$B$2:$O$24,,-1),,-1)</f>
        <v>520</v>
      </c>
      <c r="R1424" s="17">
        <f t="shared" si="265"/>
        <v>1.425663585873016</v>
      </c>
      <c r="S1424" s="16">
        <f t="shared" si="266"/>
        <v>2.0443068048074323E-4</v>
      </c>
      <c r="T1424" s="17">
        <f t="shared" si="269"/>
        <v>0.10630395384998648</v>
      </c>
      <c r="U1424" s="16">
        <f t="shared" si="270"/>
        <v>182.69789655424412</v>
      </c>
      <c r="V1424" s="17">
        <f t="shared" si="271"/>
        <v>0.37522690552198179</v>
      </c>
      <c r="W1424" s="16">
        <f t="shared" si="267"/>
        <v>1350816.8598791345</v>
      </c>
      <c r="X1424">
        <f>('Hybrid Info'!$A$2-Track!P1424)*(L1424-L1423)*1000+X1423</f>
        <v>-18020.161645391556</v>
      </c>
    </row>
    <row r="1425" spans="1:24">
      <c r="A1425" s="16">
        <f t="shared" si="268"/>
        <v>1424</v>
      </c>
      <c r="B1425" s="17">
        <f t="shared" si="263"/>
        <v>13.411199999999999</v>
      </c>
      <c r="C1425" s="16">
        <f>Specification!$G$32</f>
        <v>219.92450400000001</v>
      </c>
      <c r="D1425" s="17">
        <f>0.5*Specification!$K$4*Track!B1425^2*Specification!$K$3*Specification!$K$2</f>
        <v>93.159842569492653</v>
      </c>
      <c r="E1425" s="16">
        <v>0</v>
      </c>
      <c r="F1425" s="17">
        <f>Specification!$C$23*9.81*SIN((E1425*PI()/180))</f>
        <v>0</v>
      </c>
      <c r="G1425" s="18">
        <f>IF(J1425=1,VLOOKUP(K1425,RPM!$E$2:$H$62,3,FALSE)-F1425-E1425-D1425,IF(J1425=2,VLOOKUP(K1425,RPM!$H$2:$K$62,3,FALSE)-F1425-E1425-D1425,IF(J1425=3,VLOOKUP(K1425,RPM!$K$2:$N$62,3,FALSE)-F1425-E1425-D1425)))</f>
        <v>688.48526429214962</v>
      </c>
      <c r="H1425" s="19">
        <f>IF(J1425=1,Specification!$I$14,IF(J1425=2,Specification!$I$15,IF(J1425=3,Specification!$I$16)))</f>
        <v>582.50936296077191</v>
      </c>
      <c r="I1425" s="16">
        <f t="shared" si="261"/>
        <v>0</v>
      </c>
      <c r="J1425" s="17">
        <v>2</v>
      </c>
      <c r="K1425" s="16">
        <f>IF(J1425=1,VLOOKUP(B1425,RPM!$F$2:$H$62,3,TRUE),IF(J1425=2,VLOOKUP(B1425,RPM!$I$2:$K$62,3,TRUE),IF(J1425=3,VLOOKUP(B1425,RPM!$L$2:$N$62,3,TRUE))))</f>
        <v>7000</v>
      </c>
      <c r="L1425" s="17">
        <f t="shared" si="272"/>
        <v>110.45524970799323</v>
      </c>
      <c r="M1425" s="16">
        <f t="shared" si="262"/>
        <v>0</v>
      </c>
      <c r="N1425" s="17">
        <f>VLOOKUP(K1425,RPM!$A$2:$D$62,3,FALSE)</f>
        <v>13</v>
      </c>
      <c r="O1425" s="16">
        <f>VLOOKUP(K1425,RPM!$A$2:$D$62,4,FALSE)</f>
        <v>13.235857142857142</v>
      </c>
      <c r="P1425" s="17">
        <f t="shared" si="264"/>
        <v>9.8699786714285711</v>
      </c>
      <c r="Q1425" s="16" cm="1">
        <f t="array" ref="Q1425">_xlfn.XLOOKUP(O1425,BSFC!$A$2:$A$24,_xlfn.XLOOKUP(K1425,BSFC!$B$1:$O$1,BSFC!$B$2:$O$24,,-1),,-1)</f>
        <v>520</v>
      </c>
      <c r="R1425" s="17">
        <f t="shared" si="265"/>
        <v>1.425663585873016</v>
      </c>
      <c r="S1425" s="16">
        <f t="shared" si="266"/>
        <v>2.0443068048074323E-4</v>
      </c>
      <c r="T1425" s="17">
        <f t="shared" si="269"/>
        <v>0.10630395384998648</v>
      </c>
      <c r="U1425" s="16">
        <f t="shared" si="270"/>
        <v>182.80420050809411</v>
      </c>
      <c r="V1425" s="17">
        <f t="shared" si="271"/>
        <v>0.37543133620246255</v>
      </c>
      <c r="W1425" s="16">
        <f t="shared" si="267"/>
        <v>1351552.8103288652</v>
      </c>
      <c r="X1425">
        <f>('Hybrid Info'!$A$2-Track!P1425)*(L1425-L1424)*1000+X1424</f>
        <v>-17852.355936405304</v>
      </c>
    </row>
    <row r="1426" spans="1:24">
      <c r="A1426" s="16">
        <f t="shared" si="268"/>
        <v>1425</v>
      </c>
      <c r="B1426" s="17">
        <f t="shared" si="263"/>
        <v>13.411199999999999</v>
      </c>
      <c r="C1426" s="16">
        <f>Specification!$G$32</f>
        <v>219.92450400000001</v>
      </c>
      <c r="D1426" s="17">
        <f>0.5*Specification!$K$4*Track!B1426^2*Specification!$K$3*Specification!$K$2</f>
        <v>93.159842569492653</v>
      </c>
      <c r="E1426" s="16">
        <v>0</v>
      </c>
      <c r="F1426" s="17">
        <f>Specification!$C$23*9.81*SIN((E1426*PI()/180))</f>
        <v>0</v>
      </c>
      <c r="G1426" s="18">
        <f>IF(J1426=1,VLOOKUP(K1426,RPM!$E$2:$H$62,3,FALSE)-F1426-E1426-D1426,IF(J1426=2,VLOOKUP(K1426,RPM!$H$2:$K$62,3,FALSE)-F1426-E1426-D1426,IF(J1426=3,VLOOKUP(K1426,RPM!$K$2:$N$62,3,FALSE)-F1426-E1426-D1426)))</f>
        <v>688.48526429214962</v>
      </c>
      <c r="H1426" s="19">
        <f>IF(J1426=1,Specification!$I$14,IF(J1426=2,Specification!$I$15,IF(J1426=3,Specification!$I$16)))</f>
        <v>582.50936296077191</v>
      </c>
      <c r="I1426" s="16">
        <f t="shared" si="261"/>
        <v>0</v>
      </c>
      <c r="J1426" s="17">
        <v>2</v>
      </c>
      <c r="K1426" s="16">
        <f>IF(J1426=1,VLOOKUP(B1426,RPM!$F$2:$H$62,3,TRUE),IF(J1426=2,VLOOKUP(B1426,RPM!$I$2:$K$62,3,TRUE),IF(J1426=3,VLOOKUP(B1426,RPM!$L$2:$N$62,3,TRUE))))</f>
        <v>7000</v>
      </c>
      <c r="L1426" s="17">
        <f t="shared" si="272"/>
        <v>110.52981425106171</v>
      </c>
      <c r="M1426" s="16">
        <f t="shared" si="262"/>
        <v>0</v>
      </c>
      <c r="N1426" s="17">
        <f>VLOOKUP(K1426,RPM!$A$2:$D$62,3,FALSE)</f>
        <v>13</v>
      </c>
      <c r="O1426" s="16">
        <f>VLOOKUP(K1426,RPM!$A$2:$D$62,4,FALSE)</f>
        <v>13.235857142857142</v>
      </c>
      <c r="P1426" s="17">
        <f t="shared" si="264"/>
        <v>9.8699786714285711</v>
      </c>
      <c r="Q1426" s="16" cm="1">
        <f t="array" ref="Q1426">_xlfn.XLOOKUP(O1426,BSFC!$A$2:$A$24,_xlfn.XLOOKUP(K1426,BSFC!$B$1:$O$1,BSFC!$B$2:$O$24,,-1),,-1)</f>
        <v>520</v>
      </c>
      <c r="R1426" s="17">
        <f t="shared" si="265"/>
        <v>1.425663585873016</v>
      </c>
      <c r="S1426" s="16">
        <f t="shared" si="266"/>
        <v>2.0443068048074323E-4</v>
      </c>
      <c r="T1426" s="17">
        <f t="shared" si="269"/>
        <v>0.10630395384998648</v>
      </c>
      <c r="U1426" s="16">
        <f t="shared" si="270"/>
        <v>182.9105044619441</v>
      </c>
      <c r="V1426" s="17">
        <f t="shared" si="271"/>
        <v>0.37563576688294331</v>
      </c>
      <c r="W1426" s="16">
        <f t="shared" si="267"/>
        <v>1352288.7607785959</v>
      </c>
      <c r="X1426">
        <f>('Hybrid Info'!$A$2-Track!P1426)*(L1426-L1425)*1000+X1425</f>
        <v>-17684.550227419051</v>
      </c>
    </row>
    <row r="1427" spans="1:24">
      <c r="A1427" s="16">
        <f t="shared" si="268"/>
        <v>1426</v>
      </c>
      <c r="B1427" s="17">
        <f t="shared" si="263"/>
        <v>13.411199999999999</v>
      </c>
      <c r="C1427" s="16">
        <f>Specification!$G$32</f>
        <v>219.92450400000001</v>
      </c>
      <c r="D1427" s="17">
        <f>0.5*Specification!$K$4*Track!B1427^2*Specification!$K$3*Specification!$K$2</f>
        <v>93.159842569492653</v>
      </c>
      <c r="E1427" s="16">
        <v>0</v>
      </c>
      <c r="F1427" s="17">
        <f>Specification!$C$23*9.81*SIN((E1427*PI()/180))</f>
        <v>0</v>
      </c>
      <c r="G1427" s="18">
        <f>IF(J1427=1,VLOOKUP(K1427,RPM!$E$2:$H$62,3,FALSE)-F1427-E1427-D1427,IF(J1427=2,VLOOKUP(K1427,RPM!$H$2:$K$62,3,FALSE)-F1427-E1427-D1427,IF(J1427=3,VLOOKUP(K1427,RPM!$K$2:$N$62,3,FALSE)-F1427-E1427-D1427)))</f>
        <v>688.48526429214962</v>
      </c>
      <c r="H1427" s="19">
        <f>IF(J1427=1,Specification!$I$14,IF(J1427=2,Specification!$I$15,IF(J1427=3,Specification!$I$16)))</f>
        <v>582.50936296077191</v>
      </c>
      <c r="I1427" s="16">
        <f t="shared" si="261"/>
        <v>0</v>
      </c>
      <c r="J1427" s="17">
        <v>2</v>
      </c>
      <c r="K1427" s="16">
        <f>IF(J1427=1,VLOOKUP(B1427,RPM!$F$2:$H$62,3,TRUE),IF(J1427=2,VLOOKUP(B1427,RPM!$I$2:$K$62,3,TRUE),IF(J1427=3,VLOOKUP(B1427,RPM!$L$2:$N$62,3,TRUE))))</f>
        <v>7000</v>
      </c>
      <c r="L1427" s="17">
        <f t="shared" si="272"/>
        <v>110.60437879413018</v>
      </c>
      <c r="M1427" s="16">
        <f t="shared" si="262"/>
        <v>0</v>
      </c>
      <c r="N1427" s="17">
        <f>VLOOKUP(K1427,RPM!$A$2:$D$62,3,FALSE)</f>
        <v>13</v>
      </c>
      <c r="O1427" s="16">
        <f>VLOOKUP(K1427,RPM!$A$2:$D$62,4,FALSE)</f>
        <v>13.235857142857142</v>
      </c>
      <c r="P1427" s="17">
        <f t="shared" si="264"/>
        <v>9.8699786714285711</v>
      </c>
      <c r="Q1427" s="16" cm="1">
        <f t="array" ref="Q1427">_xlfn.XLOOKUP(O1427,BSFC!$A$2:$A$24,_xlfn.XLOOKUP(K1427,BSFC!$B$1:$O$1,BSFC!$B$2:$O$24,,-1),,-1)</f>
        <v>520</v>
      </c>
      <c r="R1427" s="17">
        <f t="shared" si="265"/>
        <v>1.425663585873016</v>
      </c>
      <c r="S1427" s="16">
        <f t="shared" si="266"/>
        <v>2.0443068048074323E-4</v>
      </c>
      <c r="T1427" s="17">
        <f t="shared" si="269"/>
        <v>0.10630395384998648</v>
      </c>
      <c r="U1427" s="16">
        <f t="shared" si="270"/>
        <v>183.01680841579409</v>
      </c>
      <c r="V1427" s="17">
        <f t="shared" si="271"/>
        <v>0.37584019756342407</v>
      </c>
      <c r="W1427" s="16">
        <f t="shared" si="267"/>
        <v>1353024.7112283267</v>
      </c>
      <c r="X1427">
        <f>('Hybrid Info'!$A$2-Track!P1427)*(L1427-L1426)*1000+X1426</f>
        <v>-17516.744518432799</v>
      </c>
    </row>
    <row r="1428" spans="1:24">
      <c r="A1428" s="16">
        <f t="shared" si="268"/>
        <v>1427</v>
      </c>
      <c r="B1428" s="17">
        <f t="shared" si="263"/>
        <v>13.411199999999999</v>
      </c>
      <c r="C1428" s="16">
        <f>Specification!$G$32</f>
        <v>219.92450400000001</v>
      </c>
      <c r="D1428" s="17">
        <f>0.5*Specification!$K$4*Track!B1428^2*Specification!$K$3*Specification!$K$2</f>
        <v>93.159842569492653</v>
      </c>
      <c r="E1428" s="16">
        <v>0</v>
      </c>
      <c r="F1428" s="17">
        <f>Specification!$C$23*9.81*SIN((E1428*PI()/180))</f>
        <v>0</v>
      </c>
      <c r="G1428" s="18">
        <f>IF(J1428=1,VLOOKUP(K1428,RPM!$E$2:$H$62,3,FALSE)-F1428-E1428-D1428,IF(J1428=2,VLOOKUP(K1428,RPM!$H$2:$K$62,3,FALSE)-F1428-E1428-D1428,IF(J1428=3,VLOOKUP(K1428,RPM!$K$2:$N$62,3,FALSE)-F1428-E1428-D1428)))</f>
        <v>688.48526429214962</v>
      </c>
      <c r="H1428" s="19">
        <f>IF(J1428=1,Specification!$I$14,IF(J1428=2,Specification!$I$15,IF(J1428=3,Specification!$I$16)))</f>
        <v>582.50936296077191</v>
      </c>
      <c r="I1428" s="16">
        <f t="shared" si="261"/>
        <v>0</v>
      </c>
      <c r="J1428" s="17">
        <v>2</v>
      </c>
      <c r="K1428" s="16">
        <f>IF(J1428=1,VLOOKUP(B1428,RPM!$F$2:$H$62,3,TRUE),IF(J1428=2,VLOOKUP(B1428,RPM!$I$2:$K$62,3,TRUE),IF(J1428=3,VLOOKUP(B1428,RPM!$L$2:$N$62,3,TRUE))))</f>
        <v>7000</v>
      </c>
      <c r="L1428" s="17">
        <f t="shared" si="272"/>
        <v>110.67894333719866</v>
      </c>
      <c r="M1428" s="16">
        <f t="shared" si="262"/>
        <v>0</v>
      </c>
      <c r="N1428" s="17">
        <f>VLOOKUP(K1428,RPM!$A$2:$D$62,3,FALSE)</f>
        <v>13</v>
      </c>
      <c r="O1428" s="16">
        <f>VLOOKUP(K1428,RPM!$A$2:$D$62,4,FALSE)</f>
        <v>13.235857142857142</v>
      </c>
      <c r="P1428" s="17">
        <f t="shared" si="264"/>
        <v>9.8699786714285711</v>
      </c>
      <c r="Q1428" s="16" cm="1">
        <f t="array" ref="Q1428">_xlfn.XLOOKUP(O1428,BSFC!$A$2:$A$24,_xlfn.XLOOKUP(K1428,BSFC!$B$1:$O$1,BSFC!$B$2:$O$24,,-1),,-1)</f>
        <v>520</v>
      </c>
      <c r="R1428" s="17">
        <f t="shared" si="265"/>
        <v>1.425663585873016</v>
      </c>
      <c r="S1428" s="16">
        <f t="shared" si="266"/>
        <v>2.0443068048074323E-4</v>
      </c>
      <c r="T1428" s="17">
        <f t="shared" si="269"/>
        <v>0.10630395384998648</v>
      </c>
      <c r="U1428" s="16">
        <f t="shared" si="270"/>
        <v>183.12311236964408</v>
      </c>
      <c r="V1428" s="17">
        <f t="shared" si="271"/>
        <v>0.37604462824390483</v>
      </c>
      <c r="W1428" s="16">
        <f t="shared" si="267"/>
        <v>1353760.6616780574</v>
      </c>
      <c r="X1428">
        <f>('Hybrid Info'!$A$2-Track!P1428)*(L1428-L1427)*1000+X1427</f>
        <v>-17348.938809446547</v>
      </c>
    </row>
    <row r="1429" spans="1:24">
      <c r="A1429" s="16">
        <f t="shared" si="268"/>
        <v>1428</v>
      </c>
      <c r="B1429" s="17">
        <f t="shared" si="263"/>
        <v>13.411199999999999</v>
      </c>
      <c r="C1429" s="16">
        <f>Specification!$G$32</f>
        <v>219.92450400000001</v>
      </c>
      <c r="D1429" s="17">
        <f>0.5*Specification!$K$4*Track!B1429^2*Specification!$K$3*Specification!$K$2</f>
        <v>93.159842569492653</v>
      </c>
      <c r="E1429" s="16">
        <v>0</v>
      </c>
      <c r="F1429" s="17">
        <f>Specification!$C$23*9.81*SIN((E1429*PI()/180))</f>
        <v>0</v>
      </c>
      <c r="G1429" s="18">
        <f>IF(J1429=1,VLOOKUP(K1429,RPM!$E$2:$H$62,3,FALSE)-F1429-E1429-D1429,IF(J1429=2,VLOOKUP(K1429,RPM!$H$2:$K$62,3,FALSE)-F1429-E1429-D1429,IF(J1429=3,VLOOKUP(K1429,RPM!$K$2:$N$62,3,FALSE)-F1429-E1429-D1429)))</f>
        <v>688.48526429214962</v>
      </c>
      <c r="H1429" s="19">
        <f>IF(J1429=1,Specification!$I$14,IF(J1429=2,Specification!$I$15,IF(J1429=3,Specification!$I$16)))</f>
        <v>582.50936296077191</v>
      </c>
      <c r="I1429" s="16">
        <f t="shared" si="261"/>
        <v>0</v>
      </c>
      <c r="J1429" s="17">
        <v>2</v>
      </c>
      <c r="K1429" s="16">
        <f>IF(J1429=1,VLOOKUP(B1429,RPM!$F$2:$H$62,3,TRUE),IF(J1429=2,VLOOKUP(B1429,RPM!$I$2:$K$62,3,TRUE),IF(J1429=3,VLOOKUP(B1429,RPM!$L$2:$N$62,3,TRUE))))</f>
        <v>7000</v>
      </c>
      <c r="L1429" s="17">
        <f t="shared" si="272"/>
        <v>110.75350788026714</v>
      </c>
      <c r="M1429" s="16">
        <f t="shared" si="262"/>
        <v>0</v>
      </c>
      <c r="N1429" s="17">
        <f>VLOOKUP(K1429,RPM!$A$2:$D$62,3,FALSE)</f>
        <v>13</v>
      </c>
      <c r="O1429" s="16">
        <f>VLOOKUP(K1429,RPM!$A$2:$D$62,4,FALSE)</f>
        <v>13.235857142857142</v>
      </c>
      <c r="P1429" s="17">
        <f t="shared" si="264"/>
        <v>9.8699786714285711</v>
      </c>
      <c r="Q1429" s="16" cm="1">
        <f t="array" ref="Q1429">_xlfn.XLOOKUP(O1429,BSFC!$A$2:$A$24,_xlfn.XLOOKUP(K1429,BSFC!$B$1:$O$1,BSFC!$B$2:$O$24,,-1),,-1)</f>
        <v>520</v>
      </c>
      <c r="R1429" s="17">
        <f t="shared" si="265"/>
        <v>1.425663585873016</v>
      </c>
      <c r="S1429" s="16">
        <f t="shared" si="266"/>
        <v>2.0443068048074323E-4</v>
      </c>
      <c r="T1429" s="17">
        <f t="shared" si="269"/>
        <v>0.10630395384998648</v>
      </c>
      <c r="U1429" s="16">
        <f t="shared" si="270"/>
        <v>183.22941632349406</v>
      </c>
      <c r="V1429" s="17">
        <f t="shared" si="271"/>
        <v>0.37624905892438559</v>
      </c>
      <c r="W1429" s="16">
        <f t="shared" si="267"/>
        <v>1354496.6121277881</v>
      </c>
      <c r="X1429">
        <f>('Hybrid Info'!$A$2-Track!P1429)*(L1429-L1428)*1000+X1428</f>
        <v>-17181.133100460294</v>
      </c>
    </row>
    <row r="1430" spans="1:24">
      <c r="A1430" s="16">
        <f t="shared" si="268"/>
        <v>1429</v>
      </c>
      <c r="B1430" s="17">
        <f t="shared" si="263"/>
        <v>13.411199999999999</v>
      </c>
      <c r="C1430" s="16">
        <f>Specification!$G$32</f>
        <v>219.92450400000001</v>
      </c>
      <c r="D1430" s="17">
        <f>0.5*Specification!$K$4*Track!B1430^2*Specification!$K$3*Specification!$K$2</f>
        <v>93.159842569492653</v>
      </c>
      <c r="E1430" s="16">
        <v>0</v>
      </c>
      <c r="F1430" s="17">
        <f>Specification!$C$23*9.81*SIN((E1430*PI()/180))</f>
        <v>0</v>
      </c>
      <c r="G1430" s="18">
        <f>IF(J1430=1,VLOOKUP(K1430,RPM!$E$2:$H$62,3,FALSE)-F1430-E1430-D1430,IF(J1430=2,VLOOKUP(K1430,RPM!$H$2:$K$62,3,FALSE)-F1430-E1430-D1430,IF(J1430=3,VLOOKUP(K1430,RPM!$K$2:$N$62,3,FALSE)-F1430-E1430-D1430)))</f>
        <v>688.48526429214962</v>
      </c>
      <c r="H1430" s="19">
        <f>IF(J1430=1,Specification!$I$14,IF(J1430=2,Specification!$I$15,IF(J1430=3,Specification!$I$16)))</f>
        <v>582.50936296077191</v>
      </c>
      <c r="I1430" s="16">
        <f t="shared" si="261"/>
        <v>0</v>
      </c>
      <c r="J1430" s="17">
        <v>2</v>
      </c>
      <c r="K1430" s="16">
        <f>IF(J1430=1,VLOOKUP(B1430,RPM!$F$2:$H$62,3,TRUE),IF(J1430=2,VLOOKUP(B1430,RPM!$I$2:$K$62,3,TRUE),IF(J1430=3,VLOOKUP(B1430,RPM!$L$2:$N$62,3,TRUE))))</f>
        <v>7000</v>
      </c>
      <c r="L1430" s="17">
        <f t="shared" si="272"/>
        <v>110.82807242333561</v>
      </c>
      <c r="M1430" s="16">
        <f t="shared" si="262"/>
        <v>0</v>
      </c>
      <c r="N1430" s="17">
        <f>VLOOKUP(K1430,RPM!$A$2:$D$62,3,FALSE)</f>
        <v>13</v>
      </c>
      <c r="O1430" s="16">
        <f>VLOOKUP(K1430,RPM!$A$2:$D$62,4,FALSE)</f>
        <v>13.235857142857142</v>
      </c>
      <c r="P1430" s="17">
        <f t="shared" si="264"/>
        <v>9.8699786714285711</v>
      </c>
      <c r="Q1430" s="16" cm="1">
        <f t="array" ref="Q1430">_xlfn.XLOOKUP(O1430,BSFC!$A$2:$A$24,_xlfn.XLOOKUP(K1430,BSFC!$B$1:$O$1,BSFC!$B$2:$O$24,,-1),,-1)</f>
        <v>520</v>
      </c>
      <c r="R1430" s="17">
        <f t="shared" si="265"/>
        <v>1.425663585873016</v>
      </c>
      <c r="S1430" s="16">
        <f t="shared" si="266"/>
        <v>2.0443068048074323E-4</v>
      </c>
      <c r="T1430" s="17">
        <f t="shared" si="269"/>
        <v>0.10630395384998648</v>
      </c>
      <c r="U1430" s="16">
        <f t="shared" si="270"/>
        <v>183.33572027734405</v>
      </c>
      <c r="V1430" s="17">
        <f t="shared" si="271"/>
        <v>0.37645348960486635</v>
      </c>
      <c r="W1430" s="16">
        <f t="shared" si="267"/>
        <v>1355232.5625775189</v>
      </c>
      <c r="X1430">
        <f>('Hybrid Info'!$A$2-Track!P1430)*(L1430-L1429)*1000+X1429</f>
        <v>-17013.327391474042</v>
      </c>
    </row>
    <row r="1431" spans="1:24">
      <c r="A1431" s="16">
        <f t="shared" si="268"/>
        <v>1430</v>
      </c>
      <c r="B1431" s="17">
        <f t="shared" si="263"/>
        <v>13.411199999999999</v>
      </c>
      <c r="C1431" s="16">
        <f>Specification!$G$32</f>
        <v>219.92450400000001</v>
      </c>
      <c r="D1431" s="17">
        <f>0.5*Specification!$K$4*Track!B1431^2*Specification!$K$3*Specification!$K$2</f>
        <v>93.159842569492653</v>
      </c>
      <c r="E1431" s="16">
        <v>0</v>
      </c>
      <c r="F1431" s="17">
        <f>Specification!$C$23*9.81*SIN((E1431*PI()/180))</f>
        <v>0</v>
      </c>
      <c r="G1431" s="18">
        <f>IF(J1431=1,VLOOKUP(K1431,RPM!$E$2:$H$62,3,FALSE)-F1431-E1431-D1431,IF(J1431=2,VLOOKUP(K1431,RPM!$H$2:$K$62,3,FALSE)-F1431-E1431-D1431,IF(J1431=3,VLOOKUP(K1431,RPM!$K$2:$N$62,3,FALSE)-F1431-E1431-D1431)))</f>
        <v>688.48526429214962</v>
      </c>
      <c r="H1431" s="19">
        <f>IF(J1431=1,Specification!$I$14,IF(J1431=2,Specification!$I$15,IF(J1431=3,Specification!$I$16)))</f>
        <v>582.50936296077191</v>
      </c>
      <c r="I1431" s="16">
        <f t="shared" si="261"/>
        <v>0</v>
      </c>
      <c r="J1431" s="17">
        <v>2</v>
      </c>
      <c r="K1431" s="16">
        <f>IF(J1431=1,VLOOKUP(B1431,RPM!$F$2:$H$62,3,TRUE),IF(J1431=2,VLOOKUP(B1431,RPM!$I$2:$K$62,3,TRUE),IF(J1431=3,VLOOKUP(B1431,RPM!$L$2:$N$62,3,TRUE))))</f>
        <v>7000</v>
      </c>
      <c r="L1431" s="17">
        <f t="shared" si="272"/>
        <v>110.90263696640409</v>
      </c>
      <c r="M1431" s="16">
        <f t="shared" si="262"/>
        <v>0</v>
      </c>
      <c r="N1431" s="17">
        <f>VLOOKUP(K1431,RPM!$A$2:$D$62,3,FALSE)</f>
        <v>13</v>
      </c>
      <c r="O1431" s="16">
        <f>VLOOKUP(K1431,RPM!$A$2:$D$62,4,FALSE)</f>
        <v>13.235857142857142</v>
      </c>
      <c r="P1431" s="17">
        <f t="shared" si="264"/>
        <v>9.8699786714285711</v>
      </c>
      <c r="Q1431" s="16" cm="1">
        <f t="array" ref="Q1431">_xlfn.XLOOKUP(O1431,BSFC!$A$2:$A$24,_xlfn.XLOOKUP(K1431,BSFC!$B$1:$O$1,BSFC!$B$2:$O$24,,-1),,-1)</f>
        <v>520</v>
      </c>
      <c r="R1431" s="17">
        <f t="shared" si="265"/>
        <v>1.425663585873016</v>
      </c>
      <c r="S1431" s="16">
        <f t="shared" si="266"/>
        <v>2.0443068048074323E-4</v>
      </c>
      <c r="T1431" s="17">
        <f t="shared" si="269"/>
        <v>0.10630395384998648</v>
      </c>
      <c r="U1431" s="16">
        <f t="shared" si="270"/>
        <v>183.44202423119404</v>
      </c>
      <c r="V1431" s="17">
        <f t="shared" si="271"/>
        <v>0.37665792028534711</v>
      </c>
      <c r="W1431" s="16">
        <f t="shared" si="267"/>
        <v>1355968.5130272496</v>
      </c>
      <c r="X1431">
        <f>('Hybrid Info'!$A$2-Track!P1431)*(L1431-L1430)*1000+X1430</f>
        <v>-16845.52168248779</v>
      </c>
    </row>
    <row r="1432" spans="1:24">
      <c r="A1432" s="16">
        <f t="shared" si="268"/>
        <v>1431</v>
      </c>
      <c r="B1432" s="17">
        <f t="shared" si="263"/>
        <v>13.411199999999999</v>
      </c>
      <c r="C1432" s="16">
        <f>Specification!$G$32</f>
        <v>219.92450400000001</v>
      </c>
      <c r="D1432" s="17">
        <f>0.5*Specification!$K$4*Track!B1432^2*Specification!$K$3*Specification!$K$2</f>
        <v>93.159842569492653</v>
      </c>
      <c r="E1432" s="16">
        <v>0</v>
      </c>
      <c r="F1432" s="17">
        <f>Specification!$C$23*9.81*SIN((E1432*PI()/180))</f>
        <v>0</v>
      </c>
      <c r="G1432" s="18">
        <f>IF(J1432=1,VLOOKUP(K1432,RPM!$E$2:$H$62,3,FALSE)-F1432-E1432-D1432,IF(J1432=2,VLOOKUP(K1432,RPM!$H$2:$K$62,3,FALSE)-F1432-E1432-D1432,IF(J1432=3,VLOOKUP(K1432,RPM!$K$2:$N$62,3,FALSE)-F1432-E1432-D1432)))</f>
        <v>688.48526429214962</v>
      </c>
      <c r="H1432" s="19">
        <f>IF(J1432=1,Specification!$I$14,IF(J1432=2,Specification!$I$15,IF(J1432=3,Specification!$I$16)))</f>
        <v>582.50936296077191</v>
      </c>
      <c r="I1432" s="16">
        <f t="shared" si="261"/>
        <v>0</v>
      </c>
      <c r="J1432" s="17">
        <v>2</v>
      </c>
      <c r="K1432" s="16">
        <f>IF(J1432=1,VLOOKUP(B1432,RPM!$F$2:$H$62,3,TRUE),IF(J1432=2,VLOOKUP(B1432,RPM!$I$2:$K$62,3,TRUE),IF(J1432=3,VLOOKUP(B1432,RPM!$L$2:$N$62,3,TRUE))))</f>
        <v>7000</v>
      </c>
      <c r="L1432" s="17">
        <f t="shared" si="272"/>
        <v>110.97720150947256</v>
      </c>
      <c r="M1432" s="16">
        <f t="shared" si="262"/>
        <v>0</v>
      </c>
      <c r="N1432" s="17">
        <f>VLOOKUP(K1432,RPM!$A$2:$D$62,3,FALSE)</f>
        <v>13</v>
      </c>
      <c r="O1432" s="16">
        <f>VLOOKUP(K1432,RPM!$A$2:$D$62,4,FALSE)</f>
        <v>13.235857142857142</v>
      </c>
      <c r="P1432" s="17">
        <f t="shared" si="264"/>
        <v>9.8699786714285711</v>
      </c>
      <c r="Q1432" s="16" cm="1">
        <f t="array" ref="Q1432">_xlfn.XLOOKUP(O1432,BSFC!$A$2:$A$24,_xlfn.XLOOKUP(K1432,BSFC!$B$1:$O$1,BSFC!$B$2:$O$24,,-1),,-1)</f>
        <v>520</v>
      </c>
      <c r="R1432" s="17">
        <f t="shared" si="265"/>
        <v>1.425663585873016</v>
      </c>
      <c r="S1432" s="16">
        <f t="shared" si="266"/>
        <v>2.0443068048074323E-4</v>
      </c>
      <c r="T1432" s="17">
        <f t="shared" si="269"/>
        <v>0.10630395384998648</v>
      </c>
      <c r="U1432" s="16">
        <f t="shared" si="270"/>
        <v>183.54832818504403</v>
      </c>
      <c r="V1432" s="17">
        <f t="shared" si="271"/>
        <v>0.37686235096582787</v>
      </c>
      <c r="W1432" s="16">
        <f t="shared" si="267"/>
        <v>1356704.4634769803</v>
      </c>
      <c r="X1432">
        <f>('Hybrid Info'!$A$2-Track!P1432)*(L1432-L1431)*1000+X1431</f>
        <v>-16677.715973501538</v>
      </c>
    </row>
    <row r="1433" spans="1:24">
      <c r="A1433" s="16">
        <f t="shared" si="268"/>
        <v>1432</v>
      </c>
      <c r="B1433" s="17">
        <f t="shared" si="263"/>
        <v>13.411199999999999</v>
      </c>
      <c r="C1433" s="16">
        <f>Specification!$G$32</f>
        <v>219.92450400000001</v>
      </c>
      <c r="D1433" s="17">
        <f>0.5*Specification!$K$4*Track!B1433^2*Specification!$K$3*Specification!$K$2</f>
        <v>93.159842569492653</v>
      </c>
      <c r="E1433" s="16">
        <v>0</v>
      </c>
      <c r="F1433" s="17">
        <f>Specification!$C$23*9.81*SIN((E1433*PI()/180))</f>
        <v>0</v>
      </c>
      <c r="G1433" s="18">
        <f>IF(J1433=1,VLOOKUP(K1433,RPM!$E$2:$H$62,3,FALSE)-F1433-E1433-D1433,IF(J1433=2,VLOOKUP(K1433,RPM!$H$2:$K$62,3,FALSE)-F1433-E1433-D1433,IF(J1433=3,VLOOKUP(K1433,RPM!$K$2:$N$62,3,FALSE)-F1433-E1433-D1433)))</f>
        <v>688.48526429214962</v>
      </c>
      <c r="H1433" s="19">
        <f>IF(J1433=1,Specification!$I$14,IF(J1433=2,Specification!$I$15,IF(J1433=3,Specification!$I$16)))</f>
        <v>582.50936296077191</v>
      </c>
      <c r="I1433" s="16">
        <f t="shared" si="261"/>
        <v>0</v>
      </c>
      <c r="J1433" s="17">
        <v>2</v>
      </c>
      <c r="K1433" s="16">
        <f>IF(J1433=1,VLOOKUP(B1433,RPM!$F$2:$H$62,3,TRUE),IF(J1433=2,VLOOKUP(B1433,RPM!$I$2:$K$62,3,TRUE),IF(J1433=3,VLOOKUP(B1433,RPM!$L$2:$N$62,3,TRUE))))</f>
        <v>7000</v>
      </c>
      <c r="L1433" s="17">
        <f t="shared" si="272"/>
        <v>111.05176605254104</v>
      </c>
      <c r="M1433" s="16">
        <f t="shared" si="262"/>
        <v>0</v>
      </c>
      <c r="N1433" s="17">
        <f>VLOOKUP(K1433,RPM!$A$2:$D$62,3,FALSE)</f>
        <v>13</v>
      </c>
      <c r="O1433" s="16">
        <f>VLOOKUP(K1433,RPM!$A$2:$D$62,4,FALSE)</f>
        <v>13.235857142857142</v>
      </c>
      <c r="P1433" s="17">
        <f t="shared" si="264"/>
        <v>9.8699786714285711</v>
      </c>
      <c r="Q1433" s="16" cm="1">
        <f t="array" ref="Q1433">_xlfn.XLOOKUP(O1433,BSFC!$A$2:$A$24,_xlfn.XLOOKUP(K1433,BSFC!$B$1:$O$1,BSFC!$B$2:$O$24,,-1),,-1)</f>
        <v>520</v>
      </c>
      <c r="R1433" s="17">
        <f t="shared" si="265"/>
        <v>1.425663585873016</v>
      </c>
      <c r="S1433" s="16">
        <f t="shared" si="266"/>
        <v>2.0443068048074323E-4</v>
      </c>
      <c r="T1433" s="17">
        <f t="shared" si="269"/>
        <v>0.10630395384998648</v>
      </c>
      <c r="U1433" s="16">
        <f t="shared" si="270"/>
        <v>183.65463213889402</v>
      </c>
      <c r="V1433" s="17">
        <f t="shared" si="271"/>
        <v>0.37706678164630864</v>
      </c>
      <c r="W1433" s="16">
        <f t="shared" si="267"/>
        <v>1357440.4139267111</v>
      </c>
      <c r="X1433">
        <f>('Hybrid Info'!$A$2-Track!P1433)*(L1433-L1432)*1000+X1432</f>
        <v>-16509.910264515285</v>
      </c>
    </row>
    <row r="1434" spans="1:24">
      <c r="A1434" s="16">
        <f t="shared" si="268"/>
        <v>1433</v>
      </c>
      <c r="B1434" s="17">
        <f t="shared" si="263"/>
        <v>13.411199999999999</v>
      </c>
      <c r="C1434" s="16">
        <f>Specification!$G$32</f>
        <v>219.92450400000001</v>
      </c>
      <c r="D1434" s="17">
        <f>0.5*Specification!$K$4*Track!B1434^2*Specification!$K$3*Specification!$K$2</f>
        <v>93.159842569492653</v>
      </c>
      <c r="E1434" s="16">
        <v>0</v>
      </c>
      <c r="F1434" s="17">
        <f>Specification!$C$23*9.81*SIN((E1434*PI()/180))</f>
        <v>0</v>
      </c>
      <c r="G1434" s="18">
        <f>IF(J1434=1,VLOOKUP(K1434,RPM!$E$2:$H$62,3,FALSE)-F1434-E1434-D1434,IF(J1434=2,VLOOKUP(K1434,RPM!$H$2:$K$62,3,FALSE)-F1434-E1434-D1434,IF(J1434=3,VLOOKUP(K1434,RPM!$K$2:$N$62,3,FALSE)-F1434-E1434-D1434)))</f>
        <v>688.48526429214962</v>
      </c>
      <c r="H1434" s="19">
        <f>IF(J1434=1,Specification!$I$14,IF(J1434=2,Specification!$I$15,IF(J1434=3,Specification!$I$16)))</f>
        <v>582.50936296077191</v>
      </c>
      <c r="I1434" s="16">
        <f t="shared" si="261"/>
        <v>0</v>
      </c>
      <c r="J1434" s="17">
        <v>2</v>
      </c>
      <c r="K1434" s="16">
        <f>IF(J1434=1,VLOOKUP(B1434,RPM!$F$2:$H$62,3,TRUE),IF(J1434=2,VLOOKUP(B1434,RPM!$I$2:$K$62,3,TRUE),IF(J1434=3,VLOOKUP(B1434,RPM!$L$2:$N$62,3,TRUE))))</f>
        <v>7000</v>
      </c>
      <c r="L1434" s="17">
        <f t="shared" si="272"/>
        <v>111.12633059560952</v>
      </c>
      <c r="M1434" s="16">
        <f t="shared" si="262"/>
        <v>0</v>
      </c>
      <c r="N1434" s="17">
        <f>VLOOKUP(K1434,RPM!$A$2:$D$62,3,FALSE)</f>
        <v>13</v>
      </c>
      <c r="O1434" s="16">
        <f>VLOOKUP(K1434,RPM!$A$2:$D$62,4,FALSE)</f>
        <v>13.235857142857142</v>
      </c>
      <c r="P1434" s="17">
        <f t="shared" si="264"/>
        <v>9.8699786714285711</v>
      </c>
      <c r="Q1434" s="16" cm="1">
        <f t="array" ref="Q1434">_xlfn.XLOOKUP(O1434,BSFC!$A$2:$A$24,_xlfn.XLOOKUP(K1434,BSFC!$B$1:$O$1,BSFC!$B$2:$O$24,,-1),,-1)</f>
        <v>520</v>
      </c>
      <c r="R1434" s="17">
        <f t="shared" si="265"/>
        <v>1.425663585873016</v>
      </c>
      <c r="S1434" s="16">
        <f t="shared" si="266"/>
        <v>2.0443068048074323E-4</v>
      </c>
      <c r="T1434" s="17">
        <f t="shared" si="269"/>
        <v>0.10630395384998648</v>
      </c>
      <c r="U1434" s="16">
        <f t="shared" si="270"/>
        <v>183.760936092744</v>
      </c>
      <c r="V1434" s="17">
        <f t="shared" si="271"/>
        <v>0.3772712123267894</v>
      </c>
      <c r="W1434" s="16">
        <f t="shared" si="267"/>
        <v>1358176.3643764418</v>
      </c>
      <c r="X1434">
        <f>('Hybrid Info'!$A$2-Track!P1434)*(L1434-L1433)*1000+X1433</f>
        <v>-16342.104555529033</v>
      </c>
    </row>
    <row r="1435" spans="1:24">
      <c r="A1435" s="16">
        <f t="shared" si="268"/>
        <v>1434</v>
      </c>
      <c r="B1435" s="17">
        <f t="shared" si="263"/>
        <v>13.411199999999999</v>
      </c>
      <c r="C1435" s="16">
        <f>Specification!$G$32</f>
        <v>219.92450400000001</v>
      </c>
      <c r="D1435" s="17">
        <f>0.5*Specification!$K$4*Track!B1435^2*Specification!$K$3*Specification!$K$2</f>
        <v>93.159842569492653</v>
      </c>
      <c r="E1435" s="16">
        <v>0</v>
      </c>
      <c r="F1435" s="17">
        <f>Specification!$C$23*9.81*SIN((E1435*PI()/180))</f>
        <v>0</v>
      </c>
      <c r="G1435" s="18">
        <f>IF(J1435=1,VLOOKUP(K1435,RPM!$E$2:$H$62,3,FALSE)-F1435-E1435-D1435,IF(J1435=2,VLOOKUP(K1435,RPM!$H$2:$K$62,3,FALSE)-F1435-E1435-D1435,IF(J1435=3,VLOOKUP(K1435,RPM!$K$2:$N$62,3,FALSE)-F1435-E1435-D1435)))</f>
        <v>688.48526429214962</v>
      </c>
      <c r="H1435" s="19">
        <f>IF(J1435=1,Specification!$I$14,IF(J1435=2,Specification!$I$15,IF(J1435=3,Specification!$I$16)))</f>
        <v>582.50936296077191</v>
      </c>
      <c r="I1435" s="16">
        <f t="shared" si="261"/>
        <v>0</v>
      </c>
      <c r="J1435" s="17">
        <v>2</v>
      </c>
      <c r="K1435" s="16">
        <f>IF(J1435=1,VLOOKUP(B1435,RPM!$F$2:$H$62,3,TRUE),IF(J1435=2,VLOOKUP(B1435,RPM!$I$2:$K$62,3,TRUE),IF(J1435=3,VLOOKUP(B1435,RPM!$L$2:$N$62,3,TRUE))))</f>
        <v>7000</v>
      </c>
      <c r="L1435" s="17">
        <f t="shared" si="272"/>
        <v>111.20089513867799</v>
      </c>
      <c r="M1435" s="16">
        <f t="shared" si="262"/>
        <v>0</v>
      </c>
      <c r="N1435" s="17">
        <f>VLOOKUP(K1435,RPM!$A$2:$D$62,3,FALSE)</f>
        <v>13</v>
      </c>
      <c r="O1435" s="16">
        <f>VLOOKUP(K1435,RPM!$A$2:$D$62,4,FALSE)</f>
        <v>13.235857142857142</v>
      </c>
      <c r="P1435" s="17">
        <f t="shared" si="264"/>
        <v>9.8699786714285711</v>
      </c>
      <c r="Q1435" s="16" cm="1">
        <f t="array" ref="Q1435">_xlfn.XLOOKUP(O1435,BSFC!$A$2:$A$24,_xlfn.XLOOKUP(K1435,BSFC!$B$1:$O$1,BSFC!$B$2:$O$24,,-1),,-1)</f>
        <v>520</v>
      </c>
      <c r="R1435" s="17">
        <f t="shared" si="265"/>
        <v>1.425663585873016</v>
      </c>
      <c r="S1435" s="16">
        <f t="shared" si="266"/>
        <v>2.0443068048074323E-4</v>
      </c>
      <c r="T1435" s="17">
        <f t="shared" si="269"/>
        <v>0.10630395384998648</v>
      </c>
      <c r="U1435" s="16">
        <f t="shared" si="270"/>
        <v>183.86724004659399</v>
      </c>
      <c r="V1435" s="17">
        <f t="shared" si="271"/>
        <v>0.37747564300727016</v>
      </c>
      <c r="W1435" s="16">
        <f t="shared" si="267"/>
        <v>1358912.3148261725</v>
      </c>
      <c r="X1435">
        <f>('Hybrid Info'!$A$2-Track!P1435)*(L1435-L1434)*1000+X1434</f>
        <v>-16174.298846542781</v>
      </c>
    </row>
    <row r="1436" spans="1:24">
      <c r="A1436" s="16">
        <f t="shared" si="268"/>
        <v>1435</v>
      </c>
      <c r="B1436" s="17">
        <f t="shared" si="263"/>
        <v>13.411199999999999</v>
      </c>
      <c r="C1436" s="16">
        <f>Specification!$G$32</f>
        <v>219.92450400000001</v>
      </c>
      <c r="D1436" s="17">
        <f>0.5*Specification!$K$4*Track!B1436^2*Specification!$K$3*Specification!$K$2</f>
        <v>93.159842569492653</v>
      </c>
      <c r="E1436" s="16">
        <v>0</v>
      </c>
      <c r="F1436" s="17">
        <f>Specification!$C$23*9.81*SIN((E1436*PI()/180))</f>
        <v>0</v>
      </c>
      <c r="G1436" s="18">
        <f>IF(J1436=1,VLOOKUP(K1436,RPM!$E$2:$H$62,3,FALSE)-F1436-E1436-D1436,IF(J1436=2,VLOOKUP(K1436,RPM!$H$2:$K$62,3,FALSE)-F1436-E1436-D1436,IF(J1436=3,VLOOKUP(K1436,RPM!$K$2:$N$62,3,FALSE)-F1436-E1436-D1436)))</f>
        <v>688.48526429214962</v>
      </c>
      <c r="H1436" s="19">
        <f>IF(J1436=1,Specification!$I$14,IF(J1436=2,Specification!$I$15,IF(J1436=3,Specification!$I$16)))</f>
        <v>582.50936296077191</v>
      </c>
      <c r="I1436" s="16">
        <f t="shared" si="261"/>
        <v>0</v>
      </c>
      <c r="J1436" s="17">
        <v>2</v>
      </c>
      <c r="K1436" s="16">
        <f>IF(J1436=1,VLOOKUP(B1436,RPM!$F$2:$H$62,3,TRUE),IF(J1436=2,VLOOKUP(B1436,RPM!$I$2:$K$62,3,TRUE),IF(J1436=3,VLOOKUP(B1436,RPM!$L$2:$N$62,3,TRUE))))</f>
        <v>7000</v>
      </c>
      <c r="L1436" s="17">
        <f t="shared" si="272"/>
        <v>111.27545968174647</v>
      </c>
      <c r="M1436" s="16">
        <f t="shared" si="262"/>
        <v>0</v>
      </c>
      <c r="N1436" s="17">
        <f>VLOOKUP(K1436,RPM!$A$2:$D$62,3,FALSE)</f>
        <v>13</v>
      </c>
      <c r="O1436" s="16">
        <f>VLOOKUP(K1436,RPM!$A$2:$D$62,4,FALSE)</f>
        <v>13.235857142857142</v>
      </c>
      <c r="P1436" s="17">
        <f t="shared" si="264"/>
        <v>9.8699786714285711</v>
      </c>
      <c r="Q1436" s="16" cm="1">
        <f t="array" ref="Q1436">_xlfn.XLOOKUP(O1436,BSFC!$A$2:$A$24,_xlfn.XLOOKUP(K1436,BSFC!$B$1:$O$1,BSFC!$B$2:$O$24,,-1),,-1)</f>
        <v>520</v>
      </c>
      <c r="R1436" s="17">
        <f t="shared" si="265"/>
        <v>1.425663585873016</v>
      </c>
      <c r="S1436" s="16">
        <f t="shared" si="266"/>
        <v>2.0443068048074323E-4</v>
      </c>
      <c r="T1436" s="17">
        <f t="shared" si="269"/>
        <v>0.10630395384998648</v>
      </c>
      <c r="U1436" s="16">
        <f t="shared" si="270"/>
        <v>183.97354400044398</v>
      </c>
      <c r="V1436" s="17">
        <f t="shared" si="271"/>
        <v>0.37768007368775092</v>
      </c>
      <c r="W1436" s="16">
        <f t="shared" si="267"/>
        <v>1359648.2652759033</v>
      </c>
      <c r="X1436">
        <f>('Hybrid Info'!$A$2-Track!P1436)*(L1436-L1435)*1000+X1435</f>
        <v>-16006.493137556528</v>
      </c>
    </row>
    <row r="1437" spans="1:24">
      <c r="A1437" s="16">
        <f t="shared" si="268"/>
        <v>1436</v>
      </c>
      <c r="B1437" s="17">
        <f t="shared" si="263"/>
        <v>13.411199999999999</v>
      </c>
      <c r="C1437" s="16">
        <f>Specification!$G$32</f>
        <v>219.92450400000001</v>
      </c>
      <c r="D1437" s="17">
        <f>0.5*Specification!$K$4*Track!B1437^2*Specification!$K$3*Specification!$K$2</f>
        <v>93.159842569492653</v>
      </c>
      <c r="E1437" s="16">
        <v>0</v>
      </c>
      <c r="F1437" s="17">
        <f>Specification!$C$23*9.81*SIN((E1437*PI()/180))</f>
        <v>0</v>
      </c>
      <c r="G1437" s="18">
        <f>IF(J1437=1,VLOOKUP(K1437,RPM!$E$2:$H$62,3,FALSE)-F1437-E1437-D1437,IF(J1437=2,VLOOKUP(K1437,RPM!$H$2:$K$62,3,FALSE)-F1437-E1437-D1437,IF(J1437=3,VLOOKUP(K1437,RPM!$K$2:$N$62,3,FALSE)-F1437-E1437-D1437)))</f>
        <v>688.48526429214962</v>
      </c>
      <c r="H1437" s="19">
        <f>IF(J1437=1,Specification!$I$14,IF(J1437=2,Specification!$I$15,IF(J1437=3,Specification!$I$16)))</f>
        <v>582.50936296077191</v>
      </c>
      <c r="I1437" s="16">
        <f t="shared" si="261"/>
        <v>0</v>
      </c>
      <c r="J1437" s="17">
        <v>2</v>
      </c>
      <c r="K1437" s="16">
        <f>IF(J1437=1,VLOOKUP(B1437,RPM!$F$2:$H$62,3,TRUE),IF(J1437=2,VLOOKUP(B1437,RPM!$I$2:$K$62,3,TRUE),IF(J1437=3,VLOOKUP(B1437,RPM!$L$2:$N$62,3,TRUE))))</f>
        <v>7000</v>
      </c>
      <c r="L1437" s="17">
        <f t="shared" si="272"/>
        <v>111.35002422481494</v>
      </c>
      <c r="M1437" s="16">
        <f t="shared" si="262"/>
        <v>0</v>
      </c>
      <c r="N1437" s="17">
        <f>VLOOKUP(K1437,RPM!$A$2:$D$62,3,FALSE)</f>
        <v>13</v>
      </c>
      <c r="O1437" s="16">
        <f>VLOOKUP(K1437,RPM!$A$2:$D$62,4,FALSE)</f>
        <v>13.235857142857142</v>
      </c>
      <c r="P1437" s="17">
        <f t="shared" si="264"/>
        <v>9.8699786714285711</v>
      </c>
      <c r="Q1437" s="16" cm="1">
        <f t="array" ref="Q1437">_xlfn.XLOOKUP(O1437,BSFC!$A$2:$A$24,_xlfn.XLOOKUP(K1437,BSFC!$B$1:$O$1,BSFC!$B$2:$O$24,,-1),,-1)</f>
        <v>520</v>
      </c>
      <c r="R1437" s="17">
        <f t="shared" si="265"/>
        <v>1.425663585873016</v>
      </c>
      <c r="S1437" s="16">
        <f t="shared" si="266"/>
        <v>2.0443068048074323E-4</v>
      </c>
      <c r="T1437" s="17">
        <f t="shared" si="269"/>
        <v>0.10630395384998648</v>
      </c>
      <c r="U1437" s="16">
        <f t="shared" si="270"/>
        <v>184.07984795429397</v>
      </c>
      <c r="V1437" s="17">
        <f t="shared" si="271"/>
        <v>0.37788450436823168</v>
      </c>
      <c r="W1437" s="16">
        <f t="shared" si="267"/>
        <v>1360384.215725634</v>
      </c>
      <c r="X1437">
        <f>('Hybrid Info'!$A$2-Track!P1437)*(L1437-L1436)*1000+X1436</f>
        <v>-15838.687428570276</v>
      </c>
    </row>
    <row r="1438" spans="1:24">
      <c r="A1438" s="16">
        <f t="shared" si="268"/>
        <v>1437</v>
      </c>
      <c r="B1438" s="17">
        <f t="shared" si="263"/>
        <v>13.411199999999999</v>
      </c>
      <c r="C1438" s="16">
        <f>Specification!$G$32</f>
        <v>219.92450400000001</v>
      </c>
      <c r="D1438" s="17">
        <f>0.5*Specification!$K$4*Track!B1438^2*Specification!$K$3*Specification!$K$2</f>
        <v>93.159842569492653</v>
      </c>
      <c r="E1438" s="16">
        <v>0</v>
      </c>
      <c r="F1438" s="17">
        <f>Specification!$C$23*9.81*SIN((E1438*PI()/180))</f>
        <v>0</v>
      </c>
      <c r="G1438" s="18">
        <f>IF(J1438=1,VLOOKUP(K1438,RPM!$E$2:$H$62,3,FALSE)-F1438-E1438-D1438,IF(J1438=2,VLOOKUP(K1438,RPM!$H$2:$K$62,3,FALSE)-F1438-E1438-D1438,IF(J1438=3,VLOOKUP(K1438,RPM!$K$2:$N$62,3,FALSE)-F1438-E1438-D1438)))</f>
        <v>688.48526429214962</v>
      </c>
      <c r="H1438" s="19">
        <f>IF(J1438=1,Specification!$I$14,IF(J1438=2,Specification!$I$15,IF(J1438=3,Specification!$I$16)))</f>
        <v>582.50936296077191</v>
      </c>
      <c r="I1438" s="16">
        <f t="shared" si="261"/>
        <v>0</v>
      </c>
      <c r="J1438" s="17">
        <v>2</v>
      </c>
      <c r="K1438" s="16">
        <f>IF(J1438=1,VLOOKUP(B1438,RPM!$F$2:$H$62,3,TRUE),IF(J1438=2,VLOOKUP(B1438,RPM!$I$2:$K$62,3,TRUE),IF(J1438=3,VLOOKUP(B1438,RPM!$L$2:$N$62,3,TRUE))))</f>
        <v>7000</v>
      </c>
      <c r="L1438" s="17">
        <f t="shared" si="272"/>
        <v>111.42458876788342</v>
      </c>
      <c r="M1438" s="16">
        <f t="shared" si="262"/>
        <v>0</v>
      </c>
      <c r="N1438" s="17">
        <f>VLOOKUP(K1438,RPM!$A$2:$D$62,3,FALSE)</f>
        <v>13</v>
      </c>
      <c r="O1438" s="16">
        <f>VLOOKUP(K1438,RPM!$A$2:$D$62,4,FALSE)</f>
        <v>13.235857142857142</v>
      </c>
      <c r="P1438" s="17">
        <f t="shared" si="264"/>
        <v>9.8699786714285711</v>
      </c>
      <c r="Q1438" s="16" cm="1">
        <f t="array" ref="Q1438">_xlfn.XLOOKUP(O1438,BSFC!$A$2:$A$24,_xlfn.XLOOKUP(K1438,BSFC!$B$1:$O$1,BSFC!$B$2:$O$24,,-1),,-1)</f>
        <v>520</v>
      </c>
      <c r="R1438" s="17">
        <f t="shared" si="265"/>
        <v>1.425663585873016</v>
      </c>
      <c r="S1438" s="16">
        <f t="shared" si="266"/>
        <v>2.0443068048074323E-4</v>
      </c>
      <c r="T1438" s="17">
        <f t="shared" si="269"/>
        <v>0.10630395384998648</v>
      </c>
      <c r="U1438" s="16">
        <f t="shared" si="270"/>
        <v>184.18615190814396</v>
      </c>
      <c r="V1438" s="17">
        <f t="shared" si="271"/>
        <v>0.37808893504871244</v>
      </c>
      <c r="W1438" s="16">
        <f t="shared" si="267"/>
        <v>1361120.1661753647</v>
      </c>
      <c r="X1438">
        <f>('Hybrid Info'!$A$2-Track!P1438)*(L1438-L1437)*1000+X1437</f>
        <v>-15670.881719584024</v>
      </c>
    </row>
    <row r="1439" spans="1:24">
      <c r="A1439" s="16">
        <f t="shared" si="268"/>
        <v>1438</v>
      </c>
      <c r="B1439" s="17">
        <f t="shared" si="263"/>
        <v>13.411199999999999</v>
      </c>
      <c r="C1439" s="16">
        <f>Specification!$G$32</f>
        <v>219.92450400000001</v>
      </c>
      <c r="D1439" s="17">
        <f>0.5*Specification!$K$4*Track!B1439^2*Specification!$K$3*Specification!$K$2</f>
        <v>93.159842569492653</v>
      </c>
      <c r="E1439" s="16">
        <v>0</v>
      </c>
      <c r="F1439" s="17">
        <f>Specification!$C$23*9.81*SIN((E1439*PI()/180))</f>
        <v>0</v>
      </c>
      <c r="G1439" s="18">
        <f>IF(J1439=1,VLOOKUP(K1439,RPM!$E$2:$H$62,3,FALSE)-F1439-E1439-D1439,IF(J1439=2,VLOOKUP(K1439,RPM!$H$2:$K$62,3,FALSE)-F1439-E1439-D1439,IF(J1439=3,VLOOKUP(K1439,RPM!$K$2:$N$62,3,FALSE)-F1439-E1439-D1439)))</f>
        <v>688.48526429214962</v>
      </c>
      <c r="H1439" s="19">
        <f>IF(J1439=1,Specification!$I$14,IF(J1439=2,Specification!$I$15,IF(J1439=3,Specification!$I$16)))</f>
        <v>582.50936296077191</v>
      </c>
      <c r="I1439" s="16">
        <f t="shared" si="261"/>
        <v>0</v>
      </c>
      <c r="J1439" s="17">
        <v>2</v>
      </c>
      <c r="K1439" s="16">
        <f>IF(J1439=1,VLOOKUP(B1439,RPM!$F$2:$H$62,3,TRUE),IF(J1439=2,VLOOKUP(B1439,RPM!$I$2:$K$62,3,TRUE),IF(J1439=3,VLOOKUP(B1439,RPM!$L$2:$N$62,3,TRUE))))</f>
        <v>7000</v>
      </c>
      <c r="L1439" s="17">
        <f t="shared" si="272"/>
        <v>111.4991533109519</v>
      </c>
      <c r="M1439" s="16">
        <f t="shared" si="262"/>
        <v>0</v>
      </c>
      <c r="N1439" s="17">
        <f>VLOOKUP(K1439,RPM!$A$2:$D$62,3,FALSE)</f>
        <v>13</v>
      </c>
      <c r="O1439" s="16">
        <f>VLOOKUP(K1439,RPM!$A$2:$D$62,4,FALSE)</f>
        <v>13.235857142857142</v>
      </c>
      <c r="P1439" s="17">
        <f t="shared" si="264"/>
        <v>9.8699786714285711</v>
      </c>
      <c r="Q1439" s="16" cm="1">
        <f t="array" ref="Q1439">_xlfn.XLOOKUP(O1439,BSFC!$A$2:$A$24,_xlfn.XLOOKUP(K1439,BSFC!$B$1:$O$1,BSFC!$B$2:$O$24,,-1),,-1)</f>
        <v>520</v>
      </c>
      <c r="R1439" s="17">
        <f t="shared" si="265"/>
        <v>1.425663585873016</v>
      </c>
      <c r="S1439" s="16">
        <f t="shared" si="266"/>
        <v>2.0443068048074323E-4</v>
      </c>
      <c r="T1439" s="17">
        <f t="shared" si="269"/>
        <v>0.10630395384998648</v>
      </c>
      <c r="U1439" s="16">
        <f t="shared" si="270"/>
        <v>184.29245586199394</v>
      </c>
      <c r="V1439" s="17">
        <f t="shared" si="271"/>
        <v>0.3782933657291932</v>
      </c>
      <c r="W1439" s="16">
        <f t="shared" si="267"/>
        <v>1361856.1166250957</v>
      </c>
      <c r="X1439">
        <f>('Hybrid Info'!$A$2-Track!P1439)*(L1439-L1438)*1000+X1438</f>
        <v>-15503.076010597772</v>
      </c>
    </row>
    <row r="1440" spans="1:24">
      <c r="A1440" s="16">
        <f t="shared" si="268"/>
        <v>1439</v>
      </c>
      <c r="B1440" s="17">
        <f t="shared" si="263"/>
        <v>13.411199999999999</v>
      </c>
      <c r="C1440" s="16">
        <f>Specification!$G$32</f>
        <v>219.92450400000001</v>
      </c>
      <c r="D1440" s="17">
        <f>0.5*Specification!$K$4*Track!B1440^2*Specification!$K$3*Specification!$K$2</f>
        <v>93.159842569492653</v>
      </c>
      <c r="E1440" s="16">
        <v>0</v>
      </c>
      <c r="F1440" s="17">
        <f>Specification!$C$23*9.81*SIN((E1440*PI()/180))</f>
        <v>0</v>
      </c>
      <c r="G1440" s="18">
        <f>IF(J1440=1,VLOOKUP(K1440,RPM!$E$2:$H$62,3,FALSE)-F1440-E1440-D1440,IF(J1440=2,VLOOKUP(K1440,RPM!$H$2:$K$62,3,FALSE)-F1440-E1440-D1440,IF(J1440=3,VLOOKUP(K1440,RPM!$K$2:$N$62,3,FALSE)-F1440-E1440-D1440)))</f>
        <v>688.48526429214962</v>
      </c>
      <c r="H1440" s="19">
        <f>IF(J1440=1,Specification!$I$14,IF(J1440=2,Specification!$I$15,IF(J1440=3,Specification!$I$16)))</f>
        <v>582.50936296077191</v>
      </c>
      <c r="I1440" s="16">
        <f t="shared" si="261"/>
        <v>0</v>
      </c>
      <c r="J1440" s="17">
        <v>2</v>
      </c>
      <c r="K1440" s="16">
        <f>IF(J1440=1,VLOOKUP(B1440,RPM!$F$2:$H$62,3,TRUE),IF(J1440=2,VLOOKUP(B1440,RPM!$I$2:$K$62,3,TRUE),IF(J1440=3,VLOOKUP(B1440,RPM!$L$2:$N$62,3,TRUE))))</f>
        <v>7000</v>
      </c>
      <c r="L1440" s="17">
        <f t="shared" si="272"/>
        <v>111.57371785402037</v>
      </c>
      <c r="M1440" s="16">
        <f t="shared" si="262"/>
        <v>0</v>
      </c>
      <c r="N1440" s="17">
        <f>VLOOKUP(K1440,RPM!$A$2:$D$62,3,FALSE)</f>
        <v>13</v>
      </c>
      <c r="O1440" s="16">
        <f>VLOOKUP(K1440,RPM!$A$2:$D$62,4,FALSE)</f>
        <v>13.235857142857142</v>
      </c>
      <c r="P1440" s="17">
        <f t="shared" si="264"/>
        <v>9.8699786714285711</v>
      </c>
      <c r="Q1440" s="16" cm="1">
        <f t="array" ref="Q1440">_xlfn.XLOOKUP(O1440,BSFC!$A$2:$A$24,_xlfn.XLOOKUP(K1440,BSFC!$B$1:$O$1,BSFC!$B$2:$O$24,,-1),,-1)</f>
        <v>520</v>
      </c>
      <c r="R1440" s="17">
        <f t="shared" si="265"/>
        <v>1.425663585873016</v>
      </c>
      <c r="S1440" s="16">
        <f t="shared" si="266"/>
        <v>2.0443068048074323E-4</v>
      </c>
      <c r="T1440" s="17">
        <f t="shared" si="269"/>
        <v>0.10630395384998648</v>
      </c>
      <c r="U1440" s="16">
        <f t="shared" si="270"/>
        <v>184.39875981584393</v>
      </c>
      <c r="V1440" s="17">
        <f t="shared" si="271"/>
        <v>0.37849779640967396</v>
      </c>
      <c r="W1440" s="16">
        <f t="shared" si="267"/>
        <v>1362592.0670748262</v>
      </c>
      <c r="X1440">
        <f>('Hybrid Info'!$A$2-Track!P1440)*(L1440-L1439)*1000+X1439</f>
        <v>-15335.270301611519</v>
      </c>
    </row>
    <row r="1441" spans="1:24">
      <c r="A1441" s="16">
        <f t="shared" si="268"/>
        <v>1440</v>
      </c>
      <c r="B1441" s="17">
        <f t="shared" si="263"/>
        <v>13.411199999999999</v>
      </c>
      <c r="C1441" s="16">
        <f>Specification!$G$32</f>
        <v>219.92450400000001</v>
      </c>
      <c r="D1441" s="17">
        <f>0.5*Specification!$K$4*Track!B1441^2*Specification!$K$3*Specification!$K$2</f>
        <v>93.159842569492653</v>
      </c>
      <c r="E1441" s="16">
        <v>0</v>
      </c>
      <c r="F1441" s="17">
        <f>Specification!$C$23*9.81*SIN((E1441*PI()/180))</f>
        <v>0</v>
      </c>
      <c r="G1441" s="18">
        <f>IF(J1441=1,VLOOKUP(K1441,RPM!$E$2:$H$62,3,FALSE)-F1441-E1441-D1441,IF(J1441=2,VLOOKUP(K1441,RPM!$H$2:$K$62,3,FALSE)-F1441-E1441-D1441,IF(J1441=3,VLOOKUP(K1441,RPM!$K$2:$N$62,3,FALSE)-F1441-E1441-D1441)))</f>
        <v>688.48526429214962</v>
      </c>
      <c r="H1441" s="19">
        <f>IF(J1441=1,Specification!$I$14,IF(J1441=2,Specification!$I$15,IF(J1441=3,Specification!$I$16)))</f>
        <v>582.50936296077191</v>
      </c>
      <c r="I1441" s="16">
        <f t="shared" si="261"/>
        <v>0</v>
      </c>
      <c r="J1441" s="17">
        <v>2</v>
      </c>
      <c r="K1441" s="16">
        <f>IF(J1441=1,VLOOKUP(B1441,RPM!$F$2:$H$62,3,TRUE),IF(J1441=2,VLOOKUP(B1441,RPM!$I$2:$K$62,3,TRUE),IF(J1441=3,VLOOKUP(B1441,RPM!$L$2:$N$62,3,TRUE))))</f>
        <v>7000</v>
      </c>
      <c r="L1441" s="17">
        <f t="shared" si="272"/>
        <v>111.64828239708885</v>
      </c>
      <c r="M1441" s="16">
        <f t="shared" si="262"/>
        <v>0</v>
      </c>
      <c r="N1441" s="17">
        <f>VLOOKUP(K1441,RPM!$A$2:$D$62,3,FALSE)</f>
        <v>13</v>
      </c>
      <c r="O1441" s="16">
        <f>VLOOKUP(K1441,RPM!$A$2:$D$62,4,FALSE)</f>
        <v>13.235857142857142</v>
      </c>
      <c r="P1441" s="17">
        <f t="shared" si="264"/>
        <v>9.8699786714285711</v>
      </c>
      <c r="Q1441" s="16" cm="1">
        <f t="array" ref="Q1441">_xlfn.XLOOKUP(O1441,BSFC!$A$2:$A$24,_xlfn.XLOOKUP(K1441,BSFC!$B$1:$O$1,BSFC!$B$2:$O$24,,-1),,-1)</f>
        <v>520</v>
      </c>
      <c r="R1441" s="17">
        <f t="shared" si="265"/>
        <v>1.425663585873016</v>
      </c>
      <c r="S1441" s="16">
        <f t="shared" si="266"/>
        <v>2.0443068048074323E-4</v>
      </c>
      <c r="T1441" s="17">
        <f t="shared" si="269"/>
        <v>0.10630395384998648</v>
      </c>
      <c r="U1441" s="16">
        <f t="shared" si="270"/>
        <v>184.50506376969392</v>
      </c>
      <c r="V1441" s="17">
        <f t="shared" si="271"/>
        <v>0.37870222709015472</v>
      </c>
      <c r="W1441" s="16">
        <f t="shared" si="267"/>
        <v>1363328.017524557</v>
      </c>
      <c r="X1441">
        <f>('Hybrid Info'!$A$2-Track!P1441)*(L1441-L1440)*1000+X1440</f>
        <v>-15167.464592625267</v>
      </c>
    </row>
    <row r="1442" spans="1:24">
      <c r="A1442" s="16">
        <f t="shared" si="268"/>
        <v>1441</v>
      </c>
      <c r="B1442" s="17">
        <f t="shared" si="263"/>
        <v>13.411199999999999</v>
      </c>
      <c r="C1442" s="16">
        <f>Specification!$G$32</f>
        <v>219.92450400000001</v>
      </c>
      <c r="D1442" s="17">
        <f>0.5*Specification!$K$4*Track!B1442^2*Specification!$K$3*Specification!$K$2</f>
        <v>93.159842569492653</v>
      </c>
      <c r="E1442" s="16">
        <v>0</v>
      </c>
      <c r="F1442" s="17">
        <f>Specification!$C$23*9.81*SIN((E1442*PI()/180))</f>
        <v>0</v>
      </c>
      <c r="G1442" s="18">
        <f>IF(J1442=1,VLOOKUP(K1442,RPM!$E$2:$H$62,3,FALSE)-F1442-E1442-D1442,IF(J1442=2,VLOOKUP(K1442,RPM!$H$2:$K$62,3,FALSE)-F1442-E1442-D1442,IF(J1442=3,VLOOKUP(K1442,RPM!$K$2:$N$62,3,FALSE)-F1442-E1442-D1442)))</f>
        <v>688.48526429214962</v>
      </c>
      <c r="H1442" s="19">
        <f>IF(J1442=1,Specification!$I$14,IF(J1442=2,Specification!$I$15,IF(J1442=3,Specification!$I$16)))</f>
        <v>582.50936296077191</v>
      </c>
      <c r="I1442" s="16">
        <f t="shared" si="261"/>
        <v>0</v>
      </c>
      <c r="J1442" s="17">
        <v>2</v>
      </c>
      <c r="K1442" s="16">
        <f>IF(J1442=1,VLOOKUP(B1442,RPM!$F$2:$H$62,3,TRUE),IF(J1442=2,VLOOKUP(B1442,RPM!$I$2:$K$62,3,TRUE),IF(J1442=3,VLOOKUP(B1442,RPM!$L$2:$N$62,3,TRUE))))</f>
        <v>7000</v>
      </c>
      <c r="L1442" s="17">
        <f t="shared" si="272"/>
        <v>111.72284694015732</v>
      </c>
      <c r="M1442" s="16">
        <f t="shared" si="262"/>
        <v>0</v>
      </c>
      <c r="N1442" s="17">
        <f>VLOOKUP(K1442,RPM!$A$2:$D$62,3,FALSE)</f>
        <v>13</v>
      </c>
      <c r="O1442" s="16">
        <f>VLOOKUP(K1442,RPM!$A$2:$D$62,4,FALSE)</f>
        <v>13.235857142857142</v>
      </c>
      <c r="P1442" s="17">
        <f t="shared" si="264"/>
        <v>9.8699786714285711</v>
      </c>
      <c r="Q1442" s="16" cm="1">
        <f t="array" ref="Q1442">_xlfn.XLOOKUP(O1442,BSFC!$A$2:$A$24,_xlfn.XLOOKUP(K1442,BSFC!$B$1:$O$1,BSFC!$B$2:$O$24,,-1),,-1)</f>
        <v>520</v>
      </c>
      <c r="R1442" s="17">
        <f t="shared" si="265"/>
        <v>1.425663585873016</v>
      </c>
      <c r="S1442" s="16">
        <f t="shared" si="266"/>
        <v>2.0443068048074323E-4</v>
      </c>
      <c r="T1442" s="17">
        <f t="shared" si="269"/>
        <v>0.10630395384998648</v>
      </c>
      <c r="U1442" s="16">
        <f t="shared" si="270"/>
        <v>184.61136772354391</v>
      </c>
      <c r="V1442" s="17">
        <f t="shared" si="271"/>
        <v>0.37890665777063548</v>
      </c>
      <c r="W1442" s="16">
        <f t="shared" si="267"/>
        <v>1364063.9679742877</v>
      </c>
      <c r="X1442">
        <f>('Hybrid Info'!$A$2-Track!P1442)*(L1442-L1441)*1000+X1441</f>
        <v>-14999.658883639015</v>
      </c>
    </row>
    <row r="1443" spans="1:24">
      <c r="A1443" s="16">
        <f t="shared" si="268"/>
        <v>1442</v>
      </c>
      <c r="B1443" s="17">
        <f t="shared" si="263"/>
        <v>13.411199999999999</v>
      </c>
      <c r="C1443" s="16">
        <f>Specification!$G$32</f>
        <v>219.92450400000001</v>
      </c>
      <c r="D1443" s="17">
        <f>0.5*Specification!$K$4*Track!B1443^2*Specification!$K$3*Specification!$K$2</f>
        <v>93.159842569492653</v>
      </c>
      <c r="E1443" s="16">
        <v>0</v>
      </c>
      <c r="F1443" s="17">
        <f>Specification!$C$23*9.81*SIN((E1443*PI()/180))</f>
        <v>0</v>
      </c>
      <c r="G1443" s="18">
        <f>IF(J1443=1,VLOOKUP(K1443,RPM!$E$2:$H$62,3,FALSE)-F1443-E1443-D1443,IF(J1443=2,VLOOKUP(K1443,RPM!$H$2:$K$62,3,FALSE)-F1443-E1443-D1443,IF(J1443=3,VLOOKUP(K1443,RPM!$K$2:$N$62,3,FALSE)-F1443-E1443-D1443)))</f>
        <v>688.48526429214962</v>
      </c>
      <c r="H1443" s="19">
        <f>IF(J1443=1,Specification!$I$14,IF(J1443=2,Specification!$I$15,IF(J1443=3,Specification!$I$16)))</f>
        <v>582.50936296077191</v>
      </c>
      <c r="I1443" s="16">
        <f t="shared" si="261"/>
        <v>0</v>
      </c>
      <c r="J1443" s="17">
        <v>2</v>
      </c>
      <c r="K1443" s="16">
        <f>IF(J1443=1,VLOOKUP(B1443,RPM!$F$2:$H$62,3,TRUE),IF(J1443=2,VLOOKUP(B1443,RPM!$I$2:$K$62,3,TRUE),IF(J1443=3,VLOOKUP(B1443,RPM!$L$2:$N$62,3,TRUE))))</f>
        <v>7000</v>
      </c>
      <c r="L1443" s="17">
        <f t="shared" si="272"/>
        <v>111.7974114832258</v>
      </c>
      <c r="M1443" s="16">
        <f t="shared" si="262"/>
        <v>0</v>
      </c>
      <c r="N1443" s="17">
        <f>VLOOKUP(K1443,RPM!$A$2:$D$62,3,FALSE)</f>
        <v>13</v>
      </c>
      <c r="O1443" s="16">
        <f>VLOOKUP(K1443,RPM!$A$2:$D$62,4,FALSE)</f>
        <v>13.235857142857142</v>
      </c>
      <c r="P1443" s="17">
        <f t="shared" si="264"/>
        <v>9.8699786714285711</v>
      </c>
      <c r="Q1443" s="16" cm="1">
        <f t="array" ref="Q1443">_xlfn.XLOOKUP(O1443,BSFC!$A$2:$A$24,_xlfn.XLOOKUP(K1443,BSFC!$B$1:$O$1,BSFC!$B$2:$O$24,,-1),,-1)</f>
        <v>520</v>
      </c>
      <c r="R1443" s="17">
        <f t="shared" si="265"/>
        <v>1.425663585873016</v>
      </c>
      <c r="S1443" s="16">
        <f t="shared" si="266"/>
        <v>2.0443068048074323E-4</v>
      </c>
      <c r="T1443" s="17">
        <f t="shared" si="269"/>
        <v>0.10630395384998648</v>
      </c>
      <c r="U1443" s="16">
        <f t="shared" si="270"/>
        <v>184.71767167739389</v>
      </c>
      <c r="V1443" s="17">
        <f t="shared" si="271"/>
        <v>0.37911108845111624</v>
      </c>
      <c r="W1443" s="16">
        <f t="shared" si="267"/>
        <v>1364799.9184240184</v>
      </c>
      <c r="X1443">
        <f>('Hybrid Info'!$A$2-Track!P1443)*(L1443-L1442)*1000+X1442</f>
        <v>-14831.853174652762</v>
      </c>
    </row>
    <row r="1444" spans="1:24">
      <c r="A1444" s="16">
        <f t="shared" si="268"/>
        <v>1443</v>
      </c>
      <c r="B1444" s="17">
        <f t="shared" si="263"/>
        <v>13.411199999999999</v>
      </c>
      <c r="C1444" s="16">
        <f>Specification!$G$32</f>
        <v>219.92450400000001</v>
      </c>
      <c r="D1444" s="17">
        <f>0.5*Specification!$K$4*Track!B1444^2*Specification!$K$3*Specification!$K$2</f>
        <v>93.159842569492653</v>
      </c>
      <c r="E1444" s="16">
        <v>0</v>
      </c>
      <c r="F1444" s="17">
        <f>Specification!$C$23*9.81*SIN((E1444*PI()/180))</f>
        <v>0</v>
      </c>
      <c r="G1444" s="18">
        <f>IF(J1444=1,VLOOKUP(K1444,RPM!$E$2:$H$62,3,FALSE)-F1444-E1444-D1444,IF(J1444=2,VLOOKUP(K1444,RPM!$H$2:$K$62,3,FALSE)-F1444-E1444-D1444,IF(J1444=3,VLOOKUP(K1444,RPM!$K$2:$N$62,3,FALSE)-F1444-E1444-D1444)))</f>
        <v>688.48526429214962</v>
      </c>
      <c r="H1444" s="19">
        <f>IF(J1444=1,Specification!$I$14,IF(J1444=2,Specification!$I$15,IF(J1444=3,Specification!$I$16)))</f>
        <v>582.50936296077191</v>
      </c>
      <c r="I1444" s="16">
        <f t="shared" ref="I1444:I1507" si="273">IF(B1444=13.4112,0,G1444/H1444)</f>
        <v>0</v>
      </c>
      <c r="J1444" s="17">
        <v>2</v>
      </c>
      <c r="K1444" s="16">
        <f>IF(J1444=1,VLOOKUP(B1444,RPM!$F$2:$H$62,3,TRUE),IF(J1444=2,VLOOKUP(B1444,RPM!$I$2:$K$62,3,TRUE),IF(J1444=3,VLOOKUP(B1444,RPM!$L$2:$N$62,3,TRUE))))</f>
        <v>7000</v>
      </c>
      <c r="L1444" s="17">
        <f t="shared" si="272"/>
        <v>111.87197602629428</v>
      </c>
      <c r="M1444" s="16">
        <f t="shared" si="262"/>
        <v>0</v>
      </c>
      <c r="N1444" s="17">
        <f>VLOOKUP(K1444,RPM!$A$2:$D$62,3,FALSE)</f>
        <v>13</v>
      </c>
      <c r="O1444" s="16">
        <f>VLOOKUP(K1444,RPM!$A$2:$D$62,4,FALSE)</f>
        <v>13.235857142857142</v>
      </c>
      <c r="P1444" s="17">
        <f t="shared" si="264"/>
        <v>9.8699786714285711</v>
      </c>
      <c r="Q1444" s="16" cm="1">
        <f t="array" ref="Q1444">_xlfn.XLOOKUP(O1444,BSFC!$A$2:$A$24,_xlfn.XLOOKUP(K1444,BSFC!$B$1:$O$1,BSFC!$B$2:$O$24,,-1),,-1)</f>
        <v>520</v>
      </c>
      <c r="R1444" s="17">
        <f t="shared" si="265"/>
        <v>1.425663585873016</v>
      </c>
      <c r="S1444" s="16">
        <f t="shared" si="266"/>
        <v>2.0443068048074323E-4</v>
      </c>
      <c r="T1444" s="17">
        <f t="shared" si="269"/>
        <v>0.10630395384998648</v>
      </c>
      <c r="U1444" s="16">
        <f t="shared" si="270"/>
        <v>184.82397563124388</v>
      </c>
      <c r="V1444" s="17">
        <f t="shared" si="271"/>
        <v>0.379315519131597</v>
      </c>
      <c r="W1444" s="16">
        <f t="shared" si="267"/>
        <v>1365535.8688737492</v>
      </c>
      <c r="X1444">
        <f>('Hybrid Info'!$A$2-Track!P1444)*(L1444-L1443)*1000+X1443</f>
        <v>-14664.04746566651</v>
      </c>
    </row>
    <row r="1445" spans="1:24">
      <c r="A1445" s="16">
        <f t="shared" si="268"/>
        <v>1444</v>
      </c>
      <c r="B1445" s="17">
        <f t="shared" si="263"/>
        <v>13.411199999999999</v>
      </c>
      <c r="C1445" s="16">
        <f>Specification!$G$32</f>
        <v>219.92450400000001</v>
      </c>
      <c r="D1445" s="17">
        <f>0.5*Specification!$K$4*Track!B1445^2*Specification!$K$3*Specification!$K$2</f>
        <v>93.159842569492653</v>
      </c>
      <c r="E1445" s="16">
        <v>0</v>
      </c>
      <c r="F1445" s="17">
        <f>Specification!$C$23*9.81*SIN((E1445*PI()/180))</f>
        <v>0</v>
      </c>
      <c r="G1445" s="18">
        <f>IF(J1445=1,VLOOKUP(K1445,RPM!$E$2:$H$62,3,FALSE)-F1445-E1445-D1445,IF(J1445=2,VLOOKUP(K1445,RPM!$H$2:$K$62,3,FALSE)-F1445-E1445-D1445,IF(J1445=3,VLOOKUP(K1445,RPM!$K$2:$N$62,3,FALSE)-F1445-E1445-D1445)))</f>
        <v>688.48526429214962</v>
      </c>
      <c r="H1445" s="19">
        <f>IF(J1445=1,Specification!$I$14,IF(J1445=2,Specification!$I$15,IF(J1445=3,Specification!$I$16)))</f>
        <v>582.50936296077191</v>
      </c>
      <c r="I1445" s="16">
        <f t="shared" si="273"/>
        <v>0</v>
      </c>
      <c r="J1445" s="17">
        <v>2</v>
      </c>
      <c r="K1445" s="16">
        <f>IF(J1445=1,VLOOKUP(B1445,RPM!$F$2:$H$62,3,TRUE),IF(J1445=2,VLOOKUP(B1445,RPM!$I$2:$K$62,3,TRUE),IF(J1445=3,VLOOKUP(B1445,RPM!$L$2:$N$62,3,TRUE))))</f>
        <v>7000</v>
      </c>
      <c r="L1445" s="17">
        <f t="shared" si="272"/>
        <v>111.94654056936275</v>
      </c>
      <c r="M1445" s="16">
        <f t="shared" si="262"/>
        <v>0</v>
      </c>
      <c r="N1445" s="17">
        <f>VLOOKUP(K1445,RPM!$A$2:$D$62,3,FALSE)</f>
        <v>13</v>
      </c>
      <c r="O1445" s="16">
        <f>VLOOKUP(K1445,RPM!$A$2:$D$62,4,FALSE)</f>
        <v>13.235857142857142</v>
      </c>
      <c r="P1445" s="17">
        <f t="shared" si="264"/>
        <v>9.8699786714285711</v>
      </c>
      <c r="Q1445" s="16" cm="1">
        <f t="array" ref="Q1445">_xlfn.XLOOKUP(O1445,BSFC!$A$2:$A$24,_xlfn.XLOOKUP(K1445,BSFC!$B$1:$O$1,BSFC!$B$2:$O$24,,-1),,-1)</f>
        <v>520</v>
      </c>
      <c r="R1445" s="17">
        <f t="shared" si="265"/>
        <v>1.425663585873016</v>
      </c>
      <c r="S1445" s="16">
        <f t="shared" si="266"/>
        <v>2.0443068048074323E-4</v>
      </c>
      <c r="T1445" s="17">
        <f t="shared" si="269"/>
        <v>0.10630395384998648</v>
      </c>
      <c r="U1445" s="16">
        <f t="shared" si="270"/>
        <v>184.93027958509387</v>
      </c>
      <c r="V1445" s="17">
        <f t="shared" si="271"/>
        <v>0.37951994981207776</v>
      </c>
      <c r="W1445" s="16">
        <f t="shared" si="267"/>
        <v>1366271.8193234799</v>
      </c>
      <c r="X1445">
        <f>('Hybrid Info'!$A$2-Track!P1445)*(L1445-L1444)*1000+X1444</f>
        <v>-14496.241756680258</v>
      </c>
    </row>
    <row r="1446" spans="1:24">
      <c r="A1446" s="16">
        <f t="shared" si="268"/>
        <v>1445</v>
      </c>
      <c r="B1446" s="17">
        <f t="shared" si="263"/>
        <v>13.411199999999999</v>
      </c>
      <c r="C1446" s="16">
        <f>Specification!$G$32</f>
        <v>219.92450400000001</v>
      </c>
      <c r="D1446" s="17">
        <f>0.5*Specification!$K$4*Track!B1446^2*Specification!$K$3*Specification!$K$2</f>
        <v>93.159842569492653</v>
      </c>
      <c r="E1446" s="16">
        <v>0</v>
      </c>
      <c r="F1446" s="17">
        <f>Specification!$C$23*9.81*SIN((E1446*PI()/180))</f>
        <v>0</v>
      </c>
      <c r="G1446" s="18">
        <f>IF(J1446=1,VLOOKUP(K1446,RPM!$E$2:$H$62,3,FALSE)-F1446-E1446-D1446,IF(J1446=2,VLOOKUP(K1446,RPM!$H$2:$K$62,3,FALSE)-F1446-E1446-D1446,IF(J1446=3,VLOOKUP(K1446,RPM!$K$2:$N$62,3,FALSE)-F1446-E1446-D1446)))</f>
        <v>688.48526429214962</v>
      </c>
      <c r="H1446" s="19">
        <f>IF(J1446=1,Specification!$I$14,IF(J1446=2,Specification!$I$15,IF(J1446=3,Specification!$I$16)))</f>
        <v>582.50936296077191</v>
      </c>
      <c r="I1446" s="16">
        <f t="shared" si="273"/>
        <v>0</v>
      </c>
      <c r="J1446" s="17">
        <v>2</v>
      </c>
      <c r="K1446" s="16">
        <f>IF(J1446=1,VLOOKUP(B1446,RPM!$F$2:$H$62,3,TRUE),IF(J1446=2,VLOOKUP(B1446,RPM!$I$2:$K$62,3,TRUE),IF(J1446=3,VLOOKUP(B1446,RPM!$L$2:$N$62,3,TRUE))))</f>
        <v>7000</v>
      </c>
      <c r="L1446" s="17">
        <f t="shared" si="272"/>
        <v>112.02110511243123</v>
      </c>
      <c r="M1446" s="16">
        <f t="shared" si="262"/>
        <v>0</v>
      </c>
      <c r="N1446" s="17">
        <f>VLOOKUP(K1446,RPM!$A$2:$D$62,3,FALSE)</f>
        <v>13</v>
      </c>
      <c r="O1446" s="16">
        <f>VLOOKUP(K1446,RPM!$A$2:$D$62,4,FALSE)</f>
        <v>13.235857142857142</v>
      </c>
      <c r="P1446" s="17">
        <f t="shared" si="264"/>
        <v>9.8699786714285711</v>
      </c>
      <c r="Q1446" s="16" cm="1">
        <f t="array" ref="Q1446">_xlfn.XLOOKUP(O1446,BSFC!$A$2:$A$24,_xlfn.XLOOKUP(K1446,BSFC!$B$1:$O$1,BSFC!$B$2:$O$24,,-1),,-1)</f>
        <v>520</v>
      </c>
      <c r="R1446" s="17">
        <f t="shared" si="265"/>
        <v>1.425663585873016</v>
      </c>
      <c r="S1446" s="16">
        <f t="shared" si="266"/>
        <v>2.0443068048074323E-4</v>
      </c>
      <c r="T1446" s="17">
        <f t="shared" si="269"/>
        <v>0.10630395384998648</v>
      </c>
      <c r="U1446" s="16">
        <f t="shared" si="270"/>
        <v>185.03658353894386</v>
      </c>
      <c r="V1446" s="17">
        <f t="shared" si="271"/>
        <v>0.37972438049255852</v>
      </c>
      <c r="W1446" s="16">
        <f t="shared" si="267"/>
        <v>1367007.7697732106</v>
      </c>
      <c r="X1446">
        <f>('Hybrid Info'!$A$2-Track!P1446)*(L1446-L1445)*1000+X1445</f>
        <v>-14328.436047694006</v>
      </c>
    </row>
    <row r="1447" spans="1:24">
      <c r="A1447" s="16">
        <f t="shared" si="268"/>
        <v>1446</v>
      </c>
      <c r="B1447" s="17">
        <f t="shared" si="263"/>
        <v>13.411199999999999</v>
      </c>
      <c r="C1447" s="16">
        <f>Specification!$G$32</f>
        <v>219.92450400000001</v>
      </c>
      <c r="D1447" s="17">
        <f>0.5*Specification!$K$4*Track!B1447^2*Specification!$K$3*Specification!$K$2</f>
        <v>93.159842569492653</v>
      </c>
      <c r="E1447" s="16">
        <v>0</v>
      </c>
      <c r="F1447" s="17">
        <f>Specification!$C$23*9.81*SIN((E1447*PI()/180))</f>
        <v>0</v>
      </c>
      <c r="G1447" s="18">
        <f>IF(J1447=1,VLOOKUP(K1447,RPM!$E$2:$H$62,3,FALSE)-F1447-E1447-D1447,IF(J1447=2,VLOOKUP(K1447,RPM!$H$2:$K$62,3,FALSE)-F1447-E1447-D1447,IF(J1447=3,VLOOKUP(K1447,RPM!$K$2:$N$62,3,FALSE)-F1447-E1447-D1447)))</f>
        <v>688.48526429214962</v>
      </c>
      <c r="H1447" s="19">
        <f>IF(J1447=1,Specification!$I$14,IF(J1447=2,Specification!$I$15,IF(J1447=3,Specification!$I$16)))</f>
        <v>582.50936296077191</v>
      </c>
      <c r="I1447" s="16">
        <f t="shared" si="273"/>
        <v>0</v>
      </c>
      <c r="J1447" s="17">
        <v>2</v>
      </c>
      <c r="K1447" s="16">
        <f>IF(J1447=1,VLOOKUP(B1447,RPM!$F$2:$H$62,3,TRUE),IF(J1447=2,VLOOKUP(B1447,RPM!$I$2:$K$62,3,TRUE),IF(J1447=3,VLOOKUP(B1447,RPM!$L$2:$N$62,3,TRUE))))</f>
        <v>7000</v>
      </c>
      <c r="L1447" s="17">
        <f t="shared" si="272"/>
        <v>112.09566965549971</v>
      </c>
      <c r="M1447" s="16">
        <f t="shared" si="262"/>
        <v>0</v>
      </c>
      <c r="N1447" s="17">
        <f>VLOOKUP(K1447,RPM!$A$2:$D$62,3,FALSE)</f>
        <v>13</v>
      </c>
      <c r="O1447" s="16">
        <f>VLOOKUP(K1447,RPM!$A$2:$D$62,4,FALSE)</f>
        <v>13.235857142857142</v>
      </c>
      <c r="P1447" s="17">
        <f t="shared" si="264"/>
        <v>9.8699786714285711</v>
      </c>
      <c r="Q1447" s="16" cm="1">
        <f t="array" ref="Q1447">_xlfn.XLOOKUP(O1447,BSFC!$A$2:$A$24,_xlfn.XLOOKUP(K1447,BSFC!$B$1:$O$1,BSFC!$B$2:$O$24,,-1),,-1)</f>
        <v>520</v>
      </c>
      <c r="R1447" s="17">
        <f t="shared" si="265"/>
        <v>1.425663585873016</v>
      </c>
      <c r="S1447" s="16">
        <f t="shared" si="266"/>
        <v>2.0443068048074323E-4</v>
      </c>
      <c r="T1447" s="17">
        <f t="shared" si="269"/>
        <v>0.10630395384998648</v>
      </c>
      <c r="U1447" s="16">
        <f t="shared" si="270"/>
        <v>185.14288749279385</v>
      </c>
      <c r="V1447" s="17">
        <f t="shared" si="271"/>
        <v>0.37992881117303928</v>
      </c>
      <c r="W1447" s="16">
        <f t="shared" si="267"/>
        <v>1367743.7202229414</v>
      </c>
      <c r="X1447">
        <f>('Hybrid Info'!$A$2-Track!P1447)*(L1447-L1446)*1000+X1446</f>
        <v>-14160.630338707753</v>
      </c>
    </row>
    <row r="1448" spans="1:24">
      <c r="A1448" s="16">
        <f t="shared" si="268"/>
        <v>1447</v>
      </c>
      <c r="B1448" s="17">
        <f t="shared" si="263"/>
        <v>13.411199999999999</v>
      </c>
      <c r="C1448" s="16">
        <f>Specification!$G$32</f>
        <v>219.92450400000001</v>
      </c>
      <c r="D1448" s="17">
        <f>0.5*Specification!$K$4*Track!B1448^2*Specification!$K$3*Specification!$K$2</f>
        <v>93.159842569492653</v>
      </c>
      <c r="E1448" s="16">
        <v>0</v>
      </c>
      <c r="F1448" s="17">
        <f>Specification!$C$23*9.81*SIN((E1448*PI()/180))</f>
        <v>0</v>
      </c>
      <c r="G1448" s="18">
        <f>IF(J1448=1,VLOOKUP(K1448,RPM!$E$2:$H$62,3,FALSE)-F1448-E1448-D1448,IF(J1448=2,VLOOKUP(K1448,RPM!$H$2:$K$62,3,FALSE)-F1448-E1448-D1448,IF(J1448=3,VLOOKUP(K1448,RPM!$K$2:$N$62,3,FALSE)-F1448-E1448-D1448)))</f>
        <v>688.48526429214962</v>
      </c>
      <c r="H1448" s="19">
        <f>IF(J1448=1,Specification!$I$14,IF(J1448=2,Specification!$I$15,IF(J1448=3,Specification!$I$16)))</f>
        <v>582.50936296077191</v>
      </c>
      <c r="I1448" s="16">
        <f t="shared" si="273"/>
        <v>0</v>
      </c>
      <c r="J1448" s="17">
        <v>2</v>
      </c>
      <c r="K1448" s="16">
        <f>IF(J1448=1,VLOOKUP(B1448,RPM!$F$2:$H$62,3,TRUE),IF(J1448=2,VLOOKUP(B1448,RPM!$I$2:$K$62,3,TRUE),IF(J1448=3,VLOOKUP(B1448,RPM!$L$2:$N$62,3,TRUE))))</f>
        <v>7000</v>
      </c>
      <c r="L1448" s="17">
        <f t="shared" si="272"/>
        <v>112.17023419856818</v>
      </c>
      <c r="M1448" s="16">
        <f t="shared" si="262"/>
        <v>0</v>
      </c>
      <c r="N1448" s="17">
        <f>VLOOKUP(K1448,RPM!$A$2:$D$62,3,FALSE)</f>
        <v>13</v>
      </c>
      <c r="O1448" s="16">
        <f>VLOOKUP(K1448,RPM!$A$2:$D$62,4,FALSE)</f>
        <v>13.235857142857142</v>
      </c>
      <c r="P1448" s="17">
        <f t="shared" si="264"/>
        <v>9.8699786714285711</v>
      </c>
      <c r="Q1448" s="16" cm="1">
        <f t="array" ref="Q1448">_xlfn.XLOOKUP(O1448,BSFC!$A$2:$A$24,_xlfn.XLOOKUP(K1448,BSFC!$B$1:$O$1,BSFC!$B$2:$O$24,,-1),,-1)</f>
        <v>520</v>
      </c>
      <c r="R1448" s="17">
        <f t="shared" si="265"/>
        <v>1.425663585873016</v>
      </c>
      <c r="S1448" s="16">
        <f t="shared" si="266"/>
        <v>2.0443068048074323E-4</v>
      </c>
      <c r="T1448" s="17">
        <f t="shared" si="269"/>
        <v>0.10630395384998648</v>
      </c>
      <c r="U1448" s="16">
        <f t="shared" si="270"/>
        <v>185.24919144664383</v>
      </c>
      <c r="V1448" s="17">
        <f t="shared" si="271"/>
        <v>0.38013324185352004</v>
      </c>
      <c r="W1448" s="16">
        <f t="shared" si="267"/>
        <v>1368479.6706726721</v>
      </c>
      <c r="X1448">
        <f>('Hybrid Info'!$A$2-Track!P1448)*(L1448-L1447)*1000+X1447</f>
        <v>-13992.824629721501</v>
      </c>
    </row>
    <row r="1449" spans="1:24">
      <c r="A1449" s="16">
        <f t="shared" si="268"/>
        <v>1448</v>
      </c>
      <c r="B1449" s="17">
        <f t="shared" si="263"/>
        <v>13.411199999999999</v>
      </c>
      <c r="C1449" s="16">
        <f>Specification!$G$32</f>
        <v>219.92450400000001</v>
      </c>
      <c r="D1449" s="17">
        <f>0.5*Specification!$K$4*Track!B1449^2*Specification!$K$3*Specification!$K$2</f>
        <v>93.159842569492653</v>
      </c>
      <c r="E1449" s="16">
        <v>0</v>
      </c>
      <c r="F1449" s="17">
        <f>Specification!$C$23*9.81*SIN((E1449*PI()/180))</f>
        <v>0</v>
      </c>
      <c r="G1449" s="18">
        <f>IF(J1449=1,VLOOKUP(K1449,RPM!$E$2:$H$62,3,FALSE)-F1449-E1449-D1449,IF(J1449=2,VLOOKUP(K1449,RPM!$H$2:$K$62,3,FALSE)-F1449-E1449-D1449,IF(J1449=3,VLOOKUP(K1449,RPM!$K$2:$N$62,3,FALSE)-F1449-E1449-D1449)))</f>
        <v>688.48526429214962</v>
      </c>
      <c r="H1449" s="19">
        <f>IF(J1449=1,Specification!$I$14,IF(J1449=2,Specification!$I$15,IF(J1449=3,Specification!$I$16)))</f>
        <v>582.50936296077191</v>
      </c>
      <c r="I1449" s="16">
        <f t="shared" si="273"/>
        <v>0</v>
      </c>
      <c r="J1449" s="17">
        <v>2</v>
      </c>
      <c r="K1449" s="16">
        <f>IF(J1449=1,VLOOKUP(B1449,RPM!$F$2:$H$62,3,TRUE),IF(J1449=2,VLOOKUP(B1449,RPM!$I$2:$K$62,3,TRUE),IF(J1449=3,VLOOKUP(B1449,RPM!$L$2:$N$62,3,TRUE))))</f>
        <v>7000</v>
      </c>
      <c r="L1449" s="17">
        <f t="shared" si="272"/>
        <v>112.24479874163666</v>
      </c>
      <c r="M1449" s="16">
        <f t="shared" si="262"/>
        <v>0</v>
      </c>
      <c r="N1449" s="17">
        <f>VLOOKUP(K1449,RPM!$A$2:$D$62,3,FALSE)</f>
        <v>13</v>
      </c>
      <c r="O1449" s="16">
        <f>VLOOKUP(K1449,RPM!$A$2:$D$62,4,FALSE)</f>
        <v>13.235857142857142</v>
      </c>
      <c r="P1449" s="17">
        <f t="shared" si="264"/>
        <v>9.8699786714285711</v>
      </c>
      <c r="Q1449" s="16" cm="1">
        <f t="array" ref="Q1449">_xlfn.XLOOKUP(O1449,BSFC!$A$2:$A$24,_xlfn.XLOOKUP(K1449,BSFC!$B$1:$O$1,BSFC!$B$2:$O$24,,-1),,-1)</f>
        <v>520</v>
      </c>
      <c r="R1449" s="17">
        <f t="shared" si="265"/>
        <v>1.425663585873016</v>
      </c>
      <c r="S1449" s="16">
        <f t="shared" si="266"/>
        <v>2.0443068048074323E-4</v>
      </c>
      <c r="T1449" s="17">
        <f t="shared" si="269"/>
        <v>0.10630395384998648</v>
      </c>
      <c r="U1449" s="16">
        <f t="shared" si="270"/>
        <v>185.35549540049382</v>
      </c>
      <c r="V1449" s="17">
        <f t="shared" si="271"/>
        <v>0.3803376725340008</v>
      </c>
      <c r="W1449" s="16">
        <f t="shared" si="267"/>
        <v>1369215.6211224031</v>
      </c>
      <c r="X1449">
        <f>('Hybrid Info'!$A$2-Track!P1449)*(L1449-L1448)*1000+X1448</f>
        <v>-13825.018920735249</v>
      </c>
    </row>
    <row r="1450" spans="1:24">
      <c r="A1450" s="16">
        <f t="shared" si="268"/>
        <v>1449</v>
      </c>
      <c r="B1450" s="17">
        <f t="shared" si="263"/>
        <v>13.411199999999999</v>
      </c>
      <c r="C1450" s="16">
        <f>Specification!$G$32</f>
        <v>219.92450400000001</v>
      </c>
      <c r="D1450" s="17">
        <f>0.5*Specification!$K$4*Track!B1450^2*Specification!$K$3*Specification!$K$2</f>
        <v>93.159842569492653</v>
      </c>
      <c r="E1450" s="16">
        <v>0</v>
      </c>
      <c r="F1450" s="17">
        <f>Specification!$C$23*9.81*SIN((E1450*PI()/180))</f>
        <v>0</v>
      </c>
      <c r="G1450" s="18">
        <f>IF(J1450=1,VLOOKUP(K1450,RPM!$E$2:$H$62,3,FALSE)-F1450-E1450-D1450,IF(J1450=2,VLOOKUP(K1450,RPM!$H$2:$K$62,3,FALSE)-F1450-E1450-D1450,IF(J1450=3,VLOOKUP(K1450,RPM!$K$2:$N$62,3,FALSE)-F1450-E1450-D1450)))</f>
        <v>688.48526429214962</v>
      </c>
      <c r="H1450" s="19">
        <f>IF(J1450=1,Specification!$I$14,IF(J1450=2,Specification!$I$15,IF(J1450=3,Specification!$I$16)))</f>
        <v>582.50936296077191</v>
      </c>
      <c r="I1450" s="16">
        <f t="shared" si="273"/>
        <v>0</v>
      </c>
      <c r="J1450" s="17">
        <v>2</v>
      </c>
      <c r="K1450" s="16">
        <f>IF(J1450=1,VLOOKUP(B1450,RPM!$F$2:$H$62,3,TRUE),IF(J1450=2,VLOOKUP(B1450,RPM!$I$2:$K$62,3,TRUE),IF(J1450=3,VLOOKUP(B1450,RPM!$L$2:$N$62,3,TRUE))))</f>
        <v>7000</v>
      </c>
      <c r="L1450" s="17">
        <f t="shared" si="272"/>
        <v>112.31936328470513</v>
      </c>
      <c r="M1450" s="16">
        <f t="shared" si="262"/>
        <v>0</v>
      </c>
      <c r="N1450" s="17">
        <f>VLOOKUP(K1450,RPM!$A$2:$D$62,3,FALSE)</f>
        <v>13</v>
      </c>
      <c r="O1450" s="16">
        <f>VLOOKUP(K1450,RPM!$A$2:$D$62,4,FALSE)</f>
        <v>13.235857142857142</v>
      </c>
      <c r="P1450" s="17">
        <f t="shared" si="264"/>
        <v>9.8699786714285711</v>
      </c>
      <c r="Q1450" s="16" cm="1">
        <f t="array" ref="Q1450">_xlfn.XLOOKUP(O1450,BSFC!$A$2:$A$24,_xlfn.XLOOKUP(K1450,BSFC!$B$1:$O$1,BSFC!$B$2:$O$24,,-1),,-1)</f>
        <v>520</v>
      </c>
      <c r="R1450" s="17">
        <f t="shared" si="265"/>
        <v>1.425663585873016</v>
      </c>
      <c r="S1450" s="16">
        <f t="shared" si="266"/>
        <v>2.0443068048074323E-4</v>
      </c>
      <c r="T1450" s="17">
        <f t="shared" si="269"/>
        <v>0.10630395384998648</v>
      </c>
      <c r="U1450" s="16">
        <f t="shared" si="270"/>
        <v>185.46179935434381</v>
      </c>
      <c r="V1450" s="17">
        <f t="shared" si="271"/>
        <v>0.38054210321448156</v>
      </c>
      <c r="W1450" s="16">
        <f t="shared" si="267"/>
        <v>1369951.5715721338</v>
      </c>
      <c r="X1450">
        <f>('Hybrid Info'!$A$2-Track!P1450)*(L1450-L1449)*1000+X1449</f>
        <v>-13657.213211748996</v>
      </c>
    </row>
    <row r="1451" spans="1:24">
      <c r="A1451" s="16">
        <f t="shared" si="268"/>
        <v>1450</v>
      </c>
      <c r="B1451" s="17">
        <f t="shared" si="263"/>
        <v>13.411199999999999</v>
      </c>
      <c r="C1451" s="16">
        <f>Specification!$G$32</f>
        <v>219.92450400000001</v>
      </c>
      <c r="D1451" s="17">
        <f>0.5*Specification!$K$4*Track!B1451^2*Specification!$K$3*Specification!$K$2</f>
        <v>93.159842569492653</v>
      </c>
      <c r="E1451" s="16">
        <v>0</v>
      </c>
      <c r="F1451" s="17">
        <f>Specification!$C$23*9.81*SIN((E1451*PI()/180))</f>
        <v>0</v>
      </c>
      <c r="G1451" s="18">
        <f>IF(J1451=1,VLOOKUP(K1451,RPM!$E$2:$H$62,3,FALSE)-F1451-E1451-D1451,IF(J1451=2,VLOOKUP(K1451,RPM!$H$2:$K$62,3,FALSE)-F1451-E1451-D1451,IF(J1451=3,VLOOKUP(K1451,RPM!$K$2:$N$62,3,FALSE)-F1451-E1451-D1451)))</f>
        <v>688.48526429214962</v>
      </c>
      <c r="H1451" s="19">
        <f>IF(J1451=1,Specification!$I$14,IF(J1451=2,Specification!$I$15,IF(J1451=3,Specification!$I$16)))</f>
        <v>582.50936296077191</v>
      </c>
      <c r="I1451" s="16">
        <f t="shared" si="273"/>
        <v>0</v>
      </c>
      <c r="J1451" s="17">
        <v>2</v>
      </c>
      <c r="K1451" s="16">
        <f>IF(J1451=1,VLOOKUP(B1451,RPM!$F$2:$H$62,3,TRUE),IF(J1451=2,VLOOKUP(B1451,RPM!$I$2:$K$62,3,TRUE),IF(J1451=3,VLOOKUP(B1451,RPM!$L$2:$N$62,3,TRUE))))</f>
        <v>7000</v>
      </c>
      <c r="L1451" s="17">
        <f t="shared" si="272"/>
        <v>112.39392782777361</v>
      </c>
      <c r="M1451" s="16">
        <f t="shared" si="262"/>
        <v>0</v>
      </c>
      <c r="N1451" s="17">
        <f>VLOOKUP(K1451,RPM!$A$2:$D$62,3,FALSE)</f>
        <v>13</v>
      </c>
      <c r="O1451" s="16">
        <f>VLOOKUP(K1451,RPM!$A$2:$D$62,4,FALSE)</f>
        <v>13.235857142857142</v>
      </c>
      <c r="P1451" s="17">
        <f t="shared" si="264"/>
        <v>9.8699786714285711</v>
      </c>
      <c r="Q1451" s="16" cm="1">
        <f t="array" ref="Q1451">_xlfn.XLOOKUP(O1451,BSFC!$A$2:$A$24,_xlfn.XLOOKUP(K1451,BSFC!$B$1:$O$1,BSFC!$B$2:$O$24,,-1),,-1)</f>
        <v>520</v>
      </c>
      <c r="R1451" s="17">
        <f t="shared" si="265"/>
        <v>1.425663585873016</v>
      </c>
      <c r="S1451" s="16">
        <f t="shared" si="266"/>
        <v>2.0443068048074323E-4</v>
      </c>
      <c r="T1451" s="17">
        <f t="shared" si="269"/>
        <v>0.10630395384998648</v>
      </c>
      <c r="U1451" s="16">
        <f t="shared" si="270"/>
        <v>185.5681033081938</v>
      </c>
      <c r="V1451" s="17">
        <f t="shared" si="271"/>
        <v>0.38074653389496232</v>
      </c>
      <c r="W1451" s="16">
        <f t="shared" si="267"/>
        <v>1370687.5220218645</v>
      </c>
      <c r="X1451">
        <f>('Hybrid Info'!$A$2-Track!P1451)*(L1451-L1450)*1000+X1450</f>
        <v>-13489.407502762744</v>
      </c>
    </row>
    <row r="1452" spans="1:24">
      <c r="A1452" s="16">
        <f t="shared" si="268"/>
        <v>1451</v>
      </c>
      <c r="B1452" s="17">
        <f t="shared" si="263"/>
        <v>13.411199999999999</v>
      </c>
      <c r="C1452" s="16">
        <f>Specification!$G$32</f>
        <v>219.92450400000001</v>
      </c>
      <c r="D1452" s="17">
        <f>0.5*Specification!$K$4*Track!B1452^2*Specification!$K$3*Specification!$K$2</f>
        <v>93.159842569492653</v>
      </c>
      <c r="E1452" s="16">
        <v>0</v>
      </c>
      <c r="F1452" s="17">
        <f>Specification!$C$23*9.81*SIN((E1452*PI()/180))</f>
        <v>0</v>
      </c>
      <c r="G1452" s="18">
        <f>IF(J1452=1,VLOOKUP(K1452,RPM!$E$2:$H$62,3,FALSE)-F1452-E1452-D1452,IF(J1452=2,VLOOKUP(K1452,RPM!$H$2:$K$62,3,FALSE)-F1452-E1452-D1452,IF(J1452=3,VLOOKUP(K1452,RPM!$K$2:$N$62,3,FALSE)-F1452-E1452-D1452)))</f>
        <v>688.48526429214962</v>
      </c>
      <c r="H1452" s="19">
        <f>IF(J1452=1,Specification!$I$14,IF(J1452=2,Specification!$I$15,IF(J1452=3,Specification!$I$16)))</f>
        <v>582.50936296077191</v>
      </c>
      <c r="I1452" s="16">
        <f t="shared" si="273"/>
        <v>0</v>
      </c>
      <c r="J1452" s="17">
        <v>2</v>
      </c>
      <c r="K1452" s="16">
        <f>IF(J1452=1,VLOOKUP(B1452,RPM!$F$2:$H$62,3,TRUE),IF(J1452=2,VLOOKUP(B1452,RPM!$I$2:$K$62,3,TRUE),IF(J1452=3,VLOOKUP(B1452,RPM!$L$2:$N$62,3,TRUE))))</f>
        <v>7000</v>
      </c>
      <c r="L1452" s="17">
        <f t="shared" si="272"/>
        <v>112.46849237084209</v>
      </c>
      <c r="M1452" s="16">
        <f t="shared" si="262"/>
        <v>0</v>
      </c>
      <c r="N1452" s="17">
        <f>VLOOKUP(K1452,RPM!$A$2:$D$62,3,FALSE)</f>
        <v>13</v>
      </c>
      <c r="O1452" s="16">
        <f>VLOOKUP(K1452,RPM!$A$2:$D$62,4,FALSE)</f>
        <v>13.235857142857142</v>
      </c>
      <c r="P1452" s="17">
        <f t="shared" si="264"/>
        <v>9.8699786714285711</v>
      </c>
      <c r="Q1452" s="16" cm="1">
        <f t="array" ref="Q1452">_xlfn.XLOOKUP(O1452,BSFC!$A$2:$A$24,_xlfn.XLOOKUP(K1452,BSFC!$B$1:$O$1,BSFC!$B$2:$O$24,,-1),,-1)</f>
        <v>520</v>
      </c>
      <c r="R1452" s="17">
        <f t="shared" si="265"/>
        <v>1.425663585873016</v>
      </c>
      <c r="S1452" s="16">
        <f t="shared" si="266"/>
        <v>2.0443068048074323E-4</v>
      </c>
      <c r="T1452" s="17">
        <f t="shared" si="269"/>
        <v>0.10630395384998648</v>
      </c>
      <c r="U1452" s="16">
        <f t="shared" si="270"/>
        <v>185.67440726204379</v>
      </c>
      <c r="V1452" s="17">
        <f t="shared" si="271"/>
        <v>0.38095096457544309</v>
      </c>
      <c r="W1452" s="16">
        <f t="shared" si="267"/>
        <v>1371423.472471595</v>
      </c>
      <c r="X1452">
        <f>('Hybrid Info'!$A$2-Track!P1452)*(L1452-L1451)*1000+X1451</f>
        <v>-13321.601793776492</v>
      </c>
    </row>
    <row r="1453" spans="1:24">
      <c r="A1453" s="16">
        <f t="shared" si="268"/>
        <v>1452</v>
      </c>
      <c r="B1453" s="17">
        <f t="shared" si="263"/>
        <v>13.411199999999999</v>
      </c>
      <c r="C1453" s="16">
        <f>Specification!$G$32</f>
        <v>219.92450400000001</v>
      </c>
      <c r="D1453" s="17">
        <f>0.5*Specification!$K$4*Track!B1453^2*Specification!$K$3*Specification!$K$2</f>
        <v>93.159842569492653</v>
      </c>
      <c r="E1453" s="16">
        <v>0</v>
      </c>
      <c r="F1453" s="17">
        <f>Specification!$C$23*9.81*SIN((E1453*PI()/180))</f>
        <v>0</v>
      </c>
      <c r="G1453" s="18">
        <f>IF(J1453=1,VLOOKUP(K1453,RPM!$E$2:$H$62,3,FALSE)-F1453-E1453-D1453,IF(J1453=2,VLOOKUP(K1453,RPM!$H$2:$K$62,3,FALSE)-F1453-E1453-D1453,IF(J1453=3,VLOOKUP(K1453,RPM!$K$2:$N$62,3,FALSE)-F1453-E1453-D1453)))</f>
        <v>688.48526429214962</v>
      </c>
      <c r="H1453" s="19">
        <f>IF(J1453=1,Specification!$I$14,IF(J1453=2,Specification!$I$15,IF(J1453=3,Specification!$I$16)))</f>
        <v>582.50936296077191</v>
      </c>
      <c r="I1453" s="16">
        <f t="shared" si="273"/>
        <v>0</v>
      </c>
      <c r="J1453" s="17">
        <v>2</v>
      </c>
      <c r="K1453" s="16">
        <f>IF(J1453=1,VLOOKUP(B1453,RPM!$F$2:$H$62,3,TRUE),IF(J1453=2,VLOOKUP(B1453,RPM!$I$2:$K$62,3,TRUE),IF(J1453=3,VLOOKUP(B1453,RPM!$L$2:$N$62,3,TRUE))))</f>
        <v>7000</v>
      </c>
      <c r="L1453" s="17">
        <f t="shared" si="272"/>
        <v>112.54305691391056</v>
      </c>
      <c r="M1453" s="16">
        <f t="shared" si="262"/>
        <v>0</v>
      </c>
      <c r="N1453" s="17">
        <f>VLOOKUP(K1453,RPM!$A$2:$D$62,3,FALSE)</f>
        <v>13</v>
      </c>
      <c r="O1453" s="16">
        <f>VLOOKUP(K1453,RPM!$A$2:$D$62,4,FALSE)</f>
        <v>13.235857142857142</v>
      </c>
      <c r="P1453" s="17">
        <f t="shared" si="264"/>
        <v>9.8699786714285711</v>
      </c>
      <c r="Q1453" s="16" cm="1">
        <f t="array" ref="Q1453">_xlfn.XLOOKUP(O1453,BSFC!$A$2:$A$24,_xlfn.XLOOKUP(K1453,BSFC!$B$1:$O$1,BSFC!$B$2:$O$24,,-1),,-1)</f>
        <v>520</v>
      </c>
      <c r="R1453" s="17">
        <f t="shared" si="265"/>
        <v>1.425663585873016</v>
      </c>
      <c r="S1453" s="16">
        <f t="shared" si="266"/>
        <v>2.0443068048074323E-4</v>
      </c>
      <c r="T1453" s="17">
        <f t="shared" si="269"/>
        <v>0.10630395384998648</v>
      </c>
      <c r="U1453" s="16">
        <f t="shared" si="270"/>
        <v>185.78071121589377</v>
      </c>
      <c r="V1453" s="17">
        <f t="shared" si="271"/>
        <v>0.38115539525592385</v>
      </c>
      <c r="W1453" s="16">
        <f t="shared" si="267"/>
        <v>1372159.4229213258</v>
      </c>
      <c r="X1453">
        <f>('Hybrid Info'!$A$2-Track!P1453)*(L1453-L1452)*1000+X1452</f>
        <v>-13153.79608479024</v>
      </c>
    </row>
    <row r="1454" spans="1:24">
      <c r="A1454" s="16">
        <f t="shared" si="268"/>
        <v>1453</v>
      </c>
      <c r="B1454" s="17">
        <f t="shared" si="263"/>
        <v>13.411199999999999</v>
      </c>
      <c r="C1454" s="16">
        <f>Specification!$G$32</f>
        <v>219.92450400000001</v>
      </c>
      <c r="D1454" s="17">
        <f>0.5*Specification!$K$4*Track!B1454^2*Specification!$K$3*Specification!$K$2</f>
        <v>93.159842569492653</v>
      </c>
      <c r="E1454" s="16">
        <v>0</v>
      </c>
      <c r="F1454" s="17">
        <f>Specification!$C$23*9.81*SIN((E1454*PI()/180))</f>
        <v>0</v>
      </c>
      <c r="G1454" s="18">
        <f>IF(J1454=1,VLOOKUP(K1454,RPM!$E$2:$H$62,3,FALSE)-F1454-E1454-D1454,IF(J1454=2,VLOOKUP(K1454,RPM!$H$2:$K$62,3,FALSE)-F1454-E1454-D1454,IF(J1454=3,VLOOKUP(K1454,RPM!$K$2:$N$62,3,FALSE)-F1454-E1454-D1454)))</f>
        <v>688.48526429214962</v>
      </c>
      <c r="H1454" s="19">
        <f>IF(J1454=1,Specification!$I$14,IF(J1454=2,Specification!$I$15,IF(J1454=3,Specification!$I$16)))</f>
        <v>582.50936296077191</v>
      </c>
      <c r="I1454" s="16">
        <f t="shared" si="273"/>
        <v>0</v>
      </c>
      <c r="J1454" s="17">
        <v>2</v>
      </c>
      <c r="K1454" s="16">
        <f>IF(J1454=1,VLOOKUP(B1454,RPM!$F$2:$H$62,3,TRUE),IF(J1454=2,VLOOKUP(B1454,RPM!$I$2:$K$62,3,TRUE),IF(J1454=3,VLOOKUP(B1454,RPM!$L$2:$N$62,3,TRUE))))</f>
        <v>7000</v>
      </c>
      <c r="L1454" s="17">
        <f t="shared" si="272"/>
        <v>112.61762145697904</v>
      </c>
      <c r="M1454" s="16">
        <f t="shared" ref="M1454:M1517" si="274">TAN(E1454*PI()/180)+M1453</f>
        <v>0</v>
      </c>
      <c r="N1454" s="17">
        <f>VLOOKUP(K1454,RPM!$A$2:$D$62,3,FALSE)</f>
        <v>13</v>
      </c>
      <c r="O1454" s="16">
        <f>VLOOKUP(K1454,RPM!$A$2:$D$62,4,FALSE)</f>
        <v>13.235857142857142</v>
      </c>
      <c r="P1454" s="17">
        <f t="shared" si="264"/>
        <v>9.8699786714285711</v>
      </c>
      <c r="Q1454" s="16" cm="1">
        <f t="array" ref="Q1454">_xlfn.XLOOKUP(O1454,BSFC!$A$2:$A$24,_xlfn.XLOOKUP(K1454,BSFC!$B$1:$O$1,BSFC!$B$2:$O$24,,-1),,-1)</f>
        <v>520</v>
      </c>
      <c r="R1454" s="17">
        <f t="shared" si="265"/>
        <v>1.425663585873016</v>
      </c>
      <c r="S1454" s="16">
        <f t="shared" si="266"/>
        <v>2.0443068048074323E-4</v>
      </c>
      <c r="T1454" s="17">
        <f t="shared" si="269"/>
        <v>0.10630395384998648</v>
      </c>
      <c r="U1454" s="16">
        <f t="shared" si="270"/>
        <v>185.88701516974376</v>
      </c>
      <c r="V1454" s="17">
        <f t="shared" si="271"/>
        <v>0.38135982593640461</v>
      </c>
      <c r="W1454" s="16">
        <f t="shared" si="267"/>
        <v>1372895.3733710565</v>
      </c>
      <c r="X1454">
        <f>('Hybrid Info'!$A$2-Track!P1454)*(L1454-L1453)*1000+X1453</f>
        <v>-12985.990375803987</v>
      </c>
    </row>
    <row r="1455" spans="1:24">
      <c r="A1455" s="16">
        <f t="shared" si="268"/>
        <v>1454</v>
      </c>
      <c r="B1455" s="17">
        <f t="shared" si="263"/>
        <v>13.411199999999999</v>
      </c>
      <c r="C1455" s="16">
        <f>Specification!$G$32</f>
        <v>219.92450400000001</v>
      </c>
      <c r="D1455" s="17">
        <f>0.5*Specification!$K$4*Track!B1455^2*Specification!$K$3*Specification!$K$2</f>
        <v>93.159842569492653</v>
      </c>
      <c r="E1455" s="16">
        <v>0</v>
      </c>
      <c r="F1455" s="17">
        <f>Specification!$C$23*9.81*SIN((E1455*PI()/180))</f>
        <v>0</v>
      </c>
      <c r="G1455" s="18">
        <f>IF(J1455=1,VLOOKUP(K1455,RPM!$E$2:$H$62,3,FALSE)-F1455-E1455-D1455,IF(J1455=2,VLOOKUP(K1455,RPM!$H$2:$K$62,3,FALSE)-F1455-E1455-D1455,IF(J1455=3,VLOOKUP(K1455,RPM!$K$2:$N$62,3,FALSE)-F1455-E1455-D1455)))</f>
        <v>688.48526429214962</v>
      </c>
      <c r="H1455" s="19">
        <f>IF(J1455=1,Specification!$I$14,IF(J1455=2,Specification!$I$15,IF(J1455=3,Specification!$I$16)))</f>
        <v>582.50936296077191</v>
      </c>
      <c r="I1455" s="16">
        <f t="shared" si="273"/>
        <v>0</v>
      </c>
      <c r="J1455" s="17">
        <v>2</v>
      </c>
      <c r="K1455" s="16">
        <f>IF(J1455=1,VLOOKUP(B1455,RPM!$F$2:$H$62,3,TRUE),IF(J1455=2,VLOOKUP(B1455,RPM!$I$2:$K$62,3,TRUE),IF(J1455=3,VLOOKUP(B1455,RPM!$L$2:$N$62,3,TRUE))))</f>
        <v>7000</v>
      </c>
      <c r="L1455" s="17">
        <f t="shared" si="272"/>
        <v>112.69218600004751</v>
      </c>
      <c r="M1455" s="16">
        <f t="shared" si="274"/>
        <v>0</v>
      </c>
      <c r="N1455" s="17">
        <f>VLOOKUP(K1455,RPM!$A$2:$D$62,3,FALSE)</f>
        <v>13</v>
      </c>
      <c r="O1455" s="16">
        <f>VLOOKUP(K1455,RPM!$A$2:$D$62,4,FALSE)</f>
        <v>13.235857142857142</v>
      </c>
      <c r="P1455" s="17">
        <f t="shared" si="264"/>
        <v>9.8699786714285711</v>
      </c>
      <c r="Q1455" s="16" cm="1">
        <f t="array" ref="Q1455">_xlfn.XLOOKUP(O1455,BSFC!$A$2:$A$24,_xlfn.XLOOKUP(K1455,BSFC!$B$1:$O$1,BSFC!$B$2:$O$24,,-1),,-1)</f>
        <v>520</v>
      </c>
      <c r="R1455" s="17">
        <f t="shared" si="265"/>
        <v>1.425663585873016</v>
      </c>
      <c r="S1455" s="16">
        <f t="shared" si="266"/>
        <v>2.0443068048074323E-4</v>
      </c>
      <c r="T1455" s="17">
        <f t="shared" si="269"/>
        <v>0.10630395384998648</v>
      </c>
      <c r="U1455" s="16">
        <f t="shared" si="270"/>
        <v>185.99331912359375</v>
      </c>
      <c r="V1455" s="17">
        <f t="shared" si="271"/>
        <v>0.38156425661688537</v>
      </c>
      <c r="W1455" s="16">
        <f t="shared" si="267"/>
        <v>1373631.3238207872</v>
      </c>
      <c r="X1455">
        <f>('Hybrid Info'!$A$2-Track!P1455)*(L1455-L1454)*1000+X1454</f>
        <v>-12818.184666817735</v>
      </c>
    </row>
    <row r="1456" spans="1:24">
      <c r="A1456" s="16">
        <f t="shared" si="268"/>
        <v>1455</v>
      </c>
      <c r="B1456" s="17">
        <f t="shared" si="263"/>
        <v>13.411199999999999</v>
      </c>
      <c r="C1456" s="16">
        <f>Specification!$G$32</f>
        <v>219.92450400000001</v>
      </c>
      <c r="D1456" s="17">
        <f>0.5*Specification!$K$4*Track!B1456^2*Specification!$K$3*Specification!$K$2</f>
        <v>93.159842569492653</v>
      </c>
      <c r="E1456" s="16">
        <v>0</v>
      </c>
      <c r="F1456" s="17">
        <f>Specification!$C$23*9.81*SIN((E1456*PI()/180))</f>
        <v>0</v>
      </c>
      <c r="G1456" s="18">
        <f>IF(J1456=1,VLOOKUP(K1456,RPM!$E$2:$H$62,3,FALSE)-F1456-E1456-D1456,IF(J1456=2,VLOOKUP(K1456,RPM!$H$2:$K$62,3,FALSE)-F1456-E1456-D1456,IF(J1456=3,VLOOKUP(K1456,RPM!$K$2:$N$62,3,FALSE)-F1456-E1456-D1456)))</f>
        <v>688.48526429214962</v>
      </c>
      <c r="H1456" s="19">
        <f>IF(J1456=1,Specification!$I$14,IF(J1456=2,Specification!$I$15,IF(J1456=3,Specification!$I$16)))</f>
        <v>582.50936296077191</v>
      </c>
      <c r="I1456" s="16">
        <f t="shared" si="273"/>
        <v>0</v>
      </c>
      <c r="J1456" s="17">
        <v>2</v>
      </c>
      <c r="K1456" s="16">
        <f>IF(J1456=1,VLOOKUP(B1456,RPM!$F$2:$H$62,3,TRUE),IF(J1456=2,VLOOKUP(B1456,RPM!$I$2:$K$62,3,TRUE),IF(J1456=3,VLOOKUP(B1456,RPM!$L$2:$N$62,3,TRUE))))</f>
        <v>7000</v>
      </c>
      <c r="L1456" s="17">
        <f t="shared" si="272"/>
        <v>112.76675054311599</v>
      </c>
      <c r="M1456" s="16">
        <f t="shared" si="274"/>
        <v>0</v>
      </c>
      <c r="N1456" s="17">
        <f>VLOOKUP(K1456,RPM!$A$2:$D$62,3,FALSE)</f>
        <v>13</v>
      </c>
      <c r="O1456" s="16">
        <f>VLOOKUP(K1456,RPM!$A$2:$D$62,4,FALSE)</f>
        <v>13.235857142857142</v>
      </c>
      <c r="P1456" s="17">
        <f t="shared" si="264"/>
        <v>9.8699786714285711</v>
      </c>
      <c r="Q1456" s="16" cm="1">
        <f t="array" ref="Q1456">_xlfn.XLOOKUP(O1456,BSFC!$A$2:$A$24,_xlfn.XLOOKUP(K1456,BSFC!$B$1:$O$1,BSFC!$B$2:$O$24,,-1),,-1)</f>
        <v>520</v>
      </c>
      <c r="R1456" s="17">
        <f t="shared" si="265"/>
        <v>1.425663585873016</v>
      </c>
      <c r="S1456" s="16">
        <f t="shared" si="266"/>
        <v>2.0443068048074323E-4</v>
      </c>
      <c r="T1456" s="17">
        <f t="shared" si="269"/>
        <v>0.10630395384998648</v>
      </c>
      <c r="U1456" s="16">
        <f t="shared" si="270"/>
        <v>186.09962307744374</v>
      </c>
      <c r="V1456" s="17">
        <f t="shared" si="271"/>
        <v>0.38176868729736613</v>
      </c>
      <c r="W1456" s="16">
        <f t="shared" si="267"/>
        <v>1374367.274270518</v>
      </c>
      <c r="X1456">
        <f>('Hybrid Info'!$A$2-Track!P1456)*(L1456-L1455)*1000+X1455</f>
        <v>-12650.378957831483</v>
      </c>
    </row>
    <row r="1457" spans="1:24">
      <c r="A1457" s="16">
        <f t="shared" si="268"/>
        <v>1456</v>
      </c>
      <c r="B1457" s="17">
        <f t="shared" ref="B1457:B1520" si="275">IF(SQRT(B1456^2+2*I1456)&gt;13.4112,13.4112,SQRT(B1456^2+2*I1456))</f>
        <v>13.411199999999999</v>
      </c>
      <c r="C1457" s="16">
        <f>Specification!$G$32</f>
        <v>219.92450400000001</v>
      </c>
      <c r="D1457" s="17">
        <f>0.5*Specification!$K$4*Track!B1457^2*Specification!$K$3*Specification!$K$2</f>
        <v>93.159842569492653</v>
      </c>
      <c r="E1457" s="16">
        <v>0</v>
      </c>
      <c r="F1457" s="17">
        <f>Specification!$C$23*9.81*SIN((E1457*PI()/180))</f>
        <v>0</v>
      </c>
      <c r="G1457" s="18">
        <f>IF(J1457=1,VLOOKUP(K1457,RPM!$E$2:$H$62,3,FALSE)-F1457-E1457-D1457,IF(J1457=2,VLOOKUP(K1457,RPM!$H$2:$K$62,3,FALSE)-F1457-E1457-D1457,IF(J1457=3,VLOOKUP(K1457,RPM!$K$2:$N$62,3,FALSE)-F1457-E1457-D1457)))</f>
        <v>688.48526429214962</v>
      </c>
      <c r="H1457" s="19">
        <f>IF(J1457=1,Specification!$I$14,IF(J1457=2,Specification!$I$15,IF(J1457=3,Specification!$I$16)))</f>
        <v>582.50936296077191</v>
      </c>
      <c r="I1457" s="16">
        <f t="shared" si="273"/>
        <v>0</v>
      </c>
      <c r="J1457" s="17">
        <v>2</v>
      </c>
      <c r="K1457" s="16">
        <f>IF(J1457=1,VLOOKUP(B1457,RPM!$F$2:$H$62,3,TRUE),IF(J1457=2,VLOOKUP(B1457,RPM!$I$2:$K$62,3,TRUE),IF(J1457=3,VLOOKUP(B1457,RPM!$L$2:$N$62,3,TRUE))))</f>
        <v>7000</v>
      </c>
      <c r="L1457" s="17">
        <f t="shared" si="272"/>
        <v>112.84131508618447</v>
      </c>
      <c r="M1457" s="16">
        <f t="shared" si="274"/>
        <v>0</v>
      </c>
      <c r="N1457" s="17">
        <f>VLOOKUP(K1457,RPM!$A$2:$D$62,3,FALSE)</f>
        <v>13</v>
      </c>
      <c r="O1457" s="16">
        <f>VLOOKUP(K1457,RPM!$A$2:$D$62,4,FALSE)</f>
        <v>13.235857142857142</v>
      </c>
      <c r="P1457" s="17">
        <f t="shared" si="264"/>
        <v>9.8699786714285711</v>
      </c>
      <c r="Q1457" s="16" cm="1">
        <f t="array" ref="Q1457">_xlfn.XLOOKUP(O1457,BSFC!$A$2:$A$24,_xlfn.XLOOKUP(K1457,BSFC!$B$1:$O$1,BSFC!$B$2:$O$24,,-1),,-1)</f>
        <v>520</v>
      </c>
      <c r="R1457" s="17">
        <f t="shared" si="265"/>
        <v>1.425663585873016</v>
      </c>
      <c r="S1457" s="16">
        <f t="shared" si="266"/>
        <v>2.0443068048074323E-4</v>
      </c>
      <c r="T1457" s="17">
        <f t="shared" si="269"/>
        <v>0.10630395384998648</v>
      </c>
      <c r="U1457" s="16">
        <f t="shared" si="270"/>
        <v>186.20592703129373</v>
      </c>
      <c r="V1457" s="17">
        <f t="shared" si="271"/>
        <v>0.38197311797784689</v>
      </c>
      <c r="W1457" s="16">
        <f t="shared" si="267"/>
        <v>1375103.2247202487</v>
      </c>
      <c r="X1457">
        <f>('Hybrid Info'!$A$2-Track!P1457)*(L1457-L1456)*1000+X1456</f>
        <v>-12482.57324884523</v>
      </c>
    </row>
    <row r="1458" spans="1:24">
      <c r="A1458" s="16">
        <f t="shared" si="268"/>
        <v>1457</v>
      </c>
      <c r="B1458" s="17">
        <f t="shared" si="275"/>
        <v>13.411199999999999</v>
      </c>
      <c r="C1458" s="16">
        <f>Specification!$G$32</f>
        <v>219.92450400000001</v>
      </c>
      <c r="D1458" s="17">
        <f>0.5*Specification!$K$4*Track!B1458^2*Specification!$K$3*Specification!$K$2</f>
        <v>93.159842569492653</v>
      </c>
      <c r="E1458" s="16">
        <v>0</v>
      </c>
      <c r="F1458" s="17">
        <f>Specification!$C$23*9.81*SIN((E1458*PI()/180))</f>
        <v>0</v>
      </c>
      <c r="G1458" s="18">
        <f>IF(J1458=1,VLOOKUP(K1458,RPM!$E$2:$H$62,3,FALSE)-F1458-E1458-D1458,IF(J1458=2,VLOOKUP(K1458,RPM!$H$2:$K$62,3,FALSE)-F1458-E1458-D1458,IF(J1458=3,VLOOKUP(K1458,RPM!$K$2:$N$62,3,FALSE)-F1458-E1458-D1458)))</f>
        <v>688.48526429214962</v>
      </c>
      <c r="H1458" s="19">
        <f>IF(J1458=1,Specification!$I$14,IF(J1458=2,Specification!$I$15,IF(J1458=3,Specification!$I$16)))</f>
        <v>582.50936296077191</v>
      </c>
      <c r="I1458" s="16">
        <f t="shared" si="273"/>
        <v>0</v>
      </c>
      <c r="J1458" s="17">
        <v>2</v>
      </c>
      <c r="K1458" s="16">
        <f>IF(J1458=1,VLOOKUP(B1458,RPM!$F$2:$H$62,3,TRUE),IF(J1458=2,VLOOKUP(B1458,RPM!$I$2:$K$62,3,TRUE),IF(J1458=3,VLOOKUP(B1458,RPM!$L$2:$N$62,3,TRUE))))</f>
        <v>7000</v>
      </c>
      <c r="L1458" s="17">
        <f t="shared" si="272"/>
        <v>112.91587962925294</v>
      </c>
      <c r="M1458" s="16">
        <f t="shared" si="274"/>
        <v>0</v>
      </c>
      <c r="N1458" s="17">
        <f>VLOOKUP(K1458,RPM!$A$2:$D$62,3,FALSE)</f>
        <v>13</v>
      </c>
      <c r="O1458" s="16">
        <f>VLOOKUP(K1458,RPM!$A$2:$D$62,4,FALSE)</f>
        <v>13.235857142857142</v>
      </c>
      <c r="P1458" s="17">
        <f t="shared" si="264"/>
        <v>9.8699786714285711</v>
      </c>
      <c r="Q1458" s="16" cm="1">
        <f t="array" ref="Q1458">_xlfn.XLOOKUP(O1458,BSFC!$A$2:$A$24,_xlfn.XLOOKUP(K1458,BSFC!$B$1:$O$1,BSFC!$B$2:$O$24,,-1),,-1)</f>
        <v>520</v>
      </c>
      <c r="R1458" s="17">
        <f t="shared" si="265"/>
        <v>1.425663585873016</v>
      </c>
      <c r="S1458" s="16">
        <f t="shared" si="266"/>
        <v>2.0443068048074323E-4</v>
      </c>
      <c r="T1458" s="17">
        <f t="shared" si="269"/>
        <v>0.10630395384998648</v>
      </c>
      <c r="U1458" s="16">
        <f t="shared" si="270"/>
        <v>186.31223098514371</v>
      </c>
      <c r="V1458" s="17">
        <f t="shared" si="271"/>
        <v>0.38217754865832765</v>
      </c>
      <c r="W1458" s="16">
        <f t="shared" si="267"/>
        <v>1375839.1751699795</v>
      </c>
      <c r="X1458">
        <f>('Hybrid Info'!$A$2-Track!P1458)*(L1458-L1457)*1000+X1457</f>
        <v>-12314.767539858978</v>
      </c>
    </row>
    <row r="1459" spans="1:24">
      <c r="A1459" s="16">
        <f t="shared" si="268"/>
        <v>1458</v>
      </c>
      <c r="B1459" s="17">
        <f t="shared" si="275"/>
        <v>13.411199999999999</v>
      </c>
      <c r="C1459" s="16">
        <f>Specification!$G$32</f>
        <v>219.92450400000001</v>
      </c>
      <c r="D1459" s="17">
        <f>0.5*Specification!$K$4*Track!B1459^2*Specification!$K$3*Specification!$K$2</f>
        <v>93.159842569492653</v>
      </c>
      <c r="E1459" s="16">
        <v>0</v>
      </c>
      <c r="F1459" s="17">
        <f>Specification!$C$23*9.81*SIN((E1459*PI()/180))</f>
        <v>0</v>
      </c>
      <c r="G1459" s="18">
        <f>IF(J1459=1,VLOOKUP(K1459,RPM!$E$2:$H$62,3,FALSE)-F1459-E1459-D1459,IF(J1459=2,VLOOKUP(K1459,RPM!$H$2:$K$62,3,FALSE)-F1459-E1459-D1459,IF(J1459=3,VLOOKUP(K1459,RPM!$K$2:$N$62,3,FALSE)-F1459-E1459-D1459)))</f>
        <v>688.48526429214962</v>
      </c>
      <c r="H1459" s="19">
        <f>IF(J1459=1,Specification!$I$14,IF(J1459=2,Specification!$I$15,IF(J1459=3,Specification!$I$16)))</f>
        <v>582.50936296077191</v>
      </c>
      <c r="I1459" s="16">
        <f t="shared" si="273"/>
        <v>0</v>
      </c>
      <c r="J1459" s="17">
        <v>2</v>
      </c>
      <c r="K1459" s="16">
        <f>IF(J1459=1,VLOOKUP(B1459,RPM!$F$2:$H$62,3,TRUE),IF(J1459=2,VLOOKUP(B1459,RPM!$I$2:$K$62,3,TRUE),IF(J1459=3,VLOOKUP(B1459,RPM!$L$2:$N$62,3,TRUE))))</f>
        <v>7000</v>
      </c>
      <c r="L1459" s="17">
        <f t="shared" si="272"/>
        <v>112.99044417232142</v>
      </c>
      <c r="M1459" s="16">
        <f t="shared" si="274"/>
        <v>0</v>
      </c>
      <c r="N1459" s="17">
        <f>VLOOKUP(K1459,RPM!$A$2:$D$62,3,FALSE)</f>
        <v>13</v>
      </c>
      <c r="O1459" s="16">
        <f>VLOOKUP(K1459,RPM!$A$2:$D$62,4,FALSE)</f>
        <v>13.235857142857142</v>
      </c>
      <c r="P1459" s="17">
        <f t="shared" si="264"/>
        <v>9.8699786714285711</v>
      </c>
      <c r="Q1459" s="16" cm="1">
        <f t="array" ref="Q1459">_xlfn.XLOOKUP(O1459,BSFC!$A$2:$A$24,_xlfn.XLOOKUP(K1459,BSFC!$B$1:$O$1,BSFC!$B$2:$O$24,,-1),,-1)</f>
        <v>520</v>
      </c>
      <c r="R1459" s="17">
        <f t="shared" si="265"/>
        <v>1.425663585873016</v>
      </c>
      <c r="S1459" s="16">
        <f t="shared" si="266"/>
        <v>2.0443068048074323E-4</v>
      </c>
      <c r="T1459" s="17">
        <f t="shared" si="269"/>
        <v>0.10630395384998648</v>
      </c>
      <c r="U1459" s="16">
        <f t="shared" si="270"/>
        <v>186.4185349389937</v>
      </c>
      <c r="V1459" s="17">
        <f t="shared" si="271"/>
        <v>0.38238197933880841</v>
      </c>
      <c r="W1459" s="16">
        <f t="shared" si="267"/>
        <v>1376575.1256197104</v>
      </c>
      <c r="X1459">
        <f>('Hybrid Info'!$A$2-Track!P1459)*(L1459-L1458)*1000+X1458</f>
        <v>-12146.961830872726</v>
      </c>
    </row>
    <row r="1460" spans="1:24">
      <c r="A1460" s="16">
        <f t="shared" si="268"/>
        <v>1459</v>
      </c>
      <c r="B1460" s="17">
        <f t="shared" si="275"/>
        <v>13.411199999999999</v>
      </c>
      <c r="C1460" s="16">
        <f>Specification!$G$32</f>
        <v>219.92450400000001</v>
      </c>
      <c r="D1460" s="17">
        <f>0.5*Specification!$K$4*Track!B1460^2*Specification!$K$3*Specification!$K$2</f>
        <v>93.159842569492653</v>
      </c>
      <c r="E1460" s="16">
        <v>0</v>
      </c>
      <c r="F1460" s="17">
        <f>Specification!$C$23*9.81*SIN((E1460*PI()/180))</f>
        <v>0</v>
      </c>
      <c r="G1460" s="18">
        <f>IF(J1460=1,VLOOKUP(K1460,RPM!$E$2:$H$62,3,FALSE)-F1460-E1460-D1460,IF(J1460=2,VLOOKUP(K1460,RPM!$H$2:$K$62,3,FALSE)-F1460-E1460-D1460,IF(J1460=3,VLOOKUP(K1460,RPM!$K$2:$N$62,3,FALSE)-F1460-E1460-D1460)))</f>
        <v>688.48526429214962</v>
      </c>
      <c r="H1460" s="19">
        <f>IF(J1460=1,Specification!$I$14,IF(J1460=2,Specification!$I$15,IF(J1460=3,Specification!$I$16)))</f>
        <v>582.50936296077191</v>
      </c>
      <c r="I1460" s="16">
        <f t="shared" si="273"/>
        <v>0</v>
      </c>
      <c r="J1460" s="17">
        <v>2</v>
      </c>
      <c r="K1460" s="16">
        <f>IF(J1460=1,VLOOKUP(B1460,RPM!$F$2:$H$62,3,TRUE),IF(J1460=2,VLOOKUP(B1460,RPM!$I$2:$K$62,3,TRUE),IF(J1460=3,VLOOKUP(B1460,RPM!$L$2:$N$62,3,TRUE))))</f>
        <v>7000</v>
      </c>
      <c r="L1460" s="17">
        <f t="shared" si="272"/>
        <v>113.06500871538989</v>
      </c>
      <c r="M1460" s="16">
        <f t="shared" si="274"/>
        <v>0</v>
      </c>
      <c r="N1460" s="17">
        <f>VLOOKUP(K1460,RPM!$A$2:$D$62,3,FALSE)</f>
        <v>13</v>
      </c>
      <c r="O1460" s="16">
        <f>VLOOKUP(K1460,RPM!$A$2:$D$62,4,FALSE)</f>
        <v>13.235857142857142</v>
      </c>
      <c r="P1460" s="17">
        <f t="shared" si="264"/>
        <v>9.8699786714285711</v>
      </c>
      <c r="Q1460" s="16" cm="1">
        <f t="array" ref="Q1460">_xlfn.XLOOKUP(O1460,BSFC!$A$2:$A$24,_xlfn.XLOOKUP(K1460,BSFC!$B$1:$O$1,BSFC!$B$2:$O$24,,-1),,-1)</f>
        <v>520</v>
      </c>
      <c r="R1460" s="17">
        <f t="shared" si="265"/>
        <v>1.425663585873016</v>
      </c>
      <c r="S1460" s="16">
        <f t="shared" si="266"/>
        <v>2.0443068048074323E-4</v>
      </c>
      <c r="T1460" s="17">
        <f t="shared" si="269"/>
        <v>0.10630395384998648</v>
      </c>
      <c r="U1460" s="16">
        <f t="shared" si="270"/>
        <v>186.52483889284369</v>
      </c>
      <c r="V1460" s="17">
        <f t="shared" si="271"/>
        <v>0.38258641001928917</v>
      </c>
      <c r="W1460" s="16">
        <f t="shared" si="267"/>
        <v>1377311.0760694412</v>
      </c>
      <c r="X1460">
        <f>('Hybrid Info'!$A$2-Track!P1460)*(L1460-L1459)*1000+X1459</f>
        <v>-11979.156121886474</v>
      </c>
    </row>
    <row r="1461" spans="1:24">
      <c r="A1461" s="16">
        <f t="shared" si="268"/>
        <v>1460</v>
      </c>
      <c r="B1461" s="17">
        <f t="shared" si="275"/>
        <v>13.411199999999999</v>
      </c>
      <c r="C1461" s="16">
        <f>Specification!$G$32</f>
        <v>219.92450400000001</v>
      </c>
      <c r="D1461" s="17">
        <f>0.5*Specification!$K$4*Track!B1461^2*Specification!$K$3*Specification!$K$2</f>
        <v>93.159842569492653</v>
      </c>
      <c r="E1461" s="16">
        <v>0</v>
      </c>
      <c r="F1461" s="17">
        <f>Specification!$C$23*9.81*SIN((E1461*PI()/180))</f>
        <v>0</v>
      </c>
      <c r="G1461" s="18">
        <f>IF(J1461=1,VLOOKUP(K1461,RPM!$E$2:$H$62,3,FALSE)-F1461-E1461-D1461,IF(J1461=2,VLOOKUP(K1461,RPM!$H$2:$K$62,3,FALSE)-F1461-E1461-D1461,IF(J1461=3,VLOOKUP(K1461,RPM!$K$2:$N$62,3,FALSE)-F1461-E1461-D1461)))</f>
        <v>688.48526429214962</v>
      </c>
      <c r="H1461" s="19">
        <f>IF(J1461=1,Specification!$I$14,IF(J1461=2,Specification!$I$15,IF(J1461=3,Specification!$I$16)))</f>
        <v>582.50936296077191</v>
      </c>
      <c r="I1461" s="16">
        <f t="shared" si="273"/>
        <v>0</v>
      </c>
      <c r="J1461" s="17">
        <v>2</v>
      </c>
      <c r="K1461" s="16">
        <f>IF(J1461=1,VLOOKUP(B1461,RPM!$F$2:$H$62,3,TRUE),IF(J1461=2,VLOOKUP(B1461,RPM!$I$2:$K$62,3,TRUE),IF(J1461=3,VLOOKUP(B1461,RPM!$L$2:$N$62,3,TRUE))))</f>
        <v>7000</v>
      </c>
      <c r="L1461" s="17">
        <f t="shared" si="272"/>
        <v>113.13957325845837</v>
      </c>
      <c r="M1461" s="16">
        <f t="shared" si="274"/>
        <v>0</v>
      </c>
      <c r="N1461" s="17">
        <f>VLOOKUP(K1461,RPM!$A$2:$D$62,3,FALSE)</f>
        <v>13</v>
      </c>
      <c r="O1461" s="16">
        <f>VLOOKUP(K1461,RPM!$A$2:$D$62,4,FALSE)</f>
        <v>13.235857142857142</v>
      </c>
      <c r="P1461" s="17">
        <f t="shared" si="264"/>
        <v>9.8699786714285711</v>
      </c>
      <c r="Q1461" s="16" cm="1">
        <f t="array" ref="Q1461">_xlfn.XLOOKUP(O1461,BSFC!$A$2:$A$24,_xlfn.XLOOKUP(K1461,BSFC!$B$1:$O$1,BSFC!$B$2:$O$24,,-1),,-1)</f>
        <v>520</v>
      </c>
      <c r="R1461" s="17">
        <f t="shared" si="265"/>
        <v>1.425663585873016</v>
      </c>
      <c r="S1461" s="16">
        <f t="shared" si="266"/>
        <v>2.0443068048074323E-4</v>
      </c>
      <c r="T1461" s="17">
        <f t="shared" si="269"/>
        <v>0.10630395384998648</v>
      </c>
      <c r="U1461" s="16">
        <f t="shared" si="270"/>
        <v>186.63114284669368</v>
      </c>
      <c r="V1461" s="17">
        <f t="shared" si="271"/>
        <v>0.38279084069976993</v>
      </c>
      <c r="W1461" s="16">
        <f t="shared" si="267"/>
        <v>1378047.0265191719</v>
      </c>
      <c r="X1461">
        <f>('Hybrid Info'!$A$2-Track!P1461)*(L1461-L1460)*1000+X1460</f>
        <v>-11811.350412900221</v>
      </c>
    </row>
    <row r="1462" spans="1:24">
      <c r="A1462" s="16">
        <f t="shared" si="268"/>
        <v>1461</v>
      </c>
      <c r="B1462" s="17">
        <f t="shared" si="275"/>
        <v>13.411199999999999</v>
      </c>
      <c r="C1462" s="16">
        <f>Specification!$G$32</f>
        <v>219.92450400000001</v>
      </c>
      <c r="D1462" s="17">
        <f>0.5*Specification!$K$4*Track!B1462^2*Specification!$K$3*Specification!$K$2</f>
        <v>93.159842569492653</v>
      </c>
      <c r="E1462" s="16">
        <v>0</v>
      </c>
      <c r="F1462" s="17">
        <f>Specification!$C$23*9.81*SIN((E1462*PI()/180))</f>
        <v>0</v>
      </c>
      <c r="G1462" s="18">
        <f>IF(J1462=1,VLOOKUP(K1462,RPM!$E$2:$H$62,3,FALSE)-F1462-E1462-D1462,IF(J1462=2,VLOOKUP(K1462,RPM!$H$2:$K$62,3,FALSE)-F1462-E1462-D1462,IF(J1462=3,VLOOKUP(K1462,RPM!$K$2:$N$62,3,FALSE)-F1462-E1462-D1462)))</f>
        <v>688.48526429214962</v>
      </c>
      <c r="H1462" s="19">
        <f>IF(J1462=1,Specification!$I$14,IF(J1462=2,Specification!$I$15,IF(J1462=3,Specification!$I$16)))</f>
        <v>582.50936296077191</v>
      </c>
      <c r="I1462" s="16">
        <f t="shared" si="273"/>
        <v>0</v>
      </c>
      <c r="J1462" s="17">
        <v>2</v>
      </c>
      <c r="K1462" s="16">
        <f>IF(J1462=1,VLOOKUP(B1462,RPM!$F$2:$H$62,3,TRUE),IF(J1462=2,VLOOKUP(B1462,RPM!$I$2:$K$62,3,TRUE),IF(J1462=3,VLOOKUP(B1462,RPM!$L$2:$N$62,3,TRUE))))</f>
        <v>7000</v>
      </c>
      <c r="L1462" s="17">
        <f t="shared" si="272"/>
        <v>113.21413780152685</v>
      </c>
      <c r="M1462" s="16">
        <f t="shared" si="274"/>
        <v>0</v>
      </c>
      <c r="N1462" s="17">
        <f>VLOOKUP(K1462,RPM!$A$2:$D$62,3,FALSE)</f>
        <v>13</v>
      </c>
      <c r="O1462" s="16">
        <f>VLOOKUP(K1462,RPM!$A$2:$D$62,4,FALSE)</f>
        <v>13.235857142857142</v>
      </c>
      <c r="P1462" s="17">
        <f t="shared" si="264"/>
        <v>9.8699786714285711</v>
      </c>
      <c r="Q1462" s="16" cm="1">
        <f t="array" ref="Q1462">_xlfn.XLOOKUP(O1462,BSFC!$A$2:$A$24,_xlfn.XLOOKUP(K1462,BSFC!$B$1:$O$1,BSFC!$B$2:$O$24,,-1),,-1)</f>
        <v>520</v>
      </c>
      <c r="R1462" s="17">
        <f t="shared" si="265"/>
        <v>1.425663585873016</v>
      </c>
      <c r="S1462" s="16">
        <f t="shared" si="266"/>
        <v>2.0443068048074323E-4</v>
      </c>
      <c r="T1462" s="17">
        <f t="shared" si="269"/>
        <v>0.10630395384998648</v>
      </c>
      <c r="U1462" s="16">
        <f t="shared" si="270"/>
        <v>186.73744680054367</v>
      </c>
      <c r="V1462" s="17">
        <f t="shared" si="271"/>
        <v>0.38299527138025069</v>
      </c>
      <c r="W1462" s="16">
        <f t="shared" si="267"/>
        <v>1378782.9769689026</v>
      </c>
      <c r="X1462">
        <f>('Hybrid Info'!$A$2-Track!P1462)*(L1462-L1461)*1000+X1461</f>
        <v>-11643.544703913969</v>
      </c>
    </row>
    <row r="1463" spans="1:24">
      <c r="A1463" s="16">
        <f t="shared" si="268"/>
        <v>1462</v>
      </c>
      <c r="B1463" s="17">
        <f t="shared" si="275"/>
        <v>13.411199999999999</v>
      </c>
      <c r="C1463" s="16">
        <f>Specification!$G$32</f>
        <v>219.92450400000001</v>
      </c>
      <c r="D1463" s="17">
        <f>0.5*Specification!$K$4*Track!B1463^2*Specification!$K$3*Specification!$K$2</f>
        <v>93.159842569492653</v>
      </c>
      <c r="E1463" s="16">
        <v>0</v>
      </c>
      <c r="F1463" s="17">
        <f>Specification!$C$23*9.81*SIN((E1463*PI()/180))</f>
        <v>0</v>
      </c>
      <c r="G1463" s="18">
        <f>IF(J1463=1,VLOOKUP(K1463,RPM!$E$2:$H$62,3,FALSE)-F1463-E1463-D1463,IF(J1463=2,VLOOKUP(K1463,RPM!$H$2:$K$62,3,FALSE)-F1463-E1463-D1463,IF(J1463=3,VLOOKUP(K1463,RPM!$K$2:$N$62,3,FALSE)-F1463-E1463-D1463)))</f>
        <v>688.48526429214962</v>
      </c>
      <c r="H1463" s="19">
        <f>IF(J1463=1,Specification!$I$14,IF(J1463=2,Specification!$I$15,IF(J1463=3,Specification!$I$16)))</f>
        <v>582.50936296077191</v>
      </c>
      <c r="I1463" s="16">
        <f t="shared" si="273"/>
        <v>0</v>
      </c>
      <c r="J1463" s="17">
        <v>2</v>
      </c>
      <c r="K1463" s="16">
        <f>IF(J1463=1,VLOOKUP(B1463,RPM!$F$2:$H$62,3,TRUE),IF(J1463=2,VLOOKUP(B1463,RPM!$I$2:$K$62,3,TRUE),IF(J1463=3,VLOOKUP(B1463,RPM!$L$2:$N$62,3,TRUE))))</f>
        <v>7000</v>
      </c>
      <c r="L1463" s="17">
        <f t="shared" si="272"/>
        <v>113.28870234459532</v>
      </c>
      <c r="M1463" s="16">
        <f t="shared" si="274"/>
        <v>0</v>
      </c>
      <c r="N1463" s="17">
        <f>VLOOKUP(K1463,RPM!$A$2:$D$62,3,FALSE)</f>
        <v>13</v>
      </c>
      <c r="O1463" s="16">
        <f>VLOOKUP(K1463,RPM!$A$2:$D$62,4,FALSE)</f>
        <v>13.235857142857142</v>
      </c>
      <c r="P1463" s="17">
        <f t="shared" si="264"/>
        <v>9.8699786714285711</v>
      </c>
      <c r="Q1463" s="16" cm="1">
        <f t="array" ref="Q1463">_xlfn.XLOOKUP(O1463,BSFC!$A$2:$A$24,_xlfn.XLOOKUP(K1463,BSFC!$B$1:$O$1,BSFC!$B$2:$O$24,,-1),,-1)</f>
        <v>520</v>
      </c>
      <c r="R1463" s="17">
        <f t="shared" si="265"/>
        <v>1.425663585873016</v>
      </c>
      <c r="S1463" s="16">
        <f t="shared" si="266"/>
        <v>2.0443068048074323E-4</v>
      </c>
      <c r="T1463" s="17">
        <f t="shared" si="269"/>
        <v>0.10630395384998648</v>
      </c>
      <c r="U1463" s="16">
        <f t="shared" si="270"/>
        <v>186.84375075439365</v>
      </c>
      <c r="V1463" s="17">
        <f t="shared" si="271"/>
        <v>0.38319970206073145</v>
      </c>
      <c r="W1463" s="16">
        <f t="shared" si="267"/>
        <v>1379518.9274186331</v>
      </c>
      <c r="X1463">
        <f>('Hybrid Info'!$A$2-Track!P1463)*(L1463-L1462)*1000+X1462</f>
        <v>-11475.738994927717</v>
      </c>
    </row>
    <row r="1464" spans="1:24">
      <c r="A1464" s="16">
        <f t="shared" si="268"/>
        <v>1463</v>
      </c>
      <c r="B1464" s="17">
        <f t="shared" si="275"/>
        <v>13.411199999999999</v>
      </c>
      <c r="C1464" s="16">
        <f>Specification!$G$32</f>
        <v>219.92450400000001</v>
      </c>
      <c r="D1464" s="17">
        <f>0.5*Specification!$K$4*Track!B1464^2*Specification!$K$3*Specification!$K$2</f>
        <v>93.159842569492653</v>
      </c>
      <c r="E1464" s="16">
        <v>0</v>
      </c>
      <c r="F1464" s="17">
        <f>Specification!$C$23*9.81*SIN((E1464*PI()/180))</f>
        <v>0</v>
      </c>
      <c r="G1464" s="18">
        <f>IF(J1464=1,VLOOKUP(K1464,RPM!$E$2:$H$62,3,FALSE)-F1464-E1464-D1464,IF(J1464=2,VLOOKUP(K1464,RPM!$H$2:$K$62,3,FALSE)-F1464-E1464-D1464,IF(J1464=3,VLOOKUP(K1464,RPM!$K$2:$N$62,3,FALSE)-F1464-E1464-D1464)))</f>
        <v>688.48526429214962</v>
      </c>
      <c r="H1464" s="19">
        <f>IF(J1464=1,Specification!$I$14,IF(J1464=2,Specification!$I$15,IF(J1464=3,Specification!$I$16)))</f>
        <v>582.50936296077191</v>
      </c>
      <c r="I1464" s="16">
        <f t="shared" si="273"/>
        <v>0</v>
      </c>
      <c r="J1464" s="17">
        <v>2</v>
      </c>
      <c r="K1464" s="16">
        <f>IF(J1464=1,VLOOKUP(B1464,RPM!$F$2:$H$62,3,TRUE),IF(J1464=2,VLOOKUP(B1464,RPM!$I$2:$K$62,3,TRUE),IF(J1464=3,VLOOKUP(B1464,RPM!$L$2:$N$62,3,TRUE))))</f>
        <v>7000</v>
      </c>
      <c r="L1464" s="17">
        <f t="shared" si="272"/>
        <v>113.3632668876638</v>
      </c>
      <c r="M1464" s="16">
        <f t="shared" si="274"/>
        <v>0</v>
      </c>
      <c r="N1464" s="17">
        <f>VLOOKUP(K1464,RPM!$A$2:$D$62,3,FALSE)</f>
        <v>13</v>
      </c>
      <c r="O1464" s="16">
        <f>VLOOKUP(K1464,RPM!$A$2:$D$62,4,FALSE)</f>
        <v>13.235857142857142</v>
      </c>
      <c r="P1464" s="17">
        <f t="shared" si="264"/>
        <v>9.8699786714285711</v>
      </c>
      <c r="Q1464" s="16" cm="1">
        <f t="array" ref="Q1464">_xlfn.XLOOKUP(O1464,BSFC!$A$2:$A$24,_xlfn.XLOOKUP(K1464,BSFC!$B$1:$O$1,BSFC!$B$2:$O$24,,-1),,-1)</f>
        <v>520</v>
      </c>
      <c r="R1464" s="17">
        <f t="shared" si="265"/>
        <v>1.425663585873016</v>
      </c>
      <c r="S1464" s="16">
        <f t="shared" si="266"/>
        <v>2.0443068048074323E-4</v>
      </c>
      <c r="T1464" s="17">
        <f t="shared" si="269"/>
        <v>0.10630395384998648</v>
      </c>
      <c r="U1464" s="16">
        <f t="shared" si="270"/>
        <v>186.95005470824364</v>
      </c>
      <c r="V1464" s="17">
        <f t="shared" si="271"/>
        <v>0.38340413274121221</v>
      </c>
      <c r="W1464" s="16">
        <f t="shared" si="267"/>
        <v>1380254.8778683639</v>
      </c>
      <c r="X1464">
        <f>('Hybrid Info'!$A$2-Track!P1464)*(L1464-L1463)*1000+X1463</f>
        <v>-11307.933285941464</v>
      </c>
    </row>
    <row r="1465" spans="1:24">
      <c r="A1465" s="16">
        <f t="shared" si="268"/>
        <v>1464</v>
      </c>
      <c r="B1465" s="17">
        <f t="shared" si="275"/>
        <v>13.411199999999999</v>
      </c>
      <c r="C1465" s="16">
        <f>Specification!$G$32</f>
        <v>219.92450400000001</v>
      </c>
      <c r="D1465" s="17">
        <f>0.5*Specification!$K$4*Track!B1465^2*Specification!$K$3*Specification!$K$2</f>
        <v>93.159842569492653</v>
      </c>
      <c r="E1465" s="16">
        <v>0</v>
      </c>
      <c r="F1465" s="17">
        <f>Specification!$C$23*9.81*SIN((E1465*PI()/180))</f>
        <v>0</v>
      </c>
      <c r="G1465" s="18">
        <f>IF(J1465=1,VLOOKUP(K1465,RPM!$E$2:$H$62,3,FALSE)-F1465-E1465-D1465,IF(J1465=2,VLOOKUP(K1465,RPM!$H$2:$K$62,3,FALSE)-F1465-E1465-D1465,IF(J1465=3,VLOOKUP(K1465,RPM!$K$2:$N$62,3,FALSE)-F1465-E1465-D1465)))</f>
        <v>688.48526429214962</v>
      </c>
      <c r="H1465" s="19">
        <f>IF(J1465=1,Specification!$I$14,IF(J1465=2,Specification!$I$15,IF(J1465=3,Specification!$I$16)))</f>
        <v>582.50936296077191</v>
      </c>
      <c r="I1465" s="16">
        <f t="shared" si="273"/>
        <v>0</v>
      </c>
      <c r="J1465" s="17">
        <v>2</v>
      </c>
      <c r="K1465" s="16">
        <f>IF(J1465=1,VLOOKUP(B1465,RPM!$F$2:$H$62,3,TRUE),IF(J1465=2,VLOOKUP(B1465,RPM!$I$2:$K$62,3,TRUE),IF(J1465=3,VLOOKUP(B1465,RPM!$L$2:$N$62,3,TRUE))))</f>
        <v>7000</v>
      </c>
      <c r="L1465" s="17">
        <f t="shared" si="272"/>
        <v>113.43783143073227</v>
      </c>
      <c r="M1465" s="16">
        <f t="shared" si="274"/>
        <v>0</v>
      </c>
      <c r="N1465" s="17">
        <f>VLOOKUP(K1465,RPM!$A$2:$D$62,3,FALSE)</f>
        <v>13</v>
      </c>
      <c r="O1465" s="16">
        <f>VLOOKUP(K1465,RPM!$A$2:$D$62,4,FALSE)</f>
        <v>13.235857142857142</v>
      </c>
      <c r="P1465" s="17">
        <f t="shared" si="264"/>
        <v>9.8699786714285711</v>
      </c>
      <c r="Q1465" s="16" cm="1">
        <f t="array" ref="Q1465">_xlfn.XLOOKUP(O1465,BSFC!$A$2:$A$24,_xlfn.XLOOKUP(K1465,BSFC!$B$1:$O$1,BSFC!$B$2:$O$24,,-1),,-1)</f>
        <v>520</v>
      </c>
      <c r="R1465" s="17">
        <f t="shared" si="265"/>
        <v>1.425663585873016</v>
      </c>
      <c r="S1465" s="16">
        <f t="shared" si="266"/>
        <v>2.0443068048074323E-4</v>
      </c>
      <c r="T1465" s="17">
        <f t="shared" si="269"/>
        <v>0.10630395384998648</v>
      </c>
      <c r="U1465" s="16">
        <f t="shared" si="270"/>
        <v>187.05635866209363</v>
      </c>
      <c r="V1465" s="17">
        <f t="shared" si="271"/>
        <v>0.38360856342169297</v>
      </c>
      <c r="W1465" s="16">
        <f t="shared" si="267"/>
        <v>1380990.8283180946</v>
      </c>
      <c r="X1465">
        <f>('Hybrid Info'!$A$2-Track!P1465)*(L1465-L1464)*1000+X1464</f>
        <v>-11140.127576955212</v>
      </c>
    </row>
    <row r="1466" spans="1:24">
      <c r="A1466" s="16">
        <f t="shared" si="268"/>
        <v>1465</v>
      </c>
      <c r="B1466" s="17">
        <f t="shared" si="275"/>
        <v>13.411199999999999</v>
      </c>
      <c r="C1466" s="16">
        <f>Specification!$G$32</f>
        <v>219.92450400000001</v>
      </c>
      <c r="D1466" s="17">
        <f>0.5*Specification!$K$4*Track!B1466^2*Specification!$K$3*Specification!$K$2</f>
        <v>93.159842569492653</v>
      </c>
      <c r="E1466" s="16">
        <v>0</v>
      </c>
      <c r="F1466" s="17">
        <f>Specification!$C$23*9.81*SIN((E1466*PI()/180))</f>
        <v>0</v>
      </c>
      <c r="G1466" s="18">
        <f>IF(J1466=1,VLOOKUP(K1466,RPM!$E$2:$H$62,3,FALSE)-F1466-E1466-D1466,IF(J1466=2,VLOOKUP(K1466,RPM!$H$2:$K$62,3,FALSE)-F1466-E1466-D1466,IF(J1466=3,VLOOKUP(K1466,RPM!$K$2:$N$62,3,FALSE)-F1466-E1466-D1466)))</f>
        <v>688.48526429214962</v>
      </c>
      <c r="H1466" s="19">
        <f>IF(J1466=1,Specification!$I$14,IF(J1466=2,Specification!$I$15,IF(J1466=3,Specification!$I$16)))</f>
        <v>582.50936296077191</v>
      </c>
      <c r="I1466" s="16">
        <f t="shared" si="273"/>
        <v>0</v>
      </c>
      <c r="J1466" s="17">
        <v>2</v>
      </c>
      <c r="K1466" s="16">
        <f>IF(J1466=1,VLOOKUP(B1466,RPM!$F$2:$H$62,3,TRUE),IF(J1466=2,VLOOKUP(B1466,RPM!$I$2:$K$62,3,TRUE),IF(J1466=3,VLOOKUP(B1466,RPM!$L$2:$N$62,3,TRUE))))</f>
        <v>7000</v>
      </c>
      <c r="L1466" s="17">
        <f t="shared" si="272"/>
        <v>113.51239597380075</v>
      </c>
      <c r="M1466" s="16">
        <f t="shared" si="274"/>
        <v>0</v>
      </c>
      <c r="N1466" s="17">
        <f>VLOOKUP(K1466,RPM!$A$2:$D$62,3,FALSE)</f>
        <v>13</v>
      </c>
      <c r="O1466" s="16">
        <f>VLOOKUP(K1466,RPM!$A$2:$D$62,4,FALSE)</f>
        <v>13.235857142857142</v>
      </c>
      <c r="P1466" s="17">
        <f t="shared" si="264"/>
        <v>9.8699786714285711</v>
      </c>
      <c r="Q1466" s="16" cm="1">
        <f t="array" ref="Q1466">_xlfn.XLOOKUP(O1466,BSFC!$A$2:$A$24,_xlfn.XLOOKUP(K1466,BSFC!$B$1:$O$1,BSFC!$B$2:$O$24,,-1),,-1)</f>
        <v>520</v>
      </c>
      <c r="R1466" s="17">
        <f t="shared" si="265"/>
        <v>1.425663585873016</v>
      </c>
      <c r="S1466" s="16">
        <f t="shared" si="266"/>
        <v>2.0443068048074323E-4</v>
      </c>
      <c r="T1466" s="17">
        <f t="shared" si="269"/>
        <v>0.10630395384998648</v>
      </c>
      <c r="U1466" s="16">
        <f t="shared" si="270"/>
        <v>187.16266261594362</v>
      </c>
      <c r="V1466" s="17">
        <f t="shared" si="271"/>
        <v>0.38381299410217373</v>
      </c>
      <c r="W1466" s="16">
        <f t="shared" si="267"/>
        <v>1381726.7787678253</v>
      </c>
      <c r="X1466">
        <f>('Hybrid Info'!$A$2-Track!P1466)*(L1466-L1465)*1000+X1465</f>
        <v>-10972.32186796896</v>
      </c>
    </row>
    <row r="1467" spans="1:24">
      <c r="A1467" s="16">
        <f t="shared" si="268"/>
        <v>1466</v>
      </c>
      <c r="B1467" s="17">
        <f t="shared" si="275"/>
        <v>13.411199999999999</v>
      </c>
      <c r="C1467" s="16">
        <f>Specification!$G$32</f>
        <v>219.92450400000001</v>
      </c>
      <c r="D1467" s="17">
        <f>0.5*Specification!$K$4*Track!B1467^2*Specification!$K$3*Specification!$K$2</f>
        <v>93.159842569492653</v>
      </c>
      <c r="E1467" s="16">
        <v>0</v>
      </c>
      <c r="F1467" s="17">
        <f>Specification!$C$23*9.81*SIN((E1467*PI()/180))</f>
        <v>0</v>
      </c>
      <c r="G1467" s="18">
        <f>IF(J1467=1,VLOOKUP(K1467,RPM!$E$2:$H$62,3,FALSE)-F1467-E1467-D1467,IF(J1467=2,VLOOKUP(K1467,RPM!$H$2:$K$62,3,FALSE)-F1467-E1467-D1467,IF(J1467=3,VLOOKUP(K1467,RPM!$K$2:$N$62,3,FALSE)-F1467-E1467-D1467)))</f>
        <v>688.48526429214962</v>
      </c>
      <c r="H1467" s="19">
        <f>IF(J1467=1,Specification!$I$14,IF(J1467=2,Specification!$I$15,IF(J1467=3,Specification!$I$16)))</f>
        <v>582.50936296077191</v>
      </c>
      <c r="I1467" s="16">
        <f t="shared" si="273"/>
        <v>0</v>
      </c>
      <c r="J1467" s="17">
        <v>2</v>
      </c>
      <c r="K1467" s="16">
        <f>IF(J1467=1,VLOOKUP(B1467,RPM!$F$2:$H$62,3,TRUE),IF(J1467=2,VLOOKUP(B1467,RPM!$I$2:$K$62,3,TRUE),IF(J1467=3,VLOOKUP(B1467,RPM!$L$2:$N$62,3,TRUE))))</f>
        <v>7000</v>
      </c>
      <c r="L1467" s="17">
        <f t="shared" si="272"/>
        <v>113.58696051686923</v>
      </c>
      <c r="M1467" s="16">
        <f t="shared" si="274"/>
        <v>0</v>
      </c>
      <c r="N1467" s="17">
        <f>VLOOKUP(K1467,RPM!$A$2:$D$62,3,FALSE)</f>
        <v>13</v>
      </c>
      <c r="O1467" s="16">
        <f>VLOOKUP(K1467,RPM!$A$2:$D$62,4,FALSE)</f>
        <v>13.235857142857142</v>
      </c>
      <c r="P1467" s="17">
        <f t="shared" si="264"/>
        <v>9.8699786714285711</v>
      </c>
      <c r="Q1467" s="16" cm="1">
        <f t="array" ref="Q1467">_xlfn.XLOOKUP(O1467,BSFC!$A$2:$A$24,_xlfn.XLOOKUP(K1467,BSFC!$B$1:$O$1,BSFC!$B$2:$O$24,,-1),,-1)</f>
        <v>520</v>
      </c>
      <c r="R1467" s="17">
        <f t="shared" si="265"/>
        <v>1.425663585873016</v>
      </c>
      <c r="S1467" s="16">
        <f t="shared" si="266"/>
        <v>2.0443068048074323E-4</v>
      </c>
      <c r="T1467" s="17">
        <f t="shared" si="269"/>
        <v>0.10630395384998648</v>
      </c>
      <c r="U1467" s="16">
        <f t="shared" si="270"/>
        <v>187.26896656979361</v>
      </c>
      <c r="V1467" s="17">
        <f t="shared" si="271"/>
        <v>0.38401742478265449</v>
      </c>
      <c r="W1467" s="16">
        <f t="shared" si="267"/>
        <v>1382462.7292175561</v>
      </c>
      <c r="X1467">
        <f>('Hybrid Info'!$A$2-Track!P1467)*(L1467-L1466)*1000+X1466</f>
        <v>-10804.516158982708</v>
      </c>
    </row>
    <row r="1468" spans="1:24">
      <c r="A1468" s="16">
        <f t="shared" si="268"/>
        <v>1467</v>
      </c>
      <c r="B1468" s="17">
        <f t="shared" si="275"/>
        <v>13.411199999999999</v>
      </c>
      <c r="C1468" s="16">
        <f>Specification!$G$32</f>
        <v>219.92450400000001</v>
      </c>
      <c r="D1468" s="17">
        <f>0.5*Specification!$K$4*Track!B1468^2*Specification!$K$3*Specification!$K$2</f>
        <v>93.159842569492653</v>
      </c>
      <c r="E1468" s="16">
        <v>0</v>
      </c>
      <c r="F1468" s="17">
        <f>Specification!$C$23*9.81*SIN((E1468*PI()/180))</f>
        <v>0</v>
      </c>
      <c r="G1468" s="18">
        <f>IF(J1468=1,VLOOKUP(K1468,RPM!$E$2:$H$62,3,FALSE)-F1468-E1468-D1468,IF(J1468=2,VLOOKUP(K1468,RPM!$H$2:$K$62,3,FALSE)-F1468-E1468-D1468,IF(J1468=3,VLOOKUP(K1468,RPM!$K$2:$N$62,3,FALSE)-F1468-E1468-D1468)))</f>
        <v>688.48526429214962</v>
      </c>
      <c r="H1468" s="19">
        <f>IF(J1468=1,Specification!$I$14,IF(J1468=2,Specification!$I$15,IF(J1468=3,Specification!$I$16)))</f>
        <v>582.50936296077191</v>
      </c>
      <c r="I1468" s="16">
        <f t="shared" si="273"/>
        <v>0</v>
      </c>
      <c r="J1468" s="17">
        <v>2</v>
      </c>
      <c r="K1468" s="16">
        <f>IF(J1468=1,VLOOKUP(B1468,RPM!$F$2:$H$62,3,TRUE),IF(J1468=2,VLOOKUP(B1468,RPM!$I$2:$K$62,3,TRUE),IF(J1468=3,VLOOKUP(B1468,RPM!$L$2:$N$62,3,TRUE))))</f>
        <v>7000</v>
      </c>
      <c r="L1468" s="17">
        <f t="shared" si="272"/>
        <v>113.6615250599377</v>
      </c>
      <c r="M1468" s="16">
        <f t="shared" si="274"/>
        <v>0</v>
      </c>
      <c r="N1468" s="17">
        <f>VLOOKUP(K1468,RPM!$A$2:$D$62,3,FALSE)</f>
        <v>13</v>
      </c>
      <c r="O1468" s="16">
        <f>VLOOKUP(K1468,RPM!$A$2:$D$62,4,FALSE)</f>
        <v>13.235857142857142</v>
      </c>
      <c r="P1468" s="17">
        <f t="shared" si="264"/>
        <v>9.8699786714285711</v>
      </c>
      <c r="Q1468" s="16" cm="1">
        <f t="array" ref="Q1468">_xlfn.XLOOKUP(O1468,BSFC!$A$2:$A$24,_xlfn.XLOOKUP(K1468,BSFC!$B$1:$O$1,BSFC!$B$2:$O$24,,-1),,-1)</f>
        <v>520</v>
      </c>
      <c r="R1468" s="17">
        <f t="shared" si="265"/>
        <v>1.425663585873016</v>
      </c>
      <c r="S1468" s="16">
        <f t="shared" si="266"/>
        <v>2.0443068048074323E-4</v>
      </c>
      <c r="T1468" s="17">
        <f t="shared" si="269"/>
        <v>0.10630395384998648</v>
      </c>
      <c r="U1468" s="16">
        <f t="shared" si="270"/>
        <v>187.37527052364359</v>
      </c>
      <c r="V1468" s="17">
        <f t="shared" si="271"/>
        <v>0.38422185546313525</v>
      </c>
      <c r="W1468" s="16">
        <f t="shared" si="267"/>
        <v>1383198.6796672868</v>
      </c>
      <c r="X1468">
        <f>('Hybrid Info'!$A$2-Track!P1468)*(L1468-L1467)*1000+X1467</f>
        <v>-10636.710449996455</v>
      </c>
    </row>
    <row r="1469" spans="1:24">
      <c r="A1469" s="16">
        <f t="shared" si="268"/>
        <v>1468</v>
      </c>
      <c r="B1469" s="17">
        <f t="shared" si="275"/>
        <v>13.411199999999999</v>
      </c>
      <c r="C1469" s="16">
        <f>Specification!$G$32</f>
        <v>219.92450400000001</v>
      </c>
      <c r="D1469" s="17">
        <f>0.5*Specification!$K$4*Track!B1469^2*Specification!$K$3*Specification!$K$2</f>
        <v>93.159842569492653</v>
      </c>
      <c r="E1469" s="16">
        <v>0</v>
      </c>
      <c r="F1469" s="17">
        <f>Specification!$C$23*9.81*SIN((E1469*PI()/180))</f>
        <v>0</v>
      </c>
      <c r="G1469" s="18">
        <f>IF(J1469=1,VLOOKUP(K1469,RPM!$E$2:$H$62,3,FALSE)-F1469-E1469-D1469,IF(J1469=2,VLOOKUP(K1469,RPM!$H$2:$K$62,3,FALSE)-F1469-E1469-D1469,IF(J1469=3,VLOOKUP(K1469,RPM!$K$2:$N$62,3,FALSE)-F1469-E1469-D1469)))</f>
        <v>688.48526429214962</v>
      </c>
      <c r="H1469" s="19">
        <f>IF(J1469=1,Specification!$I$14,IF(J1469=2,Specification!$I$15,IF(J1469=3,Specification!$I$16)))</f>
        <v>582.50936296077191</v>
      </c>
      <c r="I1469" s="16">
        <f t="shared" si="273"/>
        <v>0</v>
      </c>
      <c r="J1469" s="17">
        <v>2</v>
      </c>
      <c r="K1469" s="16">
        <f>IF(J1469=1,VLOOKUP(B1469,RPM!$F$2:$H$62,3,TRUE),IF(J1469=2,VLOOKUP(B1469,RPM!$I$2:$K$62,3,TRUE),IF(J1469=3,VLOOKUP(B1469,RPM!$L$2:$N$62,3,TRUE))))</f>
        <v>7000</v>
      </c>
      <c r="L1469" s="17">
        <f t="shared" si="272"/>
        <v>113.73608960300618</v>
      </c>
      <c r="M1469" s="16">
        <f t="shared" si="274"/>
        <v>0</v>
      </c>
      <c r="N1469" s="17">
        <f>VLOOKUP(K1469,RPM!$A$2:$D$62,3,FALSE)</f>
        <v>13</v>
      </c>
      <c r="O1469" s="16">
        <f>VLOOKUP(K1469,RPM!$A$2:$D$62,4,FALSE)</f>
        <v>13.235857142857142</v>
      </c>
      <c r="P1469" s="17">
        <f t="shared" si="264"/>
        <v>9.8699786714285711</v>
      </c>
      <c r="Q1469" s="16" cm="1">
        <f t="array" ref="Q1469">_xlfn.XLOOKUP(O1469,BSFC!$A$2:$A$24,_xlfn.XLOOKUP(K1469,BSFC!$B$1:$O$1,BSFC!$B$2:$O$24,,-1),,-1)</f>
        <v>520</v>
      </c>
      <c r="R1469" s="17">
        <f t="shared" si="265"/>
        <v>1.425663585873016</v>
      </c>
      <c r="S1469" s="16">
        <f t="shared" si="266"/>
        <v>2.0443068048074323E-4</v>
      </c>
      <c r="T1469" s="17">
        <f t="shared" si="269"/>
        <v>0.10630395384998648</v>
      </c>
      <c r="U1469" s="16">
        <f t="shared" si="270"/>
        <v>187.48157447749358</v>
      </c>
      <c r="V1469" s="17">
        <f t="shared" si="271"/>
        <v>0.38442628614361601</v>
      </c>
      <c r="W1469" s="16">
        <f t="shared" si="267"/>
        <v>1383934.6301170178</v>
      </c>
      <c r="X1469">
        <f>('Hybrid Info'!$A$2-Track!P1469)*(L1469-L1468)*1000+X1468</f>
        <v>-10468.904741010203</v>
      </c>
    </row>
    <row r="1470" spans="1:24">
      <c r="A1470" s="16">
        <f t="shared" si="268"/>
        <v>1469</v>
      </c>
      <c r="B1470" s="17">
        <f t="shared" si="275"/>
        <v>13.411199999999999</v>
      </c>
      <c r="C1470" s="16">
        <f>Specification!$G$32</f>
        <v>219.92450400000001</v>
      </c>
      <c r="D1470" s="17">
        <f>0.5*Specification!$K$4*Track!B1470^2*Specification!$K$3*Specification!$K$2</f>
        <v>93.159842569492653</v>
      </c>
      <c r="E1470" s="16">
        <v>0</v>
      </c>
      <c r="F1470" s="17">
        <f>Specification!$C$23*9.81*SIN((E1470*PI()/180))</f>
        <v>0</v>
      </c>
      <c r="G1470" s="18">
        <f>IF(J1470=1,VLOOKUP(K1470,RPM!$E$2:$H$62,3,FALSE)-F1470-E1470-D1470,IF(J1470=2,VLOOKUP(K1470,RPM!$H$2:$K$62,3,FALSE)-F1470-E1470-D1470,IF(J1470=3,VLOOKUP(K1470,RPM!$K$2:$N$62,3,FALSE)-F1470-E1470-D1470)))</f>
        <v>688.48526429214962</v>
      </c>
      <c r="H1470" s="19">
        <f>IF(J1470=1,Specification!$I$14,IF(J1470=2,Specification!$I$15,IF(J1470=3,Specification!$I$16)))</f>
        <v>582.50936296077191</v>
      </c>
      <c r="I1470" s="16">
        <f t="shared" si="273"/>
        <v>0</v>
      </c>
      <c r="J1470" s="17">
        <v>2</v>
      </c>
      <c r="K1470" s="16">
        <f>IF(J1470=1,VLOOKUP(B1470,RPM!$F$2:$H$62,3,TRUE),IF(J1470=2,VLOOKUP(B1470,RPM!$I$2:$K$62,3,TRUE),IF(J1470=3,VLOOKUP(B1470,RPM!$L$2:$N$62,3,TRUE))))</f>
        <v>7000</v>
      </c>
      <c r="L1470" s="17">
        <f t="shared" si="272"/>
        <v>113.81065414607465</v>
      </c>
      <c r="M1470" s="16">
        <f t="shared" si="274"/>
        <v>0</v>
      </c>
      <c r="N1470" s="17">
        <f>VLOOKUP(K1470,RPM!$A$2:$D$62,3,FALSE)</f>
        <v>13</v>
      </c>
      <c r="O1470" s="16">
        <f>VLOOKUP(K1470,RPM!$A$2:$D$62,4,FALSE)</f>
        <v>13.235857142857142</v>
      </c>
      <c r="P1470" s="17">
        <f t="shared" si="264"/>
        <v>9.8699786714285711</v>
      </c>
      <c r="Q1470" s="16" cm="1">
        <f t="array" ref="Q1470">_xlfn.XLOOKUP(O1470,BSFC!$A$2:$A$24,_xlfn.XLOOKUP(K1470,BSFC!$B$1:$O$1,BSFC!$B$2:$O$24,,-1),,-1)</f>
        <v>520</v>
      </c>
      <c r="R1470" s="17">
        <f t="shared" si="265"/>
        <v>1.425663585873016</v>
      </c>
      <c r="S1470" s="16">
        <f t="shared" si="266"/>
        <v>2.0443068048074323E-4</v>
      </c>
      <c r="T1470" s="17">
        <f t="shared" si="269"/>
        <v>0.10630395384998648</v>
      </c>
      <c r="U1470" s="16">
        <f t="shared" si="270"/>
        <v>187.58787843134357</v>
      </c>
      <c r="V1470" s="17">
        <f t="shared" si="271"/>
        <v>0.38463071682409677</v>
      </c>
      <c r="W1470" s="16">
        <f t="shared" si="267"/>
        <v>1384670.5805667485</v>
      </c>
      <c r="X1470">
        <f>('Hybrid Info'!$A$2-Track!P1470)*(L1470-L1469)*1000+X1469</f>
        <v>-10301.099032023951</v>
      </c>
    </row>
    <row r="1471" spans="1:24">
      <c r="A1471" s="16">
        <f t="shared" si="268"/>
        <v>1470</v>
      </c>
      <c r="B1471" s="17">
        <f t="shared" si="275"/>
        <v>13.411199999999999</v>
      </c>
      <c r="C1471" s="16">
        <f>Specification!$G$32</f>
        <v>219.92450400000001</v>
      </c>
      <c r="D1471" s="17">
        <f>0.5*Specification!$K$4*Track!B1471^2*Specification!$K$3*Specification!$K$2</f>
        <v>93.159842569492653</v>
      </c>
      <c r="E1471" s="16">
        <v>0</v>
      </c>
      <c r="F1471" s="17">
        <f>Specification!$C$23*9.81*SIN((E1471*PI()/180))</f>
        <v>0</v>
      </c>
      <c r="G1471" s="18">
        <f>IF(J1471=1,VLOOKUP(K1471,RPM!$E$2:$H$62,3,FALSE)-F1471-E1471-D1471,IF(J1471=2,VLOOKUP(K1471,RPM!$H$2:$K$62,3,FALSE)-F1471-E1471-D1471,IF(J1471=3,VLOOKUP(K1471,RPM!$K$2:$N$62,3,FALSE)-F1471-E1471-D1471)))</f>
        <v>688.48526429214962</v>
      </c>
      <c r="H1471" s="19">
        <f>IF(J1471=1,Specification!$I$14,IF(J1471=2,Specification!$I$15,IF(J1471=3,Specification!$I$16)))</f>
        <v>582.50936296077191</v>
      </c>
      <c r="I1471" s="16">
        <f t="shared" si="273"/>
        <v>0</v>
      </c>
      <c r="J1471" s="17">
        <v>2</v>
      </c>
      <c r="K1471" s="16">
        <f>IF(J1471=1,VLOOKUP(B1471,RPM!$F$2:$H$62,3,TRUE),IF(J1471=2,VLOOKUP(B1471,RPM!$I$2:$K$62,3,TRUE),IF(J1471=3,VLOOKUP(B1471,RPM!$L$2:$N$62,3,TRUE))))</f>
        <v>7000</v>
      </c>
      <c r="L1471" s="17">
        <f t="shared" si="272"/>
        <v>113.88521868914313</v>
      </c>
      <c r="M1471" s="16">
        <f t="shared" si="274"/>
        <v>0</v>
      </c>
      <c r="N1471" s="17">
        <f>VLOOKUP(K1471,RPM!$A$2:$D$62,3,FALSE)</f>
        <v>13</v>
      </c>
      <c r="O1471" s="16">
        <f>VLOOKUP(K1471,RPM!$A$2:$D$62,4,FALSE)</f>
        <v>13.235857142857142</v>
      </c>
      <c r="P1471" s="17">
        <f t="shared" si="264"/>
        <v>9.8699786714285711</v>
      </c>
      <c r="Q1471" s="16" cm="1">
        <f t="array" ref="Q1471">_xlfn.XLOOKUP(O1471,BSFC!$A$2:$A$24,_xlfn.XLOOKUP(K1471,BSFC!$B$1:$O$1,BSFC!$B$2:$O$24,,-1),,-1)</f>
        <v>520</v>
      </c>
      <c r="R1471" s="17">
        <f t="shared" si="265"/>
        <v>1.425663585873016</v>
      </c>
      <c r="S1471" s="16">
        <f t="shared" si="266"/>
        <v>2.0443068048074323E-4</v>
      </c>
      <c r="T1471" s="17">
        <f t="shared" si="269"/>
        <v>0.10630395384998648</v>
      </c>
      <c r="U1471" s="16">
        <f t="shared" si="270"/>
        <v>187.69418238519356</v>
      </c>
      <c r="V1471" s="17">
        <f t="shared" si="271"/>
        <v>0.38483514750457753</v>
      </c>
      <c r="W1471" s="16">
        <f t="shared" si="267"/>
        <v>1385406.5310164792</v>
      </c>
      <c r="X1471">
        <f>('Hybrid Info'!$A$2-Track!P1471)*(L1471-L1470)*1000+X1470</f>
        <v>-10133.293323037698</v>
      </c>
    </row>
    <row r="1472" spans="1:24">
      <c r="A1472" s="16">
        <f t="shared" si="268"/>
        <v>1471</v>
      </c>
      <c r="B1472" s="17">
        <f t="shared" si="275"/>
        <v>13.411199999999999</v>
      </c>
      <c r="C1472" s="16">
        <f>Specification!$G$32</f>
        <v>219.92450400000001</v>
      </c>
      <c r="D1472" s="17">
        <f>0.5*Specification!$K$4*Track!B1472^2*Specification!$K$3*Specification!$K$2</f>
        <v>93.159842569492653</v>
      </c>
      <c r="E1472" s="16">
        <v>0</v>
      </c>
      <c r="F1472" s="17">
        <f>Specification!$C$23*9.81*SIN((E1472*PI()/180))</f>
        <v>0</v>
      </c>
      <c r="G1472" s="18">
        <f>IF(J1472=1,VLOOKUP(K1472,RPM!$E$2:$H$62,3,FALSE)-F1472-E1472-D1472,IF(J1472=2,VLOOKUP(K1472,RPM!$H$2:$K$62,3,FALSE)-F1472-E1472-D1472,IF(J1472=3,VLOOKUP(K1472,RPM!$K$2:$N$62,3,FALSE)-F1472-E1472-D1472)))</f>
        <v>688.48526429214962</v>
      </c>
      <c r="H1472" s="19">
        <f>IF(J1472=1,Specification!$I$14,IF(J1472=2,Specification!$I$15,IF(J1472=3,Specification!$I$16)))</f>
        <v>582.50936296077191</v>
      </c>
      <c r="I1472" s="16">
        <f t="shared" si="273"/>
        <v>0</v>
      </c>
      <c r="J1472" s="17">
        <v>2</v>
      </c>
      <c r="K1472" s="16">
        <f>IF(J1472=1,VLOOKUP(B1472,RPM!$F$2:$H$62,3,TRUE),IF(J1472=2,VLOOKUP(B1472,RPM!$I$2:$K$62,3,TRUE),IF(J1472=3,VLOOKUP(B1472,RPM!$L$2:$N$62,3,TRUE))))</f>
        <v>7000</v>
      </c>
      <c r="L1472" s="17">
        <f t="shared" si="272"/>
        <v>113.95978323221161</v>
      </c>
      <c r="M1472" s="16">
        <f t="shared" si="274"/>
        <v>0</v>
      </c>
      <c r="N1472" s="17">
        <f>VLOOKUP(K1472,RPM!$A$2:$D$62,3,FALSE)</f>
        <v>13</v>
      </c>
      <c r="O1472" s="16">
        <f>VLOOKUP(K1472,RPM!$A$2:$D$62,4,FALSE)</f>
        <v>13.235857142857142</v>
      </c>
      <c r="P1472" s="17">
        <f t="shared" si="264"/>
        <v>9.8699786714285711</v>
      </c>
      <c r="Q1472" s="16" cm="1">
        <f t="array" ref="Q1472">_xlfn.XLOOKUP(O1472,BSFC!$A$2:$A$24,_xlfn.XLOOKUP(K1472,BSFC!$B$1:$O$1,BSFC!$B$2:$O$24,,-1),,-1)</f>
        <v>520</v>
      </c>
      <c r="R1472" s="17">
        <f t="shared" si="265"/>
        <v>1.425663585873016</v>
      </c>
      <c r="S1472" s="16">
        <f t="shared" si="266"/>
        <v>2.0443068048074323E-4</v>
      </c>
      <c r="T1472" s="17">
        <f t="shared" si="269"/>
        <v>0.10630395384998648</v>
      </c>
      <c r="U1472" s="16">
        <f t="shared" si="270"/>
        <v>187.80048633904354</v>
      </c>
      <c r="V1472" s="17">
        <f t="shared" si="271"/>
        <v>0.3850395781850583</v>
      </c>
      <c r="W1472" s="16">
        <f t="shared" si="267"/>
        <v>1386142.48146621</v>
      </c>
      <c r="X1472">
        <f>('Hybrid Info'!$A$2-Track!P1472)*(L1472-L1471)*1000+X1471</f>
        <v>-9965.4876140514461</v>
      </c>
    </row>
    <row r="1473" spans="1:24">
      <c r="A1473" s="16">
        <f t="shared" si="268"/>
        <v>1472</v>
      </c>
      <c r="B1473" s="17">
        <f t="shared" si="275"/>
        <v>13.411199999999999</v>
      </c>
      <c r="C1473" s="16">
        <f>Specification!$G$32</f>
        <v>219.92450400000001</v>
      </c>
      <c r="D1473" s="17">
        <f>0.5*Specification!$K$4*Track!B1473^2*Specification!$K$3*Specification!$K$2</f>
        <v>93.159842569492653</v>
      </c>
      <c r="E1473" s="16">
        <v>0</v>
      </c>
      <c r="F1473" s="17">
        <f>Specification!$C$23*9.81*SIN((E1473*PI()/180))</f>
        <v>0</v>
      </c>
      <c r="G1473" s="18">
        <f>IF(J1473=1,VLOOKUP(K1473,RPM!$E$2:$H$62,3,FALSE)-F1473-E1473-D1473,IF(J1473=2,VLOOKUP(K1473,RPM!$H$2:$K$62,3,FALSE)-F1473-E1473-D1473,IF(J1473=3,VLOOKUP(K1473,RPM!$K$2:$N$62,3,FALSE)-F1473-E1473-D1473)))</f>
        <v>688.48526429214962</v>
      </c>
      <c r="H1473" s="19">
        <f>IF(J1473=1,Specification!$I$14,IF(J1473=2,Specification!$I$15,IF(J1473=3,Specification!$I$16)))</f>
        <v>582.50936296077191</v>
      </c>
      <c r="I1473" s="16">
        <f t="shared" si="273"/>
        <v>0</v>
      </c>
      <c r="J1473" s="17">
        <v>2</v>
      </c>
      <c r="K1473" s="16">
        <f>IF(J1473=1,VLOOKUP(B1473,RPM!$F$2:$H$62,3,TRUE),IF(J1473=2,VLOOKUP(B1473,RPM!$I$2:$K$62,3,TRUE),IF(J1473=3,VLOOKUP(B1473,RPM!$L$2:$N$62,3,TRUE))))</f>
        <v>7000</v>
      </c>
      <c r="L1473" s="17">
        <f t="shared" si="272"/>
        <v>114.03434777528008</v>
      </c>
      <c r="M1473" s="16">
        <f t="shared" si="274"/>
        <v>0</v>
      </c>
      <c r="N1473" s="17">
        <f>VLOOKUP(K1473,RPM!$A$2:$D$62,3,FALSE)</f>
        <v>13</v>
      </c>
      <c r="O1473" s="16">
        <f>VLOOKUP(K1473,RPM!$A$2:$D$62,4,FALSE)</f>
        <v>13.235857142857142</v>
      </c>
      <c r="P1473" s="17">
        <f t="shared" si="264"/>
        <v>9.8699786714285711</v>
      </c>
      <c r="Q1473" s="16" cm="1">
        <f t="array" ref="Q1473">_xlfn.XLOOKUP(O1473,BSFC!$A$2:$A$24,_xlfn.XLOOKUP(K1473,BSFC!$B$1:$O$1,BSFC!$B$2:$O$24,,-1),,-1)</f>
        <v>520</v>
      </c>
      <c r="R1473" s="17">
        <f t="shared" si="265"/>
        <v>1.425663585873016</v>
      </c>
      <c r="S1473" s="16">
        <f t="shared" si="266"/>
        <v>2.0443068048074323E-4</v>
      </c>
      <c r="T1473" s="17">
        <f t="shared" si="269"/>
        <v>0.10630395384998648</v>
      </c>
      <c r="U1473" s="16">
        <f t="shared" si="270"/>
        <v>187.90679029289353</v>
      </c>
      <c r="V1473" s="17">
        <f t="shared" si="271"/>
        <v>0.38524400886553906</v>
      </c>
      <c r="W1473" s="16">
        <f t="shared" si="267"/>
        <v>1386878.4319159407</v>
      </c>
      <c r="X1473">
        <f>('Hybrid Info'!$A$2-Track!P1473)*(L1473-L1472)*1000+X1472</f>
        <v>-9797.6819050651939</v>
      </c>
    </row>
    <row r="1474" spans="1:24">
      <c r="A1474" s="16">
        <f t="shared" si="268"/>
        <v>1473</v>
      </c>
      <c r="B1474" s="17">
        <f t="shared" si="275"/>
        <v>13.411199999999999</v>
      </c>
      <c r="C1474" s="16">
        <f>Specification!$G$32</f>
        <v>219.92450400000001</v>
      </c>
      <c r="D1474" s="17">
        <f>0.5*Specification!$K$4*Track!B1474^2*Specification!$K$3*Specification!$K$2</f>
        <v>93.159842569492653</v>
      </c>
      <c r="E1474" s="16">
        <v>0</v>
      </c>
      <c r="F1474" s="17">
        <f>Specification!$C$23*9.81*SIN((E1474*PI()/180))</f>
        <v>0</v>
      </c>
      <c r="G1474" s="18">
        <f>IF(J1474=1,VLOOKUP(K1474,RPM!$E$2:$H$62,3,FALSE)-F1474-E1474-D1474,IF(J1474=2,VLOOKUP(K1474,RPM!$H$2:$K$62,3,FALSE)-F1474-E1474-D1474,IF(J1474=3,VLOOKUP(K1474,RPM!$K$2:$N$62,3,FALSE)-F1474-E1474-D1474)))</f>
        <v>688.48526429214962</v>
      </c>
      <c r="H1474" s="19">
        <f>IF(J1474=1,Specification!$I$14,IF(J1474=2,Specification!$I$15,IF(J1474=3,Specification!$I$16)))</f>
        <v>582.50936296077191</v>
      </c>
      <c r="I1474" s="16">
        <f t="shared" si="273"/>
        <v>0</v>
      </c>
      <c r="J1474" s="17">
        <v>2</v>
      </c>
      <c r="K1474" s="16">
        <f>IF(J1474=1,VLOOKUP(B1474,RPM!$F$2:$H$62,3,TRUE),IF(J1474=2,VLOOKUP(B1474,RPM!$I$2:$K$62,3,TRUE),IF(J1474=3,VLOOKUP(B1474,RPM!$L$2:$N$62,3,TRUE))))</f>
        <v>7000</v>
      </c>
      <c r="L1474" s="17">
        <f t="shared" si="272"/>
        <v>114.10891231834856</v>
      </c>
      <c r="M1474" s="16">
        <f t="shared" si="274"/>
        <v>0</v>
      </c>
      <c r="N1474" s="17">
        <f>VLOOKUP(K1474,RPM!$A$2:$D$62,3,FALSE)</f>
        <v>13</v>
      </c>
      <c r="O1474" s="16">
        <f>VLOOKUP(K1474,RPM!$A$2:$D$62,4,FALSE)</f>
        <v>13.235857142857142</v>
      </c>
      <c r="P1474" s="17">
        <f t="shared" ref="P1474:P1537" si="276">O1474*0.7457</f>
        <v>9.8699786714285711</v>
      </c>
      <c r="Q1474" s="16" cm="1">
        <f t="array" ref="Q1474">_xlfn.XLOOKUP(O1474,BSFC!$A$2:$A$24,_xlfn.XLOOKUP(K1474,BSFC!$B$1:$O$1,BSFC!$B$2:$O$24,,-1),,-1)</f>
        <v>520</v>
      </c>
      <c r="R1474" s="17">
        <f t="shared" ref="R1474:R1537" si="277">Q1474*P1474/3600</f>
        <v>1.425663585873016</v>
      </c>
      <c r="S1474" s="16">
        <f t="shared" si="266"/>
        <v>2.0443068048074323E-4</v>
      </c>
      <c r="T1474" s="17">
        <f t="shared" si="269"/>
        <v>0.10630395384998648</v>
      </c>
      <c r="U1474" s="16">
        <f t="shared" si="270"/>
        <v>188.01309424674352</v>
      </c>
      <c r="V1474" s="17">
        <f t="shared" si="271"/>
        <v>0.38544843954601982</v>
      </c>
      <c r="W1474" s="16">
        <f t="shared" si="267"/>
        <v>1387614.3823656712</v>
      </c>
      <c r="X1474">
        <f>('Hybrid Info'!$A$2-Track!P1474)*(L1474-L1473)*1000+X1473</f>
        <v>-9629.8761960789416</v>
      </c>
    </row>
    <row r="1475" spans="1:24">
      <c r="A1475" s="16">
        <f t="shared" si="268"/>
        <v>1474</v>
      </c>
      <c r="B1475" s="17">
        <f t="shared" si="275"/>
        <v>13.411199999999999</v>
      </c>
      <c r="C1475" s="16">
        <f>Specification!$G$32</f>
        <v>219.92450400000001</v>
      </c>
      <c r="D1475" s="17">
        <f>0.5*Specification!$K$4*Track!B1475^2*Specification!$K$3*Specification!$K$2</f>
        <v>93.159842569492653</v>
      </c>
      <c r="E1475" s="16">
        <v>0</v>
      </c>
      <c r="F1475" s="17">
        <f>Specification!$C$23*9.81*SIN((E1475*PI()/180))</f>
        <v>0</v>
      </c>
      <c r="G1475" s="18">
        <f>IF(J1475=1,VLOOKUP(K1475,RPM!$E$2:$H$62,3,FALSE)-F1475-E1475-D1475,IF(J1475=2,VLOOKUP(K1475,RPM!$H$2:$K$62,3,FALSE)-F1475-E1475-D1475,IF(J1475=3,VLOOKUP(K1475,RPM!$K$2:$N$62,3,FALSE)-F1475-E1475-D1475)))</f>
        <v>688.48526429214962</v>
      </c>
      <c r="H1475" s="19">
        <f>IF(J1475=1,Specification!$I$14,IF(J1475=2,Specification!$I$15,IF(J1475=3,Specification!$I$16)))</f>
        <v>582.50936296077191</v>
      </c>
      <c r="I1475" s="16">
        <f t="shared" si="273"/>
        <v>0</v>
      </c>
      <c r="J1475" s="17">
        <v>2</v>
      </c>
      <c r="K1475" s="16">
        <f>IF(J1475=1,VLOOKUP(B1475,RPM!$F$2:$H$62,3,TRUE),IF(J1475=2,VLOOKUP(B1475,RPM!$I$2:$K$62,3,TRUE),IF(J1475=3,VLOOKUP(B1475,RPM!$L$2:$N$62,3,TRUE))))</f>
        <v>7000</v>
      </c>
      <c r="L1475" s="17">
        <f t="shared" si="272"/>
        <v>114.18347686141703</v>
      </c>
      <c r="M1475" s="16">
        <f t="shared" si="274"/>
        <v>0</v>
      </c>
      <c r="N1475" s="17">
        <f>VLOOKUP(K1475,RPM!$A$2:$D$62,3,FALSE)</f>
        <v>13</v>
      </c>
      <c r="O1475" s="16">
        <f>VLOOKUP(K1475,RPM!$A$2:$D$62,4,FALSE)</f>
        <v>13.235857142857142</v>
      </c>
      <c r="P1475" s="17">
        <f t="shared" si="276"/>
        <v>9.8699786714285711</v>
      </c>
      <c r="Q1475" s="16" cm="1">
        <f t="array" ref="Q1475">_xlfn.XLOOKUP(O1475,BSFC!$A$2:$A$24,_xlfn.XLOOKUP(K1475,BSFC!$B$1:$O$1,BSFC!$B$2:$O$24,,-1),,-1)</f>
        <v>520</v>
      </c>
      <c r="R1475" s="17">
        <f t="shared" si="277"/>
        <v>1.425663585873016</v>
      </c>
      <c r="S1475" s="16">
        <f t="shared" ref="S1475:S1538" si="278">(L1475-L1474)/3600*P1475</f>
        <v>2.0443068048074323E-4</v>
      </c>
      <c r="T1475" s="17">
        <f t="shared" si="269"/>
        <v>0.10630395384998648</v>
      </c>
      <c r="U1475" s="16">
        <f t="shared" si="270"/>
        <v>188.11939820059351</v>
      </c>
      <c r="V1475" s="17">
        <f t="shared" si="271"/>
        <v>0.38565287022650058</v>
      </c>
      <c r="W1475" s="16">
        <f t="shared" ref="W1475:W1538" si="279">V1475*1000*3600</f>
        <v>1388350.332815402</v>
      </c>
      <c r="X1475">
        <f>('Hybrid Info'!$A$2-Track!P1475)*(L1475-L1474)*1000+X1474</f>
        <v>-9462.0704870926893</v>
      </c>
    </row>
    <row r="1476" spans="1:24">
      <c r="A1476" s="16">
        <f t="shared" ref="A1476:A1539" si="280">A1475+1</f>
        <v>1475</v>
      </c>
      <c r="B1476" s="17">
        <f t="shared" si="275"/>
        <v>13.411199999999999</v>
      </c>
      <c r="C1476" s="16">
        <f>Specification!$G$32</f>
        <v>219.92450400000001</v>
      </c>
      <c r="D1476" s="17">
        <f>0.5*Specification!$K$4*Track!B1476^2*Specification!$K$3*Specification!$K$2</f>
        <v>93.159842569492653</v>
      </c>
      <c r="E1476" s="16">
        <v>0</v>
      </c>
      <c r="F1476" s="17">
        <f>Specification!$C$23*9.81*SIN((E1476*PI()/180))</f>
        <v>0</v>
      </c>
      <c r="G1476" s="18">
        <f>IF(J1476=1,VLOOKUP(K1476,RPM!$E$2:$H$62,3,FALSE)-F1476-E1476-D1476,IF(J1476=2,VLOOKUP(K1476,RPM!$H$2:$K$62,3,FALSE)-F1476-E1476-D1476,IF(J1476=3,VLOOKUP(K1476,RPM!$K$2:$N$62,3,FALSE)-F1476-E1476-D1476)))</f>
        <v>688.48526429214962</v>
      </c>
      <c r="H1476" s="19">
        <f>IF(J1476=1,Specification!$I$14,IF(J1476=2,Specification!$I$15,IF(J1476=3,Specification!$I$16)))</f>
        <v>582.50936296077191</v>
      </c>
      <c r="I1476" s="16">
        <f t="shared" si="273"/>
        <v>0</v>
      </c>
      <c r="J1476" s="17">
        <v>2</v>
      </c>
      <c r="K1476" s="16">
        <f>IF(J1476=1,VLOOKUP(B1476,RPM!$F$2:$H$62,3,TRUE),IF(J1476=2,VLOOKUP(B1476,RPM!$I$2:$K$62,3,TRUE),IF(J1476=3,VLOOKUP(B1476,RPM!$L$2:$N$62,3,TRUE))))</f>
        <v>7000</v>
      </c>
      <c r="L1476" s="17">
        <f t="shared" si="272"/>
        <v>114.25804140448551</v>
      </c>
      <c r="M1476" s="16">
        <f t="shared" si="274"/>
        <v>0</v>
      </c>
      <c r="N1476" s="17">
        <f>VLOOKUP(K1476,RPM!$A$2:$D$62,3,FALSE)</f>
        <v>13</v>
      </c>
      <c r="O1476" s="16">
        <f>VLOOKUP(K1476,RPM!$A$2:$D$62,4,FALSE)</f>
        <v>13.235857142857142</v>
      </c>
      <c r="P1476" s="17">
        <f t="shared" si="276"/>
        <v>9.8699786714285711</v>
      </c>
      <c r="Q1476" s="16" cm="1">
        <f t="array" ref="Q1476">_xlfn.XLOOKUP(O1476,BSFC!$A$2:$A$24,_xlfn.XLOOKUP(K1476,BSFC!$B$1:$O$1,BSFC!$B$2:$O$24,,-1),,-1)</f>
        <v>520</v>
      </c>
      <c r="R1476" s="17">
        <f t="shared" si="277"/>
        <v>1.425663585873016</v>
      </c>
      <c r="S1476" s="16">
        <f t="shared" si="278"/>
        <v>2.0443068048074323E-4</v>
      </c>
      <c r="T1476" s="17">
        <f t="shared" ref="T1476:T1539" si="281">S1476*Q1476</f>
        <v>0.10630395384998648</v>
      </c>
      <c r="U1476" s="16">
        <f t="shared" ref="U1476:U1539" si="282">U1475+T1476</f>
        <v>188.2257021544435</v>
      </c>
      <c r="V1476" s="17">
        <f t="shared" si="271"/>
        <v>0.38585730090698134</v>
      </c>
      <c r="W1476" s="16">
        <f t="shared" si="279"/>
        <v>1389086.2832651327</v>
      </c>
      <c r="X1476">
        <f>('Hybrid Info'!$A$2-Track!P1476)*(L1476-L1475)*1000+X1475</f>
        <v>-9294.264778106437</v>
      </c>
    </row>
    <row r="1477" spans="1:24">
      <c r="A1477" s="16">
        <f t="shared" si="280"/>
        <v>1476</v>
      </c>
      <c r="B1477" s="17">
        <f t="shared" si="275"/>
        <v>13.411199999999999</v>
      </c>
      <c r="C1477" s="16">
        <f>Specification!$G$32</f>
        <v>219.92450400000001</v>
      </c>
      <c r="D1477" s="17">
        <f>0.5*Specification!$K$4*Track!B1477^2*Specification!$K$3*Specification!$K$2</f>
        <v>93.159842569492653</v>
      </c>
      <c r="E1477" s="16">
        <v>0</v>
      </c>
      <c r="F1477" s="17">
        <f>Specification!$C$23*9.81*SIN((E1477*PI()/180))</f>
        <v>0</v>
      </c>
      <c r="G1477" s="18">
        <f>IF(J1477=1,VLOOKUP(K1477,RPM!$E$2:$H$62,3,FALSE)-F1477-E1477-D1477,IF(J1477=2,VLOOKUP(K1477,RPM!$H$2:$K$62,3,FALSE)-F1477-E1477-D1477,IF(J1477=3,VLOOKUP(K1477,RPM!$K$2:$N$62,3,FALSE)-F1477-E1477-D1477)))</f>
        <v>688.48526429214962</v>
      </c>
      <c r="H1477" s="19">
        <f>IF(J1477=1,Specification!$I$14,IF(J1477=2,Specification!$I$15,IF(J1477=3,Specification!$I$16)))</f>
        <v>582.50936296077191</v>
      </c>
      <c r="I1477" s="16">
        <f t="shared" si="273"/>
        <v>0</v>
      </c>
      <c r="J1477" s="17">
        <v>2</v>
      </c>
      <c r="K1477" s="16">
        <f>IF(J1477=1,VLOOKUP(B1477,RPM!$F$2:$H$62,3,TRUE),IF(J1477=2,VLOOKUP(B1477,RPM!$I$2:$K$62,3,TRUE),IF(J1477=3,VLOOKUP(B1477,RPM!$L$2:$N$62,3,TRUE))))</f>
        <v>7000</v>
      </c>
      <c r="L1477" s="17">
        <f t="shared" si="272"/>
        <v>114.33260594755399</v>
      </c>
      <c r="M1477" s="16">
        <f t="shared" si="274"/>
        <v>0</v>
      </c>
      <c r="N1477" s="17">
        <f>VLOOKUP(K1477,RPM!$A$2:$D$62,3,FALSE)</f>
        <v>13</v>
      </c>
      <c r="O1477" s="16">
        <f>VLOOKUP(K1477,RPM!$A$2:$D$62,4,FALSE)</f>
        <v>13.235857142857142</v>
      </c>
      <c r="P1477" s="17">
        <f t="shared" si="276"/>
        <v>9.8699786714285711</v>
      </c>
      <c r="Q1477" s="16" cm="1">
        <f t="array" ref="Q1477">_xlfn.XLOOKUP(O1477,BSFC!$A$2:$A$24,_xlfn.XLOOKUP(K1477,BSFC!$B$1:$O$1,BSFC!$B$2:$O$24,,-1),,-1)</f>
        <v>520</v>
      </c>
      <c r="R1477" s="17">
        <f t="shared" si="277"/>
        <v>1.425663585873016</v>
      </c>
      <c r="S1477" s="16">
        <f t="shared" si="278"/>
        <v>2.0443068048074323E-4</v>
      </c>
      <c r="T1477" s="17">
        <f t="shared" si="281"/>
        <v>0.10630395384998648</v>
      </c>
      <c r="U1477" s="16">
        <f t="shared" si="282"/>
        <v>188.33200610829348</v>
      </c>
      <c r="V1477" s="17">
        <f t="shared" ref="V1477:V1540" si="283">V1476+S1477</f>
        <v>0.3860617315874621</v>
      </c>
      <c r="W1477" s="16">
        <f t="shared" si="279"/>
        <v>1389822.2337148634</v>
      </c>
      <c r="X1477">
        <f>('Hybrid Info'!$A$2-Track!P1477)*(L1477-L1476)*1000+X1476</f>
        <v>-9126.4590691201847</v>
      </c>
    </row>
    <row r="1478" spans="1:24">
      <c r="A1478" s="16">
        <f t="shared" si="280"/>
        <v>1477</v>
      </c>
      <c r="B1478" s="17">
        <f t="shared" si="275"/>
        <v>13.411199999999999</v>
      </c>
      <c r="C1478" s="16">
        <f>Specification!$G$32</f>
        <v>219.92450400000001</v>
      </c>
      <c r="D1478" s="17">
        <f>0.5*Specification!$K$4*Track!B1478^2*Specification!$K$3*Specification!$K$2</f>
        <v>93.159842569492653</v>
      </c>
      <c r="E1478" s="16">
        <v>0</v>
      </c>
      <c r="F1478" s="17">
        <f>Specification!$C$23*9.81*SIN((E1478*PI()/180))</f>
        <v>0</v>
      </c>
      <c r="G1478" s="18">
        <f>IF(J1478=1,VLOOKUP(K1478,RPM!$E$2:$H$62,3,FALSE)-F1478-E1478-D1478,IF(J1478=2,VLOOKUP(K1478,RPM!$H$2:$K$62,3,FALSE)-F1478-E1478-D1478,IF(J1478=3,VLOOKUP(K1478,RPM!$K$2:$N$62,3,FALSE)-F1478-E1478-D1478)))</f>
        <v>688.48526429214962</v>
      </c>
      <c r="H1478" s="19">
        <f>IF(J1478=1,Specification!$I$14,IF(J1478=2,Specification!$I$15,IF(J1478=3,Specification!$I$16)))</f>
        <v>582.50936296077191</v>
      </c>
      <c r="I1478" s="16">
        <f t="shared" si="273"/>
        <v>0</v>
      </c>
      <c r="J1478" s="17">
        <v>2</v>
      </c>
      <c r="K1478" s="16">
        <f>IF(J1478=1,VLOOKUP(B1478,RPM!$F$2:$H$62,3,TRUE),IF(J1478=2,VLOOKUP(B1478,RPM!$I$2:$K$62,3,TRUE),IF(J1478=3,VLOOKUP(B1478,RPM!$L$2:$N$62,3,TRUE))))</f>
        <v>7000</v>
      </c>
      <c r="L1478" s="17">
        <f t="shared" si="272"/>
        <v>114.40717049062246</v>
      </c>
      <c r="M1478" s="16">
        <f t="shared" si="274"/>
        <v>0</v>
      </c>
      <c r="N1478" s="17">
        <f>VLOOKUP(K1478,RPM!$A$2:$D$62,3,FALSE)</f>
        <v>13</v>
      </c>
      <c r="O1478" s="16">
        <f>VLOOKUP(K1478,RPM!$A$2:$D$62,4,FALSE)</f>
        <v>13.235857142857142</v>
      </c>
      <c r="P1478" s="17">
        <f t="shared" si="276"/>
        <v>9.8699786714285711</v>
      </c>
      <c r="Q1478" s="16" cm="1">
        <f t="array" ref="Q1478">_xlfn.XLOOKUP(O1478,BSFC!$A$2:$A$24,_xlfn.XLOOKUP(K1478,BSFC!$B$1:$O$1,BSFC!$B$2:$O$24,,-1),,-1)</f>
        <v>520</v>
      </c>
      <c r="R1478" s="17">
        <f t="shared" si="277"/>
        <v>1.425663585873016</v>
      </c>
      <c r="S1478" s="16">
        <f t="shared" si="278"/>
        <v>2.0443068048074323E-4</v>
      </c>
      <c r="T1478" s="17">
        <f t="shared" si="281"/>
        <v>0.10630395384998648</v>
      </c>
      <c r="U1478" s="16">
        <f t="shared" si="282"/>
        <v>188.43831006214347</v>
      </c>
      <c r="V1478" s="17">
        <f t="shared" si="283"/>
        <v>0.38626616226794286</v>
      </c>
      <c r="W1478" s="16">
        <f t="shared" si="279"/>
        <v>1390558.1841645942</v>
      </c>
      <c r="X1478">
        <f>('Hybrid Info'!$A$2-Track!P1478)*(L1478-L1477)*1000+X1477</f>
        <v>-8958.6533601339324</v>
      </c>
    </row>
    <row r="1479" spans="1:24">
      <c r="A1479" s="16">
        <f t="shared" si="280"/>
        <v>1478</v>
      </c>
      <c r="B1479" s="17">
        <f t="shared" si="275"/>
        <v>13.411199999999999</v>
      </c>
      <c r="C1479" s="16">
        <f>Specification!$G$32</f>
        <v>219.92450400000001</v>
      </c>
      <c r="D1479" s="17">
        <f>0.5*Specification!$K$4*Track!B1479^2*Specification!$K$3*Specification!$K$2</f>
        <v>93.159842569492653</v>
      </c>
      <c r="E1479" s="16">
        <v>0</v>
      </c>
      <c r="F1479" s="17">
        <f>Specification!$C$23*9.81*SIN((E1479*PI()/180))</f>
        <v>0</v>
      </c>
      <c r="G1479" s="18">
        <f>IF(J1479=1,VLOOKUP(K1479,RPM!$E$2:$H$62,3,FALSE)-F1479-E1479-D1479,IF(J1479=2,VLOOKUP(K1479,RPM!$H$2:$K$62,3,FALSE)-F1479-E1479-D1479,IF(J1479=3,VLOOKUP(K1479,RPM!$K$2:$N$62,3,FALSE)-F1479-E1479-D1479)))</f>
        <v>688.48526429214962</v>
      </c>
      <c r="H1479" s="19">
        <f>IF(J1479=1,Specification!$I$14,IF(J1479=2,Specification!$I$15,IF(J1479=3,Specification!$I$16)))</f>
        <v>582.50936296077191</v>
      </c>
      <c r="I1479" s="16">
        <f t="shared" si="273"/>
        <v>0</v>
      </c>
      <c r="J1479" s="17">
        <v>2</v>
      </c>
      <c r="K1479" s="16">
        <f>IF(J1479=1,VLOOKUP(B1479,RPM!$F$2:$H$62,3,TRUE),IF(J1479=2,VLOOKUP(B1479,RPM!$I$2:$K$62,3,TRUE),IF(J1479=3,VLOOKUP(B1479,RPM!$L$2:$N$62,3,TRUE))))</f>
        <v>7000</v>
      </c>
      <c r="L1479" s="17">
        <f t="shared" si="272"/>
        <v>114.48173503369094</v>
      </c>
      <c r="M1479" s="16">
        <f t="shared" si="274"/>
        <v>0</v>
      </c>
      <c r="N1479" s="17">
        <f>VLOOKUP(K1479,RPM!$A$2:$D$62,3,FALSE)</f>
        <v>13</v>
      </c>
      <c r="O1479" s="16">
        <f>VLOOKUP(K1479,RPM!$A$2:$D$62,4,FALSE)</f>
        <v>13.235857142857142</v>
      </c>
      <c r="P1479" s="17">
        <f t="shared" si="276"/>
        <v>9.8699786714285711</v>
      </c>
      <c r="Q1479" s="16" cm="1">
        <f t="array" ref="Q1479">_xlfn.XLOOKUP(O1479,BSFC!$A$2:$A$24,_xlfn.XLOOKUP(K1479,BSFC!$B$1:$O$1,BSFC!$B$2:$O$24,,-1),,-1)</f>
        <v>520</v>
      </c>
      <c r="R1479" s="17">
        <f t="shared" si="277"/>
        <v>1.425663585873016</v>
      </c>
      <c r="S1479" s="16">
        <f t="shared" si="278"/>
        <v>2.0443068048074323E-4</v>
      </c>
      <c r="T1479" s="17">
        <f t="shared" si="281"/>
        <v>0.10630395384998648</v>
      </c>
      <c r="U1479" s="16">
        <f t="shared" si="282"/>
        <v>188.54461401599346</v>
      </c>
      <c r="V1479" s="17">
        <f t="shared" si="283"/>
        <v>0.38647059294842362</v>
      </c>
      <c r="W1479" s="16">
        <f t="shared" si="279"/>
        <v>1391294.1346143251</v>
      </c>
      <c r="X1479">
        <f>('Hybrid Info'!$A$2-Track!P1479)*(L1479-L1478)*1000+X1478</f>
        <v>-8790.8476511476802</v>
      </c>
    </row>
    <row r="1480" spans="1:24">
      <c r="A1480" s="16">
        <f t="shared" si="280"/>
        <v>1479</v>
      </c>
      <c r="B1480" s="17">
        <f t="shared" si="275"/>
        <v>13.411199999999999</v>
      </c>
      <c r="C1480" s="16">
        <f>Specification!$G$32</f>
        <v>219.92450400000001</v>
      </c>
      <c r="D1480" s="17">
        <f>0.5*Specification!$K$4*Track!B1480^2*Specification!$K$3*Specification!$K$2</f>
        <v>93.159842569492653</v>
      </c>
      <c r="E1480" s="16">
        <v>0</v>
      </c>
      <c r="F1480" s="17">
        <f>Specification!$C$23*9.81*SIN((E1480*PI()/180))</f>
        <v>0</v>
      </c>
      <c r="G1480" s="18">
        <f>IF(J1480=1,VLOOKUP(K1480,RPM!$E$2:$H$62,3,FALSE)-F1480-E1480-D1480,IF(J1480=2,VLOOKUP(K1480,RPM!$H$2:$K$62,3,FALSE)-F1480-E1480-D1480,IF(J1480=3,VLOOKUP(K1480,RPM!$K$2:$N$62,3,FALSE)-F1480-E1480-D1480)))</f>
        <v>688.48526429214962</v>
      </c>
      <c r="H1480" s="19">
        <f>IF(J1480=1,Specification!$I$14,IF(J1480=2,Specification!$I$15,IF(J1480=3,Specification!$I$16)))</f>
        <v>582.50936296077191</v>
      </c>
      <c r="I1480" s="16">
        <f t="shared" si="273"/>
        <v>0</v>
      </c>
      <c r="J1480" s="17">
        <v>2</v>
      </c>
      <c r="K1480" s="16">
        <f>IF(J1480=1,VLOOKUP(B1480,RPM!$F$2:$H$62,3,TRUE),IF(J1480=2,VLOOKUP(B1480,RPM!$I$2:$K$62,3,TRUE),IF(J1480=3,VLOOKUP(B1480,RPM!$L$2:$N$62,3,TRUE))))</f>
        <v>7000</v>
      </c>
      <c r="L1480" s="17">
        <f t="shared" si="272"/>
        <v>114.55629957675941</v>
      </c>
      <c r="M1480" s="16">
        <f t="shared" si="274"/>
        <v>0</v>
      </c>
      <c r="N1480" s="17">
        <f>VLOOKUP(K1480,RPM!$A$2:$D$62,3,FALSE)</f>
        <v>13</v>
      </c>
      <c r="O1480" s="16">
        <f>VLOOKUP(K1480,RPM!$A$2:$D$62,4,FALSE)</f>
        <v>13.235857142857142</v>
      </c>
      <c r="P1480" s="17">
        <f t="shared" si="276"/>
        <v>9.8699786714285711</v>
      </c>
      <c r="Q1480" s="16" cm="1">
        <f t="array" ref="Q1480">_xlfn.XLOOKUP(O1480,BSFC!$A$2:$A$24,_xlfn.XLOOKUP(K1480,BSFC!$B$1:$O$1,BSFC!$B$2:$O$24,,-1),,-1)</f>
        <v>520</v>
      </c>
      <c r="R1480" s="17">
        <f t="shared" si="277"/>
        <v>1.425663585873016</v>
      </c>
      <c r="S1480" s="16">
        <f t="shared" si="278"/>
        <v>2.0443068048074323E-4</v>
      </c>
      <c r="T1480" s="17">
        <f t="shared" si="281"/>
        <v>0.10630395384998648</v>
      </c>
      <c r="U1480" s="16">
        <f t="shared" si="282"/>
        <v>188.65091796984345</v>
      </c>
      <c r="V1480" s="17">
        <f t="shared" si="283"/>
        <v>0.38667502362890438</v>
      </c>
      <c r="W1480" s="16">
        <f t="shared" si="279"/>
        <v>1392030.0850640559</v>
      </c>
      <c r="X1480">
        <f>('Hybrid Info'!$A$2-Track!P1480)*(L1480-L1479)*1000+X1479</f>
        <v>-8623.0419421614279</v>
      </c>
    </row>
    <row r="1481" spans="1:24">
      <c r="A1481" s="16">
        <f t="shared" si="280"/>
        <v>1480</v>
      </c>
      <c r="B1481" s="17">
        <f t="shared" si="275"/>
        <v>13.411199999999999</v>
      </c>
      <c r="C1481" s="16">
        <f>Specification!$G$32</f>
        <v>219.92450400000001</v>
      </c>
      <c r="D1481" s="17">
        <f>0.5*Specification!$K$4*Track!B1481^2*Specification!$K$3*Specification!$K$2</f>
        <v>93.159842569492653</v>
      </c>
      <c r="E1481" s="16">
        <v>0</v>
      </c>
      <c r="F1481" s="17">
        <f>Specification!$C$23*9.81*SIN((E1481*PI()/180))</f>
        <v>0</v>
      </c>
      <c r="G1481" s="18">
        <f>IF(J1481=1,VLOOKUP(K1481,RPM!$E$2:$H$62,3,FALSE)-F1481-E1481-D1481,IF(J1481=2,VLOOKUP(K1481,RPM!$H$2:$K$62,3,FALSE)-F1481-E1481-D1481,IF(J1481=3,VLOOKUP(K1481,RPM!$K$2:$N$62,3,FALSE)-F1481-E1481-D1481)))</f>
        <v>688.48526429214962</v>
      </c>
      <c r="H1481" s="19">
        <f>IF(J1481=1,Specification!$I$14,IF(J1481=2,Specification!$I$15,IF(J1481=3,Specification!$I$16)))</f>
        <v>582.50936296077191</v>
      </c>
      <c r="I1481" s="16">
        <f t="shared" si="273"/>
        <v>0</v>
      </c>
      <c r="J1481" s="17">
        <v>2</v>
      </c>
      <c r="K1481" s="16">
        <f>IF(J1481=1,VLOOKUP(B1481,RPM!$F$2:$H$62,3,TRUE),IF(J1481=2,VLOOKUP(B1481,RPM!$I$2:$K$62,3,TRUE),IF(J1481=3,VLOOKUP(B1481,RPM!$L$2:$N$62,3,TRUE))))</f>
        <v>7000</v>
      </c>
      <c r="L1481" s="17">
        <f t="shared" si="272"/>
        <v>114.63086411982789</v>
      </c>
      <c r="M1481" s="16">
        <f t="shared" si="274"/>
        <v>0</v>
      </c>
      <c r="N1481" s="17">
        <f>VLOOKUP(K1481,RPM!$A$2:$D$62,3,FALSE)</f>
        <v>13</v>
      </c>
      <c r="O1481" s="16">
        <f>VLOOKUP(K1481,RPM!$A$2:$D$62,4,FALSE)</f>
        <v>13.235857142857142</v>
      </c>
      <c r="P1481" s="17">
        <f t="shared" si="276"/>
        <v>9.8699786714285711</v>
      </c>
      <c r="Q1481" s="16" cm="1">
        <f t="array" ref="Q1481">_xlfn.XLOOKUP(O1481,BSFC!$A$2:$A$24,_xlfn.XLOOKUP(K1481,BSFC!$B$1:$O$1,BSFC!$B$2:$O$24,,-1),,-1)</f>
        <v>520</v>
      </c>
      <c r="R1481" s="17">
        <f t="shared" si="277"/>
        <v>1.425663585873016</v>
      </c>
      <c r="S1481" s="16">
        <f t="shared" si="278"/>
        <v>2.0443068048074323E-4</v>
      </c>
      <c r="T1481" s="17">
        <f t="shared" si="281"/>
        <v>0.10630395384998648</v>
      </c>
      <c r="U1481" s="16">
        <f t="shared" si="282"/>
        <v>188.75722192369344</v>
      </c>
      <c r="V1481" s="17">
        <f t="shared" si="283"/>
        <v>0.38687945430938514</v>
      </c>
      <c r="W1481" s="16">
        <f t="shared" si="279"/>
        <v>1392766.0355137866</v>
      </c>
      <c r="X1481">
        <f>('Hybrid Info'!$A$2-Track!P1481)*(L1481-L1480)*1000+X1480</f>
        <v>-8455.2362331751756</v>
      </c>
    </row>
    <row r="1482" spans="1:24">
      <c r="A1482" s="16">
        <f t="shared" si="280"/>
        <v>1481</v>
      </c>
      <c r="B1482" s="17">
        <f t="shared" si="275"/>
        <v>13.411199999999999</v>
      </c>
      <c r="C1482" s="16">
        <f>Specification!$G$32</f>
        <v>219.92450400000001</v>
      </c>
      <c r="D1482" s="17">
        <f>0.5*Specification!$K$4*Track!B1482^2*Specification!$K$3*Specification!$K$2</f>
        <v>93.159842569492653</v>
      </c>
      <c r="E1482" s="16">
        <v>0</v>
      </c>
      <c r="F1482" s="17">
        <f>Specification!$C$23*9.81*SIN((E1482*PI()/180))</f>
        <v>0</v>
      </c>
      <c r="G1482" s="18">
        <f>IF(J1482=1,VLOOKUP(K1482,RPM!$E$2:$H$62,3,FALSE)-F1482-E1482-D1482,IF(J1482=2,VLOOKUP(K1482,RPM!$H$2:$K$62,3,FALSE)-F1482-E1482-D1482,IF(J1482=3,VLOOKUP(K1482,RPM!$K$2:$N$62,3,FALSE)-F1482-E1482-D1482)))</f>
        <v>688.48526429214962</v>
      </c>
      <c r="H1482" s="19">
        <f>IF(J1482=1,Specification!$I$14,IF(J1482=2,Specification!$I$15,IF(J1482=3,Specification!$I$16)))</f>
        <v>582.50936296077191</v>
      </c>
      <c r="I1482" s="16">
        <f t="shared" si="273"/>
        <v>0</v>
      </c>
      <c r="J1482" s="17">
        <v>2</v>
      </c>
      <c r="K1482" s="16">
        <f>IF(J1482=1,VLOOKUP(B1482,RPM!$F$2:$H$62,3,TRUE),IF(J1482=2,VLOOKUP(B1482,RPM!$I$2:$K$62,3,TRUE),IF(J1482=3,VLOOKUP(B1482,RPM!$L$2:$N$62,3,TRUE))))</f>
        <v>7000</v>
      </c>
      <c r="L1482" s="17">
        <f t="shared" si="272"/>
        <v>114.70542866289637</v>
      </c>
      <c r="M1482" s="16">
        <f t="shared" si="274"/>
        <v>0</v>
      </c>
      <c r="N1482" s="17">
        <f>VLOOKUP(K1482,RPM!$A$2:$D$62,3,FALSE)</f>
        <v>13</v>
      </c>
      <c r="O1482" s="16">
        <f>VLOOKUP(K1482,RPM!$A$2:$D$62,4,FALSE)</f>
        <v>13.235857142857142</v>
      </c>
      <c r="P1482" s="17">
        <f t="shared" si="276"/>
        <v>9.8699786714285711</v>
      </c>
      <c r="Q1482" s="16" cm="1">
        <f t="array" ref="Q1482">_xlfn.XLOOKUP(O1482,BSFC!$A$2:$A$24,_xlfn.XLOOKUP(K1482,BSFC!$B$1:$O$1,BSFC!$B$2:$O$24,,-1),,-1)</f>
        <v>520</v>
      </c>
      <c r="R1482" s="17">
        <f t="shared" si="277"/>
        <v>1.425663585873016</v>
      </c>
      <c r="S1482" s="16">
        <f t="shared" si="278"/>
        <v>2.0443068048074323E-4</v>
      </c>
      <c r="T1482" s="17">
        <f t="shared" si="281"/>
        <v>0.10630395384998648</v>
      </c>
      <c r="U1482" s="16">
        <f t="shared" si="282"/>
        <v>188.86352587754342</v>
      </c>
      <c r="V1482" s="17">
        <f t="shared" si="283"/>
        <v>0.3870838849898659</v>
      </c>
      <c r="W1482" s="16">
        <f t="shared" si="279"/>
        <v>1393501.9859635173</v>
      </c>
      <c r="X1482">
        <f>('Hybrid Info'!$A$2-Track!P1482)*(L1482-L1481)*1000+X1481</f>
        <v>-8287.4305241889233</v>
      </c>
    </row>
    <row r="1483" spans="1:24">
      <c r="A1483" s="16">
        <f t="shared" si="280"/>
        <v>1482</v>
      </c>
      <c r="B1483" s="17">
        <f t="shared" si="275"/>
        <v>13.411199999999999</v>
      </c>
      <c r="C1483" s="16">
        <f>Specification!$G$32</f>
        <v>219.92450400000001</v>
      </c>
      <c r="D1483" s="17">
        <f>0.5*Specification!$K$4*Track!B1483^2*Specification!$K$3*Specification!$K$2</f>
        <v>93.159842569492653</v>
      </c>
      <c r="E1483" s="16">
        <v>0</v>
      </c>
      <c r="F1483" s="17">
        <f>Specification!$C$23*9.81*SIN((E1483*PI()/180))</f>
        <v>0</v>
      </c>
      <c r="G1483" s="18">
        <f>IF(J1483=1,VLOOKUP(K1483,RPM!$E$2:$H$62,3,FALSE)-F1483-E1483-D1483,IF(J1483=2,VLOOKUP(K1483,RPM!$H$2:$K$62,3,FALSE)-F1483-E1483-D1483,IF(J1483=3,VLOOKUP(K1483,RPM!$K$2:$N$62,3,FALSE)-F1483-E1483-D1483)))</f>
        <v>688.48526429214962</v>
      </c>
      <c r="H1483" s="19">
        <f>IF(J1483=1,Specification!$I$14,IF(J1483=2,Specification!$I$15,IF(J1483=3,Specification!$I$16)))</f>
        <v>582.50936296077191</v>
      </c>
      <c r="I1483" s="16">
        <f t="shared" si="273"/>
        <v>0</v>
      </c>
      <c r="J1483" s="17">
        <v>2</v>
      </c>
      <c r="K1483" s="16">
        <f>IF(J1483=1,VLOOKUP(B1483,RPM!$F$2:$H$62,3,TRUE),IF(J1483=2,VLOOKUP(B1483,RPM!$I$2:$K$62,3,TRUE),IF(J1483=3,VLOOKUP(B1483,RPM!$L$2:$N$62,3,TRUE))))</f>
        <v>7000</v>
      </c>
      <c r="L1483" s="17">
        <f t="shared" si="272"/>
        <v>114.77999320596484</v>
      </c>
      <c r="M1483" s="16">
        <f t="shared" si="274"/>
        <v>0</v>
      </c>
      <c r="N1483" s="17">
        <f>VLOOKUP(K1483,RPM!$A$2:$D$62,3,FALSE)</f>
        <v>13</v>
      </c>
      <c r="O1483" s="16">
        <f>VLOOKUP(K1483,RPM!$A$2:$D$62,4,FALSE)</f>
        <v>13.235857142857142</v>
      </c>
      <c r="P1483" s="17">
        <f t="shared" si="276"/>
        <v>9.8699786714285711</v>
      </c>
      <c r="Q1483" s="16" cm="1">
        <f t="array" ref="Q1483">_xlfn.XLOOKUP(O1483,BSFC!$A$2:$A$24,_xlfn.XLOOKUP(K1483,BSFC!$B$1:$O$1,BSFC!$B$2:$O$24,,-1),,-1)</f>
        <v>520</v>
      </c>
      <c r="R1483" s="17">
        <f t="shared" si="277"/>
        <v>1.425663585873016</v>
      </c>
      <c r="S1483" s="16">
        <f t="shared" si="278"/>
        <v>2.0443068048074323E-4</v>
      </c>
      <c r="T1483" s="17">
        <f t="shared" si="281"/>
        <v>0.10630395384998648</v>
      </c>
      <c r="U1483" s="16">
        <f t="shared" si="282"/>
        <v>188.96982983139341</v>
      </c>
      <c r="V1483" s="17">
        <f t="shared" si="283"/>
        <v>0.38728831567034666</v>
      </c>
      <c r="W1483" s="16">
        <f t="shared" si="279"/>
        <v>1394237.9364132481</v>
      </c>
      <c r="X1483">
        <f>('Hybrid Info'!$A$2-Track!P1483)*(L1483-L1482)*1000+X1482</f>
        <v>-8119.624815202671</v>
      </c>
    </row>
    <row r="1484" spans="1:24">
      <c r="A1484" s="16">
        <f t="shared" si="280"/>
        <v>1483</v>
      </c>
      <c r="B1484" s="17">
        <f t="shared" si="275"/>
        <v>13.411199999999999</v>
      </c>
      <c r="C1484" s="16">
        <f>Specification!$G$32</f>
        <v>219.92450400000001</v>
      </c>
      <c r="D1484" s="17">
        <f>0.5*Specification!$K$4*Track!B1484^2*Specification!$K$3*Specification!$K$2</f>
        <v>93.159842569492653</v>
      </c>
      <c r="E1484" s="16">
        <v>0</v>
      </c>
      <c r="F1484" s="17">
        <f>Specification!$C$23*9.81*SIN((E1484*PI()/180))</f>
        <v>0</v>
      </c>
      <c r="G1484" s="18">
        <f>IF(J1484=1,VLOOKUP(K1484,RPM!$E$2:$H$62,3,FALSE)-F1484-E1484-D1484,IF(J1484=2,VLOOKUP(K1484,RPM!$H$2:$K$62,3,FALSE)-F1484-E1484-D1484,IF(J1484=3,VLOOKUP(K1484,RPM!$K$2:$N$62,3,FALSE)-F1484-E1484-D1484)))</f>
        <v>688.48526429214962</v>
      </c>
      <c r="H1484" s="19">
        <f>IF(J1484=1,Specification!$I$14,IF(J1484=2,Specification!$I$15,IF(J1484=3,Specification!$I$16)))</f>
        <v>582.50936296077191</v>
      </c>
      <c r="I1484" s="16">
        <f t="shared" si="273"/>
        <v>0</v>
      </c>
      <c r="J1484" s="17">
        <v>2</v>
      </c>
      <c r="K1484" s="16">
        <f>IF(J1484=1,VLOOKUP(B1484,RPM!$F$2:$H$62,3,TRUE),IF(J1484=2,VLOOKUP(B1484,RPM!$I$2:$K$62,3,TRUE),IF(J1484=3,VLOOKUP(B1484,RPM!$L$2:$N$62,3,TRUE))))</f>
        <v>7000</v>
      </c>
      <c r="L1484" s="17">
        <f t="shared" si="272"/>
        <v>114.85455774903332</v>
      </c>
      <c r="M1484" s="16">
        <f t="shared" si="274"/>
        <v>0</v>
      </c>
      <c r="N1484" s="17">
        <f>VLOOKUP(K1484,RPM!$A$2:$D$62,3,FALSE)</f>
        <v>13</v>
      </c>
      <c r="O1484" s="16">
        <f>VLOOKUP(K1484,RPM!$A$2:$D$62,4,FALSE)</f>
        <v>13.235857142857142</v>
      </c>
      <c r="P1484" s="17">
        <f t="shared" si="276"/>
        <v>9.8699786714285711</v>
      </c>
      <c r="Q1484" s="16" cm="1">
        <f t="array" ref="Q1484">_xlfn.XLOOKUP(O1484,BSFC!$A$2:$A$24,_xlfn.XLOOKUP(K1484,BSFC!$B$1:$O$1,BSFC!$B$2:$O$24,,-1),,-1)</f>
        <v>520</v>
      </c>
      <c r="R1484" s="17">
        <f t="shared" si="277"/>
        <v>1.425663585873016</v>
      </c>
      <c r="S1484" s="16">
        <f t="shared" si="278"/>
        <v>2.0443068048074323E-4</v>
      </c>
      <c r="T1484" s="17">
        <f t="shared" si="281"/>
        <v>0.10630395384998648</v>
      </c>
      <c r="U1484" s="16">
        <f t="shared" si="282"/>
        <v>189.0761337852434</v>
      </c>
      <c r="V1484" s="17">
        <f t="shared" si="283"/>
        <v>0.38749274635082742</v>
      </c>
      <c r="W1484" s="16">
        <f t="shared" si="279"/>
        <v>1394973.8868629788</v>
      </c>
      <c r="X1484">
        <f>('Hybrid Info'!$A$2-Track!P1484)*(L1484-L1483)*1000+X1483</f>
        <v>-7951.8191062164187</v>
      </c>
    </row>
    <row r="1485" spans="1:24">
      <c r="A1485" s="16">
        <f t="shared" si="280"/>
        <v>1484</v>
      </c>
      <c r="B1485" s="17">
        <f t="shared" si="275"/>
        <v>13.411199999999999</v>
      </c>
      <c r="C1485" s="16">
        <f>Specification!$G$32</f>
        <v>219.92450400000001</v>
      </c>
      <c r="D1485" s="17">
        <f>0.5*Specification!$K$4*Track!B1485^2*Specification!$K$3*Specification!$K$2</f>
        <v>93.159842569492653</v>
      </c>
      <c r="E1485" s="16">
        <v>0</v>
      </c>
      <c r="F1485" s="17">
        <f>Specification!$C$23*9.81*SIN((E1485*PI()/180))</f>
        <v>0</v>
      </c>
      <c r="G1485" s="18">
        <f>IF(J1485=1,VLOOKUP(K1485,RPM!$E$2:$H$62,3,FALSE)-F1485-E1485-D1485,IF(J1485=2,VLOOKUP(K1485,RPM!$H$2:$K$62,3,FALSE)-F1485-E1485-D1485,IF(J1485=3,VLOOKUP(K1485,RPM!$K$2:$N$62,3,FALSE)-F1485-E1485-D1485)))</f>
        <v>688.48526429214962</v>
      </c>
      <c r="H1485" s="19">
        <f>IF(J1485=1,Specification!$I$14,IF(J1485=2,Specification!$I$15,IF(J1485=3,Specification!$I$16)))</f>
        <v>582.50936296077191</v>
      </c>
      <c r="I1485" s="16">
        <f t="shared" si="273"/>
        <v>0</v>
      </c>
      <c r="J1485" s="17">
        <v>2</v>
      </c>
      <c r="K1485" s="16">
        <f>IF(J1485=1,VLOOKUP(B1485,RPM!$F$2:$H$62,3,TRUE),IF(J1485=2,VLOOKUP(B1485,RPM!$I$2:$K$62,3,TRUE),IF(J1485=3,VLOOKUP(B1485,RPM!$L$2:$N$62,3,TRUE))))</f>
        <v>7000</v>
      </c>
      <c r="L1485" s="17">
        <f t="shared" ref="L1485:L1548" si="284">IF(I1485=0,ABS(1/B1485)+L1484,IF(ABS(B1486-B1485)=0,1/B1485+L1484,ABS((B1486-B1485)/I1485)+L1484))</f>
        <v>114.92912229210179</v>
      </c>
      <c r="M1485" s="16">
        <f t="shared" si="274"/>
        <v>0</v>
      </c>
      <c r="N1485" s="17">
        <f>VLOOKUP(K1485,RPM!$A$2:$D$62,3,FALSE)</f>
        <v>13</v>
      </c>
      <c r="O1485" s="16">
        <f>VLOOKUP(K1485,RPM!$A$2:$D$62,4,FALSE)</f>
        <v>13.235857142857142</v>
      </c>
      <c r="P1485" s="17">
        <f t="shared" si="276"/>
        <v>9.8699786714285711</v>
      </c>
      <c r="Q1485" s="16" cm="1">
        <f t="array" ref="Q1485">_xlfn.XLOOKUP(O1485,BSFC!$A$2:$A$24,_xlfn.XLOOKUP(K1485,BSFC!$B$1:$O$1,BSFC!$B$2:$O$24,,-1),,-1)</f>
        <v>520</v>
      </c>
      <c r="R1485" s="17">
        <f t="shared" si="277"/>
        <v>1.425663585873016</v>
      </c>
      <c r="S1485" s="16">
        <f t="shared" si="278"/>
        <v>2.0443068048074323E-4</v>
      </c>
      <c r="T1485" s="17">
        <f t="shared" si="281"/>
        <v>0.10630395384998648</v>
      </c>
      <c r="U1485" s="16">
        <f t="shared" si="282"/>
        <v>189.18243773909339</v>
      </c>
      <c r="V1485" s="17">
        <f t="shared" si="283"/>
        <v>0.38769717703130818</v>
      </c>
      <c r="W1485" s="16">
        <f t="shared" si="279"/>
        <v>1395709.8373127093</v>
      </c>
      <c r="X1485">
        <f>('Hybrid Info'!$A$2-Track!P1485)*(L1485-L1484)*1000+X1484</f>
        <v>-7784.0133972301664</v>
      </c>
    </row>
    <row r="1486" spans="1:24">
      <c r="A1486" s="16">
        <f t="shared" si="280"/>
        <v>1485</v>
      </c>
      <c r="B1486" s="17">
        <f t="shared" si="275"/>
        <v>13.411199999999999</v>
      </c>
      <c r="C1486" s="16">
        <f>Specification!$G$32</f>
        <v>219.92450400000001</v>
      </c>
      <c r="D1486" s="17">
        <f>0.5*Specification!$K$4*Track!B1486^2*Specification!$K$3*Specification!$K$2</f>
        <v>93.159842569492653</v>
      </c>
      <c r="E1486" s="16">
        <v>0</v>
      </c>
      <c r="F1486" s="17">
        <f>Specification!$C$23*9.81*SIN((E1486*PI()/180))</f>
        <v>0</v>
      </c>
      <c r="G1486" s="18">
        <f>IF(J1486=1,VLOOKUP(K1486,RPM!$E$2:$H$62,3,FALSE)-F1486-E1486-D1486,IF(J1486=2,VLOOKUP(K1486,RPM!$H$2:$K$62,3,FALSE)-F1486-E1486-D1486,IF(J1486=3,VLOOKUP(K1486,RPM!$K$2:$N$62,3,FALSE)-F1486-E1486-D1486)))</f>
        <v>688.48526429214962</v>
      </c>
      <c r="H1486" s="19">
        <f>IF(J1486=1,Specification!$I$14,IF(J1486=2,Specification!$I$15,IF(J1486=3,Specification!$I$16)))</f>
        <v>582.50936296077191</v>
      </c>
      <c r="I1486" s="16">
        <f t="shared" si="273"/>
        <v>0</v>
      </c>
      <c r="J1486" s="17">
        <v>2</v>
      </c>
      <c r="K1486" s="16">
        <f>IF(J1486=1,VLOOKUP(B1486,RPM!$F$2:$H$62,3,TRUE),IF(J1486=2,VLOOKUP(B1486,RPM!$I$2:$K$62,3,TRUE),IF(J1486=3,VLOOKUP(B1486,RPM!$L$2:$N$62,3,TRUE))))</f>
        <v>7000</v>
      </c>
      <c r="L1486" s="17">
        <f t="shared" si="284"/>
        <v>115.00368683517027</v>
      </c>
      <c r="M1486" s="16">
        <f t="shared" si="274"/>
        <v>0</v>
      </c>
      <c r="N1486" s="17">
        <f>VLOOKUP(K1486,RPM!$A$2:$D$62,3,FALSE)</f>
        <v>13</v>
      </c>
      <c r="O1486" s="16">
        <f>VLOOKUP(K1486,RPM!$A$2:$D$62,4,FALSE)</f>
        <v>13.235857142857142</v>
      </c>
      <c r="P1486" s="17">
        <f t="shared" si="276"/>
        <v>9.8699786714285711</v>
      </c>
      <c r="Q1486" s="16" cm="1">
        <f t="array" ref="Q1486">_xlfn.XLOOKUP(O1486,BSFC!$A$2:$A$24,_xlfn.XLOOKUP(K1486,BSFC!$B$1:$O$1,BSFC!$B$2:$O$24,,-1),,-1)</f>
        <v>520</v>
      </c>
      <c r="R1486" s="17">
        <f t="shared" si="277"/>
        <v>1.425663585873016</v>
      </c>
      <c r="S1486" s="16">
        <f t="shared" si="278"/>
        <v>2.0443068048074323E-4</v>
      </c>
      <c r="T1486" s="17">
        <f t="shared" si="281"/>
        <v>0.10630395384998648</v>
      </c>
      <c r="U1486" s="16">
        <f t="shared" si="282"/>
        <v>189.28874169294338</v>
      </c>
      <c r="V1486" s="17">
        <f t="shared" si="283"/>
        <v>0.38790160771178894</v>
      </c>
      <c r="W1486" s="16">
        <f t="shared" si="279"/>
        <v>1396445.78776244</v>
      </c>
      <c r="X1486">
        <f>('Hybrid Info'!$A$2-Track!P1486)*(L1486-L1485)*1000+X1485</f>
        <v>-7616.2076882439142</v>
      </c>
    </row>
    <row r="1487" spans="1:24">
      <c r="A1487" s="16">
        <f t="shared" si="280"/>
        <v>1486</v>
      </c>
      <c r="B1487" s="17">
        <f t="shared" si="275"/>
        <v>13.411199999999999</v>
      </c>
      <c r="C1487" s="16">
        <f>Specification!$G$32</f>
        <v>219.92450400000001</v>
      </c>
      <c r="D1487" s="17">
        <f>0.5*Specification!$K$4*Track!B1487^2*Specification!$K$3*Specification!$K$2</f>
        <v>93.159842569492653</v>
      </c>
      <c r="E1487" s="16">
        <v>0</v>
      </c>
      <c r="F1487" s="17">
        <f>Specification!$C$23*9.81*SIN((E1487*PI()/180))</f>
        <v>0</v>
      </c>
      <c r="G1487" s="18">
        <f>IF(J1487=1,VLOOKUP(K1487,RPM!$E$2:$H$62,3,FALSE)-F1487-E1487-D1487,IF(J1487=2,VLOOKUP(K1487,RPM!$H$2:$K$62,3,FALSE)-F1487-E1487-D1487,IF(J1487=3,VLOOKUP(K1487,RPM!$K$2:$N$62,3,FALSE)-F1487-E1487-D1487)))</f>
        <v>688.48526429214962</v>
      </c>
      <c r="H1487" s="19">
        <f>IF(J1487=1,Specification!$I$14,IF(J1487=2,Specification!$I$15,IF(J1487=3,Specification!$I$16)))</f>
        <v>582.50936296077191</v>
      </c>
      <c r="I1487" s="16">
        <f t="shared" si="273"/>
        <v>0</v>
      </c>
      <c r="J1487" s="17">
        <v>2</v>
      </c>
      <c r="K1487" s="16">
        <f>IF(J1487=1,VLOOKUP(B1487,RPM!$F$2:$H$62,3,TRUE),IF(J1487=2,VLOOKUP(B1487,RPM!$I$2:$K$62,3,TRUE),IF(J1487=3,VLOOKUP(B1487,RPM!$L$2:$N$62,3,TRUE))))</f>
        <v>7000</v>
      </c>
      <c r="L1487" s="17">
        <f t="shared" si="284"/>
        <v>115.07825137823875</v>
      </c>
      <c r="M1487" s="16">
        <f t="shared" si="274"/>
        <v>0</v>
      </c>
      <c r="N1487" s="17">
        <f>VLOOKUP(K1487,RPM!$A$2:$D$62,3,FALSE)</f>
        <v>13</v>
      </c>
      <c r="O1487" s="16">
        <f>VLOOKUP(K1487,RPM!$A$2:$D$62,4,FALSE)</f>
        <v>13.235857142857142</v>
      </c>
      <c r="P1487" s="17">
        <f t="shared" si="276"/>
        <v>9.8699786714285711</v>
      </c>
      <c r="Q1487" s="16" cm="1">
        <f t="array" ref="Q1487">_xlfn.XLOOKUP(O1487,BSFC!$A$2:$A$24,_xlfn.XLOOKUP(K1487,BSFC!$B$1:$O$1,BSFC!$B$2:$O$24,,-1),,-1)</f>
        <v>520</v>
      </c>
      <c r="R1487" s="17">
        <f t="shared" si="277"/>
        <v>1.425663585873016</v>
      </c>
      <c r="S1487" s="16">
        <f t="shared" si="278"/>
        <v>2.0443068048074323E-4</v>
      </c>
      <c r="T1487" s="17">
        <f t="shared" si="281"/>
        <v>0.10630395384998648</v>
      </c>
      <c r="U1487" s="16">
        <f t="shared" si="282"/>
        <v>189.39504564679336</v>
      </c>
      <c r="V1487" s="17">
        <f t="shared" si="283"/>
        <v>0.3881060383922697</v>
      </c>
      <c r="W1487" s="16">
        <f t="shared" si="279"/>
        <v>1397181.7382121708</v>
      </c>
      <c r="X1487">
        <f>('Hybrid Info'!$A$2-Track!P1487)*(L1487-L1486)*1000+X1486</f>
        <v>-7448.4019792576619</v>
      </c>
    </row>
    <row r="1488" spans="1:24">
      <c r="A1488" s="16">
        <f t="shared" si="280"/>
        <v>1487</v>
      </c>
      <c r="B1488" s="17">
        <f t="shared" si="275"/>
        <v>13.411199999999999</v>
      </c>
      <c r="C1488" s="16">
        <f>Specification!$G$32</f>
        <v>219.92450400000001</v>
      </c>
      <c r="D1488" s="17">
        <f>0.5*Specification!$K$4*Track!B1488^2*Specification!$K$3*Specification!$K$2</f>
        <v>93.159842569492653</v>
      </c>
      <c r="E1488" s="16">
        <v>0</v>
      </c>
      <c r="F1488" s="17">
        <f>Specification!$C$23*9.81*SIN((E1488*PI()/180))</f>
        <v>0</v>
      </c>
      <c r="G1488" s="18">
        <f>IF(J1488=1,VLOOKUP(K1488,RPM!$E$2:$H$62,3,FALSE)-F1488-E1488-D1488,IF(J1488=2,VLOOKUP(K1488,RPM!$H$2:$K$62,3,FALSE)-F1488-E1488-D1488,IF(J1488=3,VLOOKUP(K1488,RPM!$K$2:$N$62,3,FALSE)-F1488-E1488-D1488)))</f>
        <v>688.48526429214962</v>
      </c>
      <c r="H1488" s="19">
        <f>IF(J1488=1,Specification!$I$14,IF(J1488=2,Specification!$I$15,IF(J1488=3,Specification!$I$16)))</f>
        <v>582.50936296077191</v>
      </c>
      <c r="I1488" s="16">
        <f t="shared" si="273"/>
        <v>0</v>
      </c>
      <c r="J1488" s="17">
        <v>2</v>
      </c>
      <c r="K1488" s="16">
        <f>IF(J1488=1,VLOOKUP(B1488,RPM!$F$2:$H$62,3,TRUE),IF(J1488=2,VLOOKUP(B1488,RPM!$I$2:$K$62,3,TRUE),IF(J1488=3,VLOOKUP(B1488,RPM!$L$2:$N$62,3,TRUE))))</f>
        <v>7000</v>
      </c>
      <c r="L1488" s="17">
        <f t="shared" si="284"/>
        <v>115.15281592130722</v>
      </c>
      <c r="M1488" s="16">
        <f t="shared" si="274"/>
        <v>0</v>
      </c>
      <c r="N1488" s="17">
        <f>VLOOKUP(K1488,RPM!$A$2:$D$62,3,FALSE)</f>
        <v>13</v>
      </c>
      <c r="O1488" s="16">
        <f>VLOOKUP(K1488,RPM!$A$2:$D$62,4,FALSE)</f>
        <v>13.235857142857142</v>
      </c>
      <c r="P1488" s="17">
        <f t="shared" si="276"/>
        <v>9.8699786714285711</v>
      </c>
      <c r="Q1488" s="16" cm="1">
        <f t="array" ref="Q1488">_xlfn.XLOOKUP(O1488,BSFC!$A$2:$A$24,_xlfn.XLOOKUP(K1488,BSFC!$B$1:$O$1,BSFC!$B$2:$O$24,,-1),,-1)</f>
        <v>520</v>
      </c>
      <c r="R1488" s="17">
        <f t="shared" si="277"/>
        <v>1.425663585873016</v>
      </c>
      <c r="S1488" s="16">
        <f t="shared" si="278"/>
        <v>2.0443068048074323E-4</v>
      </c>
      <c r="T1488" s="17">
        <f t="shared" si="281"/>
        <v>0.10630395384998648</v>
      </c>
      <c r="U1488" s="16">
        <f t="shared" si="282"/>
        <v>189.50134960064335</v>
      </c>
      <c r="V1488" s="17">
        <f t="shared" si="283"/>
        <v>0.38831046907275046</v>
      </c>
      <c r="W1488" s="16">
        <f t="shared" si="279"/>
        <v>1397917.6886619015</v>
      </c>
      <c r="X1488">
        <f>('Hybrid Info'!$A$2-Track!P1488)*(L1488-L1487)*1000+X1487</f>
        <v>-7280.5962702714096</v>
      </c>
    </row>
    <row r="1489" spans="1:24">
      <c r="A1489" s="16">
        <f t="shared" si="280"/>
        <v>1488</v>
      </c>
      <c r="B1489" s="17">
        <f t="shared" si="275"/>
        <v>13.411199999999999</v>
      </c>
      <c r="C1489" s="16">
        <f>Specification!$G$32</f>
        <v>219.92450400000001</v>
      </c>
      <c r="D1489" s="17">
        <f>0.5*Specification!$K$4*Track!B1489^2*Specification!$K$3*Specification!$K$2</f>
        <v>93.159842569492653</v>
      </c>
      <c r="E1489" s="16">
        <v>0</v>
      </c>
      <c r="F1489" s="17">
        <f>Specification!$C$23*9.81*SIN((E1489*PI()/180))</f>
        <v>0</v>
      </c>
      <c r="G1489" s="18">
        <f>IF(J1489=1,VLOOKUP(K1489,RPM!$E$2:$H$62,3,FALSE)-F1489-E1489-D1489,IF(J1489=2,VLOOKUP(K1489,RPM!$H$2:$K$62,3,FALSE)-F1489-E1489-D1489,IF(J1489=3,VLOOKUP(K1489,RPM!$K$2:$N$62,3,FALSE)-F1489-E1489-D1489)))</f>
        <v>688.48526429214962</v>
      </c>
      <c r="H1489" s="19">
        <f>IF(J1489=1,Specification!$I$14,IF(J1489=2,Specification!$I$15,IF(J1489=3,Specification!$I$16)))</f>
        <v>582.50936296077191</v>
      </c>
      <c r="I1489" s="16">
        <f t="shared" si="273"/>
        <v>0</v>
      </c>
      <c r="J1489" s="17">
        <v>2</v>
      </c>
      <c r="K1489" s="16">
        <f>IF(J1489=1,VLOOKUP(B1489,RPM!$F$2:$H$62,3,TRUE),IF(J1489=2,VLOOKUP(B1489,RPM!$I$2:$K$62,3,TRUE),IF(J1489=3,VLOOKUP(B1489,RPM!$L$2:$N$62,3,TRUE))))</f>
        <v>7000</v>
      </c>
      <c r="L1489" s="17">
        <f t="shared" si="284"/>
        <v>115.2273804643757</v>
      </c>
      <c r="M1489" s="16">
        <f t="shared" si="274"/>
        <v>0</v>
      </c>
      <c r="N1489" s="17">
        <f>VLOOKUP(K1489,RPM!$A$2:$D$62,3,FALSE)</f>
        <v>13</v>
      </c>
      <c r="O1489" s="16">
        <f>VLOOKUP(K1489,RPM!$A$2:$D$62,4,FALSE)</f>
        <v>13.235857142857142</v>
      </c>
      <c r="P1489" s="17">
        <f t="shared" si="276"/>
        <v>9.8699786714285711</v>
      </c>
      <c r="Q1489" s="16" cm="1">
        <f t="array" ref="Q1489">_xlfn.XLOOKUP(O1489,BSFC!$A$2:$A$24,_xlfn.XLOOKUP(K1489,BSFC!$B$1:$O$1,BSFC!$B$2:$O$24,,-1),,-1)</f>
        <v>520</v>
      </c>
      <c r="R1489" s="17">
        <f t="shared" si="277"/>
        <v>1.425663585873016</v>
      </c>
      <c r="S1489" s="16">
        <f t="shared" si="278"/>
        <v>2.0443068048074323E-4</v>
      </c>
      <c r="T1489" s="17">
        <f t="shared" si="281"/>
        <v>0.10630395384998648</v>
      </c>
      <c r="U1489" s="16">
        <f t="shared" si="282"/>
        <v>189.60765355449334</v>
      </c>
      <c r="V1489" s="17">
        <f t="shared" si="283"/>
        <v>0.38851489975323122</v>
      </c>
      <c r="W1489" s="16">
        <f t="shared" si="279"/>
        <v>1398653.6391116325</v>
      </c>
      <c r="X1489">
        <f>('Hybrid Info'!$A$2-Track!P1489)*(L1489-L1488)*1000+X1488</f>
        <v>-7112.7905612851573</v>
      </c>
    </row>
    <row r="1490" spans="1:24">
      <c r="A1490" s="16">
        <f t="shared" si="280"/>
        <v>1489</v>
      </c>
      <c r="B1490" s="17">
        <f t="shared" si="275"/>
        <v>13.411199999999999</v>
      </c>
      <c r="C1490" s="16">
        <f>Specification!$G$32</f>
        <v>219.92450400000001</v>
      </c>
      <c r="D1490" s="17">
        <f>0.5*Specification!$K$4*Track!B1490^2*Specification!$K$3*Specification!$K$2</f>
        <v>93.159842569492653</v>
      </c>
      <c r="E1490" s="16">
        <v>0</v>
      </c>
      <c r="F1490" s="17">
        <f>Specification!$C$23*9.81*SIN((E1490*PI()/180))</f>
        <v>0</v>
      </c>
      <c r="G1490" s="18">
        <f>IF(J1490=1,VLOOKUP(K1490,RPM!$E$2:$H$62,3,FALSE)-F1490-E1490-D1490,IF(J1490=2,VLOOKUP(K1490,RPM!$H$2:$K$62,3,FALSE)-F1490-E1490-D1490,IF(J1490=3,VLOOKUP(K1490,RPM!$K$2:$N$62,3,FALSE)-F1490-E1490-D1490)))</f>
        <v>688.48526429214962</v>
      </c>
      <c r="H1490" s="19">
        <f>IF(J1490=1,Specification!$I$14,IF(J1490=2,Specification!$I$15,IF(J1490=3,Specification!$I$16)))</f>
        <v>582.50936296077191</v>
      </c>
      <c r="I1490" s="16">
        <f t="shared" si="273"/>
        <v>0</v>
      </c>
      <c r="J1490" s="17">
        <v>2</v>
      </c>
      <c r="K1490" s="16">
        <f>IF(J1490=1,VLOOKUP(B1490,RPM!$F$2:$H$62,3,TRUE),IF(J1490=2,VLOOKUP(B1490,RPM!$I$2:$K$62,3,TRUE),IF(J1490=3,VLOOKUP(B1490,RPM!$L$2:$N$62,3,TRUE))))</f>
        <v>7000</v>
      </c>
      <c r="L1490" s="17">
        <f t="shared" si="284"/>
        <v>115.30194500744417</v>
      </c>
      <c r="M1490" s="16">
        <f t="shared" si="274"/>
        <v>0</v>
      </c>
      <c r="N1490" s="17">
        <f>VLOOKUP(K1490,RPM!$A$2:$D$62,3,FALSE)</f>
        <v>13</v>
      </c>
      <c r="O1490" s="16">
        <f>VLOOKUP(K1490,RPM!$A$2:$D$62,4,FALSE)</f>
        <v>13.235857142857142</v>
      </c>
      <c r="P1490" s="17">
        <f t="shared" si="276"/>
        <v>9.8699786714285711</v>
      </c>
      <c r="Q1490" s="16" cm="1">
        <f t="array" ref="Q1490">_xlfn.XLOOKUP(O1490,BSFC!$A$2:$A$24,_xlfn.XLOOKUP(K1490,BSFC!$B$1:$O$1,BSFC!$B$2:$O$24,,-1),,-1)</f>
        <v>520</v>
      </c>
      <c r="R1490" s="17">
        <f t="shared" si="277"/>
        <v>1.425663585873016</v>
      </c>
      <c r="S1490" s="16">
        <f t="shared" si="278"/>
        <v>2.0443068048074323E-4</v>
      </c>
      <c r="T1490" s="17">
        <f t="shared" si="281"/>
        <v>0.10630395384998648</v>
      </c>
      <c r="U1490" s="16">
        <f t="shared" si="282"/>
        <v>189.71395750834333</v>
      </c>
      <c r="V1490" s="17">
        <f t="shared" si="283"/>
        <v>0.38871933043371198</v>
      </c>
      <c r="W1490" s="16">
        <f t="shared" si="279"/>
        <v>1399389.5895613632</v>
      </c>
      <c r="X1490">
        <f>('Hybrid Info'!$A$2-Track!P1490)*(L1490-L1489)*1000+X1489</f>
        <v>-6944.984852298905</v>
      </c>
    </row>
    <row r="1491" spans="1:24">
      <c r="A1491" s="16">
        <f t="shared" si="280"/>
        <v>1490</v>
      </c>
      <c r="B1491" s="17">
        <f t="shared" si="275"/>
        <v>13.411199999999999</v>
      </c>
      <c r="C1491" s="16">
        <f>Specification!$G$32</f>
        <v>219.92450400000001</v>
      </c>
      <c r="D1491" s="17">
        <f>0.5*Specification!$K$4*Track!B1491^2*Specification!$K$3*Specification!$K$2</f>
        <v>93.159842569492653</v>
      </c>
      <c r="E1491" s="16">
        <v>0</v>
      </c>
      <c r="F1491" s="17">
        <f>Specification!$C$23*9.81*SIN((E1491*PI()/180))</f>
        <v>0</v>
      </c>
      <c r="G1491" s="18">
        <f>IF(J1491=1,VLOOKUP(K1491,RPM!$E$2:$H$62,3,FALSE)-F1491-E1491-D1491,IF(J1491=2,VLOOKUP(K1491,RPM!$H$2:$K$62,3,FALSE)-F1491-E1491-D1491,IF(J1491=3,VLOOKUP(K1491,RPM!$K$2:$N$62,3,FALSE)-F1491-E1491-D1491)))</f>
        <v>688.48526429214962</v>
      </c>
      <c r="H1491" s="19">
        <f>IF(J1491=1,Specification!$I$14,IF(J1491=2,Specification!$I$15,IF(J1491=3,Specification!$I$16)))</f>
        <v>582.50936296077191</v>
      </c>
      <c r="I1491" s="16">
        <f t="shared" si="273"/>
        <v>0</v>
      </c>
      <c r="J1491" s="17">
        <v>2</v>
      </c>
      <c r="K1491" s="16">
        <f>IF(J1491=1,VLOOKUP(B1491,RPM!$F$2:$H$62,3,TRUE),IF(J1491=2,VLOOKUP(B1491,RPM!$I$2:$K$62,3,TRUE),IF(J1491=3,VLOOKUP(B1491,RPM!$L$2:$N$62,3,TRUE))))</f>
        <v>7000</v>
      </c>
      <c r="L1491" s="17">
        <f t="shared" si="284"/>
        <v>115.37650955051265</v>
      </c>
      <c r="M1491" s="16">
        <f t="shared" si="274"/>
        <v>0</v>
      </c>
      <c r="N1491" s="17">
        <f>VLOOKUP(K1491,RPM!$A$2:$D$62,3,FALSE)</f>
        <v>13</v>
      </c>
      <c r="O1491" s="16">
        <f>VLOOKUP(K1491,RPM!$A$2:$D$62,4,FALSE)</f>
        <v>13.235857142857142</v>
      </c>
      <c r="P1491" s="17">
        <f t="shared" si="276"/>
        <v>9.8699786714285711</v>
      </c>
      <c r="Q1491" s="16" cm="1">
        <f t="array" ref="Q1491">_xlfn.XLOOKUP(O1491,BSFC!$A$2:$A$24,_xlfn.XLOOKUP(K1491,BSFC!$B$1:$O$1,BSFC!$B$2:$O$24,,-1),,-1)</f>
        <v>520</v>
      </c>
      <c r="R1491" s="17">
        <f t="shared" si="277"/>
        <v>1.425663585873016</v>
      </c>
      <c r="S1491" s="16">
        <f t="shared" si="278"/>
        <v>2.0443068048074323E-4</v>
      </c>
      <c r="T1491" s="17">
        <f t="shared" si="281"/>
        <v>0.10630395384998648</v>
      </c>
      <c r="U1491" s="16">
        <f t="shared" si="282"/>
        <v>189.82026146219332</v>
      </c>
      <c r="V1491" s="17">
        <f t="shared" si="283"/>
        <v>0.38892376111419275</v>
      </c>
      <c r="W1491" s="16">
        <f t="shared" si="279"/>
        <v>1400125.540011094</v>
      </c>
      <c r="X1491">
        <f>('Hybrid Info'!$A$2-Track!P1491)*(L1491-L1490)*1000+X1490</f>
        <v>-6777.1791433126527</v>
      </c>
    </row>
    <row r="1492" spans="1:24">
      <c r="A1492" s="16">
        <f t="shared" si="280"/>
        <v>1491</v>
      </c>
      <c r="B1492" s="17">
        <f t="shared" si="275"/>
        <v>13.411199999999999</v>
      </c>
      <c r="C1492" s="16">
        <f>Specification!$G$32</f>
        <v>219.92450400000001</v>
      </c>
      <c r="D1492" s="17">
        <f>0.5*Specification!$K$4*Track!B1492^2*Specification!$K$3*Specification!$K$2</f>
        <v>93.159842569492653</v>
      </c>
      <c r="E1492" s="16">
        <v>0</v>
      </c>
      <c r="F1492" s="17">
        <f>Specification!$C$23*9.81*SIN((E1492*PI()/180))</f>
        <v>0</v>
      </c>
      <c r="G1492" s="18">
        <f>IF(J1492=1,VLOOKUP(K1492,RPM!$E$2:$H$62,3,FALSE)-F1492-E1492-D1492,IF(J1492=2,VLOOKUP(K1492,RPM!$H$2:$K$62,3,FALSE)-F1492-E1492-D1492,IF(J1492=3,VLOOKUP(K1492,RPM!$K$2:$N$62,3,FALSE)-F1492-E1492-D1492)))</f>
        <v>688.48526429214962</v>
      </c>
      <c r="H1492" s="19">
        <f>IF(J1492=1,Specification!$I$14,IF(J1492=2,Specification!$I$15,IF(J1492=3,Specification!$I$16)))</f>
        <v>582.50936296077191</v>
      </c>
      <c r="I1492" s="16">
        <f t="shared" si="273"/>
        <v>0</v>
      </c>
      <c r="J1492" s="17">
        <v>2</v>
      </c>
      <c r="K1492" s="16">
        <f>IF(J1492=1,VLOOKUP(B1492,RPM!$F$2:$H$62,3,TRUE),IF(J1492=2,VLOOKUP(B1492,RPM!$I$2:$K$62,3,TRUE),IF(J1492=3,VLOOKUP(B1492,RPM!$L$2:$N$62,3,TRUE))))</f>
        <v>7000</v>
      </c>
      <c r="L1492" s="17">
        <f t="shared" si="284"/>
        <v>115.45107409358113</v>
      </c>
      <c r="M1492" s="16">
        <f t="shared" si="274"/>
        <v>0</v>
      </c>
      <c r="N1492" s="17">
        <f>VLOOKUP(K1492,RPM!$A$2:$D$62,3,FALSE)</f>
        <v>13</v>
      </c>
      <c r="O1492" s="16">
        <f>VLOOKUP(K1492,RPM!$A$2:$D$62,4,FALSE)</f>
        <v>13.235857142857142</v>
      </c>
      <c r="P1492" s="17">
        <f t="shared" si="276"/>
        <v>9.8699786714285711</v>
      </c>
      <c r="Q1492" s="16" cm="1">
        <f t="array" ref="Q1492">_xlfn.XLOOKUP(O1492,BSFC!$A$2:$A$24,_xlfn.XLOOKUP(K1492,BSFC!$B$1:$O$1,BSFC!$B$2:$O$24,,-1),,-1)</f>
        <v>520</v>
      </c>
      <c r="R1492" s="17">
        <f t="shared" si="277"/>
        <v>1.425663585873016</v>
      </c>
      <c r="S1492" s="16">
        <f t="shared" si="278"/>
        <v>2.0443068048074323E-4</v>
      </c>
      <c r="T1492" s="17">
        <f t="shared" si="281"/>
        <v>0.10630395384998648</v>
      </c>
      <c r="U1492" s="16">
        <f t="shared" si="282"/>
        <v>189.9265654160433</v>
      </c>
      <c r="V1492" s="17">
        <f t="shared" si="283"/>
        <v>0.38912819179467351</v>
      </c>
      <c r="W1492" s="16">
        <f t="shared" si="279"/>
        <v>1400861.4904608247</v>
      </c>
      <c r="X1492">
        <f>('Hybrid Info'!$A$2-Track!P1492)*(L1492-L1491)*1000+X1491</f>
        <v>-6609.3734343264005</v>
      </c>
    </row>
    <row r="1493" spans="1:24">
      <c r="A1493" s="16">
        <f t="shared" si="280"/>
        <v>1492</v>
      </c>
      <c r="B1493" s="17">
        <f t="shared" si="275"/>
        <v>13.411199999999999</v>
      </c>
      <c r="C1493" s="16">
        <f>Specification!$G$32</f>
        <v>219.92450400000001</v>
      </c>
      <c r="D1493" s="17">
        <f>0.5*Specification!$K$4*Track!B1493^2*Specification!$K$3*Specification!$K$2</f>
        <v>93.159842569492653</v>
      </c>
      <c r="E1493" s="16">
        <v>0</v>
      </c>
      <c r="F1493" s="17">
        <f>Specification!$C$23*9.81*SIN((E1493*PI()/180))</f>
        <v>0</v>
      </c>
      <c r="G1493" s="18">
        <f>IF(J1493=1,VLOOKUP(K1493,RPM!$E$2:$H$62,3,FALSE)-F1493-E1493-D1493,IF(J1493=2,VLOOKUP(K1493,RPM!$H$2:$K$62,3,FALSE)-F1493-E1493-D1493,IF(J1493=3,VLOOKUP(K1493,RPM!$K$2:$N$62,3,FALSE)-F1493-E1493-D1493)))</f>
        <v>688.48526429214962</v>
      </c>
      <c r="H1493" s="19">
        <f>IF(J1493=1,Specification!$I$14,IF(J1493=2,Specification!$I$15,IF(J1493=3,Specification!$I$16)))</f>
        <v>582.50936296077191</v>
      </c>
      <c r="I1493" s="16">
        <f t="shared" si="273"/>
        <v>0</v>
      </c>
      <c r="J1493" s="17">
        <v>2</v>
      </c>
      <c r="K1493" s="16">
        <f>IF(J1493=1,VLOOKUP(B1493,RPM!$F$2:$H$62,3,TRUE),IF(J1493=2,VLOOKUP(B1493,RPM!$I$2:$K$62,3,TRUE),IF(J1493=3,VLOOKUP(B1493,RPM!$L$2:$N$62,3,TRUE))))</f>
        <v>7000</v>
      </c>
      <c r="L1493" s="17">
        <f t="shared" si="284"/>
        <v>115.5256386366496</v>
      </c>
      <c r="M1493" s="16">
        <f t="shared" si="274"/>
        <v>0</v>
      </c>
      <c r="N1493" s="17">
        <f>VLOOKUP(K1493,RPM!$A$2:$D$62,3,FALSE)</f>
        <v>13</v>
      </c>
      <c r="O1493" s="16">
        <f>VLOOKUP(K1493,RPM!$A$2:$D$62,4,FALSE)</f>
        <v>13.235857142857142</v>
      </c>
      <c r="P1493" s="17">
        <f t="shared" si="276"/>
        <v>9.8699786714285711</v>
      </c>
      <c r="Q1493" s="16" cm="1">
        <f t="array" ref="Q1493">_xlfn.XLOOKUP(O1493,BSFC!$A$2:$A$24,_xlfn.XLOOKUP(K1493,BSFC!$B$1:$O$1,BSFC!$B$2:$O$24,,-1),,-1)</f>
        <v>520</v>
      </c>
      <c r="R1493" s="17">
        <f t="shared" si="277"/>
        <v>1.425663585873016</v>
      </c>
      <c r="S1493" s="16">
        <f t="shared" si="278"/>
        <v>2.0443068048074323E-4</v>
      </c>
      <c r="T1493" s="17">
        <f t="shared" si="281"/>
        <v>0.10630395384998648</v>
      </c>
      <c r="U1493" s="16">
        <f t="shared" si="282"/>
        <v>190.03286936989329</v>
      </c>
      <c r="V1493" s="17">
        <f t="shared" si="283"/>
        <v>0.38933262247515427</v>
      </c>
      <c r="W1493" s="16">
        <f t="shared" si="279"/>
        <v>1401597.4409105554</v>
      </c>
      <c r="X1493">
        <f>('Hybrid Info'!$A$2-Track!P1493)*(L1493-L1492)*1000+X1492</f>
        <v>-6441.5677253401482</v>
      </c>
    </row>
    <row r="1494" spans="1:24">
      <c r="A1494" s="16">
        <f t="shared" si="280"/>
        <v>1493</v>
      </c>
      <c r="B1494" s="17">
        <f t="shared" si="275"/>
        <v>13.411199999999999</v>
      </c>
      <c r="C1494" s="16">
        <f>Specification!$G$32</f>
        <v>219.92450400000001</v>
      </c>
      <c r="D1494" s="17">
        <f>0.5*Specification!$K$4*Track!B1494^2*Specification!$K$3*Specification!$K$2</f>
        <v>93.159842569492653</v>
      </c>
      <c r="E1494" s="16">
        <v>0</v>
      </c>
      <c r="F1494" s="17">
        <f>Specification!$C$23*9.81*SIN((E1494*PI()/180))</f>
        <v>0</v>
      </c>
      <c r="G1494" s="18">
        <f>IF(J1494=1,VLOOKUP(K1494,RPM!$E$2:$H$62,3,FALSE)-F1494-E1494-D1494,IF(J1494=2,VLOOKUP(K1494,RPM!$H$2:$K$62,3,FALSE)-F1494-E1494-D1494,IF(J1494=3,VLOOKUP(K1494,RPM!$K$2:$N$62,3,FALSE)-F1494-E1494-D1494)))</f>
        <v>688.48526429214962</v>
      </c>
      <c r="H1494" s="19">
        <f>IF(J1494=1,Specification!$I$14,IF(J1494=2,Specification!$I$15,IF(J1494=3,Specification!$I$16)))</f>
        <v>582.50936296077191</v>
      </c>
      <c r="I1494" s="16">
        <f t="shared" si="273"/>
        <v>0</v>
      </c>
      <c r="J1494" s="17">
        <v>2</v>
      </c>
      <c r="K1494" s="16">
        <f>IF(J1494=1,VLOOKUP(B1494,RPM!$F$2:$H$62,3,TRUE),IF(J1494=2,VLOOKUP(B1494,RPM!$I$2:$K$62,3,TRUE),IF(J1494=3,VLOOKUP(B1494,RPM!$L$2:$N$62,3,TRUE))))</f>
        <v>7000</v>
      </c>
      <c r="L1494" s="17">
        <f t="shared" si="284"/>
        <v>115.60020317971808</v>
      </c>
      <c r="M1494" s="16">
        <f t="shared" si="274"/>
        <v>0</v>
      </c>
      <c r="N1494" s="17">
        <f>VLOOKUP(K1494,RPM!$A$2:$D$62,3,FALSE)</f>
        <v>13</v>
      </c>
      <c r="O1494" s="16">
        <f>VLOOKUP(K1494,RPM!$A$2:$D$62,4,FALSE)</f>
        <v>13.235857142857142</v>
      </c>
      <c r="P1494" s="17">
        <f t="shared" si="276"/>
        <v>9.8699786714285711</v>
      </c>
      <c r="Q1494" s="16" cm="1">
        <f t="array" ref="Q1494">_xlfn.XLOOKUP(O1494,BSFC!$A$2:$A$24,_xlfn.XLOOKUP(K1494,BSFC!$B$1:$O$1,BSFC!$B$2:$O$24,,-1),,-1)</f>
        <v>520</v>
      </c>
      <c r="R1494" s="17">
        <f t="shared" si="277"/>
        <v>1.425663585873016</v>
      </c>
      <c r="S1494" s="16">
        <f t="shared" si="278"/>
        <v>2.0443068048074323E-4</v>
      </c>
      <c r="T1494" s="17">
        <f t="shared" si="281"/>
        <v>0.10630395384998648</v>
      </c>
      <c r="U1494" s="16">
        <f t="shared" si="282"/>
        <v>190.13917332374328</v>
      </c>
      <c r="V1494" s="17">
        <f t="shared" si="283"/>
        <v>0.38953705315563503</v>
      </c>
      <c r="W1494" s="16">
        <f t="shared" si="279"/>
        <v>1402333.3913602862</v>
      </c>
      <c r="X1494">
        <f>('Hybrid Info'!$A$2-Track!P1494)*(L1494-L1493)*1000+X1493</f>
        <v>-6273.7620163538959</v>
      </c>
    </row>
    <row r="1495" spans="1:24">
      <c r="A1495" s="16">
        <f t="shared" si="280"/>
        <v>1494</v>
      </c>
      <c r="B1495" s="17">
        <f t="shared" si="275"/>
        <v>13.411199999999999</v>
      </c>
      <c r="C1495" s="16">
        <f>Specification!$G$32</f>
        <v>219.92450400000001</v>
      </c>
      <c r="D1495" s="17">
        <f>0.5*Specification!$K$4*Track!B1495^2*Specification!$K$3*Specification!$K$2</f>
        <v>93.159842569492653</v>
      </c>
      <c r="E1495" s="16">
        <v>0</v>
      </c>
      <c r="F1495" s="17">
        <f>Specification!$C$23*9.81*SIN((E1495*PI()/180))</f>
        <v>0</v>
      </c>
      <c r="G1495" s="18">
        <f>IF(J1495=1,VLOOKUP(K1495,RPM!$E$2:$H$62,3,FALSE)-F1495-E1495-D1495,IF(J1495=2,VLOOKUP(K1495,RPM!$H$2:$K$62,3,FALSE)-F1495-E1495-D1495,IF(J1495=3,VLOOKUP(K1495,RPM!$K$2:$N$62,3,FALSE)-F1495-E1495-D1495)))</f>
        <v>688.48526429214962</v>
      </c>
      <c r="H1495" s="19">
        <f>IF(J1495=1,Specification!$I$14,IF(J1495=2,Specification!$I$15,IF(J1495=3,Specification!$I$16)))</f>
        <v>582.50936296077191</v>
      </c>
      <c r="I1495" s="16">
        <f t="shared" si="273"/>
        <v>0</v>
      </c>
      <c r="J1495" s="17">
        <v>2</v>
      </c>
      <c r="K1495" s="16">
        <f>IF(J1495=1,VLOOKUP(B1495,RPM!$F$2:$H$62,3,TRUE),IF(J1495=2,VLOOKUP(B1495,RPM!$I$2:$K$62,3,TRUE),IF(J1495=3,VLOOKUP(B1495,RPM!$L$2:$N$62,3,TRUE))))</f>
        <v>7000</v>
      </c>
      <c r="L1495" s="17">
        <f t="shared" si="284"/>
        <v>115.67476772278656</v>
      </c>
      <c r="M1495" s="16">
        <f t="shared" si="274"/>
        <v>0</v>
      </c>
      <c r="N1495" s="17">
        <f>VLOOKUP(K1495,RPM!$A$2:$D$62,3,FALSE)</f>
        <v>13</v>
      </c>
      <c r="O1495" s="16">
        <f>VLOOKUP(K1495,RPM!$A$2:$D$62,4,FALSE)</f>
        <v>13.235857142857142</v>
      </c>
      <c r="P1495" s="17">
        <f t="shared" si="276"/>
        <v>9.8699786714285711</v>
      </c>
      <c r="Q1495" s="16" cm="1">
        <f t="array" ref="Q1495">_xlfn.XLOOKUP(O1495,BSFC!$A$2:$A$24,_xlfn.XLOOKUP(K1495,BSFC!$B$1:$O$1,BSFC!$B$2:$O$24,,-1),,-1)</f>
        <v>520</v>
      </c>
      <c r="R1495" s="17">
        <f t="shared" si="277"/>
        <v>1.425663585873016</v>
      </c>
      <c r="S1495" s="16">
        <f t="shared" si="278"/>
        <v>2.0443068048074323E-4</v>
      </c>
      <c r="T1495" s="17">
        <f t="shared" si="281"/>
        <v>0.10630395384998648</v>
      </c>
      <c r="U1495" s="16">
        <f t="shared" si="282"/>
        <v>190.24547727759327</v>
      </c>
      <c r="V1495" s="17">
        <f t="shared" si="283"/>
        <v>0.38974148383611579</v>
      </c>
      <c r="W1495" s="16">
        <f t="shared" si="279"/>
        <v>1403069.3418100169</v>
      </c>
      <c r="X1495">
        <f>('Hybrid Info'!$A$2-Track!P1495)*(L1495-L1494)*1000+X1494</f>
        <v>-6105.9563073676436</v>
      </c>
    </row>
    <row r="1496" spans="1:24">
      <c r="A1496" s="16">
        <f t="shared" si="280"/>
        <v>1495</v>
      </c>
      <c r="B1496" s="17">
        <f t="shared" si="275"/>
        <v>13.411199999999999</v>
      </c>
      <c r="C1496" s="16">
        <f>Specification!$G$32</f>
        <v>219.92450400000001</v>
      </c>
      <c r="D1496" s="17">
        <f>0.5*Specification!$K$4*Track!B1496^2*Specification!$K$3*Specification!$K$2</f>
        <v>93.159842569492653</v>
      </c>
      <c r="E1496" s="16">
        <v>0</v>
      </c>
      <c r="F1496" s="17">
        <f>Specification!$C$23*9.81*SIN((E1496*PI()/180))</f>
        <v>0</v>
      </c>
      <c r="G1496" s="18">
        <f>IF(J1496=1,VLOOKUP(K1496,RPM!$E$2:$H$62,3,FALSE)-F1496-E1496-D1496,IF(J1496=2,VLOOKUP(K1496,RPM!$H$2:$K$62,3,FALSE)-F1496-E1496-D1496,IF(J1496=3,VLOOKUP(K1496,RPM!$K$2:$N$62,3,FALSE)-F1496-E1496-D1496)))</f>
        <v>688.48526429214962</v>
      </c>
      <c r="H1496" s="19">
        <f>IF(J1496=1,Specification!$I$14,IF(J1496=2,Specification!$I$15,IF(J1496=3,Specification!$I$16)))</f>
        <v>582.50936296077191</v>
      </c>
      <c r="I1496" s="16">
        <f t="shared" si="273"/>
        <v>0</v>
      </c>
      <c r="J1496" s="17">
        <v>2</v>
      </c>
      <c r="K1496" s="16">
        <f>IF(J1496=1,VLOOKUP(B1496,RPM!$F$2:$H$62,3,TRUE),IF(J1496=2,VLOOKUP(B1496,RPM!$I$2:$K$62,3,TRUE),IF(J1496=3,VLOOKUP(B1496,RPM!$L$2:$N$62,3,TRUE))))</f>
        <v>7000</v>
      </c>
      <c r="L1496" s="17">
        <f t="shared" si="284"/>
        <v>115.74933226585503</v>
      </c>
      <c r="M1496" s="16">
        <f t="shared" si="274"/>
        <v>0</v>
      </c>
      <c r="N1496" s="17">
        <f>VLOOKUP(K1496,RPM!$A$2:$D$62,3,FALSE)</f>
        <v>13</v>
      </c>
      <c r="O1496" s="16">
        <f>VLOOKUP(K1496,RPM!$A$2:$D$62,4,FALSE)</f>
        <v>13.235857142857142</v>
      </c>
      <c r="P1496" s="17">
        <f t="shared" si="276"/>
        <v>9.8699786714285711</v>
      </c>
      <c r="Q1496" s="16" cm="1">
        <f t="array" ref="Q1496">_xlfn.XLOOKUP(O1496,BSFC!$A$2:$A$24,_xlfn.XLOOKUP(K1496,BSFC!$B$1:$O$1,BSFC!$B$2:$O$24,,-1),,-1)</f>
        <v>520</v>
      </c>
      <c r="R1496" s="17">
        <f t="shared" si="277"/>
        <v>1.425663585873016</v>
      </c>
      <c r="S1496" s="16">
        <f t="shared" si="278"/>
        <v>2.0443068048074323E-4</v>
      </c>
      <c r="T1496" s="17">
        <f t="shared" si="281"/>
        <v>0.10630395384998648</v>
      </c>
      <c r="U1496" s="16">
        <f t="shared" si="282"/>
        <v>190.35178123144325</v>
      </c>
      <c r="V1496" s="17">
        <f t="shared" si="283"/>
        <v>0.38994591451659655</v>
      </c>
      <c r="W1496" s="16">
        <f t="shared" si="279"/>
        <v>1403805.2922597476</v>
      </c>
      <c r="X1496">
        <f>('Hybrid Info'!$A$2-Track!P1496)*(L1496-L1495)*1000+X1495</f>
        <v>-5938.1505983813913</v>
      </c>
    </row>
    <row r="1497" spans="1:24">
      <c r="A1497" s="16">
        <f t="shared" si="280"/>
        <v>1496</v>
      </c>
      <c r="B1497" s="17">
        <f t="shared" si="275"/>
        <v>13.411199999999999</v>
      </c>
      <c r="C1497" s="16">
        <f>Specification!$G$32</f>
        <v>219.92450400000001</v>
      </c>
      <c r="D1497" s="17">
        <f>0.5*Specification!$K$4*Track!B1497^2*Specification!$K$3*Specification!$K$2</f>
        <v>93.159842569492653</v>
      </c>
      <c r="E1497" s="16">
        <v>0</v>
      </c>
      <c r="F1497" s="17">
        <f>Specification!$C$23*9.81*SIN((E1497*PI()/180))</f>
        <v>0</v>
      </c>
      <c r="G1497" s="18">
        <f>IF(J1497=1,VLOOKUP(K1497,RPM!$E$2:$H$62,3,FALSE)-F1497-E1497-D1497,IF(J1497=2,VLOOKUP(K1497,RPM!$H$2:$K$62,3,FALSE)-F1497-E1497-D1497,IF(J1497=3,VLOOKUP(K1497,RPM!$K$2:$N$62,3,FALSE)-F1497-E1497-D1497)))</f>
        <v>688.48526429214962</v>
      </c>
      <c r="H1497" s="19">
        <f>IF(J1497=1,Specification!$I$14,IF(J1497=2,Specification!$I$15,IF(J1497=3,Specification!$I$16)))</f>
        <v>582.50936296077191</v>
      </c>
      <c r="I1497" s="16">
        <f t="shared" si="273"/>
        <v>0</v>
      </c>
      <c r="J1497" s="17">
        <v>2</v>
      </c>
      <c r="K1497" s="16">
        <f>IF(J1497=1,VLOOKUP(B1497,RPM!$F$2:$H$62,3,TRUE),IF(J1497=2,VLOOKUP(B1497,RPM!$I$2:$K$62,3,TRUE),IF(J1497=3,VLOOKUP(B1497,RPM!$L$2:$N$62,3,TRUE))))</f>
        <v>7000</v>
      </c>
      <c r="L1497" s="17">
        <f t="shared" si="284"/>
        <v>115.82389680892351</v>
      </c>
      <c r="M1497" s="16">
        <f t="shared" si="274"/>
        <v>0</v>
      </c>
      <c r="N1497" s="17">
        <f>VLOOKUP(K1497,RPM!$A$2:$D$62,3,FALSE)</f>
        <v>13</v>
      </c>
      <c r="O1497" s="16">
        <f>VLOOKUP(K1497,RPM!$A$2:$D$62,4,FALSE)</f>
        <v>13.235857142857142</v>
      </c>
      <c r="P1497" s="17">
        <f t="shared" si="276"/>
        <v>9.8699786714285711</v>
      </c>
      <c r="Q1497" s="16" cm="1">
        <f t="array" ref="Q1497">_xlfn.XLOOKUP(O1497,BSFC!$A$2:$A$24,_xlfn.XLOOKUP(K1497,BSFC!$B$1:$O$1,BSFC!$B$2:$O$24,,-1),,-1)</f>
        <v>520</v>
      </c>
      <c r="R1497" s="17">
        <f t="shared" si="277"/>
        <v>1.425663585873016</v>
      </c>
      <c r="S1497" s="16">
        <f t="shared" si="278"/>
        <v>2.0443068048074323E-4</v>
      </c>
      <c r="T1497" s="17">
        <f t="shared" si="281"/>
        <v>0.10630395384998648</v>
      </c>
      <c r="U1497" s="16">
        <f t="shared" si="282"/>
        <v>190.45808518529324</v>
      </c>
      <c r="V1497" s="17">
        <f t="shared" si="283"/>
        <v>0.39015034519707731</v>
      </c>
      <c r="W1497" s="16">
        <f t="shared" si="279"/>
        <v>1404541.2427094781</v>
      </c>
      <c r="X1497">
        <f>('Hybrid Info'!$A$2-Track!P1497)*(L1497-L1496)*1000+X1496</f>
        <v>-5770.344889395139</v>
      </c>
    </row>
    <row r="1498" spans="1:24">
      <c r="A1498" s="16">
        <f t="shared" si="280"/>
        <v>1497</v>
      </c>
      <c r="B1498" s="17">
        <f t="shared" si="275"/>
        <v>13.411199999999999</v>
      </c>
      <c r="C1498" s="16">
        <f>Specification!$G$32</f>
        <v>219.92450400000001</v>
      </c>
      <c r="D1498" s="17">
        <f>0.5*Specification!$K$4*Track!B1498^2*Specification!$K$3*Specification!$K$2</f>
        <v>93.159842569492653</v>
      </c>
      <c r="E1498" s="16">
        <v>0</v>
      </c>
      <c r="F1498" s="17">
        <f>Specification!$C$23*9.81*SIN((E1498*PI()/180))</f>
        <v>0</v>
      </c>
      <c r="G1498" s="18">
        <f>IF(J1498=1,VLOOKUP(K1498,RPM!$E$2:$H$62,3,FALSE)-F1498-E1498-D1498,IF(J1498=2,VLOOKUP(K1498,RPM!$H$2:$K$62,3,FALSE)-F1498-E1498-D1498,IF(J1498=3,VLOOKUP(K1498,RPM!$K$2:$N$62,3,FALSE)-F1498-E1498-D1498)))</f>
        <v>688.48526429214962</v>
      </c>
      <c r="H1498" s="19">
        <f>IF(J1498=1,Specification!$I$14,IF(J1498=2,Specification!$I$15,IF(J1498=3,Specification!$I$16)))</f>
        <v>582.50936296077191</v>
      </c>
      <c r="I1498" s="16">
        <f t="shared" si="273"/>
        <v>0</v>
      </c>
      <c r="J1498" s="17">
        <v>2</v>
      </c>
      <c r="K1498" s="16">
        <f>IF(J1498=1,VLOOKUP(B1498,RPM!$F$2:$H$62,3,TRUE),IF(J1498=2,VLOOKUP(B1498,RPM!$I$2:$K$62,3,TRUE),IF(J1498=3,VLOOKUP(B1498,RPM!$L$2:$N$62,3,TRUE))))</f>
        <v>7000</v>
      </c>
      <c r="L1498" s="17">
        <f t="shared" si="284"/>
        <v>115.89846135199198</v>
      </c>
      <c r="M1498" s="16">
        <f t="shared" si="274"/>
        <v>0</v>
      </c>
      <c r="N1498" s="17">
        <f>VLOOKUP(K1498,RPM!$A$2:$D$62,3,FALSE)</f>
        <v>13</v>
      </c>
      <c r="O1498" s="16">
        <f>VLOOKUP(K1498,RPM!$A$2:$D$62,4,FALSE)</f>
        <v>13.235857142857142</v>
      </c>
      <c r="P1498" s="17">
        <f t="shared" si="276"/>
        <v>9.8699786714285711</v>
      </c>
      <c r="Q1498" s="16" cm="1">
        <f t="array" ref="Q1498">_xlfn.XLOOKUP(O1498,BSFC!$A$2:$A$24,_xlfn.XLOOKUP(K1498,BSFC!$B$1:$O$1,BSFC!$B$2:$O$24,,-1),,-1)</f>
        <v>520</v>
      </c>
      <c r="R1498" s="17">
        <f t="shared" si="277"/>
        <v>1.425663585873016</v>
      </c>
      <c r="S1498" s="16">
        <f t="shared" si="278"/>
        <v>2.0443068048074323E-4</v>
      </c>
      <c r="T1498" s="17">
        <f t="shared" si="281"/>
        <v>0.10630395384998648</v>
      </c>
      <c r="U1498" s="16">
        <f t="shared" si="282"/>
        <v>190.56438913914323</v>
      </c>
      <c r="V1498" s="17">
        <f t="shared" si="283"/>
        <v>0.39035477587755807</v>
      </c>
      <c r="W1498" s="16">
        <f t="shared" si="279"/>
        <v>1405277.1931592089</v>
      </c>
      <c r="X1498">
        <f>('Hybrid Info'!$A$2-Track!P1498)*(L1498-L1497)*1000+X1497</f>
        <v>-5602.5391804088868</v>
      </c>
    </row>
    <row r="1499" spans="1:24">
      <c r="A1499" s="16">
        <f t="shared" si="280"/>
        <v>1498</v>
      </c>
      <c r="B1499" s="17">
        <f t="shared" si="275"/>
        <v>13.411199999999999</v>
      </c>
      <c r="C1499" s="16">
        <f>Specification!$G$32</f>
        <v>219.92450400000001</v>
      </c>
      <c r="D1499" s="17">
        <f>0.5*Specification!$K$4*Track!B1499^2*Specification!$K$3*Specification!$K$2</f>
        <v>93.159842569492653</v>
      </c>
      <c r="E1499" s="16">
        <v>0</v>
      </c>
      <c r="F1499" s="17">
        <f>Specification!$C$23*9.81*SIN((E1499*PI()/180))</f>
        <v>0</v>
      </c>
      <c r="G1499" s="18">
        <f>IF(J1499=1,VLOOKUP(K1499,RPM!$E$2:$H$62,3,FALSE)-F1499-E1499-D1499,IF(J1499=2,VLOOKUP(K1499,RPM!$H$2:$K$62,3,FALSE)-F1499-E1499-D1499,IF(J1499=3,VLOOKUP(K1499,RPM!$K$2:$N$62,3,FALSE)-F1499-E1499-D1499)))</f>
        <v>688.48526429214962</v>
      </c>
      <c r="H1499" s="19">
        <f>IF(J1499=1,Specification!$I$14,IF(J1499=2,Specification!$I$15,IF(J1499=3,Specification!$I$16)))</f>
        <v>582.50936296077191</v>
      </c>
      <c r="I1499" s="16">
        <f t="shared" si="273"/>
        <v>0</v>
      </c>
      <c r="J1499" s="17">
        <v>2</v>
      </c>
      <c r="K1499" s="16">
        <f>IF(J1499=1,VLOOKUP(B1499,RPM!$F$2:$H$62,3,TRUE),IF(J1499=2,VLOOKUP(B1499,RPM!$I$2:$K$62,3,TRUE),IF(J1499=3,VLOOKUP(B1499,RPM!$L$2:$N$62,3,TRUE))))</f>
        <v>7000</v>
      </c>
      <c r="L1499" s="17">
        <f t="shared" si="284"/>
        <v>115.97302589506046</v>
      </c>
      <c r="M1499" s="16">
        <f t="shared" si="274"/>
        <v>0</v>
      </c>
      <c r="N1499" s="17">
        <f>VLOOKUP(K1499,RPM!$A$2:$D$62,3,FALSE)</f>
        <v>13</v>
      </c>
      <c r="O1499" s="16">
        <f>VLOOKUP(K1499,RPM!$A$2:$D$62,4,FALSE)</f>
        <v>13.235857142857142</v>
      </c>
      <c r="P1499" s="17">
        <f t="shared" si="276"/>
        <v>9.8699786714285711</v>
      </c>
      <c r="Q1499" s="16" cm="1">
        <f t="array" ref="Q1499">_xlfn.XLOOKUP(O1499,BSFC!$A$2:$A$24,_xlfn.XLOOKUP(K1499,BSFC!$B$1:$O$1,BSFC!$B$2:$O$24,,-1),,-1)</f>
        <v>520</v>
      </c>
      <c r="R1499" s="17">
        <f t="shared" si="277"/>
        <v>1.425663585873016</v>
      </c>
      <c r="S1499" s="16">
        <f t="shared" si="278"/>
        <v>2.0443068048074323E-4</v>
      </c>
      <c r="T1499" s="17">
        <f t="shared" si="281"/>
        <v>0.10630395384998648</v>
      </c>
      <c r="U1499" s="16">
        <f t="shared" si="282"/>
        <v>190.67069309299322</v>
      </c>
      <c r="V1499" s="17">
        <f t="shared" si="283"/>
        <v>0.39055920655803883</v>
      </c>
      <c r="W1499" s="16">
        <f t="shared" si="279"/>
        <v>1406013.1436089398</v>
      </c>
      <c r="X1499">
        <f>('Hybrid Info'!$A$2-Track!P1499)*(L1499-L1498)*1000+X1498</f>
        <v>-5434.7334714226345</v>
      </c>
    </row>
    <row r="1500" spans="1:24">
      <c r="A1500" s="16">
        <f t="shared" si="280"/>
        <v>1499</v>
      </c>
      <c r="B1500" s="17">
        <f t="shared" si="275"/>
        <v>13.411199999999999</v>
      </c>
      <c r="C1500" s="16">
        <f>Specification!$G$32</f>
        <v>219.92450400000001</v>
      </c>
      <c r="D1500" s="17">
        <f>0.5*Specification!$K$4*Track!B1500^2*Specification!$K$3*Specification!$K$2</f>
        <v>93.159842569492653</v>
      </c>
      <c r="E1500" s="16">
        <v>0</v>
      </c>
      <c r="F1500" s="17">
        <f>Specification!$C$23*9.81*SIN((E1500*PI()/180))</f>
        <v>0</v>
      </c>
      <c r="G1500" s="18">
        <f>IF(J1500=1,VLOOKUP(K1500,RPM!$E$2:$H$62,3,FALSE)-F1500-E1500-D1500,IF(J1500=2,VLOOKUP(K1500,RPM!$H$2:$K$62,3,FALSE)-F1500-E1500-D1500,IF(J1500=3,VLOOKUP(K1500,RPM!$K$2:$N$62,3,FALSE)-F1500-E1500-D1500)))</f>
        <v>688.48526429214962</v>
      </c>
      <c r="H1500" s="19">
        <f>IF(J1500=1,Specification!$I$14,IF(J1500=2,Specification!$I$15,IF(J1500=3,Specification!$I$16)))</f>
        <v>582.50936296077191</v>
      </c>
      <c r="I1500" s="16">
        <f t="shared" si="273"/>
        <v>0</v>
      </c>
      <c r="J1500" s="17">
        <v>2</v>
      </c>
      <c r="K1500" s="16">
        <f>IF(J1500=1,VLOOKUP(B1500,RPM!$F$2:$H$62,3,TRUE),IF(J1500=2,VLOOKUP(B1500,RPM!$I$2:$K$62,3,TRUE),IF(J1500=3,VLOOKUP(B1500,RPM!$L$2:$N$62,3,TRUE))))</f>
        <v>7000</v>
      </c>
      <c r="L1500" s="17">
        <f t="shared" si="284"/>
        <v>116.04759043812894</v>
      </c>
      <c r="M1500" s="16">
        <f t="shared" si="274"/>
        <v>0</v>
      </c>
      <c r="N1500" s="17">
        <f>VLOOKUP(K1500,RPM!$A$2:$D$62,3,FALSE)</f>
        <v>13</v>
      </c>
      <c r="O1500" s="16">
        <f>VLOOKUP(K1500,RPM!$A$2:$D$62,4,FALSE)</f>
        <v>13.235857142857142</v>
      </c>
      <c r="P1500" s="17">
        <f t="shared" si="276"/>
        <v>9.8699786714285711</v>
      </c>
      <c r="Q1500" s="16" cm="1">
        <f t="array" ref="Q1500">_xlfn.XLOOKUP(O1500,BSFC!$A$2:$A$24,_xlfn.XLOOKUP(K1500,BSFC!$B$1:$O$1,BSFC!$B$2:$O$24,,-1),,-1)</f>
        <v>520</v>
      </c>
      <c r="R1500" s="17">
        <f t="shared" si="277"/>
        <v>1.425663585873016</v>
      </c>
      <c r="S1500" s="16">
        <f t="shared" si="278"/>
        <v>2.0443068048074323E-4</v>
      </c>
      <c r="T1500" s="17">
        <f t="shared" si="281"/>
        <v>0.10630395384998648</v>
      </c>
      <c r="U1500" s="16">
        <f t="shared" si="282"/>
        <v>190.77699704684321</v>
      </c>
      <c r="V1500" s="17">
        <f t="shared" si="283"/>
        <v>0.39076363723851959</v>
      </c>
      <c r="W1500" s="16">
        <f t="shared" si="279"/>
        <v>1406749.0940586706</v>
      </c>
      <c r="X1500">
        <f>('Hybrid Info'!$A$2-Track!P1500)*(L1500-L1499)*1000+X1499</f>
        <v>-5266.9277624363822</v>
      </c>
    </row>
    <row r="1501" spans="1:24">
      <c r="A1501" s="16">
        <f t="shared" si="280"/>
        <v>1500</v>
      </c>
      <c r="B1501" s="17">
        <f t="shared" si="275"/>
        <v>13.411199999999999</v>
      </c>
      <c r="C1501" s="16">
        <f>Specification!$G$32</f>
        <v>219.92450400000001</v>
      </c>
      <c r="D1501" s="17">
        <f>0.5*Specification!$K$4*Track!B1501^2*Specification!$K$3*Specification!$K$2</f>
        <v>93.159842569492653</v>
      </c>
      <c r="E1501" s="16">
        <v>0</v>
      </c>
      <c r="F1501" s="17">
        <f>Specification!$C$23*9.81*SIN((E1501*PI()/180))</f>
        <v>0</v>
      </c>
      <c r="G1501" s="18">
        <f>IF(J1501=1,VLOOKUP(K1501,RPM!$E$2:$H$62,3,FALSE)-F1501-E1501-D1501,IF(J1501=2,VLOOKUP(K1501,RPM!$H$2:$K$62,3,FALSE)-F1501-E1501-D1501,IF(J1501=3,VLOOKUP(K1501,RPM!$K$2:$N$62,3,FALSE)-F1501-E1501-D1501)))</f>
        <v>688.48526429214962</v>
      </c>
      <c r="H1501" s="19">
        <f>IF(J1501=1,Specification!$I$14,IF(J1501=2,Specification!$I$15,IF(J1501=3,Specification!$I$16)))</f>
        <v>582.50936296077191</v>
      </c>
      <c r="I1501" s="16">
        <f t="shared" si="273"/>
        <v>0</v>
      </c>
      <c r="J1501" s="17">
        <v>2</v>
      </c>
      <c r="K1501" s="16">
        <f>IF(J1501=1,VLOOKUP(B1501,RPM!$F$2:$H$62,3,TRUE),IF(J1501=2,VLOOKUP(B1501,RPM!$I$2:$K$62,3,TRUE),IF(J1501=3,VLOOKUP(B1501,RPM!$L$2:$N$62,3,TRUE))))</f>
        <v>7000</v>
      </c>
      <c r="L1501" s="17">
        <f t="shared" si="284"/>
        <v>116.12215498119741</v>
      </c>
      <c r="M1501" s="16">
        <f t="shared" si="274"/>
        <v>0</v>
      </c>
      <c r="N1501" s="17">
        <f>VLOOKUP(K1501,RPM!$A$2:$D$62,3,FALSE)</f>
        <v>13</v>
      </c>
      <c r="O1501" s="16">
        <f>VLOOKUP(K1501,RPM!$A$2:$D$62,4,FALSE)</f>
        <v>13.235857142857142</v>
      </c>
      <c r="P1501" s="17">
        <f t="shared" si="276"/>
        <v>9.8699786714285711</v>
      </c>
      <c r="Q1501" s="16" cm="1">
        <f t="array" ref="Q1501">_xlfn.XLOOKUP(O1501,BSFC!$A$2:$A$24,_xlfn.XLOOKUP(K1501,BSFC!$B$1:$O$1,BSFC!$B$2:$O$24,,-1),,-1)</f>
        <v>520</v>
      </c>
      <c r="R1501" s="17">
        <f t="shared" si="277"/>
        <v>1.425663585873016</v>
      </c>
      <c r="S1501" s="16">
        <f t="shared" si="278"/>
        <v>2.0443068048074323E-4</v>
      </c>
      <c r="T1501" s="17">
        <f t="shared" si="281"/>
        <v>0.10630395384998648</v>
      </c>
      <c r="U1501" s="16">
        <f t="shared" si="282"/>
        <v>190.88330100069319</v>
      </c>
      <c r="V1501" s="17">
        <f t="shared" si="283"/>
        <v>0.39096806791900035</v>
      </c>
      <c r="W1501" s="16">
        <f t="shared" si="279"/>
        <v>1407485.0445084013</v>
      </c>
      <c r="X1501">
        <f>('Hybrid Info'!$A$2-Track!P1501)*(L1501-L1500)*1000+X1500</f>
        <v>-5099.1220534501299</v>
      </c>
    </row>
    <row r="1502" spans="1:24">
      <c r="A1502" s="16">
        <f t="shared" si="280"/>
        <v>1501</v>
      </c>
      <c r="B1502" s="17">
        <f t="shared" si="275"/>
        <v>13.411199999999999</v>
      </c>
      <c r="C1502" s="16">
        <f>Specification!$G$32</f>
        <v>219.92450400000001</v>
      </c>
      <c r="D1502" s="17">
        <f>0.5*Specification!$K$4*Track!B1502^2*Specification!$K$3*Specification!$K$2</f>
        <v>93.159842569492653</v>
      </c>
      <c r="E1502" s="16">
        <v>0</v>
      </c>
      <c r="F1502" s="17">
        <f>Specification!$C$23*9.81*SIN((E1502*PI()/180))</f>
        <v>0</v>
      </c>
      <c r="G1502" s="18">
        <f>IF(J1502=1,VLOOKUP(K1502,RPM!$E$2:$H$62,3,FALSE)-F1502-E1502-D1502,IF(J1502=2,VLOOKUP(K1502,RPM!$H$2:$K$62,3,FALSE)-F1502-E1502-D1502,IF(J1502=3,VLOOKUP(K1502,RPM!$K$2:$N$62,3,FALSE)-F1502-E1502-D1502)))</f>
        <v>688.48526429214962</v>
      </c>
      <c r="H1502" s="19">
        <f>IF(J1502=1,Specification!$I$14,IF(J1502=2,Specification!$I$15,IF(J1502=3,Specification!$I$16)))</f>
        <v>582.50936296077191</v>
      </c>
      <c r="I1502" s="16">
        <f t="shared" si="273"/>
        <v>0</v>
      </c>
      <c r="J1502" s="17">
        <v>2</v>
      </c>
      <c r="K1502" s="16">
        <f>IF(J1502=1,VLOOKUP(B1502,RPM!$F$2:$H$62,3,TRUE),IF(J1502=2,VLOOKUP(B1502,RPM!$I$2:$K$62,3,TRUE),IF(J1502=3,VLOOKUP(B1502,RPM!$L$2:$N$62,3,TRUE))))</f>
        <v>7000</v>
      </c>
      <c r="L1502" s="17">
        <f t="shared" si="284"/>
        <v>116.19671952426589</v>
      </c>
      <c r="M1502" s="16">
        <f t="shared" si="274"/>
        <v>0</v>
      </c>
      <c r="N1502" s="17">
        <f>VLOOKUP(K1502,RPM!$A$2:$D$62,3,FALSE)</f>
        <v>13</v>
      </c>
      <c r="O1502" s="16">
        <f>VLOOKUP(K1502,RPM!$A$2:$D$62,4,FALSE)</f>
        <v>13.235857142857142</v>
      </c>
      <c r="P1502" s="17">
        <f t="shared" si="276"/>
        <v>9.8699786714285711</v>
      </c>
      <c r="Q1502" s="16" cm="1">
        <f t="array" ref="Q1502">_xlfn.XLOOKUP(O1502,BSFC!$A$2:$A$24,_xlfn.XLOOKUP(K1502,BSFC!$B$1:$O$1,BSFC!$B$2:$O$24,,-1),,-1)</f>
        <v>520</v>
      </c>
      <c r="R1502" s="17">
        <f t="shared" si="277"/>
        <v>1.425663585873016</v>
      </c>
      <c r="S1502" s="16">
        <f t="shared" si="278"/>
        <v>2.0443068048074323E-4</v>
      </c>
      <c r="T1502" s="17">
        <f t="shared" si="281"/>
        <v>0.10630395384998648</v>
      </c>
      <c r="U1502" s="16">
        <f t="shared" si="282"/>
        <v>190.98960495454318</v>
      </c>
      <c r="V1502" s="17">
        <f t="shared" si="283"/>
        <v>0.39117249859948111</v>
      </c>
      <c r="W1502" s="16">
        <f t="shared" si="279"/>
        <v>1408220.994958132</v>
      </c>
      <c r="X1502">
        <f>('Hybrid Info'!$A$2-Track!P1502)*(L1502-L1501)*1000+X1501</f>
        <v>-4931.3163444638776</v>
      </c>
    </row>
    <row r="1503" spans="1:24">
      <c r="A1503" s="16">
        <f t="shared" si="280"/>
        <v>1502</v>
      </c>
      <c r="B1503" s="17">
        <f t="shared" si="275"/>
        <v>13.411199999999999</v>
      </c>
      <c r="C1503" s="16">
        <f>Specification!$G$32</f>
        <v>219.92450400000001</v>
      </c>
      <c r="D1503" s="17">
        <f>0.5*Specification!$K$4*Track!B1503^2*Specification!$K$3*Specification!$K$2</f>
        <v>93.159842569492653</v>
      </c>
      <c r="E1503" s="16">
        <v>0</v>
      </c>
      <c r="F1503" s="17">
        <f>Specification!$C$23*9.81*SIN((E1503*PI()/180))</f>
        <v>0</v>
      </c>
      <c r="G1503" s="18">
        <f>IF(J1503=1,VLOOKUP(K1503,RPM!$E$2:$H$62,3,FALSE)-F1503-E1503-D1503,IF(J1503=2,VLOOKUP(K1503,RPM!$H$2:$K$62,3,FALSE)-F1503-E1503-D1503,IF(J1503=3,VLOOKUP(K1503,RPM!$K$2:$N$62,3,FALSE)-F1503-E1503-D1503)))</f>
        <v>688.48526429214962</v>
      </c>
      <c r="H1503" s="19">
        <f>IF(J1503=1,Specification!$I$14,IF(J1503=2,Specification!$I$15,IF(J1503=3,Specification!$I$16)))</f>
        <v>582.50936296077191</v>
      </c>
      <c r="I1503" s="16">
        <f t="shared" si="273"/>
        <v>0</v>
      </c>
      <c r="J1503" s="17">
        <v>2</v>
      </c>
      <c r="K1503" s="16">
        <f>IF(J1503=1,VLOOKUP(B1503,RPM!$F$2:$H$62,3,TRUE),IF(J1503=2,VLOOKUP(B1503,RPM!$I$2:$K$62,3,TRUE),IF(J1503=3,VLOOKUP(B1503,RPM!$L$2:$N$62,3,TRUE))))</f>
        <v>7000</v>
      </c>
      <c r="L1503" s="17">
        <f t="shared" si="284"/>
        <v>116.27128406733436</v>
      </c>
      <c r="M1503" s="16">
        <f t="shared" si="274"/>
        <v>0</v>
      </c>
      <c r="N1503" s="17">
        <f>VLOOKUP(K1503,RPM!$A$2:$D$62,3,FALSE)</f>
        <v>13</v>
      </c>
      <c r="O1503" s="16">
        <f>VLOOKUP(K1503,RPM!$A$2:$D$62,4,FALSE)</f>
        <v>13.235857142857142</v>
      </c>
      <c r="P1503" s="17">
        <f t="shared" si="276"/>
        <v>9.8699786714285711</v>
      </c>
      <c r="Q1503" s="16" cm="1">
        <f t="array" ref="Q1503">_xlfn.XLOOKUP(O1503,BSFC!$A$2:$A$24,_xlfn.XLOOKUP(K1503,BSFC!$B$1:$O$1,BSFC!$B$2:$O$24,,-1),,-1)</f>
        <v>520</v>
      </c>
      <c r="R1503" s="17">
        <f t="shared" si="277"/>
        <v>1.425663585873016</v>
      </c>
      <c r="S1503" s="16">
        <f t="shared" si="278"/>
        <v>2.0443068048074323E-4</v>
      </c>
      <c r="T1503" s="17">
        <f t="shared" si="281"/>
        <v>0.10630395384998648</v>
      </c>
      <c r="U1503" s="16">
        <f t="shared" si="282"/>
        <v>191.09590890839317</v>
      </c>
      <c r="V1503" s="17">
        <f t="shared" si="283"/>
        <v>0.39137692927996187</v>
      </c>
      <c r="W1503" s="16">
        <f t="shared" si="279"/>
        <v>1408956.9454078628</v>
      </c>
      <c r="X1503">
        <f>('Hybrid Info'!$A$2-Track!P1503)*(L1503-L1502)*1000+X1502</f>
        <v>-4763.5106354776253</v>
      </c>
    </row>
    <row r="1504" spans="1:24">
      <c r="A1504" s="16">
        <f t="shared" si="280"/>
        <v>1503</v>
      </c>
      <c r="B1504" s="17">
        <f t="shared" si="275"/>
        <v>13.411199999999999</v>
      </c>
      <c r="C1504" s="16">
        <f>Specification!$G$32</f>
        <v>219.92450400000001</v>
      </c>
      <c r="D1504" s="17">
        <f>0.5*Specification!$K$4*Track!B1504^2*Specification!$K$3*Specification!$K$2</f>
        <v>93.159842569492653</v>
      </c>
      <c r="E1504" s="16">
        <v>0</v>
      </c>
      <c r="F1504" s="17">
        <f>Specification!$C$23*9.81*SIN((E1504*PI()/180))</f>
        <v>0</v>
      </c>
      <c r="G1504" s="18">
        <f>IF(J1504=1,VLOOKUP(K1504,RPM!$E$2:$H$62,3,FALSE)-F1504-E1504-D1504,IF(J1504=2,VLOOKUP(K1504,RPM!$H$2:$K$62,3,FALSE)-F1504-E1504-D1504,IF(J1504=3,VLOOKUP(K1504,RPM!$K$2:$N$62,3,FALSE)-F1504-E1504-D1504)))</f>
        <v>688.48526429214962</v>
      </c>
      <c r="H1504" s="19">
        <f>IF(J1504=1,Specification!$I$14,IF(J1504=2,Specification!$I$15,IF(J1504=3,Specification!$I$16)))</f>
        <v>582.50936296077191</v>
      </c>
      <c r="I1504" s="16">
        <f t="shared" si="273"/>
        <v>0</v>
      </c>
      <c r="J1504" s="17">
        <v>2</v>
      </c>
      <c r="K1504" s="16">
        <f>IF(J1504=1,VLOOKUP(B1504,RPM!$F$2:$H$62,3,TRUE),IF(J1504=2,VLOOKUP(B1504,RPM!$I$2:$K$62,3,TRUE),IF(J1504=3,VLOOKUP(B1504,RPM!$L$2:$N$62,3,TRUE))))</f>
        <v>7000</v>
      </c>
      <c r="L1504" s="17">
        <f t="shared" si="284"/>
        <v>116.34584861040284</v>
      </c>
      <c r="M1504" s="16">
        <f t="shared" si="274"/>
        <v>0</v>
      </c>
      <c r="N1504" s="17">
        <f>VLOOKUP(K1504,RPM!$A$2:$D$62,3,FALSE)</f>
        <v>13</v>
      </c>
      <c r="O1504" s="16">
        <f>VLOOKUP(K1504,RPM!$A$2:$D$62,4,FALSE)</f>
        <v>13.235857142857142</v>
      </c>
      <c r="P1504" s="17">
        <f t="shared" si="276"/>
        <v>9.8699786714285711</v>
      </c>
      <c r="Q1504" s="16" cm="1">
        <f t="array" ref="Q1504">_xlfn.XLOOKUP(O1504,BSFC!$A$2:$A$24,_xlfn.XLOOKUP(K1504,BSFC!$B$1:$O$1,BSFC!$B$2:$O$24,,-1),,-1)</f>
        <v>520</v>
      </c>
      <c r="R1504" s="17">
        <f t="shared" si="277"/>
        <v>1.425663585873016</v>
      </c>
      <c r="S1504" s="16">
        <f t="shared" si="278"/>
        <v>2.0443068048074323E-4</v>
      </c>
      <c r="T1504" s="17">
        <f t="shared" si="281"/>
        <v>0.10630395384998648</v>
      </c>
      <c r="U1504" s="16">
        <f t="shared" si="282"/>
        <v>191.20221286224316</v>
      </c>
      <c r="V1504" s="17">
        <f t="shared" si="283"/>
        <v>0.39158135996044263</v>
      </c>
      <c r="W1504" s="16">
        <f t="shared" si="279"/>
        <v>1409692.8958575935</v>
      </c>
      <c r="X1504">
        <f>('Hybrid Info'!$A$2-Track!P1504)*(L1504-L1503)*1000+X1503</f>
        <v>-4595.704926491373</v>
      </c>
    </row>
    <row r="1505" spans="1:24">
      <c r="A1505" s="16">
        <f t="shared" si="280"/>
        <v>1504</v>
      </c>
      <c r="B1505" s="17">
        <f t="shared" si="275"/>
        <v>13.411199999999999</v>
      </c>
      <c r="C1505" s="16">
        <f>Specification!$G$32</f>
        <v>219.92450400000001</v>
      </c>
      <c r="D1505" s="17">
        <f>0.5*Specification!$K$4*Track!B1505^2*Specification!$K$3*Specification!$K$2</f>
        <v>93.159842569492653</v>
      </c>
      <c r="E1505" s="16">
        <v>0</v>
      </c>
      <c r="F1505" s="17">
        <f>Specification!$C$23*9.81*SIN((E1505*PI()/180))</f>
        <v>0</v>
      </c>
      <c r="G1505" s="18">
        <f>IF(J1505=1,VLOOKUP(K1505,RPM!$E$2:$H$62,3,FALSE)-F1505-E1505-D1505,IF(J1505=2,VLOOKUP(K1505,RPM!$H$2:$K$62,3,FALSE)-F1505-E1505-D1505,IF(J1505=3,VLOOKUP(K1505,RPM!$K$2:$N$62,3,FALSE)-F1505-E1505-D1505)))</f>
        <v>688.48526429214962</v>
      </c>
      <c r="H1505" s="19">
        <f>IF(J1505=1,Specification!$I$14,IF(J1505=2,Specification!$I$15,IF(J1505=3,Specification!$I$16)))</f>
        <v>582.50936296077191</v>
      </c>
      <c r="I1505" s="16">
        <f t="shared" si="273"/>
        <v>0</v>
      </c>
      <c r="J1505" s="17">
        <v>2</v>
      </c>
      <c r="K1505" s="16">
        <f>IF(J1505=1,VLOOKUP(B1505,RPM!$F$2:$H$62,3,TRUE),IF(J1505=2,VLOOKUP(B1505,RPM!$I$2:$K$62,3,TRUE),IF(J1505=3,VLOOKUP(B1505,RPM!$L$2:$N$62,3,TRUE))))</f>
        <v>7000</v>
      </c>
      <c r="L1505" s="17">
        <f t="shared" si="284"/>
        <v>116.42041315347132</v>
      </c>
      <c r="M1505" s="16">
        <f t="shared" si="274"/>
        <v>0</v>
      </c>
      <c r="N1505" s="17">
        <f>VLOOKUP(K1505,RPM!$A$2:$D$62,3,FALSE)</f>
        <v>13</v>
      </c>
      <c r="O1505" s="16">
        <f>VLOOKUP(K1505,RPM!$A$2:$D$62,4,FALSE)</f>
        <v>13.235857142857142</v>
      </c>
      <c r="P1505" s="17">
        <f t="shared" si="276"/>
        <v>9.8699786714285711</v>
      </c>
      <c r="Q1505" s="16" cm="1">
        <f t="array" ref="Q1505">_xlfn.XLOOKUP(O1505,BSFC!$A$2:$A$24,_xlfn.XLOOKUP(K1505,BSFC!$B$1:$O$1,BSFC!$B$2:$O$24,,-1),,-1)</f>
        <v>520</v>
      </c>
      <c r="R1505" s="17">
        <f t="shared" si="277"/>
        <v>1.425663585873016</v>
      </c>
      <c r="S1505" s="16">
        <f t="shared" si="278"/>
        <v>2.0443068048074323E-4</v>
      </c>
      <c r="T1505" s="17">
        <f t="shared" si="281"/>
        <v>0.10630395384998648</v>
      </c>
      <c r="U1505" s="16">
        <f t="shared" si="282"/>
        <v>191.30851681609315</v>
      </c>
      <c r="V1505" s="17">
        <f t="shared" si="283"/>
        <v>0.39178579064092339</v>
      </c>
      <c r="W1505" s="16">
        <f t="shared" si="279"/>
        <v>1410428.8463073242</v>
      </c>
      <c r="X1505">
        <f>('Hybrid Info'!$A$2-Track!P1505)*(L1505-L1504)*1000+X1504</f>
        <v>-4427.8992175051208</v>
      </c>
    </row>
    <row r="1506" spans="1:24">
      <c r="A1506" s="16">
        <f t="shared" si="280"/>
        <v>1505</v>
      </c>
      <c r="B1506" s="17">
        <f t="shared" si="275"/>
        <v>13.411199999999999</v>
      </c>
      <c r="C1506" s="16">
        <f>Specification!$G$32</f>
        <v>219.92450400000001</v>
      </c>
      <c r="D1506" s="17">
        <f>0.5*Specification!$K$4*Track!B1506^2*Specification!$K$3*Specification!$K$2</f>
        <v>93.159842569492653</v>
      </c>
      <c r="E1506" s="16">
        <v>0</v>
      </c>
      <c r="F1506" s="17">
        <f>Specification!$C$23*9.81*SIN((E1506*PI()/180))</f>
        <v>0</v>
      </c>
      <c r="G1506" s="18">
        <f>IF(J1506=1,VLOOKUP(K1506,RPM!$E$2:$H$62,3,FALSE)-F1506-E1506-D1506,IF(J1506=2,VLOOKUP(K1506,RPM!$H$2:$K$62,3,FALSE)-F1506-E1506-D1506,IF(J1506=3,VLOOKUP(K1506,RPM!$K$2:$N$62,3,FALSE)-F1506-E1506-D1506)))</f>
        <v>688.48526429214962</v>
      </c>
      <c r="H1506" s="19">
        <f>IF(J1506=1,Specification!$I$14,IF(J1506=2,Specification!$I$15,IF(J1506=3,Specification!$I$16)))</f>
        <v>582.50936296077191</v>
      </c>
      <c r="I1506" s="16">
        <f t="shared" si="273"/>
        <v>0</v>
      </c>
      <c r="J1506" s="17">
        <v>2</v>
      </c>
      <c r="K1506" s="16">
        <f>IF(J1506=1,VLOOKUP(B1506,RPM!$F$2:$H$62,3,TRUE),IF(J1506=2,VLOOKUP(B1506,RPM!$I$2:$K$62,3,TRUE),IF(J1506=3,VLOOKUP(B1506,RPM!$L$2:$N$62,3,TRUE))))</f>
        <v>7000</v>
      </c>
      <c r="L1506" s="17">
        <f t="shared" si="284"/>
        <v>116.49497769653979</v>
      </c>
      <c r="M1506" s="16">
        <f t="shared" si="274"/>
        <v>0</v>
      </c>
      <c r="N1506" s="17">
        <f>VLOOKUP(K1506,RPM!$A$2:$D$62,3,FALSE)</f>
        <v>13</v>
      </c>
      <c r="O1506" s="16">
        <f>VLOOKUP(K1506,RPM!$A$2:$D$62,4,FALSE)</f>
        <v>13.235857142857142</v>
      </c>
      <c r="P1506" s="17">
        <f t="shared" si="276"/>
        <v>9.8699786714285711</v>
      </c>
      <c r="Q1506" s="16" cm="1">
        <f t="array" ref="Q1506">_xlfn.XLOOKUP(O1506,BSFC!$A$2:$A$24,_xlfn.XLOOKUP(K1506,BSFC!$B$1:$O$1,BSFC!$B$2:$O$24,,-1),,-1)</f>
        <v>520</v>
      </c>
      <c r="R1506" s="17">
        <f t="shared" si="277"/>
        <v>1.425663585873016</v>
      </c>
      <c r="S1506" s="16">
        <f t="shared" si="278"/>
        <v>2.0443068048074323E-4</v>
      </c>
      <c r="T1506" s="17">
        <f t="shared" si="281"/>
        <v>0.10630395384998648</v>
      </c>
      <c r="U1506" s="16">
        <f t="shared" si="282"/>
        <v>191.41482076994313</v>
      </c>
      <c r="V1506" s="17">
        <f t="shared" si="283"/>
        <v>0.39199022132140415</v>
      </c>
      <c r="W1506" s="16">
        <f t="shared" si="279"/>
        <v>1411164.796757055</v>
      </c>
      <c r="X1506">
        <f>('Hybrid Info'!$A$2-Track!P1506)*(L1506-L1505)*1000+X1505</f>
        <v>-4260.0935085188685</v>
      </c>
    </row>
    <row r="1507" spans="1:24">
      <c r="A1507" s="16">
        <f t="shared" si="280"/>
        <v>1506</v>
      </c>
      <c r="B1507" s="17">
        <f t="shared" si="275"/>
        <v>13.411199999999999</v>
      </c>
      <c r="C1507" s="16">
        <f>Specification!$G$32</f>
        <v>219.92450400000001</v>
      </c>
      <c r="D1507" s="17">
        <f>0.5*Specification!$K$4*Track!B1507^2*Specification!$K$3*Specification!$K$2</f>
        <v>93.159842569492653</v>
      </c>
      <c r="E1507" s="16">
        <v>0</v>
      </c>
      <c r="F1507" s="17">
        <f>Specification!$C$23*9.81*SIN((E1507*PI()/180))</f>
        <v>0</v>
      </c>
      <c r="G1507" s="18">
        <f>IF(J1507=1,VLOOKUP(K1507,RPM!$E$2:$H$62,3,FALSE)-F1507-E1507-D1507,IF(J1507=2,VLOOKUP(K1507,RPM!$H$2:$K$62,3,FALSE)-F1507-E1507-D1507,IF(J1507=3,VLOOKUP(K1507,RPM!$K$2:$N$62,3,FALSE)-F1507-E1507-D1507)))</f>
        <v>688.48526429214962</v>
      </c>
      <c r="H1507" s="19">
        <f>IF(J1507=1,Specification!$I$14,IF(J1507=2,Specification!$I$15,IF(J1507=3,Specification!$I$16)))</f>
        <v>582.50936296077191</v>
      </c>
      <c r="I1507" s="16">
        <f t="shared" si="273"/>
        <v>0</v>
      </c>
      <c r="J1507" s="17">
        <v>2</v>
      </c>
      <c r="K1507" s="16">
        <f>IF(J1507=1,VLOOKUP(B1507,RPM!$F$2:$H$62,3,TRUE),IF(J1507=2,VLOOKUP(B1507,RPM!$I$2:$K$62,3,TRUE),IF(J1507=3,VLOOKUP(B1507,RPM!$L$2:$N$62,3,TRUE))))</f>
        <v>7000</v>
      </c>
      <c r="L1507" s="17">
        <f t="shared" si="284"/>
        <v>116.56954223960827</v>
      </c>
      <c r="M1507" s="16">
        <f t="shared" si="274"/>
        <v>0</v>
      </c>
      <c r="N1507" s="17">
        <f>VLOOKUP(K1507,RPM!$A$2:$D$62,3,FALSE)</f>
        <v>13</v>
      </c>
      <c r="O1507" s="16">
        <f>VLOOKUP(K1507,RPM!$A$2:$D$62,4,FALSE)</f>
        <v>13.235857142857142</v>
      </c>
      <c r="P1507" s="17">
        <f t="shared" si="276"/>
        <v>9.8699786714285711</v>
      </c>
      <c r="Q1507" s="16" cm="1">
        <f t="array" ref="Q1507">_xlfn.XLOOKUP(O1507,BSFC!$A$2:$A$24,_xlfn.XLOOKUP(K1507,BSFC!$B$1:$O$1,BSFC!$B$2:$O$24,,-1),,-1)</f>
        <v>520</v>
      </c>
      <c r="R1507" s="17">
        <f t="shared" si="277"/>
        <v>1.425663585873016</v>
      </c>
      <c r="S1507" s="16">
        <f t="shared" si="278"/>
        <v>2.0443068048074323E-4</v>
      </c>
      <c r="T1507" s="17">
        <f t="shared" si="281"/>
        <v>0.10630395384998648</v>
      </c>
      <c r="U1507" s="16">
        <f t="shared" si="282"/>
        <v>191.52112472379312</v>
      </c>
      <c r="V1507" s="17">
        <f t="shared" si="283"/>
        <v>0.39219465200188491</v>
      </c>
      <c r="W1507" s="16">
        <f t="shared" si="279"/>
        <v>1411900.7472067857</v>
      </c>
      <c r="X1507">
        <f>('Hybrid Info'!$A$2-Track!P1507)*(L1507-L1506)*1000+X1506</f>
        <v>-4092.2877995326162</v>
      </c>
    </row>
    <row r="1508" spans="1:24">
      <c r="A1508" s="16">
        <f t="shared" si="280"/>
        <v>1507</v>
      </c>
      <c r="B1508" s="17">
        <f t="shared" si="275"/>
        <v>13.411199999999999</v>
      </c>
      <c r="C1508" s="16">
        <f>Specification!$G$32</f>
        <v>219.92450400000001</v>
      </c>
      <c r="D1508" s="17">
        <f>0.5*Specification!$K$4*Track!B1508^2*Specification!$K$3*Specification!$K$2</f>
        <v>93.159842569492653</v>
      </c>
      <c r="E1508" s="16">
        <v>0</v>
      </c>
      <c r="F1508" s="17">
        <f>Specification!$C$23*9.81*SIN((E1508*PI()/180))</f>
        <v>0</v>
      </c>
      <c r="G1508" s="18">
        <f>IF(J1508=1,VLOOKUP(K1508,RPM!$E$2:$H$62,3,FALSE)-F1508-E1508-D1508,IF(J1508=2,VLOOKUP(K1508,RPM!$H$2:$K$62,3,FALSE)-F1508-E1508-D1508,IF(J1508=3,VLOOKUP(K1508,RPM!$K$2:$N$62,3,FALSE)-F1508-E1508-D1508)))</f>
        <v>688.48526429214962</v>
      </c>
      <c r="H1508" s="19">
        <f>IF(J1508=1,Specification!$I$14,IF(J1508=2,Specification!$I$15,IF(J1508=3,Specification!$I$16)))</f>
        <v>582.50936296077191</v>
      </c>
      <c r="I1508" s="16">
        <f t="shared" ref="I1508:I1571" si="285">IF(B1508=13.4112,0,G1508/H1508)</f>
        <v>0</v>
      </c>
      <c r="J1508" s="17">
        <v>2</v>
      </c>
      <c r="K1508" s="16">
        <f>IF(J1508=1,VLOOKUP(B1508,RPM!$F$2:$H$62,3,TRUE),IF(J1508=2,VLOOKUP(B1508,RPM!$I$2:$K$62,3,TRUE),IF(J1508=3,VLOOKUP(B1508,RPM!$L$2:$N$62,3,TRUE))))</f>
        <v>7000</v>
      </c>
      <c r="L1508" s="17">
        <f t="shared" si="284"/>
        <v>116.64410678267674</v>
      </c>
      <c r="M1508" s="16">
        <f t="shared" si="274"/>
        <v>0</v>
      </c>
      <c r="N1508" s="17">
        <f>VLOOKUP(K1508,RPM!$A$2:$D$62,3,FALSE)</f>
        <v>13</v>
      </c>
      <c r="O1508" s="16">
        <f>VLOOKUP(K1508,RPM!$A$2:$D$62,4,FALSE)</f>
        <v>13.235857142857142</v>
      </c>
      <c r="P1508" s="17">
        <f t="shared" si="276"/>
        <v>9.8699786714285711</v>
      </c>
      <c r="Q1508" s="16" cm="1">
        <f t="array" ref="Q1508">_xlfn.XLOOKUP(O1508,BSFC!$A$2:$A$24,_xlfn.XLOOKUP(K1508,BSFC!$B$1:$O$1,BSFC!$B$2:$O$24,,-1),,-1)</f>
        <v>520</v>
      </c>
      <c r="R1508" s="17">
        <f t="shared" si="277"/>
        <v>1.425663585873016</v>
      </c>
      <c r="S1508" s="16">
        <f t="shared" si="278"/>
        <v>2.0443068048074323E-4</v>
      </c>
      <c r="T1508" s="17">
        <f t="shared" si="281"/>
        <v>0.10630395384998648</v>
      </c>
      <c r="U1508" s="16">
        <f t="shared" si="282"/>
        <v>191.62742867764311</v>
      </c>
      <c r="V1508" s="17">
        <f t="shared" si="283"/>
        <v>0.39239908268236567</v>
      </c>
      <c r="W1508" s="16">
        <f t="shared" si="279"/>
        <v>1412636.6976565165</v>
      </c>
      <c r="X1508">
        <f>('Hybrid Info'!$A$2-Track!P1508)*(L1508-L1507)*1000+X1507</f>
        <v>-3924.4820905463639</v>
      </c>
    </row>
    <row r="1509" spans="1:24">
      <c r="A1509" s="16">
        <f t="shared" si="280"/>
        <v>1508</v>
      </c>
      <c r="B1509" s="17">
        <f t="shared" si="275"/>
        <v>13.411199999999999</v>
      </c>
      <c r="C1509" s="16">
        <f>Specification!$G$32</f>
        <v>219.92450400000001</v>
      </c>
      <c r="D1509" s="17">
        <f>0.5*Specification!$K$4*Track!B1509^2*Specification!$K$3*Specification!$K$2</f>
        <v>93.159842569492653</v>
      </c>
      <c r="E1509" s="16">
        <v>0</v>
      </c>
      <c r="F1509" s="17">
        <f>Specification!$C$23*9.81*SIN((E1509*PI()/180))</f>
        <v>0</v>
      </c>
      <c r="G1509" s="18">
        <f>IF(J1509=1,VLOOKUP(K1509,RPM!$E$2:$H$62,3,FALSE)-F1509-E1509-D1509,IF(J1509=2,VLOOKUP(K1509,RPM!$H$2:$K$62,3,FALSE)-F1509-E1509-D1509,IF(J1509=3,VLOOKUP(K1509,RPM!$K$2:$N$62,3,FALSE)-F1509-E1509-D1509)))</f>
        <v>688.48526429214962</v>
      </c>
      <c r="H1509" s="19">
        <f>IF(J1509=1,Specification!$I$14,IF(J1509=2,Specification!$I$15,IF(J1509=3,Specification!$I$16)))</f>
        <v>582.50936296077191</v>
      </c>
      <c r="I1509" s="16">
        <f t="shared" si="285"/>
        <v>0</v>
      </c>
      <c r="J1509" s="17">
        <v>2</v>
      </c>
      <c r="K1509" s="16">
        <f>IF(J1509=1,VLOOKUP(B1509,RPM!$F$2:$H$62,3,TRUE),IF(J1509=2,VLOOKUP(B1509,RPM!$I$2:$K$62,3,TRUE),IF(J1509=3,VLOOKUP(B1509,RPM!$L$2:$N$62,3,TRUE))))</f>
        <v>7000</v>
      </c>
      <c r="L1509" s="17">
        <f t="shared" si="284"/>
        <v>116.71867132574522</v>
      </c>
      <c r="M1509" s="16">
        <f t="shared" si="274"/>
        <v>0</v>
      </c>
      <c r="N1509" s="17">
        <f>VLOOKUP(K1509,RPM!$A$2:$D$62,3,FALSE)</f>
        <v>13</v>
      </c>
      <c r="O1509" s="16">
        <f>VLOOKUP(K1509,RPM!$A$2:$D$62,4,FALSE)</f>
        <v>13.235857142857142</v>
      </c>
      <c r="P1509" s="17">
        <f t="shared" si="276"/>
        <v>9.8699786714285711</v>
      </c>
      <c r="Q1509" s="16" cm="1">
        <f t="array" ref="Q1509">_xlfn.XLOOKUP(O1509,BSFC!$A$2:$A$24,_xlfn.XLOOKUP(K1509,BSFC!$B$1:$O$1,BSFC!$B$2:$O$24,,-1),,-1)</f>
        <v>520</v>
      </c>
      <c r="R1509" s="17">
        <f t="shared" si="277"/>
        <v>1.425663585873016</v>
      </c>
      <c r="S1509" s="16">
        <f t="shared" si="278"/>
        <v>2.0443068048074323E-4</v>
      </c>
      <c r="T1509" s="17">
        <f t="shared" si="281"/>
        <v>0.10630395384998648</v>
      </c>
      <c r="U1509" s="16">
        <f t="shared" si="282"/>
        <v>191.7337326314931</v>
      </c>
      <c r="V1509" s="17">
        <f t="shared" si="283"/>
        <v>0.39260351336284643</v>
      </c>
      <c r="W1509" s="16">
        <f t="shared" si="279"/>
        <v>1413372.6481062472</v>
      </c>
      <c r="X1509">
        <f>('Hybrid Info'!$A$2-Track!P1509)*(L1509-L1508)*1000+X1508</f>
        <v>-3756.6763815601116</v>
      </c>
    </row>
    <row r="1510" spans="1:24">
      <c r="A1510" s="16">
        <f t="shared" si="280"/>
        <v>1509</v>
      </c>
      <c r="B1510" s="17">
        <f t="shared" si="275"/>
        <v>13.411199999999999</v>
      </c>
      <c r="C1510" s="16">
        <f>Specification!$G$32</f>
        <v>219.92450400000001</v>
      </c>
      <c r="D1510" s="17">
        <f>0.5*Specification!$K$4*Track!B1510^2*Specification!$K$3*Specification!$K$2</f>
        <v>93.159842569492653</v>
      </c>
      <c r="E1510" s="16">
        <v>0</v>
      </c>
      <c r="F1510" s="17">
        <f>Specification!$C$23*9.81*SIN((E1510*PI()/180))</f>
        <v>0</v>
      </c>
      <c r="G1510" s="18">
        <f>IF(J1510=1,VLOOKUP(K1510,RPM!$E$2:$H$62,3,FALSE)-F1510-E1510-D1510,IF(J1510=2,VLOOKUP(K1510,RPM!$H$2:$K$62,3,FALSE)-F1510-E1510-D1510,IF(J1510=3,VLOOKUP(K1510,RPM!$K$2:$N$62,3,FALSE)-F1510-E1510-D1510)))</f>
        <v>688.48526429214962</v>
      </c>
      <c r="H1510" s="19">
        <f>IF(J1510=1,Specification!$I$14,IF(J1510=2,Specification!$I$15,IF(J1510=3,Specification!$I$16)))</f>
        <v>582.50936296077191</v>
      </c>
      <c r="I1510" s="16">
        <f t="shared" si="285"/>
        <v>0</v>
      </c>
      <c r="J1510" s="17">
        <v>2</v>
      </c>
      <c r="K1510" s="16">
        <f>IF(J1510=1,VLOOKUP(B1510,RPM!$F$2:$H$62,3,TRUE),IF(J1510=2,VLOOKUP(B1510,RPM!$I$2:$K$62,3,TRUE),IF(J1510=3,VLOOKUP(B1510,RPM!$L$2:$N$62,3,TRUE))))</f>
        <v>7000</v>
      </c>
      <c r="L1510" s="17">
        <f t="shared" si="284"/>
        <v>116.7932358688137</v>
      </c>
      <c r="M1510" s="16">
        <f t="shared" si="274"/>
        <v>0</v>
      </c>
      <c r="N1510" s="17">
        <f>VLOOKUP(K1510,RPM!$A$2:$D$62,3,FALSE)</f>
        <v>13</v>
      </c>
      <c r="O1510" s="16">
        <f>VLOOKUP(K1510,RPM!$A$2:$D$62,4,FALSE)</f>
        <v>13.235857142857142</v>
      </c>
      <c r="P1510" s="17">
        <f t="shared" si="276"/>
        <v>9.8699786714285711</v>
      </c>
      <c r="Q1510" s="16" cm="1">
        <f t="array" ref="Q1510">_xlfn.XLOOKUP(O1510,BSFC!$A$2:$A$24,_xlfn.XLOOKUP(K1510,BSFC!$B$1:$O$1,BSFC!$B$2:$O$24,,-1),,-1)</f>
        <v>520</v>
      </c>
      <c r="R1510" s="17">
        <f t="shared" si="277"/>
        <v>1.425663585873016</v>
      </c>
      <c r="S1510" s="16">
        <f t="shared" si="278"/>
        <v>2.0443068048074323E-4</v>
      </c>
      <c r="T1510" s="17">
        <f t="shared" si="281"/>
        <v>0.10630395384998648</v>
      </c>
      <c r="U1510" s="16">
        <f t="shared" si="282"/>
        <v>191.84003658534309</v>
      </c>
      <c r="V1510" s="17">
        <f t="shared" si="283"/>
        <v>0.3928079440433272</v>
      </c>
      <c r="W1510" s="16">
        <f t="shared" si="279"/>
        <v>1414108.5985559779</v>
      </c>
      <c r="X1510">
        <f>('Hybrid Info'!$A$2-Track!P1510)*(L1510-L1509)*1000+X1509</f>
        <v>-3588.8706725738593</v>
      </c>
    </row>
    <row r="1511" spans="1:24">
      <c r="A1511" s="16">
        <f t="shared" si="280"/>
        <v>1510</v>
      </c>
      <c r="B1511" s="17">
        <f t="shared" si="275"/>
        <v>13.411199999999999</v>
      </c>
      <c r="C1511" s="16">
        <f>Specification!$G$32</f>
        <v>219.92450400000001</v>
      </c>
      <c r="D1511" s="17">
        <f>0.5*Specification!$K$4*Track!B1511^2*Specification!$K$3*Specification!$K$2</f>
        <v>93.159842569492653</v>
      </c>
      <c r="E1511" s="16">
        <v>0</v>
      </c>
      <c r="F1511" s="17">
        <f>Specification!$C$23*9.81*SIN((E1511*PI()/180))</f>
        <v>0</v>
      </c>
      <c r="G1511" s="18">
        <f>IF(J1511=1,VLOOKUP(K1511,RPM!$E$2:$H$62,3,FALSE)-F1511-E1511-D1511,IF(J1511=2,VLOOKUP(K1511,RPM!$H$2:$K$62,3,FALSE)-F1511-E1511-D1511,IF(J1511=3,VLOOKUP(K1511,RPM!$K$2:$N$62,3,FALSE)-F1511-E1511-D1511)))</f>
        <v>688.48526429214962</v>
      </c>
      <c r="H1511" s="19">
        <f>IF(J1511=1,Specification!$I$14,IF(J1511=2,Specification!$I$15,IF(J1511=3,Specification!$I$16)))</f>
        <v>582.50936296077191</v>
      </c>
      <c r="I1511" s="16">
        <f t="shared" si="285"/>
        <v>0</v>
      </c>
      <c r="J1511" s="17">
        <v>2</v>
      </c>
      <c r="K1511" s="16">
        <f>IF(J1511=1,VLOOKUP(B1511,RPM!$F$2:$H$62,3,TRUE),IF(J1511=2,VLOOKUP(B1511,RPM!$I$2:$K$62,3,TRUE),IF(J1511=3,VLOOKUP(B1511,RPM!$L$2:$N$62,3,TRUE))))</f>
        <v>7000</v>
      </c>
      <c r="L1511" s="17">
        <f t="shared" si="284"/>
        <v>116.86780041188217</v>
      </c>
      <c r="M1511" s="16">
        <f t="shared" si="274"/>
        <v>0</v>
      </c>
      <c r="N1511" s="17">
        <f>VLOOKUP(K1511,RPM!$A$2:$D$62,3,FALSE)</f>
        <v>13</v>
      </c>
      <c r="O1511" s="16">
        <f>VLOOKUP(K1511,RPM!$A$2:$D$62,4,FALSE)</f>
        <v>13.235857142857142</v>
      </c>
      <c r="P1511" s="17">
        <f t="shared" si="276"/>
        <v>9.8699786714285711</v>
      </c>
      <c r="Q1511" s="16" cm="1">
        <f t="array" ref="Q1511">_xlfn.XLOOKUP(O1511,BSFC!$A$2:$A$24,_xlfn.XLOOKUP(K1511,BSFC!$B$1:$O$1,BSFC!$B$2:$O$24,,-1),,-1)</f>
        <v>520</v>
      </c>
      <c r="R1511" s="17">
        <f t="shared" si="277"/>
        <v>1.425663585873016</v>
      </c>
      <c r="S1511" s="16">
        <f t="shared" si="278"/>
        <v>2.0443068048074323E-4</v>
      </c>
      <c r="T1511" s="17">
        <f t="shared" si="281"/>
        <v>0.10630395384998648</v>
      </c>
      <c r="U1511" s="16">
        <f t="shared" si="282"/>
        <v>191.94634053919307</v>
      </c>
      <c r="V1511" s="17">
        <f t="shared" si="283"/>
        <v>0.39301237472380796</v>
      </c>
      <c r="W1511" s="16">
        <f t="shared" si="279"/>
        <v>1414844.5490057087</v>
      </c>
      <c r="X1511">
        <f>('Hybrid Info'!$A$2-Track!P1511)*(L1511-L1510)*1000+X1510</f>
        <v>-3421.0649635876071</v>
      </c>
    </row>
    <row r="1512" spans="1:24">
      <c r="A1512" s="16">
        <f t="shared" si="280"/>
        <v>1511</v>
      </c>
      <c r="B1512" s="17">
        <f t="shared" si="275"/>
        <v>13.411199999999999</v>
      </c>
      <c r="C1512" s="16">
        <f>Specification!$G$32</f>
        <v>219.92450400000001</v>
      </c>
      <c r="D1512" s="17">
        <f>0.5*Specification!$K$4*Track!B1512^2*Specification!$K$3*Specification!$K$2</f>
        <v>93.159842569492653</v>
      </c>
      <c r="E1512" s="16">
        <v>0</v>
      </c>
      <c r="F1512" s="17">
        <f>Specification!$C$23*9.81*SIN((E1512*PI()/180))</f>
        <v>0</v>
      </c>
      <c r="G1512" s="18">
        <f>IF(J1512=1,VLOOKUP(K1512,RPM!$E$2:$H$62,3,FALSE)-F1512-E1512-D1512,IF(J1512=2,VLOOKUP(K1512,RPM!$H$2:$K$62,3,FALSE)-F1512-E1512-D1512,IF(J1512=3,VLOOKUP(K1512,RPM!$K$2:$N$62,3,FALSE)-F1512-E1512-D1512)))</f>
        <v>688.48526429214962</v>
      </c>
      <c r="H1512" s="19">
        <f>IF(J1512=1,Specification!$I$14,IF(J1512=2,Specification!$I$15,IF(J1512=3,Specification!$I$16)))</f>
        <v>582.50936296077191</v>
      </c>
      <c r="I1512" s="16">
        <f t="shared" si="285"/>
        <v>0</v>
      </c>
      <c r="J1512" s="17">
        <v>2</v>
      </c>
      <c r="K1512" s="16">
        <f>IF(J1512=1,VLOOKUP(B1512,RPM!$F$2:$H$62,3,TRUE),IF(J1512=2,VLOOKUP(B1512,RPM!$I$2:$K$62,3,TRUE),IF(J1512=3,VLOOKUP(B1512,RPM!$L$2:$N$62,3,TRUE))))</f>
        <v>7000</v>
      </c>
      <c r="L1512" s="17">
        <f t="shared" si="284"/>
        <v>116.94236495495065</v>
      </c>
      <c r="M1512" s="16">
        <f t="shared" si="274"/>
        <v>0</v>
      </c>
      <c r="N1512" s="17">
        <f>VLOOKUP(K1512,RPM!$A$2:$D$62,3,FALSE)</f>
        <v>13</v>
      </c>
      <c r="O1512" s="16">
        <f>VLOOKUP(K1512,RPM!$A$2:$D$62,4,FALSE)</f>
        <v>13.235857142857142</v>
      </c>
      <c r="P1512" s="17">
        <f t="shared" si="276"/>
        <v>9.8699786714285711</v>
      </c>
      <c r="Q1512" s="16" cm="1">
        <f t="array" ref="Q1512">_xlfn.XLOOKUP(O1512,BSFC!$A$2:$A$24,_xlfn.XLOOKUP(K1512,BSFC!$B$1:$O$1,BSFC!$B$2:$O$24,,-1),,-1)</f>
        <v>520</v>
      </c>
      <c r="R1512" s="17">
        <f t="shared" si="277"/>
        <v>1.425663585873016</v>
      </c>
      <c r="S1512" s="16">
        <f t="shared" si="278"/>
        <v>2.0443068048074323E-4</v>
      </c>
      <c r="T1512" s="17">
        <f t="shared" si="281"/>
        <v>0.10630395384998648</v>
      </c>
      <c r="U1512" s="16">
        <f t="shared" si="282"/>
        <v>192.05264449304306</v>
      </c>
      <c r="V1512" s="17">
        <f t="shared" si="283"/>
        <v>0.39321680540428872</v>
      </c>
      <c r="W1512" s="16">
        <f t="shared" si="279"/>
        <v>1415580.4994554394</v>
      </c>
      <c r="X1512">
        <f>('Hybrid Info'!$A$2-Track!P1512)*(L1512-L1511)*1000+X1511</f>
        <v>-3253.2592546013548</v>
      </c>
    </row>
    <row r="1513" spans="1:24">
      <c r="A1513" s="16">
        <f t="shared" si="280"/>
        <v>1512</v>
      </c>
      <c r="B1513" s="17">
        <f t="shared" si="275"/>
        <v>13.411199999999999</v>
      </c>
      <c r="C1513" s="16">
        <f>Specification!$G$32</f>
        <v>219.92450400000001</v>
      </c>
      <c r="D1513" s="17">
        <f>0.5*Specification!$K$4*Track!B1513^2*Specification!$K$3*Specification!$K$2</f>
        <v>93.159842569492653</v>
      </c>
      <c r="E1513" s="16">
        <v>0</v>
      </c>
      <c r="F1513" s="17">
        <f>Specification!$C$23*9.81*SIN((E1513*PI()/180))</f>
        <v>0</v>
      </c>
      <c r="G1513" s="18">
        <f>IF(J1513=1,VLOOKUP(K1513,RPM!$E$2:$H$62,3,FALSE)-F1513-E1513-D1513,IF(J1513=2,VLOOKUP(K1513,RPM!$H$2:$K$62,3,FALSE)-F1513-E1513-D1513,IF(J1513=3,VLOOKUP(K1513,RPM!$K$2:$N$62,3,FALSE)-F1513-E1513-D1513)))</f>
        <v>688.48526429214962</v>
      </c>
      <c r="H1513" s="19">
        <f>IF(J1513=1,Specification!$I$14,IF(J1513=2,Specification!$I$15,IF(J1513=3,Specification!$I$16)))</f>
        <v>582.50936296077191</v>
      </c>
      <c r="I1513" s="16">
        <f t="shared" si="285"/>
        <v>0</v>
      </c>
      <c r="J1513" s="17">
        <v>2</v>
      </c>
      <c r="K1513" s="16">
        <f>IF(J1513=1,VLOOKUP(B1513,RPM!$F$2:$H$62,3,TRUE),IF(J1513=2,VLOOKUP(B1513,RPM!$I$2:$K$62,3,TRUE),IF(J1513=3,VLOOKUP(B1513,RPM!$L$2:$N$62,3,TRUE))))</f>
        <v>7000</v>
      </c>
      <c r="L1513" s="17">
        <f t="shared" si="284"/>
        <v>117.01692949801912</v>
      </c>
      <c r="M1513" s="16">
        <f t="shared" si="274"/>
        <v>0</v>
      </c>
      <c r="N1513" s="17">
        <f>VLOOKUP(K1513,RPM!$A$2:$D$62,3,FALSE)</f>
        <v>13</v>
      </c>
      <c r="O1513" s="16">
        <f>VLOOKUP(K1513,RPM!$A$2:$D$62,4,FALSE)</f>
        <v>13.235857142857142</v>
      </c>
      <c r="P1513" s="17">
        <f t="shared" si="276"/>
        <v>9.8699786714285711</v>
      </c>
      <c r="Q1513" s="16" cm="1">
        <f t="array" ref="Q1513">_xlfn.XLOOKUP(O1513,BSFC!$A$2:$A$24,_xlfn.XLOOKUP(K1513,BSFC!$B$1:$O$1,BSFC!$B$2:$O$24,,-1),,-1)</f>
        <v>520</v>
      </c>
      <c r="R1513" s="17">
        <f t="shared" si="277"/>
        <v>1.425663585873016</v>
      </c>
      <c r="S1513" s="16">
        <f t="shared" si="278"/>
        <v>2.0443068048074323E-4</v>
      </c>
      <c r="T1513" s="17">
        <f t="shared" si="281"/>
        <v>0.10630395384998648</v>
      </c>
      <c r="U1513" s="16">
        <f t="shared" si="282"/>
        <v>192.15894844689305</v>
      </c>
      <c r="V1513" s="17">
        <f t="shared" si="283"/>
        <v>0.39342123608476948</v>
      </c>
      <c r="W1513" s="16">
        <f t="shared" si="279"/>
        <v>1416316.4499051701</v>
      </c>
      <c r="X1513">
        <f>('Hybrid Info'!$A$2-Track!P1513)*(L1513-L1512)*1000+X1512</f>
        <v>-3085.4535456151025</v>
      </c>
    </row>
    <row r="1514" spans="1:24">
      <c r="A1514" s="16">
        <f t="shared" si="280"/>
        <v>1513</v>
      </c>
      <c r="B1514" s="17">
        <f t="shared" si="275"/>
        <v>13.411199999999999</v>
      </c>
      <c r="C1514" s="16">
        <f>Specification!$G$32</f>
        <v>219.92450400000001</v>
      </c>
      <c r="D1514" s="17">
        <f>0.5*Specification!$K$4*Track!B1514^2*Specification!$K$3*Specification!$K$2</f>
        <v>93.159842569492653</v>
      </c>
      <c r="E1514" s="16">
        <v>0</v>
      </c>
      <c r="F1514" s="17">
        <f>Specification!$C$23*9.81*SIN((E1514*PI()/180))</f>
        <v>0</v>
      </c>
      <c r="G1514" s="18">
        <f>IF(J1514=1,VLOOKUP(K1514,RPM!$E$2:$H$62,3,FALSE)-F1514-E1514-D1514,IF(J1514=2,VLOOKUP(K1514,RPM!$H$2:$K$62,3,FALSE)-F1514-E1514-D1514,IF(J1514=3,VLOOKUP(K1514,RPM!$K$2:$N$62,3,FALSE)-F1514-E1514-D1514)))</f>
        <v>688.48526429214962</v>
      </c>
      <c r="H1514" s="19">
        <f>IF(J1514=1,Specification!$I$14,IF(J1514=2,Specification!$I$15,IF(J1514=3,Specification!$I$16)))</f>
        <v>582.50936296077191</v>
      </c>
      <c r="I1514" s="16">
        <f t="shared" si="285"/>
        <v>0</v>
      </c>
      <c r="J1514" s="17">
        <v>2</v>
      </c>
      <c r="K1514" s="16">
        <f>IF(J1514=1,VLOOKUP(B1514,RPM!$F$2:$H$62,3,TRUE),IF(J1514=2,VLOOKUP(B1514,RPM!$I$2:$K$62,3,TRUE),IF(J1514=3,VLOOKUP(B1514,RPM!$L$2:$N$62,3,TRUE))))</f>
        <v>7000</v>
      </c>
      <c r="L1514" s="17">
        <f t="shared" si="284"/>
        <v>117.0914940410876</v>
      </c>
      <c r="M1514" s="16">
        <f t="shared" si="274"/>
        <v>0</v>
      </c>
      <c r="N1514" s="17">
        <f>VLOOKUP(K1514,RPM!$A$2:$D$62,3,FALSE)</f>
        <v>13</v>
      </c>
      <c r="O1514" s="16">
        <f>VLOOKUP(K1514,RPM!$A$2:$D$62,4,FALSE)</f>
        <v>13.235857142857142</v>
      </c>
      <c r="P1514" s="17">
        <f t="shared" si="276"/>
        <v>9.8699786714285711</v>
      </c>
      <c r="Q1514" s="16" cm="1">
        <f t="array" ref="Q1514">_xlfn.XLOOKUP(O1514,BSFC!$A$2:$A$24,_xlfn.XLOOKUP(K1514,BSFC!$B$1:$O$1,BSFC!$B$2:$O$24,,-1),,-1)</f>
        <v>520</v>
      </c>
      <c r="R1514" s="17">
        <f t="shared" si="277"/>
        <v>1.425663585873016</v>
      </c>
      <c r="S1514" s="16">
        <f t="shared" si="278"/>
        <v>2.0443068048074323E-4</v>
      </c>
      <c r="T1514" s="17">
        <f t="shared" si="281"/>
        <v>0.10630395384998648</v>
      </c>
      <c r="U1514" s="16">
        <f t="shared" si="282"/>
        <v>192.26525240074304</v>
      </c>
      <c r="V1514" s="17">
        <f t="shared" si="283"/>
        <v>0.39362566676525024</v>
      </c>
      <c r="W1514" s="16">
        <f t="shared" si="279"/>
        <v>1417052.4003549009</v>
      </c>
      <c r="X1514">
        <f>('Hybrid Info'!$A$2-Track!P1514)*(L1514-L1513)*1000+X1513</f>
        <v>-2917.6478366288502</v>
      </c>
    </row>
    <row r="1515" spans="1:24">
      <c r="A1515" s="16">
        <f t="shared" si="280"/>
        <v>1514</v>
      </c>
      <c r="B1515" s="17">
        <f t="shared" si="275"/>
        <v>13.411199999999999</v>
      </c>
      <c r="C1515" s="16">
        <f>Specification!$G$32</f>
        <v>219.92450400000001</v>
      </c>
      <c r="D1515" s="17">
        <f>0.5*Specification!$K$4*Track!B1515^2*Specification!$K$3*Specification!$K$2</f>
        <v>93.159842569492653</v>
      </c>
      <c r="E1515" s="16">
        <v>0</v>
      </c>
      <c r="F1515" s="17">
        <f>Specification!$C$23*9.81*SIN((E1515*PI()/180))</f>
        <v>0</v>
      </c>
      <c r="G1515" s="18">
        <f>IF(J1515=1,VLOOKUP(K1515,RPM!$E$2:$H$62,3,FALSE)-F1515-E1515-D1515,IF(J1515=2,VLOOKUP(K1515,RPM!$H$2:$K$62,3,FALSE)-F1515-E1515-D1515,IF(J1515=3,VLOOKUP(K1515,RPM!$K$2:$N$62,3,FALSE)-F1515-E1515-D1515)))</f>
        <v>688.48526429214962</v>
      </c>
      <c r="H1515" s="19">
        <f>IF(J1515=1,Specification!$I$14,IF(J1515=2,Specification!$I$15,IF(J1515=3,Specification!$I$16)))</f>
        <v>582.50936296077191</v>
      </c>
      <c r="I1515" s="16">
        <f t="shared" si="285"/>
        <v>0</v>
      </c>
      <c r="J1515" s="17">
        <v>2</v>
      </c>
      <c r="K1515" s="16">
        <f>IF(J1515=1,VLOOKUP(B1515,RPM!$F$2:$H$62,3,TRUE),IF(J1515=2,VLOOKUP(B1515,RPM!$I$2:$K$62,3,TRUE),IF(J1515=3,VLOOKUP(B1515,RPM!$L$2:$N$62,3,TRUE))))</f>
        <v>7000</v>
      </c>
      <c r="L1515" s="17">
        <f t="shared" si="284"/>
        <v>117.16605858415608</v>
      </c>
      <c r="M1515" s="16">
        <f t="shared" si="274"/>
        <v>0</v>
      </c>
      <c r="N1515" s="17">
        <f>VLOOKUP(K1515,RPM!$A$2:$D$62,3,FALSE)</f>
        <v>13</v>
      </c>
      <c r="O1515" s="16">
        <f>VLOOKUP(K1515,RPM!$A$2:$D$62,4,FALSE)</f>
        <v>13.235857142857142</v>
      </c>
      <c r="P1515" s="17">
        <f t="shared" si="276"/>
        <v>9.8699786714285711</v>
      </c>
      <c r="Q1515" s="16" cm="1">
        <f t="array" ref="Q1515">_xlfn.XLOOKUP(O1515,BSFC!$A$2:$A$24,_xlfn.XLOOKUP(K1515,BSFC!$B$1:$O$1,BSFC!$B$2:$O$24,,-1),,-1)</f>
        <v>520</v>
      </c>
      <c r="R1515" s="17">
        <f t="shared" si="277"/>
        <v>1.425663585873016</v>
      </c>
      <c r="S1515" s="16">
        <f t="shared" si="278"/>
        <v>2.0443068048074323E-4</v>
      </c>
      <c r="T1515" s="17">
        <f t="shared" si="281"/>
        <v>0.10630395384998648</v>
      </c>
      <c r="U1515" s="16">
        <f t="shared" si="282"/>
        <v>192.37155635459303</v>
      </c>
      <c r="V1515" s="17">
        <f t="shared" si="283"/>
        <v>0.393830097445731</v>
      </c>
      <c r="W1515" s="16">
        <f t="shared" si="279"/>
        <v>1417788.3508046316</v>
      </c>
      <c r="X1515">
        <f>('Hybrid Info'!$A$2-Track!P1515)*(L1515-L1514)*1000+X1514</f>
        <v>-2749.8421276425979</v>
      </c>
    </row>
    <row r="1516" spans="1:24">
      <c r="A1516" s="16">
        <f t="shared" si="280"/>
        <v>1515</v>
      </c>
      <c r="B1516" s="17">
        <f t="shared" si="275"/>
        <v>13.411199999999999</v>
      </c>
      <c r="C1516" s="16">
        <f>Specification!$G$32</f>
        <v>219.92450400000001</v>
      </c>
      <c r="D1516" s="17">
        <f>0.5*Specification!$K$4*Track!B1516^2*Specification!$K$3*Specification!$K$2</f>
        <v>93.159842569492653</v>
      </c>
      <c r="E1516" s="16">
        <v>0</v>
      </c>
      <c r="F1516" s="17">
        <f>Specification!$C$23*9.81*SIN((E1516*PI()/180))</f>
        <v>0</v>
      </c>
      <c r="G1516" s="18">
        <f>IF(J1516=1,VLOOKUP(K1516,RPM!$E$2:$H$62,3,FALSE)-F1516-E1516-D1516,IF(J1516=2,VLOOKUP(K1516,RPM!$H$2:$K$62,3,FALSE)-F1516-E1516-D1516,IF(J1516=3,VLOOKUP(K1516,RPM!$K$2:$N$62,3,FALSE)-F1516-E1516-D1516)))</f>
        <v>688.48526429214962</v>
      </c>
      <c r="H1516" s="19">
        <f>IF(J1516=1,Specification!$I$14,IF(J1516=2,Specification!$I$15,IF(J1516=3,Specification!$I$16)))</f>
        <v>582.50936296077191</v>
      </c>
      <c r="I1516" s="16">
        <f t="shared" si="285"/>
        <v>0</v>
      </c>
      <c r="J1516" s="17">
        <v>2</v>
      </c>
      <c r="K1516" s="16">
        <f>IF(J1516=1,VLOOKUP(B1516,RPM!$F$2:$H$62,3,TRUE),IF(J1516=2,VLOOKUP(B1516,RPM!$I$2:$K$62,3,TRUE),IF(J1516=3,VLOOKUP(B1516,RPM!$L$2:$N$62,3,TRUE))))</f>
        <v>7000</v>
      </c>
      <c r="L1516" s="17">
        <f t="shared" si="284"/>
        <v>117.24062312722455</v>
      </c>
      <c r="M1516" s="16">
        <f t="shared" si="274"/>
        <v>0</v>
      </c>
      <c r="N1516" s="17">
        <f>VLOOKUP(K1516,RPM!$A$2:$D$62,3,FALSE)</f>
        <v>13</v>
      </c>
      <c r="O1516" s="16">
        <f>VLOOKUP(K1516,RPM!$A$2:$D$62,4,FALSE)</f>
        <v>13.235857142857142</v>
      </c>
      <c r="P1516" s="17">
        <f t="shared" si="276"/>
        <v>9.8699786714285711</v>
      </c>
      <c r="Q1516" s="16" cm="1">
        <f t="array" ref="Q1516">_xlfn.XLOOKUP(O1516,BSFC!$A$2:$A$24,_xlfn.XLOOKUP(K1516,BSFC!$B$1:$O$1,BSFC!$B$2:$O$24,,-1),,-1)</f>
        <v>520</v>
      </c>
      <c r="R1516" s="17">
        <f t="shared" si="277"/>
        <v>1.425663585873016</v>
      </c>
      <c r="S1516" s="16">
        <f t="shared" si="278"/>
        <v>2.0443068048074323E-4</v>
      </c>
      <c r="T1516" s="17">
        <f t="shared" si="281"/>
        <v>0.10630395384998648</v>
      </c>
      <c r="U1516" s="16">
        <f t="shared" si="282"/>
        <v>192.47786030844301</v>
      </c>
      <c r="V1516" s="17">
        <f t="shared" si="283"/>
        <v>0.39403452812621176</v>
      </c>
      <c r="W1516" s="16">
        <f t="shared" si="279"/>
        <v>1418524.3012543623</v>
      </c>
      <c r="X1516">
        <f>('Hybrid Info'!$A$2-Track!P1516)*(L1516-L1515)*1000+X1515</f>
        <v>-2582.0364186563456</v>
      </c>
    </row>
    <row r="1517" spans="1:24">
      <c r="A1517" s="16">
        <f t="shared" si="280"/>
        <v>1516</v>
      </c>
      <c r="B1517" s="17">
        <f t="shared" si="275"/>
        <v>13.411199999999999</v>
      </c>
      <c r="C1517" s="16">
        <f>Specification!$G$32</f>
        <v>219.92450400000001</v>
      </c>
      <c r="D1517" s="17">
        <f>0.5*Specification!$K$4*Track!B1517^2*Specification!$K$3*Specification!$K$2</f>
        <v>93.159842569492653</v>
      </c>
      <c r="E1517" s="16">
        <v>0</v>
      </c>
      <c r="F1517" s="17">
        <f>Specification!$C$23*9.81*SIN((E1517*PI()/180))</f>
        <v>0</v>
      </c>
      <c r="G1517" s="18">
        <f>IF(J1517=1,VLOOKUP(K1517,RPM!$E$2:$H$62,3,FALSE)-F1517-E1517-D1517,IF(J1517=2,VLOOKUP(K1517,RPM!$H$2:$K$62,3,FALSE)-F1517-E1517-D1517,IF(J1517=3,VLOOKUP(K1517,RPM!$K$2:$N$62,3,FALSE)-F1517-E1517-D1517)))</f>
        <v>688.48526429214962</v>
      </c>
      <c r="H1517" s="19">
        <f>IF(J1517=1,Specification!$I$14,IF(J1517=2,Specification!$I$15,IF(J1517=3,Specification!$I$16)))</f>
        <v>582.50936296077191</v>
      </c>
      <c r="I1517" s="16">
        <f t="shared" si="285"/>
        <v>0</v>
      </c>
      <c r="J1517" s="17">
        <v>2</v>
      </c>
      <c r="K1517" s="16">
        <f>IF(J1517=1,VLOOKUP(B1517,RPM!$F$2:$H$62,3,TRUE),IF(J1517=2,VLOOKUP(B1517,RPM!$I$2:$K$62,3,TRUE),IF(J1517=3,VLOOKUP(B1517,RPM!$L$2:$N$62,3,TRUE))))</f>
        <v>7000</v>
      </c>
      <c r="L1517" s="17">
        <f t="shared" si="284"/>
        <v>117.31518767029303</v>
      </c>
      <c r="M1517" s="16">
        <f t="shared" si="274"/>
        <v>0</v>
      </c>
      <c r="N1517" s="17">
        <f>VLOOKUP(K1517,RPM!$A$2:$D$62,3,FALSE)</f>
        <v>13</v>
      </c>
      <c r="O1517" s="16">
        <f>VLOOKUP(K1517,RPM!$A$2:$D$62,4,FALSE)</f>
        <v>13.235857142857142</v>
      </c>
      <c r="P1517" s="17">
        <f t="shared" si="276"/>
        <v>9.8699786714285711</v>
      </c>
      <c r="Q1517" s="16" cm="1">
        <f t="array" ref="Q1517">_xlfn.XLOOKUP(O1517,BSFC!$A$2:$A$24,_xlfn.XLOOKUP(K1517,BSFC!$B$1:$O$1,BSFC!$B$2:$O$24,,-1),,-1)</f>
        <v>520</v>
      </c>
      <c r="R1517" s="17">
        <f t="shared" si="277"/>
        <v>1.425663585873016</v>
      </c>
      <c r="S1517" s="16">
        <f t="shared" si="278"/>
        <v>2.0443068048074323E-4</v>
      </c>
      <c r="T1517" s="17">
        <f t="shared" si="281"/>
        <v>0.10630395384998648</v>
      </c>
      <c r="U1517" s="16">
        <f t="shared" si="282"/>
        <v>192.584164262293</v>
      </c>
      <c r="V1517" s="17">
        <f t="shared" si="283"/>
        <v>0.39423895880669252</v>
      </c>
      <c r="W1517" s="16">
        <f t="shared" si="279"/>
        <v>1419260.2517040931</v>
      </c>
      <c r="X1517">
        <f>('Hybrid Info'!$A$2-Track!P1517)*(L1517-L1516)*1000+X1516</f>
        <v>-2414.2307096700933</v>
      </c>
    </row>
    <row r="1518" spans="1:24">
      <c r="A1518" s="16">
        <f t="shared" si="280"/>
        <v>1517</v>
      </c>
      <c r="B1518" s="17">
        <f t="shared" si="275"/>
        <v>13.411199999999999</v>
      </c>
      <c r="C1518" s="16">
        <f>Specification!$G$32</f>
        <v>219.92450400000001</v>
      </c>
      <c r="D1518" s="17">
        <f>0.5*Specification!$K$4*Track!B1518^2*Specification!$K$3*Specification!$K$2</f>
        <v>93.159842569492653</v>
      </c>
      <c r="E1518" s="16">
        <v>0</v>
      </c>
      <c r="F1518" s="17">
        <f>Specification!$C$23*9.81*SIN((E1518*PI()/180))</f>
        <v>0</v>
      </c>
      <c r="G1518" s="18">
        <f>IF(J1518=1,VLOOKUP(K1518,RPM!$E$2:$H$62,3,FALSE)-F1518-E1518-D1518,IF(J1518=2,VLOOKUP(K1518,RPM!$H$2:$K$62,3,FALSE)-F1518-E1518-D1518,IF(J1518=3,VLOOKUP(K1518,RPM!$K$2:$N$62,3,FALSE)-F1518-E1518-D1518)))</f>
        <v>688.48526429214962</v>
      </c>
      <c r="H1518" s="19">
        <f>IF(J1518=1,Specification!$I$14,IF(J1518=2,Specification!$I$15,IF(J1518=3,Specification!$I$16)))</f>
        <v>582.50936296077191</v>
      </c>
      <c r="I1518" s="16">
        <f t="shared" si="285"/>
        <v>0</v>
      </c>
      <c r="J1518" s="17">
        <v>2</v>
      </c>
      <c r="K1518" s="16">
        <f>IF(J1518=1,VLOOKUP(B1518,RPM!$F$2:$H$62,3,TRUE),IF(J1518=2,VLOOKUP(B1518,RPM!$I$2:$K$62,3,TRUE),IF(J1518=3,VLOOKUP(B1518,RPM!$L$2:$N$62,3,TRUE))))</f>
        <v>7000</v>
      </c>
      <c r="L1518" s="17">
        <f t="shared" si="284"/>
        <v>117.3897522133615</v>
      </c>
      <c r="M1518" s="16">
        <f t="shared" ref="M1518:M1581" si="286">TAN(E1518*PI()/180)+M1517</f>
        <v>0</v>
      </c>
      <c r="N1518" s="17">
        <f>VLOOKUP(K1518,RPM!$A$2:$D$62,3,FALSE)</f>
        <v>13</v>
      </c>
      <c r="O1518" s="16">
        <f>VLOOKUP(K1518,RPM!$A$2:$D$62,4,FALSE)</f>
        <v>13.235857142857142</v>
      </c>
      <c r="P1518" s="17">
        <f t="shared" si="276"/>
        <v>9.8699786714285711</v>
      </c>
      <c r="Q1518" s="16" cm="1">
        <f t="array" ref="Q1518">_xlfn.XLOOKUP(O1518,BSFC!$A$2:$A$24,_xlfn.XLOOKUP(K1518,BSFC!$B$1:$O$1,BSFC!$B$2:$O$24,,-1),,-1)</f>
        <v>520</v>
      </c>
      <c r="R1518" s="17">
        <f t="shared" si="277"/>
        <v>1.425663585873016</v>
      </c>
      <c r="S1518" s="16">
        <f t="shared" si="278"/>
        <v>2.0443068048074323E-4</v>
      </c>
      <c r="T1518" s="17">
        <f t="shared" si="281"/>
        <v>0.10630395384998648</v>
      </c>
      <c r="U1518" s="16">
        <f t="shared" si="282"/>
        <v>192.69046821614299</v>
      </c>
      <c r="V1518" s="17">
        <f t="shared" si="283"/>
        <v>0.39444338948717328</v>
      </c>
      <c r="W1518" s="16">
        <f t="shared" si="279"/>
        <v>1419996.2021538238</v>
      </c>
      <c r="X1518">
        <f>('Hybrid Info'!$A$2-Track!P1518)*(L1518-L1517)*1000+X1517</f>
        <v>-2246.4250006838411</v>
      </c>
    </row>
    <row r="1519" spans="1:24">
      <c r="A1519" s="16">
        <f t="shared" si="280"/>
        <v>1518</v>
      </c>
      <c r="B1519" s="17">
        <f t="shared" si="275"/>
        <v>13.411199999999999</v>
      </c>
      <c r="C1519" s="16">
        <f>Specification!$G$32</f>
        <v>219.92450400000001</v>
      </c>
      <c r="D1519" s="17">
        <f>0.5*Specification!$K$4*Track!B1519^2*Specification!$K$3*Specification!$K$2</f>
        <v>93.159842569492653</v>
      </c>
      <c r="E1519" s="16">
        <v>0</v>
      </c>
      <c r="F1519" s="17">
        <f>Specification!$C$23*9.81*SIN((E1519*PI()/180))</f>
        <v>0</v>
      </c>
      <c r="G1519" s="18">
        <f>IF(J1519=1,VLOOKUP(K1519,RPM!$E$2:$H$62,3,FALSE)-F1519-E1519-D1519,IF(J1519=2,VLOOKUP(K1519,RPM!$H$2:$K$62,3,FALSE)-F1519-E1519-D1519,IF(J1519=3,VLOOKUP(K1519,RPM!$K$2:$N$62,3,FALSE)-F1519-E1519-D1519)))</f>
        <v>688.48526429214962</v>
      </c>
      <c r="H1519" s="19">
        <f>IF(J1519=1,Specification!$I$14,IF(J1519=2,Specification!$I$15,IF(J1519=3,Specification!$I$16)))</f>
        <v>582.50936296077191</v>
      </c>
      <c r="I1519" s="16">
        <f t="shared" si="285"/>
        <v>0</v>
      </c>
      <c r="J1519" s="17">
        <v>2</v>
      </c>
      <c r="K1519" s="16">
        <f>IF(J1519=1,VLOOKUP(B1519,RPM!$F$2:$H$62,3,TRUE),IF(J1519=2,VLOOKUP(B1519,RPM!$I$2:$K$62,3,TRUE),IF(J1519=3,VLOOKUP(B1519,RPM!$L$2:$N$62,3,TRUE))))</f>
        <v>7000</v>
      </c>
      <c r="L1519" s="17">
        <f t="shared" si="284"/>
        <v>117.46431675642998</v>
      </c>
      <c r="M1519" s="16">
        <f t="shared" si="286"/>
        <v>0</v>
      </c>
      <c r="N1519" s="17">
        <f>VLOOKUP(K1519,RPM!$A$2:$D$62,3,FALSE)</f>
        <v>13</v>
      </c>
      <c r="O1519" s="16">
        <f>VLOOKUP(K1519,RPM!$A$2:$D$62,4,FALSE)</f>
        <v>13.235857142857142</v>
      </c>
      <c r="P1519" s="17">
        <f t="shared" si="276"/>
        <v>9.8699786714285711</v>
      </c>
      <c r="Q1519" s="16" cm="1">
        <f t="array" ref="Q1519">_xlfn.XLOOKUP(O1519,BSFC!$A$2:$A$24,_xlfn.XLOOKUP(K1519,BSFC!$B$1:$O$1,BSFC!$B$2:$O$24,,-1),,-1)</f>
        <v>520</v>
      </c>
      <c r="R1519" s="17">
        <f t="shared" si="277"/>
        <v>1.425663585873016</v>
      </c>
      <c r="S1519" s="16">
        <f t="shared" si="278"/>
        <v>2.0443068048074323E-4</v>
      </c>
      <c r="T1519" s="17">
        <f t="shared" si="281"/>
        <v>0.10630395384998648</v>
      </c>
      <c r="U1519" s="16">
        <f t="shared" si="282"/>
        <v>192.79677216999298</v>
      </c>
      <c r="V1519" s="17">
        <f t="shared" si="283"/>
        <v>0.39464782016765404</v>
      </c>
      <c r="W1519" s="16">
        <f t="shared" si="279"/>
        <v>1420732.1526035545</v>
      </c>
      <c r="X1519">
        <f>('Hybrid Info'!$A$2-Track!P1519)*(L1519-L1518)*1000+X1518</f>
        <v>-2078.6192916975888</v>
      </c>
    </row>
    <row r="1520" spans="1:24">
      <c r="A1520" s="16">
        <f t="shared" si="280"/>
        <v>1519</v>
      </c>
      <c r="B1520" s="17">
        <f t="shared" si="275"/>
        <v>13.411199999999999</v>
      </c>
      <c r="C1520" s="16">
        <f>Specification!$G$32</f>
        <v>219.92450400000001</v>
      </c>
      <c r="D1520" s="17">
        <f>0.5*Specification!$K$4*Track!B1520^2*Specification!$K$3*Specification!$K$2</f>
        <v>93.159842569492653</v>
      </c>
      <c r="E1520" s="16">
        <v>0</v>
      </c>
      <c r="F1520" s="17">
        <f>Specification!$C$23*9.81*SIN((E1520*PI()/180))</f>
        <v>0</v>
      </c>
      <c r="G1520" s="18">
        <f>IF(J1520=1,VLOOKUP(K1520,RPM!$E$2:$H$62,3,FALSE)-F1520-E1520-D1520,IF(J1520=2,VLOOKUP(K1520,RPM!$H$2:$K$62,3,FALSE)-F1520-E1520-D1520,IF(J1520=3,VLOOKUP(K1520,RPM!$K$2:$N$62,3,FALSE)-F1520-E1520-D1520)))</f>
        <v>688.48526429214962</v>
      </c>
      <c r="H1520" s="19">
        <f>IF(J1520=1,Specification!$I$14,IF(J1520=2,Specification!$I$15,IF(J1520=3,Specification!$I$16)))</f>
        <v>582.50936296077191</v>
      </c>
      <c r="I1520" s="16">
        <f t="shared" si="285"/>
        <v>0</v>
      </c>
      <c r="J1520" s="17">
        <v>2</v>
      </c>
      <c r="K1520" s="16">
        <f>IF(J1520=1,VLOOKUP(B1520,RPM!$F$2:$H$62,3,TRUE),IF(J1520=2,VLOOKUP(B1520,RPM!$I$2:$K$62,3,TRUE),IF(J1520=3,VLOOKUP(B1520,RPM!$L$2:$N$62,3,TRUE))))</f>
        <v>7000</v>
      </c>
      <c r="L1520" s="17">
        <f t="shared" si="284"/>
        <v>117.53888129949846</v>
      </c>
      <c r="M1520" s="16">
        <f t="shared" si="286"/>
        <v>0</v>
      </c>
      <c r="N1520" s="17">
        <f>VLOOKUP(K1520,RPM!$A$2:$D$62,3,FALSE)</f>
        <v>13</v>
      </c>
      <c r="O1520" s="16">
        <f>VLOOKUP(K1520,RPM!$A$2:$D$62,4,FALSE)</f>
        <v>13.235857142857142</v>
      </c>
      <c r="P1520" s="17">
        <f t="shared" si="276"/>
        <v>9.8699786714285711</v>
      </c>
      <c r="Q1520" s="16" cm="1">
        <f t="array" ref="Q1520">_xlfn.XLOOKUP(O1520,BSFC!$A$2:$A$24,_xlfn.XLOOKUP(K1520,BSFC!$B$1:$O$1,BSFC!$B$2:$O$24,,-1),,-1)</f>
        <v>520</v>
      </c>
      <c r="R1520" s="17">
        <f t="shared" si="277"/>
        <v>1.425663585873016</v>
      </c>
      <c r="S1520" s="16">
        <f t="shared" si="278"/>
        <v>2.0443068048074323E-4</v>
      </c>
      <c r="T1520" s="17">
        <f t="shared" si="281"/>
        <v>0.10630395384998648</v>
      </c>
      <c r="U1520" s="16">
        <f t="shared" si="282"/>
        <v>192.90307612384296</v>
      </c>
      <c r="V1520" s="17">
        <f t="shared" si="283"/>
        <v>0.3948522508481348</v>
      </c>
      <c r="W1520" s="16">
        <f t="shared" si="279"/>
        <v>1421468.1030532853</v>
      </c>
      <c r="X1520">
        <f>('Hybrid Info'!$A$2-Track!P1520)*(L1520-L1519)*1000+X1519</f>
        <v>-1910.8135827113365</v>
      </c>
    </row>
    <row r="1521" spans="1:24">
      <c r="A1521" s="16">
        <f t="shared" si="280"/>
        <v>1520</v>
      </c>
      <c r="B1521" s="17">
        <f t="shared" ref="B1521:B1584" si="287">IF(SQRT(B1520^2+2*I1520)&gt;13.4112,13.4112,SQRT(B1520^2+2*I1520))</f>
        <v>13.411199999999999</v>
      </c>
      <c r="C1521" s="16">
        <f>Specification!$G$32</f>
        <v>219.92450400000001</v>
      </c>
      <c r="D1521" s="17">
        <f>0.5*Specification!$K$4*Track!B1521^2*Specification!$K$3*Specification!$K$2</f>
        <v>93.159842569492653</v>
      </c>
      <c r="E1521" s="16">
        <v>0</v>
      </c>
      <c r="F1521" s="17">
        <f>Specification!$C$23*9.81*SIN((E1521*PI()/180))</f>
        <v>0</v>
      </c>
      <c r="G1521" s="18">
        <f>IF(J1521=1,VLOOKUP(K1521,RPM!$E$2:$H$62,3,FALSE)-F1521-E1521-D1521,IF(J1521=2,VLOOKUP(K1521,RPM!$H$2:$K$62,3,FALSE)-F1521-E1521-D1521,IF(J1521=3,VLOOKUP(K1521,RPM!$K$2:$N$62,3,FALSE)-F1521-E1521-D1521)))</f>
        <v>688.48526429214962</v>
      </c>
      <c r="H1521" s="19">
        <f>IF(J1521=1,Specification!$I$14,IF(J1521=2,Specification!$I$15,IF(J1521=3,Specification!$I$16)))</f>
        <v>582.50936296077191</v>
      </c>
      <c r="I1521" s="16">
        <f t="shared" si="285"/>
        <v>0</v>
      </c>
      <c r="J1521" s="17">
        <v>2</v>
      </c>
      <c r="K1521" s="16">
        <f>IF(J1521=1,VLOOKUP(B1521,RPM!$F$2:$H$62,3,TRUE),IF(J1521=2,VLOOKUP(B1521,RPM!$I$2:$K$62,3,TRUE),IF(J1521=3,VLOOKUP(B1521,RPM!$L$2:$N$62,3,TRUE))))</f>
        <v>7000</v>
      </c>
      <c r="L1521" s="17">
        <f t="shared" si="284"/>
        <v>117.61344584256693</v>
      </c>
      <c r="M1521" s="16">
        <f t="shared" si="286"/>
        <v>0</v>
      </c>
      <c r="N1521" s="17">
        <f>VLOOKUP(K1521,RPM!$A$2:$D$62,3,FALSE)</f>
        <v>13</v>
      </c>
      <c r="O1521" s="16">
        <f>VLOOKUP(K1521,RPM!$A$2:$D$62,4,FALSE)</f>
        <v>13.235857142857142</v>
      </c>
      <c r="P1521" s="17">
        <f t="shared" si="276"/>
        <v>9.8699786714285711</v>
      </c>
      <c r="Q1521" s="16" cm="1">
        <f t="array" ref="Q1521">_xlfn.XLOOKUP(O1521,BSFC!$A$2:$A$24,_xlfn.XLOOKUP(K1521,BSFC!$B$1:$O$1,BSFC!$B$2:$O$24,,-1),,-1)</f>
        <v>520</v>
      </c>
      <c r="R1521" s="17">
        <f t="shared" si="277"/>
        <v>1.425663585873016</v>
      </c>
      <c r="S1521" s="16">
        <f t="shared" si="278"/>
        <v>2.0443068048074323E-4</v>
      </c>
      <c r="T1521" s="17">
        <f t="shared" si="281"/>
        <v>0.10630395384998648</v>
      </c>
      <c r="U1521" s="16">
        <f t="shared" si="282"/>
        <v>193.00938007769295</v>
      </c>
      <c r="V1521" s="17">
        <f t="shared" si="283"/>
        <v>0.39505668152861556</v>
      </c>
      <c r="W1521" s="16">
        <f t="shared" si="279"/>
        <v>1422204.053503016</v>
      </c>
      <c r="X1521">
        <f>('Hybrid Info'!$A$2-Track!P1521)*(L1521-L1520)*1000+X1520</f>
        <v>-1743.0078737250842</v>
      </c>
    </row>
    <row r="1522" spans="1:24">
      <c r="A1522" s="16">
        <f t="shared" si="280"/>
        <v>1521</v>
      </c>
      <c r="B1522" s="17">
        <f t="shared" si="287"/>
        <v>13.411199999999999</v>
      </c>
      <c r="C1522" s="16">
        <f>Specification!$G$32</f>
        <v>219.92450400000001</v>
      </c>
      <c r="D1522" s="17">
        <f>0.5*Specification!$K$4*Track!B1522^2*Specification!$K$3*Specification!$K$2</f>
        <v>93.159842569492653</v>
      </c>
      <c r="E1522" s="16">
        <v>0</v>
      </c>
      <c r="F1522" s="17">
        <f>Specification!$C$23*9.81*SIN((E1522*PI()/180))</f>
        <v>0</v>
      </c>
      <c r="G1522" s="18">
        <f>IF(J1522=1,VLOOKUP(K1522,RPM!$E$2:$H$62,3,FALSE)-F1522-E1522-D1522,IF(J1522=2,VLOOKUP(K1522,RPM!$H$2:$K$62,3,FALSE)-F1522-E1522-D1522,IF(J1522=3,VLOOKUP(K1522,RPM!$K$2:$N$62,3,FALSE)-F1522-E1522-D1522)))</f>
        <v>688.48526429214962</v>
      </c>
      <c r="H1522" s="19">
        <f>IF(J1522=1,Specification!$I$14,IF(J1522=2,Specification!$I$15,IF(J1522=3,Specification!$I$16)))</f>
        <v>582.50936296077191</v>
      </c>
      <c r="I1522" s="16">
        <f t="shared" si="285"/>
        <v>0</v>
      </c>
      <c r="J1522" s="17">
        <v>2</v>
      </c>
      <c r="K1522" s="16">
        <f>IF(J1522=1,VLOOKUP(B1522,RPM!$F$2:$H$62,3,TRUE),IF(J1522=2,VLOOKUP(B1522,RPM!$I$2:$K$62,3,TRUE),IF(J1522=3,VLOOKUP(B1522,RPM!$L$2:$N$62,3,TRUE))))</f>
        <v>7000</v>
      </c>
      <c r="L1522" s="17">
        <f t="shared" si="284"/>
        <v>117.68801038563541</v>
      </c>
      <c r="M1522" s="16">
        <f t="shared" si="286"/>
        <v>0</v>
      </c>
      <c r="N1522" s="17">
        <f>VLOOKUP(K1522,RPM!$A$2:$D$62,3,FALSE)</f>
        <v>13</v>
      </c>
      <c r="O1522" s="16">
        <f>VLOOKUP(K1522,RPM!$A$2:$D$62,4,FALSE)</f>
        <v>13.235857142857142</v>
      </c>
      <c r="P1522" s="17">
        <f t="shared" si="276"/>
        <v>9.8699786714285711</v>
      </c>
      <c r="Q1522" s="16" cm="1">
        <f t="array" ref="Q1522">_xlfn.XLOOKUP(O1522,BSFC!$A$2:$A$24,_xlfn.XLOOKUP(K1522,BSFC!$B$1:$O$1,BSFC!$B$2:$O$24,,-1),,-1)</f>
        <v>520</v>
      </c>
      <c r="R1522" s="17">
        <f t="shared" si="277"/>
        <v>1.425663585873016</v>
      </c>
      <c r="S1522" s="16">
        <f t="shared" si="278"/>
        <v>2.0443068048074323E-4</v>
      </c>
      <c r="T1522" s="17">
        <f t="shared" si="281"/>
        <v>0.10630395384998648</v>
      </c>
      <c r="U1522" s="16">
        <f t="shared" si="282"/>
        <v>193.11568403154294</v>
      </c>
      <c r="V1522" s="17">
        <f t="shared" si="283"/>
        <v>0.39526111220909632</v>
      </c>
      <c r="W1522" s="16">
        <f t="shared" si="279"/>
        <v>1422940.0039527467</v>
      </c>
      <c r="X1522">
        <f>('Hybrid Info'!$A$2-Track!P1522)*(L1522-L1521)*1000+X1521</f>
        <v>-1575.2021647388319</v>
      </c>
    </row>
    <row r="1523" spans="1:24">
      <c r="A1523" s="16">
        <f t="shared" si="280"/>
        <v>1522</v>
      </c>
      <c r="B1523" s="17">
        <f t="shared" si="287"/>
        <v>13.411199999999999</v>
      </c>
      <c r="C1523" s="16">
        <f>Specification!$G$32</f>
        <v>219.92450400000001</v>
      </c>
      <c r="D1523" s="17">
        <f>0.5*Specification!$K$4*Track!B1523^2*Specification!$K$3*Specification!$K$2</f>
        <v>93.159842569492653</v>
      </c>
      <c r="E1523" s="16">
        <v>0</v>
      </c>
      <c r="F1523" s="17">
        <f>Specification!$C$23*9.81*SIN((E1523*PI()/180))</f>
        <v>0</v>
      </c>
      <c r="G1523" s="18">
        <f>IF(J1523=1,VLOOKUP(K1523,RPM!$E$2:$H$62,3,FALSE)-F1523-E1523-D1523,IF(J1523=2,VLOOKUP(K1523,RPM!$H$2:$K$62,3,FALSE)-F1523-E1523-D1523,IF(J1523=3,VLOOKUP(K1523,RPM!$K$2:$N$62,3,FALSE)-F1523-E1523-D1523)))</f>
        <v>688.48526429214962</v>
      </c>
      <c r="H1523" s="19">
        <f>IF(J1523=1,Specification!$I$14,IF(J1523=2,Specification!$I$15,IF(J1523=3,Specification!$I$16)))</f>
        <v>582.50936296077191</v>
      </c>
      <c r="I1523" s="16">
        <f t="shared" si="285"/>
        <v>0</v>
      </c>
      <c r="J1523" s="17">
        <v>2</v>
      </c>
      <c r="K1523" s="16">
        <f>IF(J1523=1,VLOOKUP(B1523,RPM!$F$2:$H$62,3,TRUE),IF(J1523=2,VLOOKUP(B1523,RPM!$I$2:$K$62,3,TRUE),IF(J1523=3,VLOOKUP(B1523,RPM!$L$2:$N$62,3,TRUE))))</f>
        <v>7000</v>
      </c>
      <c r="L1523" s="17">
        <f t="shared" si="284"/>
        <v>117.76257492870388</v>
      </c>
      <c r="M1523" s="16">
        <f t="shared" si="286"/>
        <v>0</v>
      </c>
      <c r="N1523" s="17">
        <f>VLOOKUP(K1523,RPM!$A$2:$D$62,3,FALSE)</f>
        <v>13</v>
      </c>
      <c r="O1523" s="16">
        <f>VLOOKUP(K1523,RPM!$A$2:$D$62,4,FALSE)</f>
        <v>13.235857142857142</v>
      </c>
      <c r="P1523" s="17">
        <f t="shared" si="276"/>
        <v>9.8699786714285711</v>
      </c>
      <c r="Q1523" s="16" cm="1">
        <f t="array" ref="Q1523">_xlfn.XLOOKUP(O1523,BSFC!$A$2:$A$24,_xlfn.XLOOKUP(K1523,BSFC!$B$1:$O$1,BSFC!$B$2:$O$24,,-1),,-1)</f>
        <v>520</v>
      </c>
      <c r="R1523" s="17">
        <f t="shared" si="277"/>
        <v>1.425663585873016</v>
      </c>
      <c r="S1523" s="16">
        <f t="shared" si="278"/>
        <v>2.0443068048074323E-4</v>
      </c>
      <c r="T1523" s="17">
        <f t="shared" si="281"/>
        <v>0.10630395384998648</v>
      </c>
      <c r="U1523" s="16">
        <f t="shared" si="282"/>
        <v>193.22198798539293</v>
      </c>
      <c r="V1523" s="17">
        <f t="shared" si="283"/>
        <v>0.39546554288957708</v>
      </c>
      <c r="W1523" s="16">
        <f t="shared" si="279"/>
        <v>1423675.9544024775</v>
      </c>
      <c r="X1523">
        <f>('Hybrid Info'!$A$2-Track!P1523)*(L1523-L1522)*1000+X1522</f>
        <v>-1407.3964557525796</v>
      </c>
    </row>
    <row r="1524" spans="1:24">
      <c r="A1524" s="16">
        <f t="shared" si="280"/>
        <v>1523</v>
      </c>
      <c r="B1524" s="17">
        <f t="shared" si="287"/>
        <v>13.411199999999999</v>
      </c>
      <c r="C1524" s="16">
        <f>Specification!$G$32</f>
        <v>219.92450400000001</v>
      </c>
      <c r="D1524" s="17">
        <f>0.5*Specification!$K$4*Track!B1524^2*Specification!$K$3*Specification!$K$2</f>
        <v>93.159842569492653</v>
      </c>
      <c r="E1524" s="16">
        <v>0</v>
      </c>
      <c r="F1524" s="17">
        <f>Specification!$C$23*9.81*SIN((E1524*PI()/180))</f>
        <v>0</v>
      </c>
      <c r="G1524" s="18">
        <f>IF(J1524=1,VLOOKUP(K1524,RPM!$E$2:$H$62,3,FALSE)-F1524-E1524-D1524,IF(J1524=2,VLOOKUP(K1524,RPM!$H$2:$K$62,3,FALSE)-F1524-E1524-D1524,IF(J1524=3,VLOOKUP(K1524,RPM!$K$2:$N$62,3,FALSE)-F1524-E1524-D1524)))</f>
        <v>688.48526429214962</v>
      </c>
      <c r="H1524" s="19">
        <f>IF(J1524=1,Specification!$I$14,IF(J1524=2,Specification!$I$15,IF(J1524=3,Specification!$I$16)))</f>
        <v>582.50936296077191</v>
      </c>
      <c r="I1524" s="16">
        <f t="shared" si="285"/>
        <v>0</v>
      </c>
      <c r="J1524" s="17">
        <v>2</v>
      </c>
      <c r="K1524" s="16">
        <f>IF(J1524=1,VLOOKUP(B1524,RPM!$F$2:$H$62,3,TRUE),IF(J1524=2,VLOOKUP(B1524,RPM!$I$2:$K$62,3,TRUE),IF(J1524=3,VLOOKUP(B1524,RPM!$L$2:$N$62,3,TRUE))))</f>
        <v>7000</v>
      </c>
      <c r="L1524" s="17">
        <f t="shared" si="284"/>
        <v>117.83713947177236</v>
      </c>
      <c r="M1524" s="16">
        <f t="shared" si="286"/>
        <v>0</v>
      </c>
      <c r="N1524" s="17">
        <f>VLOOKUP(K1524,RPM!$A$2:$D$62,3,FALSE)</f>
        <v>13</v>
      </c>
      <c r="O1524" s="16">
        <f>VLOOKUP(K1524,RPM!$A$2:$D$62,4,FALSE)</f>
        <v>13.235857142857142</v>
      </c>
      <c r="P1524" s="17">
        <f t="shared" si="276"/>
        <v>9.8699786714285711</v>
      </c>
      <c r="Q1524" s="16" cm="1">
        <f t="array" ref="Q1524">_xlfn.XLOOKUP(O1524,BSFC!$A$2:$A$24,_xlfn.XLOOKUP(K1524,BSFC!$B$1:$O$1,BSFC!$B$2:$O$24,,-1),,-1)</f>
        <v>520</v>
      </c>
      <c r="R1524" s="17">
        <f t="shared" si="277"/>
        <v>1.425663585873016</v>
      </c>
      <c r="S1524" s="16">
        <f t="shared" si="278"/>
        <v>2.0443068048074323E-4</v>
      </c>
      <c r="T1524" s="17">
        <f t="shared" si="281"/>
        <v>0.10630395384998648</v>
      </c>
      <c r="U1524" s="16">
        <f t="shared" si="282"/>
        <v>193.32829193924292</v>
      </c>
      <c r="V1524" s="17">
        <f t="shared" si="283"/>
        <v>0.39566997357005784</v>
      </c>
      <c r="W1524" s="16">
        <f t="shared" si="279"/>
        <v>1424411.9048522082</v>
      </c>
      <c r="X1524">
        <f>('Hybrid Info'!$A$2-Track!P1524)*(L1524-L1523)*1000+X1523</f>
        <v>-1239.5907467663274</v>
      </c>
    </row>
    <row r="1525" spans="1:24">
      <c r="A1525" s="16">
        <f t="shared" si="280"/>
        <v>1524</v>
      </c>
      <c r="B1525" s="17">
        <f t="shared" si="287"/>
        <v>13.411199999999999</v>
      </c>
      <c r="C1525" s="16">
        <f>Specification!$G$32</f>
        <v>219.92450400000001</v>
      </c>
      <c r="D1525" s="17">
        <f>0.5*Specification!$K$4*Track!B1525^2*Specification!$K$3*Specification!$K$2</f>
        <v>93.159842569492653</v>
      </c>
      <c r="E1525" s="16">
        <v>0</v>
      </c>
      <c r="F1525" s="17">
        <f>Specification!$C$23*9.81*SIN((E1525*PI()/180))</f>
        <v>0</v>
      </c>
      <c r="G1525" s="18">
        <f>IF(J1525=1,VLOOKUP(K1525,RPM!$E$2:$H$62,3,FALSE)-F1525-E1525-D1525,IF(J1525=2,VLOOKUP(K1525,RPM!$H$2:$K$62,3,FALSE)-F1525-E1525-D1525,IF(J1525=3,VLOOKUP(K1525,RPM!$K$2:$N$62,3,FALSE)-F1525-E1525-D1525)))</f>
        <v>688.48526429214962</v>
      </c>
      <c r="H1525" s="19">
        <f>IF(J1525=1,Specification!$I$14,IF(J1525=2,Specification!$I$15,IF(J1525=3,Specification!$I$16)))</f>
        <v>582.50936296077191</v>
      </c>
      <c r="I1525" s="16">
        <f t="shared" si="285"/>
        <v>0</v>
      </c>
      <c r="J1525" s="17">
        <v>2</v>
      </c>
      <c r="K1525" s="16">
        <f>IF(J1525=1,VLOOKUP(B1525,RPM!$F$2:$H$62,3,TRUE),IF(J1525=2,VLOOKUP(B1525,RPM!$I$2:$K$62,3,TRUE),IF(J1525=3,VLOOKUP(B1525,RPM!$L$2:$N$62,3,TRUE))))</f>
        <v>7000</v>
      </c>
      <c r="L1525" s="17">
        <f t="shared" si="284"/>
        <v>117.91170401484084</v>
      </c>
      <c r="M1525" s="16">
        <f t="shared" si="286"/>
        <v>0</v>
      </c>
      <c r="N1525" s="17">
        <f>VLOOKUP(K1525,RPM!$A$2:$D$62,3,FALSE)</f>
        <v>13</v>
      </c>
      <c r="O1525" s="16">
        <f>VLOOKUP(K1525,RPM!$A$2:$D$62,4,FALSE)</f>
        <v>13.235857142857142</v>
      </c>
      <c r="P1525" s="17">
        <f t="shared" si="276"/>
        <v>9.8699786714285711</v>
      </c>
      <c r="Q1525" s="16" cm="1">
        <f t="array" ref="Q1525">_xlfn.XLOOKUP(O1525,BSFC!$A$2:$A$24,_xlfn.XLOOKUP(K1525,BSFC!$B$1:$O$1,BSFC!$B$2:$O$24,,-1),,-1)</f>
        <v>520</v>
      </c>
      <c r="R1525" s="17">
        <f t="shared" si="277"/>
        <v>1.425663585873016</v>
      </c>
      <c r="S1525" s="16">
        <f t="shared" si="278"/>
        <v>2.0443068048074323E-4</v>
      </c>
      <c r="T1525" s="17">
        <f t="shared" si="281"/>
        <v>0.10630395384998648</v>
      </c>
      <c r="U1525" s="16">
        <f t="shared" si="282"/>
        <v>193.4345958930929</v>
      </c>
      <c r="V1525" s="17">
        <f t="shared" si="283"/>
        <v>0.3958744042505386</v>
      </c>
      <c r="W1525" s="16">
        <f t="shared" si="279"/>
        <v>1425147.855301939</v>
      </c>
      <c r="X1525">
        <f>('Hybrid Info'!$A$2-Track!P1525)*(L1525-L1524)*1000+X1524</f>
        <v>-1071.7850377800751</v>
      </c>
    </row>
    <row r="1526" spans="1:24">
      <c r="A1526" s="16">
        <f t="shared" si="280"/>
        <v>1525</v>
      </c>
      <c r="B1526" s="17">
        <f t="shared" si="287"/>
        <v>13.411199999999999</v>
      </c>
      <c r="C1526" s="16">
        <f>Specification!$G$32</f>
        <v>219.92450400000001</v>
      </c>
      <c r="D1526" s="17">
        <f>0.5*Specification!$K$4*Track!B1526^2*Specification!$K$3*Specification!$K$2</f>
        <v>93.159842569492653</v>
      </c>
      <c r="E1526" s="16">
        <v>0</v>
      </c>
      <c r="F1526" s="17">
        <f>Specification!$C$23*9.81*SIN((E1526*PI()/180))</f>
        <v>0</v>
      </c>
      <c r="G1526" s="18">
        <f>IF(J1526=1,VLOOKUP(K1526,RPM!$E$2:$H$62,3,FALSE)-F1526-E1526-D1526,IF(J1526=2,VLOOKUP(K1526,RPM!$H$2:$K$62,3,FALSE)-F1526-E1526-D1526,IF(J1526=3,VLOOKUP(K1526,RPM!$K$2:$N$62,3,FALSE)-F1526-E1526-D1526)))</f>
        <v>688.48526429214962</v>
      </c>
      <c r="H1526" s="19">
        <f>IF(J1526=1,Specification!$I$14,IF(J1526=2,Specification!$I$15,IF(J1526=3,Specification!$I$16)))</f>
        <v>582.50936296077191</v>
      </c>
      <c r="I1526" s="16">
        <f t="shared" si="285"/>
        <v>0</v>
      </c>
      <c r="J1526" s="17">
        <v>2</v>
      </c>
      <c r="K1526" s="16">
        <f>IF(J1526=1,VLOOKUP(B1526,RPM!$F$2:$H$62,3,TRUE),IF(J1526=2,VLOOKUP(B1526,RPM!$I$2:$K$62,3,TRUE),IF(J1526=3,VLOOKUP(B1526,RPM!$L$2:$N$62,3,TRUE))))</f>
        <v>7000</v>
      </c>
      <c r="L1526" s="17">
        <f t="shared" si="284"/>
        <v>117.98626855790931</v>
      </c>
      <c r="M1526" s="16">
        <f t="shared" si="286"/>
        <v>0</v>
      </c>
      <c r="N1526" s="17">
        <f>VLOOKUP(K1526,RPM!$A$2:$D$62,3,FALSE)</f>
        <v>13</v>
      </c>
      <c r="O1526" s="16">
        <f>VLOOKUP(K1526,RPM!$A$2:$D$62,4,FALSE)</f>
        <v>13.235857142857142</v>
      </c>
      <c r="P1526" s="17">
        <f t="shared" si="276"/>
        <v>9.8699786714285711</v>
      </c>
      <c r="Q1526" s="16" cm="1">
        <f t="array" ref="Q1526">_xlfn.XLOOKUP(O1526,BSFC!$A$2:$A$24,_xlfn.XLOOKUP(K1526,BSFC!$B$1:$O$1,BSFC!$B$2:$O$24,,-1),,-1)</f>
        <v>520</v>
      </c>
      <c r="R1526" s="17">
        <f t="shared" si="277"/>
        <v>1.425663585873016</v>
      </c>
      <c r="S1526" s="16">
        <f t="shared" si="278"/>
        <v>2.0443068048074323E-4</v>
      </c>
      <c r="T1526" s="17">
        <f t="shared" si="281"/>
        <v>0.10630395384998648</v>
      </c>
      <c r="U1526" s="16">
        <f t="shared" si="282"/>
        <v>193.54089984694289</v>
      </c>
      <c r="V1526" s="17">
        <f t="shared" si="283"/>
        <v>0.39607883493101936</v>
      </c>
      <c r="W1526" s="16">
        <f t="shared" si="279"/>
        <v>1425883.8057516697</v>
      </c>
      <c r="X1526">
        <f>('Hybrid Info'!$A$2-Track!P1526)*(L1526-L1525)*1000+X1525</f>
        <v>-903.97932879382279</v>
      </c>
    </row>
    <row r="1527" spans="1:24">
      <c r="A1527" s="16">
        <f t="shared" si="280"/>
        <v>1526</v>
      </c>
      <c r="B1527" s="17">
        <f t="shared" si="287"/>
        <v>13.411199999999999</v>
      </c>
      <c r="C1527" s="16">
        <f>Specification!$G$32</f>
        <v>219.92450400000001</v>
      </c>
      <c r="D1527" s="17">
        <f>0.5*Specification!$K$4*Track!B1527^2*Specification!$K$3*Specification!$K$2</f>
        <v>93.159842569492653</v>
      </c>
      <c r="E1527" s="16">
        <v>0</v>
      </c>
      <c r="F1527" s="17">
        <f>Specification!$C$23*9.81*SIN((E1527*PI()/180))</f>
        <v>0</v>
      </c>
      <c r="G1527" s="18">
        <f>IF(J1527=1,VLOOKUP(K1527,RPM!$E$2:$H$62,3,FALSE)-F1527-E1527-D1527,IF(J1527=2,VLOOKUP(K1527,RPM!$H$2:$K$62,3,FALSE)-F1527-E1527-D1527,IF(J1527=3,VLOOKUP(K1527,RPM!$K$2:$N$62,3,FALSE)-F1527-E1527-D1527)))</f>
        <v>688.48526429214962</v>
      </c>
      <c r="H1527" s="19">
        <f>IF(J1527=1,Specification!$I$14,IF(J1527=2,Specification!$I$15,IF(J1527=3,Specification!$I$16)))</f>
        <v>582.50936296077191</v>
      </c>
      <c r="I1527" s="16">
        <f t="shared" si="285"/>
        <v>0</v>
      </c>
      <c r="J1527" s="17">
        <v>2</v>
      </c>
      <c r="K1527" s="16">
        <f>IF(J1527=1,VLOOKUP(B1527,RPM!$F$2:$H$62,3,TRUE),IF(J1527=2,VLOOKUP(B1527,RPM!$I$2:$K$62,3,TRUE),IF(J1527=3,VLOOKUP(B1527,RPM!$L$2:$N$62,3,TRUE))))</f>
        <v>7000</v>
      </c>
      <c r="L1527" s="17">
        <f t="shared" si="284"/>
        <v>118.06083310097779</v>
      </c>
      <c r="M1527" s="16">
        <f t="shared" si="286"/>
        <v>0</v>
      </c>
      <c r="N1527" s="17">
        <f>VLOOKUP(K1527,RPM!$A$2:$D$62,3,FALSE)</f>
        <v>13</v>
      </c>
      <c r="O1527" s="16">
        <f>VLOOKUP(K1527,RPM!$A$2:$D$62,4,FALSE)</f>
        <v>13.235857142857142</v>
      </c>
      <c r="P1527" s="17">
        <f t="shared" si="276"/>
        <v>9.8699786714285711</v>
      </c>
      <c r="Q1527" s="16" cm="1">
        <f t="array" ref="Q1527">_xlfn.XLOOKUP(O1527,BSFC!$A$2:$A$24,_xlfn.XLOOKUP(K1527,BSFC!$B$1:$O$1,BSFC!$B$2:$O$24,,-1),,-1)</f>
        <v>520</v>
      </c>
      <c r="R1527" s="17">
        <f t="shared" si="277"/>
        <v>1.425663585873016</v>
      </c>
      <c r="S1527" s="16">
        <f t="shared" si="278"/>
        <v>2.0443068048074323E-4</v>
      </c>
      <c r="T1527" s="17">
        <f t="shared" si="281"/>
        <v>0.10630395384998648</v>
      </c>
      <c r="U1527" s="16">
        <f t="shared" si="282"/>
        <v>193.64720380079288</v>
      </c>
      <c r="V1527" s="17">
        <f t="shared" si="283"/>
        <v>0.39628326561150012</v>
      </c>
      <c r="W1527" s="16">
        <f t="shared" si="279"/>
        <v>1426619.7562014004</v>
      </c>
      <c r="X1527">
        <f>('Hybrid Info'!$A$2-Track!P1527)*(L1527-L1526)*1000+X1526</f>
        <v>-736.1736198075705</v>
      </c>
    </row>
    <row r="1528" spans="1:24">
      <c r="A1528" s="16">
        <f t="shared" si="280"/>
        <v>1527</v>
      </c>
      <c r="B1528" s="17">
        <f t="shared" si="287"/>
        <v>13.411199999999999</v>
      </c>
      <c r="C1528" s="16">
        <f>Specification!$G$32</f>
        <v>219.92450400000001</v>
      </c>
      <c r="D1528" s="17">
        <f>0.5*Specification!$K$4*Track!B1528^2*Specification!$K$3*Specification!$K$2</f>
        <v>93.159842569492653</v>
      </c>
      <c r="E1528" s="16">
        <v>0</v>
      </c>
      <c r="F1528" s="17">
        <f>Specification!$C$23*9.81*SIN((E1528*PI()/180))</f>
        <v>0</v>
      </c>
      <c r="G1528" s="18">
        <f>IF(J1528=1,VLOOKUP(K1528,RPM!$E$2:$H$62,3,FALSE)-F1528-E1528-D1528,IF(J1528=2,VLOOKUP(K1528,RPM!$H$2:$K$62,3,FALSE)-F1528-E1528-D1528,IF(J1528=3,VLOOKUP(K1528,RPM!$K$2:$N$62,3,FALSE)-F1528-E1528-D1528)))</f>
        <v>688.48526429214962</v>
      </c>
      <c r="H1528" s="19">
        <f>IF(J1528=1,Specification!$I$14,IF(J1528=2,Specification!$I$15,IF(J1528=3,Specification!$I$16)))</f>
        <v>582.50936296077191</v>
      </c>
      <c r="I1528" s="16">
        <f t="shared" si="285"/>
        <v>0</v>
      </c>
      <c r="J1528" s="17">
        <v>2</v>
      </c>
      <c r="K1528" s="16">
        <f>IF(J1528=1,VLOOKUP(B1528,RPM!$F$2:$H$62,3,TRUE),IF(J1528=2,VLOOKUP(B1528,RPM!$I$2:$K$62,3,TRUE),IF(J1528=3,VLOOKUP(B1528,RPM!$L$2:$N$62,3,TRUE))))</f>
        <v>7000</v>
      </c>
      <c r="L1528" s="17">
        <f t="shared" si="284"/>
        <v>118.13539764404626</v>
      </c>
      <c r="M1528" s="16">
        <f t="shared" si="286"/>
        <v>0</v>
      </c>
      <c r="N1528" s="17">
        <f>VLOOKUP(K1528,RPM!$A$2:$D$62,3,FALSE)</f>
        <v>13</v>
      </c>
      <c r="O1528" s="16">
        <f>VLOOKUP(K1528,RPM!$A$2:$D$62,4,FALSE)</f>
        <v>13.235857142857142</v>
      </c>
      <c r="P1528" s="17">
        <f t="shared" si="276"/>
        <v>9.8699786714285711</v>
      </c>
      <c r="Q1528" s="16" cm="1">
        <f t="array" ref="Q1528">_xlfn.XLOOKUP(O1528,BSFC!$A$2:$A$24,_xlfn.XLOOKUP(K1528,BSFC!$B$1:$O$1,BSFC!$B$2:$O$24,,-1),,-1)</f>
        <v>520</v>
      </c>
      <c r="R1528" s="17">
        <f t="shared" si="277"/>
        <v>1.425663585873016</v>
      </c>
      <c r="S1528" s="16">
        <f t="shared" si="278"/>
        <v>2.0443068048074323E-4</v>
      </c>
      <c r="T1528" s="17">
        <f t="shared" si="281"/>
        <v>0.10630395384998648</v>
      </c>
      <c r="U1528" s="16">
        <f t="shared" si="282"/>
        <v>193.75350775464287</v>
      </c>
      <c r="V1528" s="17">
        <f t="shared" si="283"/>
        <v>0.39648769629198088</v>
      </c>
      <c r="W1528" s="16">
        <f t="shared" si="279"/>
        <v>1427355.7066511314</v>
      </c>
      <c r="X1528">
        <f>('Hybrid Info'!$A$2-Track!P1528)*(L1528-L1527)*1000+X1527</f>
        <v>-568.36791082131822</v>
      </c>
    </row>
    <row r="1529" spans="1:24">
      <c r="A1529" s="16">
        <f t="shared" si="280"/>
        <v>1528</v>
      </c>
      <c r="B1529" s="17">
        <f t="shared" si="287"/>
        <v>13.411199999999999</v>
      </c>
      <c r="C1529" s="16">
        <f>Specification!$G$32</f>
        <v>219.92450400000001</v>
      </c>
      <c r="D1529" s="17">
        <f>0.5*Specification!$K$4*Track!B1529^2*Specification!$K$3*Specification!$K$2</f>
        <v>93.159842569492653</v>
      </c>
      <c r="E1529" s="16">
        <v>0</v>
      </c>
      <c r="F1529" s="17">
        <f>Specification!$C$23*9.81*SIN((E1529*PI()/180))</f>
        <v>0</v>
      </c>
      <c r="G1529" s="18">
        <f>IF(J1529=1,VLOOKUP(K1529,RPM!$E$2:$H$62,3,FALSE)-F1529-E1529-D1529,IF(J1529=2,VLOOKUP(K1529,RPM!$H$2:$K$62,3,FALSE)-F1529-E1529-D1529,IF(J1529=3,VLOOKUP(K1529,RPM!$K$2:$N$62,3,FALSE)-F1529-E1529-D1529)))</f>
        <v>688.48526429214962</v>
      </c>
      <c r="H1529" s="19">
        <f>IF(J1529=1,Specification!$I$14,IF(J1529=2,Specification!$I$15,IF(J1529=3,Specification!$I$16)))</f>
        <v>582.50936296077191</v>
      </c>
      <c r="I1529" s="16">
        <f t="shared" si="285"/>
        <v>0</v>
      </c>
      <c r="J1529" s="17">
        <v>2</v>
      </c>
      <c r="K1529" s="16">
        <f>IF(J1529=1,VLOOKUP(B1529,RPM!$F$2:$H$62,3,TRUE),IF(J1529=2,VLOOKUP(B1529,RPM!$I$2:$K$62,3,TRUE),IF(J1529=3,VLOOKUP(B1529,RPM!$L$2:$N$62,3,TRUE))))</f>
        <v>7000</v>
      </c>
      <c r="L1529" s="17">
        <f t="shared" si="284"/>
        <v>118.20996218711474</v>
      </c>
      <c r="M1529" s="16">
        <f t="shared" si="286"/>
        <v>0</v>
      </c>
      <c r="N1529" s="17">
        <f>VLOOKUP(K1529,RPM!$A$2:$D$62,3,FALSE)</f>
        <v>13</v>
      </c>
      <c r="O1529" s="16">
        <f>VLOOKUP(K1529,RPM!$A$2:$D$62,4,FALSE)</f>
        <v>13.235857142857142</v>
      </c>
      <c r="P1529" s="17">
        <f t="shared" si="276"/>
        <v>9.8699786714285711</v>
      </c>
      <c r="Q1529" s="16" cm="1">
        <f t="array" ref="Q1529">_xlfn.XLOOKUP(O1529,BSFC!$A$2:$A$24,_xlfn.XLOOKUP(K1529,BSFC!$B$1:$O$1,BSFC!$B$2:$O$24,,-1),,-1)</f>
        <v>520</v>
      </c>
      <c r="R1529" s="17">
        <f t="shared" si="277"/>
        <v>1.425663585873016</v>
      </c>
      <c r="S1529" s="16">
        <f t="shared" si="278"/>
        <v>2.0443068048074323E-4</v>
      </c>
      <c r="T1529" s="17">
        <f t="shared" si="281"/>
        <v>0.10630395384998648</v>
      </c>
      <c r="U1529" s="16">
        <f t="shared" si="282"/>
        <v>193.85981170849286</v>
      </c>
      <c r="V1529" s="17">
        <f t="shared" si="283"/>
        <v>0.39669212697246165</v>
      </c>
      <c r="W1529" s="16">
        <f t="shared" si="279"/>
        <v>1428091.6571008619</v>
      </c>
      <c r="X1529">
        <f>('Hybrid Info'!$A$2-Track!P1529)*(L1529-L1528)*1000+X1528</f>
        <v>-400.56220183506593</v>
      </c>
    </row>
    <row r="1530" spans="1:24">
      <c r="A1530" s="16">
        <f t="shared" si="280"/>
        <v>1529</v>
      </c>
      <c r="B1530" s="17">
        <f t="shared" si="287"/>
        <v>13.411199999999999</v>
      </c>
      <c r="C1530" s="16">
        <f>Specification!$G$32</f>
        <v>219.92450400000001</v>
      </c>
      <c r="D1530" s="17">
        <f>0.5*Specification!$K$4*Track!B1530^2*Specification!$K$3*Specification!$K$2</f>
        <v>93.159842569492653</v>
      </c>
      <c r="E1530" s="16">
        <v>0</v>
      </c>
      <c r="F1530" s="17">
        <f>Specification!$C$23*9.81*SIN((E1530*PI()/180))</f>
        <v>0</v>
      </c>
      <c r="G1530" s="18">
        <f>IF(J1530=1,VLOOKUP(K1530,RPM!$E$2:$H$62,3,FALSE)-F1530-E1530-D1530,IF(J1530=2,VLOOKUP(K1530,RPM!$H$2:$K$62,3,FALSE)-F1530-E1530-D1530,IF(J1530=3,VLOOKUP(K1530,RPM!$K$2:$N$62,3,FALSE)-F1530-E1530-D1530)))</f>
        <v>688.48526429214962</v>
      </c>
      <c r="H1530" s="19">
        <f>IF(J1530=1,Specification!$I$14,IF(J1530=2,Specification!$I$15,IF(J1530=3,Specification!$I$16)))</f>
        <v>582.50936296077191</v>
      </c>
      <c r="I1530" s="16">
        <f t="shared" si="285"/>
        <v>0</v>
      </c>
      <c r="J1530" s="17">
        <v>2</v>
      </c>
      <c r="K1530" s="16">
        <f>IF(J1530=1,VLOOKUP(B1530,RPM!$F$2:$H$62,3,TRUE),IF(J1530=2,VLOOKUP(B1530,RPM!$I$2:$K$62,3,TRUE),IF(J1530=3,VLOOKUP(B1530,RPM!$L$2:$N$62,3,TRUE))))</f>
        <v>7000</v>
      </c>
      <c r="L1530" s="17">
        <f t="shared" si="284"/>
        <v>118.28452673018322</v>
      </c>
      <c r="M1530" s="16">
        <f t="shared" si="286"/>
        <v>0</v>
      </c>
      <c r="N1530" s="17">
        <f>VLOOKUP(K1530,RPM!$A$2:$D$62,3,FALSE)</f>
        <v>13</v>
      </c>
      <c r="O1530" s="16">
        <f>VLOOKUP(K1530,RPM!$A$2:$D$62,4,FALSE)</f>
        <v>13.235857142857142</v>
      </c>
      <c r="P1530" s="17">
        <f t="shared" si="276"/>
        <v>9.8699786714285711</v>
      </c>
      <c r="Q1530" s="16" cm="1">
        <f t="array" ref="Q1530">_xlfn.XLOOKUP(O1530,BSFC!$A$2:$A$24,_xlfn.XLOOKUP(K1530,BSFC!$B$1:$O$1,BSFC!$B$2:$O$24,,-1),,-1)</f>
        <v>520</v>
      </c>
      <c r="R1530" s="17">
        <f t="shared" si="277"/>
        <v>1.425663585873016</v>
      </c>
      <c r="S1530" s="16">
        <f t="shared" si="278"/>
        <v>2.0443068048074323E-4</v>
      </c>
      <c r="T1530" s="17">
        <f t="shared" si="281"/>
        <v>0.10630395384998648</v>
      </c>
      <c r="U1530" s="16">
        <f t="shared" si="282"/>
        <v>193.96611566234284</v>
      </c>
      <c r="V1530" s="17">
        <f t="shared" si="283"/>
        <v>0.39689655765294241</v>
      </c>
      <c r="W1530" s="16">
        <f t="shared" si="279"/>
        <v>1428827.6075505926</v>
      </c>
      <c r="X1530">
        <f>('Hybrid Info'!$A$2-Track!P1530)*(L1530-L1529)*1000+X1529</f>
        <v>-232.75649284881365</v>
      </c>
    </row>
    <row r="1531" spans="1:24">
      <c r="A1531" s="16">
        <f t="shared" si="280"/>
        <v>1530</v>
      </c>
      <c r="B1531" s="17">
        <f t="shared" si="287"/>
        <v>13.411199999999999</v>
      </c>
      <c r="C1531" s="16">
        <f>Specification!$G$32</f>
        <v>219.92450400000001</v>
      </c>
      <c r="D1531" s="17">
        <f>0.5*Specification!$K$4*Track!B1531^2*Specification!$K$3*Specification!$K$2</f>
        <v>93.159842569492653</v>
      </c>
      <c r="E1531" s="16">
        <v>0</v>
      </c>
      <c r="F1531" s="17">
        <f>Specification!$C$23*9.81*SIN((E1531*PI()/180))</f>
        <v>0</v>
      </c>
      <c r="G1531" s="18">
        <f>IF(J1531=1,VLOOKUP(K1531,RPM!$E$2:$H$62,3,FALSE)-F1531-E1531-D1531,IF(J1531=2,VLOOKUP(K1531,RPM!$H$2:$K$62,3,FALSE)-F1531-E1531-D1531,IF(J1531=3,VLOOKUP(K1531,RPM!$K$2:$N$62,3,FALSE)-F1531-E1531-D1531)))</f>
        <v>688.48526429214962</v>
      </c>
      <c r="H1531" s="19">
        <f>IF(J1531=1,Specification!$I$14,IF(J1531=2,Specification!$I$15,IF(J1531=3,Specification!$I$16)))</f>
        <v>582.50936296077191</v>
      </c>
      <c r="I1531" s="16">
        <f t="shared" si="285"/>
        <v>0</v>
      </c>
      <c r="J1531" s="17">
        <v>2</v>
      </c>
      <c r="K1531" s="16">
        <f>IF(J1531=1,VLOOKUP(B1531,RPM!$F$2:$H$62,3,TRUE),IF(J1531=2,VLOOKUP(B1531,RPM!$I$2:$K$62,3,TRUE),IF(J1531=3,VLOOKUP(B1531,RPM!$L$2:$N$62,3,TRUE))))</f>
        <v>7000</v>
      </c>
      <c r="L1531" s="17">
        <f t="shared" si="284"/>
        <v>118.35909127325169</v>
      </c>
      <c r="M1531" s="16">
        <f t="shared" si="286"/>
        <v>0</v>
      </c>
      <c r="N1531" s="17">
        <f>VLOOKUP(K1531,RPM!$A$2:$D$62,3,FALSE)</f>
        <v>13</v>
      </c>
      <c r="O1531" s="16">
        <f>VLOOKUP(K1531,RPM!$A$2:$D$62,4,FALSE)</f>
        <v>13.235857142857142</v>
      </c>
      <c r="P1531" s="17">
        <f t="shared" si="276"/>
        <v>9.8699786714285711</v>
      </c>
      <c r="Q1531" s="16" cm="1">
        <f t="array" ref="Q1531">_xlfn.XLOOKUP(O1531,BSFC!$A$2:$A$24,_xlfn.XLOOKUP(K1531,BSFC!$B$1:$O$1,BSFC!$B$2:$O$24,,-1),,-1)</f>
        <v>520</v>
      </c>
      <c r="R1531" s="17">
        <f t="shared" si="277"/>
        <v>1.425663585873016</v>
      </c>
      <c r="S1531" s="16">
        <f t="shared" si="278"/>
        <v>2.0443068048074323E-4</v>
      </c>
      <c r="T1531" s="17">
        <f t="shared" si="281"/>
        <v>0.10630395384998648</v>
      </c>
      <c r="U1531" s="16">
        <f t="shared" si="282"/>
        <v>194.07241961619283</v>
      </c>
      <c r="V1531" s="17">
        <f t="shared" si="283"/>
        <v>0.39710098833342317</v>
      </c>
      <c r="W1531" s="16">
        <f t="shared" si="279"/>
        <v>1429563.5580003234</v>
      </c>
      <c r="X1531">
        <f>('Hybrid Info'!$A$2-Track!P1531)*(L1531-L1530)*1000+X1530</f>
        <v>-64.950783862561366</v>
      </c>
    </row>
    <row r="1532" spans="1:24">
      <c r="A1532" s="16">
        <f t="shared" si="280"/>
        <v>1531</v>
      </c>
      <c r="B1532" s="17">
        <f t="shared" si="287"/>
        <v>13.411199999999999</v>
      </c>
      <c r="C1532" s="16">
        <f>Specification!$G$32</f>
        <v>219.92450400000001</v>
      </c>
      <c r="D1532" s="17">
        <f>0.5*Specification!$K$4*Track!B1532^2*Specification!$K$3*Specification!$K$2</f>
        <v>93.159842569492653</v>
      </c>
      <c r="E1532" s="16">
        <v>0</v>
      </c>
      <c r="F1532" s="17">
        <f>Specification!$C$23*9.81*SIN((E1532*PI()/180))</f>
        <v>0</v>
      </c>
      <c r="G1532" s="18">
        <f>IF(J1532=1,VLOOKUP(K1532,RPM!$E$2:$H$62,3,FALSE)-F1532-E1532-D1532,IF(J1532=2,VLOOKUP(K1532,RPM!$H$2:$K$62,3,FALSE)-F1532-E1532-D1532,IF(J1532=3,VLOOKUP(K1532,RPM!$K$2:$N$62,3,FALSE)-F1532-E1532-D1532)))</f>
        <v>688.48526429214962</v>
      </c>
      <c r="H1532" s="19">
        <f>IF(J1532=1,Specification!$I$14,IF(J1532=2,Specification!$I$15,IF(J1532=3,Specification!$I$16)))</f>
        <v>582.50936296077191</v>
      </c>
      <c r="I1532" s="16">
        <f t="shared" si="285"/>
        <v>0</v>
      </c>
      <c r="J1532" s="17">
        <v>2</v>
      </c>
      <c r="K1532" s="16">
        <f>IF(J1532=1,VLOOKUP(B1532,RPM!$F$2:$H$62,3,TRUE),IF(J1532=2,VLOOKUP(B1532,RPM!$I$2:$K$62,3,TRUE),IF(J1532=3,VLOOKUP(B1532,RPM!$L$2:$N$62,3,TRUE))))</f>
        <v>7000</v>
      </c>
      <c r="L1532" s="17">
        <f t="shared" si="284"/>
        <v>118.43365581632017</v>
      </c>
      <c r="M1532" s="16">
        <f t="shared" si="286"/>
        <v>0</v>
      </c>
      <c r="N1532" s="17">
        <f>VLOOKUP(K1532,RPM!$A$2:$D$62,3,FALSE)</f>
        <v>13</v>
      </c>
      <c r="O1532" s="16">
        <f>VLOOKUP(K1532,RPM!$A$2:$D$62,4,FALSE)</f>
        <v>13.235857142857142</v>
      </c>
      <c r="P1532" s="17">
        <f t="shared" si="276"/>
        <v>9.8699786714285711</v>
      </c>
      <c r="Q1532" s="16" cm="1">
        <f t="array" ref="Q1532">_xlfn.XLOOKUP(O1532,BSFC!$A$2:$A$24,_xlfn.XLOOKUP(K1532,BSFC!$B$1:$O$1,BSFC!$B$2:$O$24,,-1),,-1)</f>
        <v>520</v>
      </c>
      <c r="R1532" s="17">
        <f t="shared" si="277"/>
        <v>1.425663585873016</v>
      </c>
      <c r="S1532" s="16">
        <f t="shared" si="278"/>
        <v>2.0443068048074323E-4</v>
      </c>
      <c r="T1532" s="17">
        <f t="shared" si="281"/>
        <v>0.10630395384998648</v>
      </c>
      <c r="U1532" s="16">
        <f t="shared" si="282"/>
        <v>194.17872357004282</v>
      </c>
      <c r="V1532" s="17">
        <f t="shared" si="283"/>
        <v>0.39730541901390393</v>
      </c>
      <c r="W1532" s="16">
        <f t="shared" si="279"/>
        <v>1430299.5084500541</v>
      </c>
      <c r="X1532">
        <f>('Hybrid Info'!$A$2-Track!P1532)*(L1532-L1531)*1000+X1531</f>
        <v>102.85492512369092</v>
      </c>
    </row>
    <row r="1533" spans="1:24">
      <c r="A1533" s="16">
        <f t="shared" si="280"/>
        <v>1532</v>
      </c>
      <c r="B1533" s="17">
        <f t="shared" si="287"/>
        <v>13.411199999999999</v>
      </c>
      <c r="C1533" s="16">
        <f>Specification!$G$32</f>
        <v>219.92450400000001</v>
      </c>
      <c r="D1533" s="17">
        <f>0.5*Specification!$K$4*Track!B1533^2*Specification!$K$3*Specification!$K$2</f>
        <v>93.159842569492653</v>
      </c>
      <c r="E1533" s="16">
        <v>0</v>
      </c>
      <c r="F1533" s="17">
        <f>Specification!$C$23*9.81*SIN((E1533*PI()/180))</f>
        <v>0</v>
      </c>
      <c r="G1533" s="18">
        <f>IF(J1533=1,VLOOKUP(K1533,RPM!$E$2:$H$62,3,FALSE)-F1533-E1533-D1533,IF(J1533=2,VLOOKUP(K1533,RPM!$H$2:$K$62,3,FALSE)-F1533-E1533-D1533,IF(J1533=3,VLOOKUP(K1533,RPM!$K$2:$N$62,3,FALSE)-F1533-E1533-D1533)))</f>
        <v>688.48526429214962</v>
      </c>
      <c r="H1533" s="19">
        <f>IF(J1533=1,Specification!$I$14,IF(J1533=2,Specification!$I$15,IF(J1533=3,Specification!$I$16)))</f>
        <v>582.50936296077191</v>
      </c>
      <c r="I1533" s="16">
        <f t="shared" si="285"/>
        <v>0</v>
      </c>
      <c r="J1533" s="17">
        <v>2</v>
      </c>
      <c r="K1533" s="16">
        <f>IF(J1533=1,VLOOKUP(B1533,RPM!$F$2:$H$62,3,TRUE),IF(J1533=2,VLOOKUP(B1533,RPM!$I$2:$K$62,3,TRUE),IF(J1533=3,VLOOKUP(B1533,RPM!$L$2:$N$62,3,TRUE))))</f>
        <v>7000</v>
      </c>
      <c r="L1533" s="17">
        <f t="shared" si="284"/>
        <v>118.50822035938864</v>
      </c>
      <c r="M1533" s="16">
        <f t="shared" si="286"/>
        <v>0</v>
      </c>
      <c r="N1533" s="17">
        <f>VLOOKUP(K1533,RPM!$A$2:$D$62,3,FALSE)</f>
        <v>13</v>
      </c>
      <c r="O1533" s="16">
        <f>VLOOKUP(K1533,RPM!$A$2:$D$62,4,FALSE)</f>
        <v>13.235857142857142</v>
      </c>
      <c r="P1533" s="17">
        <f t="shared" si="276"/>
        <v>9.8699786714285711</v>
      </c>
      <c r="Q1533" s="16" cm="1">
        <f t="array" ref="Q1533">_xlfn.XLOOKUP(O1533,BSFC!$A$2:$A$24,_xlfn.XLOOKUP(K1533,BSFC!$B$1:$O$1,BSFC!$B$2:$O$24,,-1),,-1)</f>
        <v>520</v>
      </c>
      <c r="R1533" s="17">
        <f t="shared" si="277"/>
        <v>1.425663585873016</v>
      </c>
      <c r="S1533" s="16">
        <f t="shared" si="278"/>
        <v>2.0443068048074323E-4</v>
      </c>
      <c r="T1533" s="17">
        <f t="shared" si="281"/>
        <v>0.10630395384998648</v>
      </c>
      <c r="U1533" s="16">
        <f t="shared" si="282"/>
        <v>194.28502752389281</v>
      </c>
      <c r="V1533" s="17">
        <f t="shared" si="283"/>
        <v>0.39750984969438469</v>
      </c>
      <c r="W1533" s="16">
        <f t="shared" si="279"/>
        <v>1431035.4588997848</v>
      </c>
      <c r="X1533">
        <f>('Hybrid Info'!$A$2-Track!P1533)*(L1533-L1532)*1000+X1532</f>
        <v>270.6606341099432</v>
      </c>
    </row>
    <row r="1534" spans="1:24">
      <c r="A1534" s="16">
        <f t="shared" si="280"/>
        <v>1533</v>
      </c>
      <c r="B1534" s="17">
        <f t="shared" si="287"/>
        <v>13.411199999999999</v>
      </c>
      <c r="C1534" s="16">
        <f>Specification!$G$32</f>
        <v>219.92450400000001</v>
      </c>
      <c r="D1534" s="17">
        <f>0.5*Specification!$K$4*Track!B1534^2*Specification!$K$3*Specification!$K$2</f>
        <v>93.159842569492653</v>
      </c>
      <c r="E1534" s="16">
        <v>0</v>
      </c>
      <c r="F1534" s="17">
        <f>Specification!$C$23*9.81*SIN((E1534*PI()/180))</f>
        <v>0</v>
      </c>
      <c r="G1534" s="18">
        <f>IF(J1534=1,VLOOKUP(K1534,RPM!$E$2:$H$62,3,FALSE)-F1534-E1534-D1534,IF(J1534=2,VLOOKUP(K1534,RPM!$H$2:$K$62,3,FALSE)-F1534-E1534-D1534,IF(J1534=3,VLOOKUP(K1534,RPM!$K$2:$N$62,3,FALSE)-F1534-E1534-D1534)))</f>
        <v>688.48526429214962</v>
      </c>
      <c r="H1534" s="19">
        <f>IF(J1534=1,Specification!$I$14,IF(J1534=2,Specification!$I$15,IF(J1534=3,Specification!$I$16)))</f>
        <v>582.50936296077191</v>
      </c>
      <c r="I1534" s="16">
        <f t="shared" si="285"/>
        <v>0</v>
      </c>
      <c r="J1534" s="17">
        <v>2</v>
      </c>
      <c r="K1534" s="16">
        <f>IF(J1534=1,VLOOKUP(B1534,RPM!$F$2:$H$62,3,TRUE),IF(J1534=2,VLOOKUP(B1534,RPM!$I$2:$K$62,3,TRUE),IF(J1534=3,VLOOKUP(B1534,RPM!$L$2:$N$62,3,TRUE))))</f>
        <v>7000</v>
      </c>
      <c r="L1534" s="17">
        <f t="shared" si="284"/>
        <v>118.58278490245712</v>
      </c>
      <c r="M1534" s="16">
        <f t="shared" si="286"/>
        <v>0</v>
      </c>
      <c r="N1534" s="17">
        <f>VLOOKUP(K1534,RPM!$A$2:$D$62,3,FALSE)</f>
        <v>13</v>
      </c>
      <c r="O1534" s="16">
        <f>VLOOKUP(K1534,RPM!$A$2:$D$62,4,FALSE)</f>
        <v>13.235857142857142</v>
      </c>
      <c r="P1534" s="17">
        <f t="shared" si="276"/>
        <v>9.8699786714285711</v>
      </c>
      <c r="Q1534" s="16" cm="1">
        <f t="array" ref="Q1534">_xlfn.XLOOKUP(O1534,BSFC!$A$2:$A$24,_xlfn.XLOOKUP(K1534,BSFC!$B$1:$O$1,BSFC!$B$2:$O$24,,-1),,-1)</f>
        <v>520</v>
      </c>
      <c r="R1534" s="17">
        <f t="shared" si="277"/>
        <v>1.425663585873016</v>
      </c>
      <c r="S1534" s="16">
        <f t="shared" si="278"/>
        <v>2.0443068048074323E-4</v>
      </c>
      <c r="T1534" s="17">
        <f t="shared" si="281"/>
        <v>0.10630395384998648</v>
      </c>
      <c r="U1534" s="16">
        <f t="shared" si="282"/>
        <v>194.3913314777428</v>
      </c>
      <c r="V1534" s="17">
        <f t="shared" si="283"/>
        <v>0.39771428037486545</v>
      </c>
      <c r="W1534" s="16">
        <f t="shared" si="279"/>
        <v>1431771.4093495156</v>
      </c>
      <c r="X1534">
        <f>('Hybrid Info'!$A$2-Track!P1534)*(L1534-L1533)*1000+X1533</f>
        <v>438.46634309619549</v>
      </c>
    </row>
    <row r="1535" spans="1:24">
      <c r="A1535" s="16">
        <f t="shared" si="280"/>
        <v>1534</v>
      </c>
      <c r="B1535" s="17">
        <f t="shared" si="287"/>
        <v>13.411199999999999</v>
      </c>
      <c r="C1535" s="16">
        <f>Specification!$G$32</f>
        <v>219.92450400000001</v>
      </c>
      <c r="D1535" s="17">
        <f>0.5*Specification!$K$4*Track!B1535^2*Specification!$K$3*Specification!$K$2</f>
        <v>93.159842569492653</v>
      </c>
      <c r="E1535" s="16">
        <v>0</v>
      </c>
      <c r="F1535" s="17">
        <f>Specification!$C$23*9.81*SIN((E1535*PI()/180))</f>
        <v>0</v>
      </c>
      <c r="G1535" s="18">
        <f>IF(J1535=1,VLOOKUP(K1535,RPM!$E$2:$H$62,3,FALSE)-F1535-E1535-D1535,IF(J1535=2,VLOOKUP(K1535,RPM!$H$2:$K$62,3,FALSE)-F1535-E1535-D1535,IF(J1535=3,VLOOKUP(K1535,RPM!$K$2:$N$62,3,FALSE)-F1535-E1535-D1535)))</f>
        <v>688.48526429214962</v>
      </c>
      <c r="H1535" s="19">
        <f>IF(J1535=1,Specification!$I$14,IF(J1535=2,Specification!$I$15,IF(J1535=3,Specification!$I$16)))</f>
        <v>582.50936296077191</v>
      </c>
      <c r="I1535" s="16">
        <f t="shared" si="285"/>
        <v>0</v>
      </c>
      <c r="J1535" s="17">
        <v>2</v>
      </c>
      <c r="K1535" s="16">
        <f>IF(J1535=1,VLOOKUP(B1535,RPM!$F$2:$H$62,3,TRUE),IF(J1535=2,VLOOKUP(B1535,RPM!$I$2:$K$62,3,TRUE),IF(J1535=3,VLOOKUP(B1535,RPM!$L$2:$N$62,3,TRUE))))</f>
        <v>7000</v>
      </c>
      <c r="L1535" s="17">
        <f t="shared" si="284"/>
        <v>118.6573494455256</v>
      </c>
      <c r="M1535" s="16">
        <f t="shared" si="286"/>
        <v>0</v>
      </c>
      <c r="N1535" s="17">
        <f>VLOOKUP(K1535,RPM!$A$2:$D$62,3,FALSE)</f>
        <v>13</v>
      </c>
      <c r="O1535" s="16">
        <f>VLOOKUP(K1535,RPM!$A$2:$D$62,4,FALSE)</f>
        <v>13.235857142857142</v>
      </c>
      <c r="P1535" s="17">
        <f t="shared" si="276"/>
        <v>9.8699786714285711</v>
      </c>
      <c r="Q1535" s="16" cm="1">
        <f t="array" ref="Q1535">_xlfn.XLOOKUP(O1535,BSFC!$A$2:$A$24,_xlfn.XLOOKUP(K1535,BSFC!$B$1:$O$1,BSFC!$B$2:$O$24,,-1),,-1)</f>
        <v>520</v>
      </c>
      <c r="R1535" s="17">
        <f t="shared" si="277"/>
        <v>1.425663585873016</v>
      </c>
      <c r="S1535" s="16">
        <f t="shared" si="278"/>
        <v>2.0443068048074323E-4</v>
      </c>
      <c r="T1535" s="17">
        <f t="shared" si="281"/>
        <v>0.10630395384998648</v>
      </c>
      <c r="U1535" s="16">
        <f t="shared" si="282"/>
        <v>194.49763543159278</v>
      </c>
      <c r="V1535" s="17">
        <f t="shared" si="283"/>
        <v>0.39791871105534621</v>
      </c>
      <c r="W1535" s="16">
        <f t="shared" si="279"/>
        <v>1432507.3597992463</v>
      </c>
      <c r="X1535">
        <f>('Hybrid Info'!$A$2-Track!P1535)*(L1535-L1534)*1000+X1534</f>
        <v>606.27205208244777</v>
      </c>
    </row>
    <row r="1536" spans="1:24">
      <c r="A1536" s="16">
        <f t="shared" si="280"/>
        <v>1535</v>
      </c>
      <c r="B1536" s="17">
        <f t="shared" si="287"/>
        <v>13.411199999999999</v>
      </c>
      <c r="C1536" s="16">
        <f>Specification!$G$32</f>
        <v>219.92450400000001</v>
      </c>
      <c r="D1536" s="17">
        <f>0.5*Specification!$K$4*Track!B1536^2*Specification!$K$3*Specification!$K$2</f>
        <v>93.159842569492653</v>
      </c>
      <c r="E1536" s="16">
        <v>0</v>
      </c>
      <c r="F1536" s="17">
        <f>Specification!$C$23*9.81*SIN((E1536*PI()/180))</f>
        <v>0</v>
      </c>
      <c r="G1536" s="18">
        <f>IF(J1536=1,VLOOKUP(K1536,RPM!$E$2:$H$62,3,FALSE)-F1536-E1536-D1536,IF(J1536=2,VLOOKUP(K1536,RPM!$H$2:$K$62,3,FALSE)-F1536-E1536-D1536,IF(J1536=3,VLOOKUP(K1536,RPM!$K$2:$N$62,3,FALSE)-F1536-E1536-D1536)))</f>
        <v>688.48526429214962</v>
      </c>
      <c r="H1536" s="19">
        <f>IF(J1536=1,Specification!$I$14,IF(J1536=2,Specification!$I$15,IF(J1536=3,Specification!$I$16)))</f>
        <v>582.50936296077191</v>
      </c>
      <c r="I1536" s="16">
        <f t="shared" si="285"/>
        <v>0</v>
      </c>
      <c r="J1536" s="17">
        <v>2</v>
      </c>
      <c r="K1536" s="16">
        <f>IF(J1536=1,VLOOKUP(B1536,RPM!$F$2:$H$62,3,TRUE),IF(J1536=2,VLOOKUP(B1536,RPM!$I$2:$K$62,3,TRUE),IF(J1536=3,VLOOKUP(B1536,RPM!$L$2:$N$62,3,TRUE))))</f>
        <v>7000</v>
      </c>
      <c r="L1536" s="17">
        <f t="shared" si="284"/>
        <v>118.73191398859407</v>
      </c>
      <c r="M1536" s="16">
        <f t="shared" si="286"/>
        <v>0</v>
      </c>
      <c r="N1536" s="17">
        <f>VLOOKUP(K1536,RPM!$A$2:$D$62,3,FALSE)</f>
        <v>13</v>
      </c>
      <c r="O1536" s="16">
        <f>VLOOKUP(K1536,RPM!$A$2:$D$62,4,FALSE)</f>
        <v>13.235857142857142</v>
      </c>
      <c r="P1536" s="17">
        <f t="shared" si="276"/>
        <v>9.8699786714285711</v>
      </c>
      <c r="Q1536" s="16" cm="1">
        <f t="array" ref="Q1536">_xlfn.XLOOKUP(O1536,BSFC!$A$2:$A$24,_xlfn.XLOOKUP(K1536,BSFC!$B$1:$O$1,BSFC!$B$2:$O$24,,-1),,-1)</f>
        <v>520</v>
      </c>
      <c r="R1536" s="17">
        <f t="shared" si="277"/>
        <v>1.425663585873016</v>
      </c>
      <c r="S1536" s="16">
        <f t="shared" si="278"/>
        <v>2.0443068048074323E-4</v>
      </c>
      <c r="T1536" s="17">
        <f t="shared" si="281"/>
        <v>0.10630395384998648</v>
      </c>
      <c r="U1536" s="16">
        <f t="shared" si="282"/>
        <v>194.60393938544277</v>
      </c>
      <c r="V1536" s="17">
        <f t="shared" si="283"/>
        <v>0.39812314173582697</v>
      </c>
      <c r="W1536" s="16">
        <f t="shared" si="279"/>
        <v>1433243.310248977</v>
      </c>
      <c r="X1536">
        <f>('Hybrid Info'!$A$2-Track!P1536)*(L1536-L1535)*1000+X1535</f>
        <v>774.07776106870006</v>
      </c>
    </row>
    <row r="1537" spans="1:24">
      <c r="A1537" s="16">
        <f t="shared" si="280"/>
        <v>1536</v>
      </c>
      <c r="B1537" s="17">
        <f t="shared" si="287"/>
        <v>13.411199999999999</v>
      </c>
      <c r="C1537" s="16">
        <f>Specification!$G$32</f>
        <v>219.92450400000001</v>
      </c>
      <c r="D1537" s="17">
        <f>0.5*Specification!$K$4*Track!B1537^2*Specification!$K$3*Specification!$K$2</f>
        <v>93.159842569492653</v>
      </c>
      <c r="E1537" s="16">
        <v>0</v>
      </c>
      <c r="F1537" s="17">
        <f>Specification!$C$23*9.81*SIN((E1537*PI()/180))</f>
        <v>0</v>
      </c>
      <c r="G1537" s="18">
        <f>IF(J1537=1,VLOOKUP(K1537,RPM!$E$2:$H$62,3,FALSE)-F1537-E1537-D1537,IF(J1537=2,VLOOKUP(K1537,RPM!$H$2:$K$62,3,FALSE)-F1537-E1537-D1537,IF(J1537=3,VLOOKUP(K1537,RPM!$K$2:$N$62,3,FALSE)-F1537-E1537-D1537)))</f>
        <v>688.48526429214962</v>
      </c>
      <c r="H1537" s="19">
        <f>IF(J1537=1,Specification!$I$14,IF(J1537=2,Specification!$I$15,IF(J1537=3,Specification!$I$16)))</f>
        <v>582.50936296077191</v>
      </c>
      <c r="I1537" s="16">
        <f t="shared" si="285"/>
        <v>0</v>
      </c>
      <c r="J1537" s="17">
        <v>2</v>
      </c>
      <c r="K1537" s="16">
        <f>IF(J1537=1,VLOOKUP(B1537,RPM!$F$2:$H$62,3,TRUE),IF(J1537=2,VLOOKUP(B1537,RPM!$I$2:$K$62,3,TRUE),IF(J1537=3,VLOOKUP(B1537,RPM!$L$2:$N$62,3,TRUE))))</f>
        <v>7000</v>
      </c>
      <c r="L1537" s="17">
        <f t="shared" si="284"/>
        <v>118.80647853166255</v>
      </c>
      <c r="M1537" s="16">
        <f t="shared" si="286"/>
        <v>0</v>
      </c>
      <c r="N1537" s="17">
        <f>VLOOKUP(K1537,RPM!$A$2:$D$62,3,FALSE)</f>
        <v>13</v>
      </c>
      <c r="O1537" s="16">
        <f>VLOOKUP(K1537,RPM!$A$2:$D$62,4,FALSE)</f>
        <v>13.235857142857142</v>
      </c>
      <c r="P1537" s="17">
        <f t="shared" si="276"/>
        <v>9.8699786714285711</v>
      </c>
      <c r="Q1537" s="16" cm="1">
        <f t="array" ref="Q1537">_xlfn.XLOOKUP(O1537,BSFC!$A$2:$A$24,_xlfn.XLOOKUP(K1537,BSFC!$B$1:$O$1,BSFC!$B$2:$O$24,,-1),,-1)</f>
        <v>520</v>
      </c>
      <c r="R1537" s="17">
        <f t="shared" si="277"/>
        <v>1.425663585873016</v>
      </c>
      <c r="S1537" s="16">
        <f t="shared" si="278"/>
        <v>2.0443068048074323E-4</v>
      </c>
      <c r="T1537" s="17">
        <f t="shared" si="281"/>
        <v>0.10630395384998648</v>
      </c>
      <c r="U1537" s="16">
        <f t="shared" si="282"/>
        <v>194.71024333929276</v>
      </c>
      <c r="V1537" s="17">
        <f t="shared" si="283"/>
        <v>0.39832757241630773</v>
      </c>
      <c r="W1537" s="16">
        <f t="shared" si="279"/>
        <v>1433979.2606987078</v>
      </c>
      <c r="X1537">
        <f>('Hybrid Info'!$A$2-Track!P1537)*(L1537-L1536)*1000+X1536</f>
        <v>941.88347005495234</v>
      </c>
    </row>
    <row r="1538" spans="1:24">
      <c r="A1538" s="16">
        <f t="shared" si="280"/>
        <v>1537</v>
      </c>
      <c r="B1538" s="17">
        <f t="shared" si="287"/>
        <v>13.411199999999999</v>
      </c>
      <c r="C1538" s="16">
        <f>Specification!$G$32</f>
        <v>219.92450400000001</v>
      </c>
      <c r="D1538" s="17">
        <f>0.5*Specification!$K$4*Track!B1538^2*Specification!$K$3*Specification!$K$2</f>
        <v>93.159842569492653</v>
      </c>
      <c r="E1538" s="16">
        <v>0</v>
      </c>
      <c r="F1538" s="17">
        <f>Specification!$C$23*9.81*SIN((E1538*PI()/180))</f>
        <v>0</v>
      </c>
      <c r="G1538" s="18">
        <f>IF(J1538=1,VLOOKUP(K1538,RPM!$E$2:$H$62,3,FALSE)-F1538-E1538-D1538,IF(J1538=2,VLOOKUP(K1538,RPM!$H$2:$K$62,3,FALSE)-F1538-E1538-D1538,IF(J1538=3,VLOOKUP(K1538,RPM!$K$2:$N$62,3,FALSE)-F1538-E1538-D1538)))</f>
        <v>688.48526429214962</v>
      </c>
      <c r="H1538" s="19">
        <f>IF(J1538=1,Specification!$I$14,IF(J1538=2,Specification!$I$15,IF(J1538=3,Specification!$I$16)))</f>
        <v>582.50936296077191</v>
      </c>
      <c r="I1538" s="16">
        <f t="shared" si="285"/>
        <v>0</v>
      </c>
      <c r="J1538" s="17">
        <v>2</v>
      </c>
      <c r="K1538" s="16">
        <f>IF(J1538=1,VLOOKUP(B1538,RPM!$F$2:$H$62,3,TRUE),IF(J1538=2,VLOOKUP(B1538,RPM!$I$2:$K$62,3,TRUE),IF(J1538=3,VLOOKUP(B1538,RPM!$L$2:$N$62,3,TRUE))))</f>
        <v>7000</v>
      </c>
      <c r="L1538" s="17">
        <f t="shared" si="284"/>
        <v>118.88104307473102</v>
      </c>
      <c r="M1538" s="16">
        <f t="shared" si="286"/>
        <v>0</v>
      </c>
      <c r="N1538" s="17">
        <f>VLOOKUP(K1538,RPM!$A$2:$D$62,3,FALSE)</f>
        <v>13</v>
      </c>
      <c r="O1538" s="16">
        <f>VLOOKUP(K1538,RPM!$A$2:$D$62,4,FALSE)</f>
        <v>13.235857142857142</v>
      </c>
      <c r="P1538" s="17">
        <f t="shared" ref="P1538:P1601" si="288">O1538*0.7457</f>
        <v>9.8699786714285711</v>
      </c>
      <c r="Q1538" s="16" cm="1">
        <f t="array" ref="Q1538">_xlfn.XLOOKUP(O1538,BSFC!$A$2:$A$24,_xlfn.XLOOKUP(K1538,BSFC!$B$1:$O$1,BSFC!$B$2:$O$24,,-1),,-1)</f>
        <v>520</v>
      </c>
      <c r="R1538" s="17">
        <f t="shared" ref="R1538:R1601" si="289">Q1538*P1538/3600</f>
        <v>1.425663585873016</v>
      </c>
      <c r="S1538" s="16">
        <f t="shared" si="278"/>
        <v>2.0443068048074323E-4</v>
      </c>
      <c r="T1538" s="17">
        <f t="shared" si="281"/>
        <v>0.10630395384998648</v>
      </c>
      <c r="U1538" s="16">
        <f t="shared" si="282"/>
        <v>194.81654729314275</v>
      </c>
      <c r="V1538" s="17">
        <f t="shared" si="283"/>
        <v>0.39853200309678849</v>
      </c>
      <c r="W1538" s="16">
        <f t="shared" si="279"/>
        <v>1434715.2111484387</v>
      </c>
      <c r="X1538">
        <f>('Hybrid Info'!$A$2-Track!P1538)*(L1538-L1537)*1000+X1537</f>
        <v>1109.6891790412046</v>
      </c>
    </row>
    <row r="1539" spans="1:24">
      <c r="A1539" s="16">
        <f t="shared" si="280"/>
        <v>1538</v>
      </c>
      <c r="B1539" s="17">
        <f t="shared" si="287"/>
        <v>13.411199999999999</v>
      </c>
      <c r="C1539" s="16">
        <f>Specification!$G$32</f>
        <v>219.92450400000001</v>
      </c>
      <c r="D1539" s="17">
        <f>0.5*Specification!$K$4*Track!B1539^2*Specification!$K$3*Specification!$K$2</f>
        <v>93.159842569492653</v>
      </c>
      <c r="E1539" s="16">
        <v>0</v>
      </c>
      <c r="F1539" s="17">
        <f>Specification!$C$23*9.81*SIN((E1539*PI()/180))</f>
        <v>0</v>
      </c>
      <c r="G1539" s="18">
        <f>IF(J1539=1,VLOOKUP(K1539,RPM!$E$2:$H$62,3,FALSE)-F1539-E1539-D1539,IF(J1539=2,VLOOKUP(K1539,RPM!$H$2:$K$62,3,FALSE)-F1539-E1539-D1539,IF(J1539=3,VLOOKUP(K1539,RPM!$K$2:$N$62,3,FALSE)-F1539-E1539-D1539)))</f>
        <v>688.48526429214962</v>
      </c>
      <c r="H1539" s="19">
        <f>IF(J1539=1,Specification!$I$14,IF(J1539=2,Specification!$I$15,IF(J1539=3,Specification!$I$16)))</f>
        <v>582.50936296077191</v>
      </c>
      <c r="I1539" s="16">
        <f t="shared" si="285"/>
        <v>0</v>
      </c>
      <c r="J1539" s="17">
        <v>2</v>
      </c>
      <c r="K1539" s="16">
        <f>IF(J1539=1,VLOOKUP(B1539,RPM!$F$2:$H$62,3,TRUE),IF(J1539=2,VLOOKUP(B1539,RPM!$I$2:$K$62,3,TRUE),IF(J1539=3,VLOOKUP(B1539,RPM!$L$2:$N$62,3,TRUE))))</f>
        <v>7000</v>
      </c>
      <c r="L1539" s="17">
        <f t="shared" si="284"/>
        <v>118.9556076177995</v>
      </c>
      <c r="M1539" s="16">
        <f t="shared" si="286"/>
        <v>0</v>
      </c>
      <c r="N1539" s="17">
        <f>VLOOKUP(K1539,RPM!$A$2:$D$62,3,FALSE)</f>
        <v>13</v>
      </c>
      <c r="O1539" s="16">
        <f>VLOOKUP(K1539,RPM!$A$2:$D$62,4,FALSE)</f>
        <v>13.235857142857142</v>
      </c>
      <c r="P1539" s="17">
        <f t="shared" si="288"/>
        <v>9.8699786714285711</v>
      </c>
      <c r="Q1539" s="16" cm="1">
        <f t="array" ref="Q1539">_xlfn.XLOOKUP(O1539,BSFC!$A$2:$A$24,_xlfn.XLOOKUP(K1539,BSFC!$B$1:$O$1,BSFC!$B$2:$O$24,,-1),,-1)</f>
        <v>520</v>
      </c>
      <c r="R1539" s="17">
        <f t="shared" si="289"/>
        <v>1.425663585873016</v>
      </c>
      <c r="S1539" s="16">
        <f t="shared" ref="S1539:S1602" si="290">(L1539-L1538)/3600*P1539</f>
        <v>2.0443068048074323E-4</v>
      </c>
      <c r="T1539" s="17">
        <f t="shared" si="281"/>
        <v>0.10630395384998648</v>
      </c>
      <c r="U1539" s="16">
        <f t="shared" si="282"/>
        <v>194.92285124699274</v>
      </c>
      <c r="V1539" s="17">
        <f t="shared" si="283"/>
        <v>0.39873643377726925</v>
      </c>
      <c r="W1539" s="16">
        <f t="shared" ref="W1539:W1602" si="291">V1539*1000*3600</f>
        <v>1435451.1615981695</v>
      </c>
      <c r="X1539">
        <f>('Hybrid Info'!$A$2-Track!P1539)*(L1539-L1538)*1000+X1538</f>
        <v>1277.4948880274569</v>
      </c>
    </row>
    <row r="1540" spans="1:24">
      <c r="A1540" s="16">
        <f t="shared" ref="A1540:A1603" si="292">A1539+1</f>
        <v>1539</v>
      </c>
      <c r="B1540" s="17">
        <f t="shared" si="287"/>
        <v>13.411199999999999</v>
      </c>
      <c r="C1540" s="16">
        <f>Specification!$G$32</f>
        <v>219.92450400000001</v>
      </c>
      <c r="D1540" s="17">
        <f>0.5*Specification!$K$4*Track!B1540^2*Specification!$K$3*Specification!$K$2</f>
        <v>93.159842569492653</v>
      </c>
      <c r="E1540" s="16">
        <v>0</v>
      </c>
      <c r="F1540" s="17">
        <f>Specification!$C$23*9.81*SIN((E1540*PI()/180))</f>
        <v>0</v>
      </c>
      <c r="G1540" s="18">
        <f>IF(J1540=1,VLOOKUP(K1540,RPM!$E$2:$H$62,3,FALSE)-F1540-E1540-D1540,IF(J1540=2,VLOOKUP(K1540,RPM!$H$2:$K$62,3,FALSE)-F1540-E1540-D1540,IF(J1540=3,VLOOKUP(K1540,RPM!$K$2:$N$62,3,FALSE)-F1540-E1540-D1540)))</f>
        <v>688.48526429214962</v>
      </c>
      <c r="H1540" s="19">
        <f>IF(J1540=1,Specification!$I$14,IF(J1540=2,Specification!$I$15,IF(J1540=3,Specification!$I$16)))</f>
        <v>582.50936296077191</v>
      </c>
      <c r="I1540" s="16">
        <f t="shared" si="285"/>
        <v>0</v>
      </c>
      <c r="J1540" s="17">
        <v>2</v>
      </c>
      <c r="K1540" s="16">
        <f>IF(J1540=1,VLOOKUP(B1540,RPM!$F$2:$H$62,3,TRUE),IF(J1540=2,VLOOKUP(B1540,RPM!$I$2:$K$62,3,TRUE),IF(J1540=3,VLOOKUP(B1540,RPM!$L$2:$N$62,3,TRUE))))</f>
        <v>7000</v>
      </c>
      <c r="L1540" s="17">
        <f t="shared" si="284"/>
        <v>119.03017216086798</v>
      </c>
      <c r="M1540" s="16">
        <f t="shared" si="286"/>
        <v>0</v>
      </c>
      <c r="N1540" s="17">
        <f>VLOOKUP(K1540,RPM!$A$2:$D$62,3,FALSE)</f>
        <v>13</v>
      </c>
      <c r="O1540" s="16">
        <f>VLOOKUP(K1540,RPM!$A$2:$D$62,4,FALSE)</f>
        <v>13.235857142857142</v>
      </c>
      <c r="P1540" s="17">
        <f t="shared" si="288"/>
        <v>9.8699786714285711</v>
      </c>
      <c r="Q1540" s="16" cm="1">
        <f t="array" ref="Q1540">_xlfn.XLOOKUP(O1540,BSFC!$A$2:$A$24,_xlfn.XLOOKUP(K1540,BSFC!$B$1:$O$1,BSFC!$B$2:$O$24,,-1),,-1)</f>
        <v>520</v>
      </c>
      <c r="R1540" s="17">
        <f t="shared" si="289"/>
        <v>1.425663585873016</v>
      </c>
      <c r="S1540" s="16">
        <f t="shared" si="290"/>
        <v>2.0443068048074323E-4</v>
      </c>
      <c r="T1540" s="17">
        <f t="shared" ref="T1540:T1603" si="293">S1540*Q1540</f>
        <v>0.10630395384998648</v>
      </c>
      <c r="U1540" s="16">
        <f t="shared" ref="U1540:U1603" si="294">U1539+T1540</f>
        <v>195.02915520084272</v>
      </c>
      <c r="V1540" s="17">
        <f t="shared" si="283"/>
        <v>0.39894086445775001</v>
      </c>
      <c r="W1540" s="16">
        <f t="shared" si="291"/>
        <v>1436187.1120479</v>
      </c>
      <c r="X1540">
        <f>('Hybrid Info'!$A$2-Track!P1540)*(L1540-L1539)*1000+X1539</f>
        <v>1445.3005970137092</v>
      </c>
    </row>
    <row r="1541" spans="1:24">
      <c r="A1541" s="16">
        <f t="shared" si="292"/>
        <v>1540</v>
      </c>
      <c r="B1541" s="17">
        <f t="shared" si="287"/>
        <v>13.411199999999999</v>
      </c>
      <c r="C1541" s="16">
        <f>Specification!$G$32</f>
        <v>219.92450400000001</v>
      </c>
      <c r="D1541" s="17">
        <f>0.5*Specification!$K$4*Track!B1541^2*Specification!$K$3*Specification!$K$2</f>
        <v>93.159842569492653</v>
      </c>
      <c r="E1541" s="16">
        <v>0</v>
      </c>
      <c r="F1541" s="17">
        <f>Specification!$C$23*9.81*SIN((E1541*PI()/180))</f>
        <v>0</v>
      </c>
      <c r="G1541" s="18">
        <f>IF(J1541=1,VLOOKUP(K1541,RPM!$E$2:$H$62,3,FALSE)-F1541-E1541-D1541,IF(J1541=2,VLOOKUP(K1541,RPM!$H$2:$K$62,3,FALSE)-F1541-E1541-D1541,IF(J1541=3,VLOOKUP(K1541,RPM!$K$2:$N$62,3,FALSE)-F1541-E1541-D1541)))</f>
        <v>688.48526429214962</v>
      </c>
      <c r="H1541" s="19">
        <f>IF(J1541=1,Specification!$I$14,IF(J1541=2,Specification!$I$15,IF(J1541=3,Specification!$I$16)))</f>
        <v>582.50936296077191</v>
      </c>
      <c r="I1541" s="16">
        <f t="shared" si="285"/>
        <v>0</v>
      </c>
      <c r="J1541" s="17">
        <v>2</v>
      </c>
      <c r="K1541" s="16">
        <f>IF(J1541=1,VLOOKUP(B1541,RPM!$F$2:$H$62,3,TRUE),IF(J1541=2,VLOOKUP(B1541,RPM!$I$2:$K$62,3,TRUE),IF(J1541=3,VLOOKUP(B1541,RPM!$L$2:$N$62,3,TRUE))))</f>
        <v>7000</v>
      </c>
      <c r="L1541" s="17">
        <f t="shared" si="284"/>
        <v>119.10473670393645</v>
      </c>
      <c r="M1541" s="16">
        <f t="shared" si="286"/>
        <v>0</v>
      </c>
      <c r="N1541" s="17">
        <f>VLOOKUP(K1541,RPM!$A$2:$D$62,3,FALSE)</f>
        <v>13</v>
      </c>
      <c r="O1541" s="16">
        <f>VLOOKUP(K1541,RPM!$A$2:$D$62,4,FALSE)</f>
        <v>13.235857142857142</v>
      </c>
      <c r="P1541" s="17">
        <f t="shared" si="288"/>
        <v>9.8699786714285711</v>
      </c>
      <c r="Q1541" s="16" cm="1">
        <f t="array" ref="Q1541">_xlfn.XLOOKUP(O1541,BSFC!$A$2:$A$24,_xlfn.XLOOKUP(K1541,BSFC!$B$1:$O$1,BSFC!$B$2:$O$24,,-1),,-1)</f>
        <v>520</v>
      </c>
      <c r="R1541" s="17">
        <f t="shared" si="289"/>
        <v>1.425663585873016</v>
      </c>
      <c r="S1541" s="16">
        <f t="shared" si="290"/>
        <v>2.0443068048074323E-4</v>
      </c>
      <c r="T1541" s="17">
        <f t="shared" si="293"/>
        <v>0.10630395384998648</v>
      </c>
      <c r="U1541" s="16">
        <f t="shared" si="294"/>
        <v>195.13545915469271</v>
      </c>
      <c r="V1541" s="17">
        <f t="shared" ref="V1541:V1604" si="295">V1540+S1541</f>
        <v>0.39914529513823077</v>
      </c>
      <c r="W1541" s="16">
        <f t="shared" si="291"/>
        <v>1436923.0624976307</v>
      </c>
      <c r="X1541">
        <f>('Hybrid Info'!$A$2-Track!P1541)*(L1541-L1540)*1000+X1540</f>
        <v>1613.1063059999615</v>
      </c>
    </row>
    <row r="1542" spans="1:24">
      <c r="A1542" s="16">
        <f t="shared" si="292"/>
        <v>1541</v>
      </c>
      <c r="B1542" s="17">
        <f t="shared" si="287"/>
        <v>13.411199999999999</v>
      </c>
      <c r="C1542" s="16">
        <f>Specification!$G$32</f>
        <v>219.92450400000001</v>
      </c>
      <c r="D1542" s="17">
        <f>0.5*Specification!$K$4*Track!B1542^2*Specification!$K$3*Specification!$K$2</f>
        <v>93.159842569492653</v>
      </c>
      <c r="E1542" s="16">
        <v>0</v>
      </c>
      <c r="F1542" s="17">
        <f>Specification!$C$23*9.81*SIN((E1542*PI()/180))</f>
        <v>0</v>
      </c>
      <c r="G1542" s="18">
        <f>IF(J1542=1,VLOOKUP(K1542,RPM!$E$2:$H$62,3,FALSE)-F1542-E1542-D1542,IF(J1542=2,VLOOKUP(K1542,RPM!$H$2:$K$62,3,FALSE)-F1542-E1542-D1542,IF(J1542=3,VLOOKUP(K1542,RPM!$K$2:$N$62,3,FALSE)-F1542-E1542-D1542)))</f>
        <v>688.48526429214962</v>
      </c>
      <c r="H1542" s="19">
        <f>IF(J1542=1,Specification!$I$14,IF(J1542=2,Specification!$I$15,IF(J1542=3,Specification!$I$16)))</f>
        <v>582.50936296077191</v>
      </c>
      <c r="I1542" s="16">
        <f t="shared" si="285"/>
        <v>0</v>
      </c>
      <c r="J1542" s="17">
        <v>2</v>
      </c>
      <c r="K1542" s="16">
        <f>IF(J1542=1,VLOOKUP(B1542,RPM!$F$2:$H$62,3,TRUE),IF(J1542=2,VLOOKUP(B1542,RPM!$I$2:$K$62,3,TRUE),IF(J1542=3,VLOOKUP(B1542,RPM!$L$2:$N$62,3,TRUE))))</f>
        <v>7000</v>
      </c>
      <c r="L1542" s="17">
        <f t="shared" si="284"/>
        <v>119.17930124700493</v>
      </c>
      <c r="M1542" s="16">
        <f t="shared" si="286"/>
        <v>0</v>
      </c>
      <c r="N1542" s="17">
        <f>VLOOKUP(K1542,RPM!$A$2:$D$62,3,FALSE)</f>
        <v>13</v>
      </c>
      <c r="O1542" s="16">
        <f>VLOOKUP(K1542,RPM!$A$2:$D$62,4,FALSE)</f>
        <v>13.235857142857142</v>
      </c>
      <c r="P1542" s="17">
        <f t="shared" si="288"/>
        <v>9.8699786714285711</v>
      </c>
      <c r="Q1542" s="16" cm="1">
        <f t="array" ref="Q1542">_xlfn.XLOOKUP(O1542,BSFC!$A$2:$A$24,_xlfn.XLOOKUP(K1542,BSFC!$B$1:$O$1,BSFC!$B$2:$O$24,,-1),,-1)</f>
        <v>520</v>
      </c>
      <c r="R1542" s="17">
        <f t="shared" si="289"/>
        <v>1.425663585873016</v>
      </c>
      <c r="S1542" s="16">
        <f t="shared" si="290"/>
        <v>2.0443068048074323E-4</v>
      </c>
      <c r="T1542" s="17">
        <f t="shared" si="293"/>
        <v>0.10630395384998648</v>
      </c>
      <c r="U1542" s="16">
        <f t="shared" si="294"/>
        <v>195.2417631085427</v>
      </c>
      <c r="V1542" s="17">
        <f t="shared" si="295"/>
        <v>0.39934972581871153</v>
      </c>
      <c r="W1542" s="16">
        <f t="shared" si="291"/>
        <v>1437659.0129473615</v>
      </c>
      <c r="X1542">
        <f>('Hybrid Info'!$A$2-Track!P1542)*(L1542-L1541)*1000+X1541</f>
        <v>1780.9120149862138</v>
      </c>
    </row>
    <row r="1543" spans="1:24">
      <c r="A1543" s="16">
        <f t="shared" si="292"/>
        <v>1542</v>
      </c>
      <c r="B1543" s="17">
        <f t="shared" si="287"/>
        <v>13.411199999999999</v>
      </c>
      <c r="C1543" s="16">
        <f>Specification!$G$32</f>
        <v>219.92450400000001</v>
      </c>
      <c r="D1543" s="17">
        <f>0.5*Specification!$K$4*Track!B1543^2*Specification!$K$3*Specification!$K$2</f>
        <v>93.159842569492653</v>
      </c>
      <c r="E1543" s="16">
        <v>0</v>
      </c>
      <c r="F1543" s="17">
        <f>Specification!$C$23*9.81*SIN((E1543*PI()/180))</f>
        <v>0</v>
      </c>
      <c r="G1543" s="18">
        <f>IF(J1543=1,VLOOKUP(K1543,RPM!$E$2:$H$62,3,FALSE)-F1543-E1543-D1543,IF(J1543=2,VLOOKUP(K1543,RPM!$H$2:$K$62,3,FALSE)-F1543-E1543-D1543,IF(J1543=3,VLOOKUP(K1543,RPM!$K$2:$N$62,3,FALSE)-F1543-E1543-D1543)))</f>
        <v>688.48526429214962</v>
      </c>
      <c r="H1543" s="19">
        <f>IF(J1543=1,Specification!$I$14,IF(J1543=2,Specification!$I$15,IF(J1543=3,Specification!$I$16)))</f>
        <v>582.50936296077191</v>
      </c>
      <c r="I1543" s="16">
        <f t="shared" si="285"/>
        <v>0</v>
      </c>
      <c r="J1543" s="17">
        <v>2</v>
      </c>
      <c r="K1543" s="16">
        <f>IF(J1543=1,VLOOKUP(B1543,RPM!$F$2:$H$62,3,TRUE),IF(J1543=2,VLOOKUP(B1543,RPM!$I$2:$K$62,3,TRUE),IF(J1543=3,VLOOKUP(B1543,RPM!$L$2:$N$62,3,TRUE))))</f>
        <v>7000</v>
      </c>
      <c r="L1543" s="17">
        <f t="shared" si="284"/>
        <v>119.25386579007341</v>
      </c>
      <c r="M1543" s="16">
        <f t="shared" si="286"/>
        <v>0</v>
      </c>
      <c r="N1543" s="17">
        <f>VLOOKUP(K1543,RPM!$A$2:$D$62,3,FALSE)</f>
        <v>13</v>
      </c>
      <c r="O1543" s="16">
        <f>VLOOKUP(K1543,RPM!$A$2:$D$62,4,FALSE)</f>
        <v>13.235857142857142</v>
      </c>
      <c r="P1543" s="17">
        <f t="shared" si="288"/>
        <v>9.8699786714285711</v>
      </c>
      <c r="Q1543" s="16" cm="1">
        <f t="array" ref="Q1543">_xlfn.XLOOKUP(O1543,BSFC!$A$2:$A$24,_xlfn.XLOOKUP(K1543,BSFC!$B$1:$O$1,BSFC!$B$2:$O$24,,-1),,-1)</f>
        <v>520</v>
      </c>
      <c r="R1543" s="17">
        <f t="shared" si="289"/>
        <v>1.425663585873016</v>
      </c>
      <c r="S1543" s="16">
        <f t="shared" si="290"/>
        <v>2.0443068048074323E-4</v>
      </c>
      <c r="T1543" s="17">
        <f t="shared" si="293"/>
        <v>0.10630395384998648</v>
      </c>
      <c r="U1543" s="16">
        <f t="shared" si="294"/>
        <v>195.34806706239269</v>
      </c>
      <c r="V1543" s="17">
        <f t="shared" si="295"/>
        <v>0.39955415649919229</v>
      </c>
      <c r="W1543" s="16">
        <f t="shared" si="291"/>
        <v>1438394.9633970922</v>
      </c>
      <c r="X1543">
        <f>('Hybrid Info'!$A$2-Track!P1543)*(L1543-L1542)*1000+X1542</f>
        <v>1948.717723972466</v>
      </c>
    </row>
    <row r="1544" spans="1:24">
      <c r="A1544" s="16">
        <f t="shared" si="292"/>
        <v>1543</v>
      </c>
      <c r="B1544" s="17">
        <f t="shared" si="287"/>
        <v>13.411199999999999</v>
      </c>
      <c r="C1544" s="16">
        <f>Specification!$G$32</f>
        <v>219.92450400000001</v>
      </c>
      <c r="D1544" s="17">
        <f>0.5*Specification!$K$4*Track!B1544^2*Specification!$K$3*Specification!$K$2</f>
        <v>93.159842569492653</v>
      </c>
      <c r="E1544" s="16">
        <v>0</v>
      </c>
      <c r="F1544" s="17">
        <f>Specification!$C$23*9.81*SIN((E1544*PI()/180))</f>
        <v>0</v>
      </c>
      <c r="G1544" s="18">
        <f>IF(J1544=1,VLOOKUP(K1544,RPM!$E$2:$H$62,3,FALSE)-F1544-E1544-D1544,IF(J1544=2,VLOOKUP(K1544,RPM!$H$2:$K$62,3,FALSE)-F1544-E1544-D1544,IF(J1544=3,VLOOKUP(K1544,RPM!$K$2:$N$62,3,FALSE)-F1544-E1544-D1544)))</f>
        <v>688.48526429214962</v>
      </c>
      <c r="H1544" s="19">
        <f>IF(J1544=1,Specification!$I$14,IF(J1544=2,Specification!$I$15,IF(J1544=3,Specification!$I$16)))</f>
        <v>582.50936296077191</v>
      </c>
      <c r="I1544" s="16">
        <f t="shared" si="285"/>
        <v>0</v>
      </c>
      <c r="J1544" s="17">
        <v>2</v>
      </c>
      <c r="K1544" s="16">
        <f>IF(J1544=1,VLOOKUP(B1544,RPM!$F$2:$H$62,3,TRUE),IF(J1544=2,VLOOKUP(B1544,RPM!$I$2:$K$62,3,TRUE),IF(J1544=3,VLOOKUP(B1544,RPM!$L$2:$N$62,3,TRUE))))</f>
        <v>7000</v>
      </c>
      <c r="L1544" s="17">
        <f t="shared" si="284"/>
        <v>119.32843033314188</v>
      </c>
      <c r="M1544" s="16">
        <f t="shared" si="286"/>
        <v>0</v>
      </c>
      <c r="N1544" s="17">
        <f>VLOOKUP(K1544,RPM!$A$2:$D$62,3,FALSE)</f>
        <v>13</v>
      </c>
      <c r="O1544" s="16">
        <f>VLOOKUP(K1544,RPM!$A$2:$D$62,4,FALSE)</f>
        <v>13.235857142857142</v>
      </c>
      <c r="P1544" s="17">
        <f t="shared" si="288"/>
        <v>9.8699786714285711</v>
      </c>
      <c r="Q1544" s="16" cm="1">
        <f t="array" ref="Q1544">_xlfn.XLOOKUP(O1544,BSFC!$A$2:$A$24,_xlfn.XLOOKUP(K1544,BSFC!$B$1:$O$1,BSFC!$B$2:$O$24,,-1),,-1)</f>
        <v>520</v>
      </c>
      <c r="R1544" s="17">
        <f t="shared" si="289"/>
        <v>1.425663585873016</v>
      </c>
      <c r="S1544" s="16">
        <f t="shared" si="290"/>
        <v>2.0443068048074323E-4</v>
      </c>
      <c r="T1544" s="17">
        <f t="shared" si="293"/>
        <v>0.10630395384998648</v>
      </c>
      <c r="U1544" s="16">
        <f t="shared" si="294"/>
        <v>195.45437101624267</v>
      </c>
      <c r="V1544" s="17">
        <f t="shared" si="295"/>
        <v>0.39975858717967305</v>
      </c>
      <c r="W1544" s="16">
        <f t="shared" si="291"/>
        <v>1439130.9138468229</v>
      </c>
      <c r="X1544">
        <f>('Hybrid Info'!$A$2-Track!P1544)*(L1544-L1543)*1000+X1543</f>
        <v>2116.5234329587183</v>
      </c>
    </row>
    <row r="1545" spans="1:24">
      <c r="A1545" s="16">
        <f t="shared" si="292"/>
        <v>1544</v>
      </c>
      <c r="B1545" s="17">
        <f t="shared" si="287"/>
        <v>13.411199999999999</v>
      </c>
      <c r="C1545" s="16">
        <f>Specification!$G$32</f>
        <v>219.92450400000001</v>
      </c>
      <c r="D1545" s="17">
        <f>0.5*Specification!$K$4*Track!B1545^2*Specification!$K$3*Specification!$K$2</f>
        <v>93.159842569492653</v>
      </c>
      <c r="E1545" s="16">
        <v>0</v>
      </c>
      <c r="F1545" s="17">
        <f>Specification!$C$23*9.81*SIN((E1545*PI()/180))</f>
        <v>0</v>
      </c>
      <c r="G1545" s="18">
        <f>IF(J1545=1,VLOOKUP(K1545,RPM!$E$2:$H$62,3,FALSE)-F1545-E1545-D1545,IF(J1545=2,VLOOKUP(K1545,RPM!$H$2:$K$62,3,FALSE)-F1545-E1545-D1545,IF(J1545=3,VLOOKUP(K1545,RPM!$K$2:$N$62,3,FALSE)-F1545-E1545-D1545)))</f>
        <v>688.48526429214962</v>
      </c>
      <c r="H1545" s="19">
        <f>IF(J1545=1,Specification!$I$14,IF(J1545=2,Specification!$I$15,IF(J1545=3,Specification!$I$16)))</f>
        <v>582.50936296077191</v>
      </c>
      <c r="I1545" s="16">
        <f t="shared" si="285"/>
        <v>0</v>
      </c>
      <c r="J1545" s="17">
        <v>2</v>
      </c>
      <c r="K1545" s="16">
        <f>IF(J1545=1,VLOOKUP(B1545,RPM!$F$2:$H$62,3,TRUE),IF(J1545=2,VLOOKUP(B1545,RPM!$I$2:$K$62,3,TRUE),IF(J1545=3,VLOOKUP(B1545,RPM!$L$2:$N$62,3,TRUE))))</f>
        <v>7000</v>
      </c>
      <c r="L1545" s="17">
        <f t="shared" si="284"/>
        <v>119.40299487621036</v>
      </c>
      <c r="M1545" s="16">
        <f t="shared" si="286"/>
        <v>0</v>
      </c>
      <c r="N1545" s="17">
        <f>VLOOKUP(K1545,RPM!$A$2:$D$62,3,FALSE)</f>
        <v>13</v>
      </c>
      <c r="O1545" s="16">
        <f>VLOOKUP(K1545,RPM!$A$2:$D$62,4,FALSE)</f>
        <v>13.235857142857142</v>
      </c>
      <c r="P1545" s="17">
        <f t="shared" si="288"/>
        <v>9.8699786714285711</v>
      </c>
      <c r="Q1545" s="16" cm="1">
        <f t="array" ref="Q1545">_xlfn.XLOOKUP(O1545,BSFC!$A$2:$A$24,_xlfn.XLOOKUP(K1545,BSFC!$B$1:$O$1,BSFC!$B$2:$O$24,,-1),,-1)</f>
        <v>520</v>
      </c>
      <c r="R1545" s="17">
        <f t="shared" si="289"/>
        <v>1.425663585873016</v>
      </c>
      <c r="S1545" s="16">
        <f t="shared" si="290"/>
        <v>2.0443068048074323E-4</v>
      </c>
      <c r="T1545" s="17">
        <f t="shared" si="293"/>
        <v>0.10630395384998648</v>
      </c>
      <c r="U1545" s="16">
        <f t="shared" si="294"/>
        <v>195.56067497009266</v>
      </c>
      <c r="V1545" s="17">
        <f t="shared" si="295"/>
        <v>0.39996301786015381</v>
      </c>
      <c r="W1545" s="16">
        <f t="shared" si="291"/>
        <v>1439866.8642965537</v>
      </c>
      <c r="X1545">
        <f>('Hybrid Info'!$A$2-Track!P1545)*(L1545-L1544)*1000+X1544</f>
        <v>2284.3291419449706</v>
      </c>
    </row>
    <row r="1546" spans="1:24">
      <c r="A1546" s="16">
        <f t="shared" si="292"/>
        <v>1545</v>
      </c>
      <c r="B1546" s="17">
        <f t="shared" si="287"/>
        <v>13.411199999999999</v>
      </c>
      <c r="C1546" s="16">
        <f>Specification!$G$32</f>
        <v>219.92450400000001</v>
      </c>
      <c r="D1546" s="17">
        <f>0.5*Specification!$K$4*Track!B1546^2*Specification!$K$3*Specification!$K$2</f>
        <v>93.159842569492653</v>
      </c>
      <c r="E1546" s="16">
        <v>0</v>
      </c>
      <c r="F1546" s="17">
        <f>Specification!$C$23*9.81*SIN((E1546*PI()/180))</f>
        <v>0</v>
      </c>
      <c r="G1546" s="18">
        <f>IF(J1546=1,VLOOKUP(K1546,RPM!$E$2:$H$62,3,FALSE)-F1546-E1546-D1546,IF(J1546=2,VLOOKUP(K1546,RPM!$H$2:$K$62,3,FALSE)-F1546-E1546-D1546,IF(J1546=3,VLOOKUP(K1546,RPM!$K$2:$N$62,3,FALSE)-F1546-E1546-D1546)))</f>
        <v>688.48526429214962</v>
      </c>
      <c r="H1546" s="19">
        <f>IF(J1546=1,Specification!$I$14,IF(J1546=2,Specification!$I$15,IF(J1546=3,Specification!$I$16)))</f>
        <v>582.50936296077191</v>
      </c>
      <c r="I1546" s="16">
        <f t="shared" si="285"/>
        <v>0</v>
      </c>
      <c r="J1546" s="17">
        <v>2</v>
      </c>
      <c r="K1546" s="16">
        <f>IF(J1546=1,VLOOKUP(B1546,RPM!$F$2:$H$62,3,TRUE),IF(J1546=2,VLOOKUP(B1546,RPM!$I$2:$K$62,3,TRUE),IF(J1546=3,VLOOKUP(B1546,RPM!$L$2:$N$62,3,TRUE))))</f>
        <v>7000</v>
      </c>
      <c r="L1546" s="17">
        <f t="shared" si="284"/>
        <v>119.47755941927883</v>
      </c>
      <c r="M1546" s="16">
        <f t="shared" si="286"/>
        <v>0</v>
      </c>
      <c r="N1546" s="17">
        <f>VLOOKUP(K1546,RPM!$A$2:$D$62,3,FALSE)</f>
        <v>13</v>
      </c>
      <c r="O1546" s="16">
        <f>VLOOKUP(K1546,RPM!$A$2:$D$62,4,FALSE)</f>
        <v>13.235857142857142</v>
      </c>
      <c r="P1546" s="17">
        <f t="shared" si="288"/>
        <v>9.8699786714285711</v>
      </c>
      <c r="Q1546" s="16" cm="1">
        <f t="array" ref="Q1546">_xlfn.XLOOKUP(O1546,BSFC!$A$2:$A$24,_xlfn.XLOOKUP(K1546,BSFC!$B$1:$O$1,BSFC!$B$2:$O$24,,-1),,-1)</f>
        <v>520</v>
      </c>
      <c r="R1546" s="17">
        <f t="shared" si="289"/>
        <v>1.425663585873016</v>
      </c>
      <c r="S1546" s="16">
        <f t="shared" si="290"/>
        <v>2.0443068048074323E-4</v>
      </c>
      <c r="T1546" s="17">
        <f t="shared" si="293"/>
        <v>0.10630395384998648</v>
      </c>
      <c r="U1546" s="16">
        <f t="shared" si="294"/>
        <v>195.66697892394265</v>
      </c>
      <c r="V1546" s="17">
        <f t="shared" si="295"/>
        <v>0.40016744854063457</v>
      </c>
      <c r="W1546" s="16">
        <f t="shared" si="291"/>
        <v>1440602.8147462844</v>
      </c>
      <c r="X1546">
        <f>('Hybrid Info'!$A$2-Track!P1546)*(L1546-L1545)*1000+X1545</f>
        <v>2452.1348509312229</v>
      </c>
    </row>
    <row r="1547" spans="1:24">
      <c r="A1547" s="16">
        <f t="shared" si="292"/>
        <v>1546</v>
      </c>
      <c r="B1547" s="17">
        <f t="shared" si="287"/>
        <v>13.411199999999999</v>
      </c>
      <c r="C1547" s="16">
        <f>Specification!$G$32</f>
        <v>219.92450400000001</v>
      </c>
      <c r="D1547" s="17">
        <f>0.5*Specification!$K$4*Track!B1547^2*Specification!$K$3*Specification!$K$2</f>
        <v>93.159842569492653</v>
      </c>
      <c r="E1547" s="16">
        <v>0</v>
      </c>
      <c r="F1547" s="17">
        <f>Specification!$C$23*9.81*SIN((E1547*PI()/180))</f>
        <v>0</v>
      </c>
      <c r="G1547" s="18">
        <f>IF(J1547=1,VLOOKUP(K1547,RPM!$E$2:$H$62,3,FALSE)-F1547-E1547-D1547,IF(J1547=2,VLOOKUP(K1547,RPM!$H$2:$K$62,3,FALSE)-F1547-E1547-D1547,IF(J1547=3,VLOOKUP(K1547,RPM!$K$2:$N$62,3,FALSE)-F1547-E1547-D1547)))</f>
        <v>688.48526429214962</v>
      </c>
      <c r="H1547" s="19">
        <f>IF(J1547=1,Specification!$I$14,IF(J1547=2,Specification!$I$15,IF(J1547=3,Specification!$I$16)))</f>
        <v>582.50936296077191</v>
      </c>
      <c r="I1547" s="16">
        <f t="shared" si="285"/>
        <v>0</v>
      </c>
      <c r="J1547" s="17">
        <v>2</v>
      </c>
      <c r="K1547" s="16">
        <f>IF(J1547=1,VLOOKUP(B1547,RPM!$F$2:$H$62,3,TRUE),IF(J1547=2,VLOOKUP(B1547,RPM!$I$2:$K$62,3,TRUE),IF(J1547=3,VLOOKUP(B1547,RPM!$L$2:$N$62,3,TRUE))))</f>
        <v>7000</v>
      </c>
      <c r="L1547" s="17">
        <f t="shared" si="284"/>
        <v>119.55212396234731</v>
      </c>
      <c r="M1547" s="16">
        <f t="shared" si="286"/>
        <v>0</v>
      </c>
      <c r="N1547" s="17">
        <f>VLOOKUP(K1547,RPM!$A$2:$D$62,3,FALSE)</f>
        <v>13</v>
      </c>
      <c r="O1547" s="16">
        <f>VLOOKUP(K1547,RPM!$A$2:$D$62,4,FALSE)</f>
        <v>13.235857142857142</v>
      </c>
      <c r="P1547" s="17">
        <f t="shared" si="288"/>
        <v>9.8699786714285711</v>
      </c>
      <c r="Q1547" s="16" cm="1">
        <f t="array" ref="Q1547">_xlfn.XLOOKUP(O1547,BSFC!$A$2:$A$24,_xlfn.XLOOKUP(K1547,BSFC!$B$1:$O$1,BSFC!$B$2:$O$24,,-1),,-1)</f>
        <v>520</v>
      </c>
      <c r="R1547" s="17">
        <f t="shared" si="289"/>
        <v>1.425663585873016</v>
      </c>
      <c r="S1547" s="16">
        <f t="shared" si="290"/>
        <v>2.0443068048074323E-4</v>
      </c>
      <c r="T1547" s="17">
        <f t="shared" si="293"/>
        <v>0.10630395384998648</v>
      </c>
      <c r="U1547" s="16">
        <f t="shared" si="294"/>
        <v>195.77328287779264</v>
      </c>
      <c r="V1547" s="17">
        <f t="shared" si="295"/>
        <v>0.40037187922111533</v>
      </c>
      <c r="W1547" s="16">
        <f t="shared" si="291"/>
        <v>1441338.7651960151</v>
      </c>
      <c r="X1547">
        <f>('Hybrid Info'!$A$2-Track!P1547)*(L1547-L1546)*1000+X1546</f>
        <v>2619.9405599174752</v>
      </c>
    </row>
    <row r="1548" spans="1:24">
      <c r="A1548" s="16">
        <f t="shared" si="292"/>
        <v>1547</v>
      </c>
      <c r="B1548" s="17">
        <f t="shared" si="287"/>
        <v>13.411199999999999</v>
      </c>
      <c r="C1548" s="16">
        <f>Specification!$G$32</f>
        <v>219.92450400000001</v>
      </c>
      <c r="D1548" s="17">
        <f>0.5*Specification!$K$4*Track!B1548^2*Specification!$K$3*Specification!$K$2</f>
        <v>93.159842569492653</v>
      </c>
      <c r="E1548" s="16">
        <v>0</v>
      </c>
      <c r="F1548" s="17">
        <f>Specification!$C$23*9.81*SIN((E1548*PI()/180))</f>
        <v>0</v>
      </c>
      <c r="G1548" s="18">
        <f>IF(J1548=1,VLOOKUP(K1548,RPM!$E$2:$H$62,3,FALSE)-F1548-E1548-D1548,IF(J1548=2,VLOOKUP(K1548,RPM!$H$2:$K$62,3,FALSE)-F1548-E1548-D1548,IF(J1548=3,VLOOKUP(K1548,RPM!$K$2:$N$62,3,FALSE)-F1548-E1548-D1548)))</f>
        <v>688.48526429214962</v>
      </c>
      <c r="H1548" s="19">
        <f>IF(J1548=1,Specification!$I$14,IF(J1548=2,Specification!$I$15,IF(J1548=3,Specification!$I$16)))</f>
        <v>582.50936296077191</v>
      </c>
      <c r="I1548" s="16">
        <f t="shared" si="285"/>
        <v>0</v>
      </c>
      <c r="J1548" s="17">
        <v>2</v>
      </c>
      <c r="K1548" s="16">
        <f>IF(J1548=1,VLOOKUP(B1548,RPM!$F$2:$H$62,3,TRUE),IF(J1548=2,VLOOKUP(B1548,RPM!$I$2:$K$62,3,TRUE),IF(J1548=3,VLOOKUP(B1548,RPM!$L$2:$N$62,3,TRUE))))</f>
        <v>7000</v>
      </c>
      <c r="L1548" s="17">
        <f t="shared" si="284"/>
        <v>119.62668850541579</v>
      </c>
      <c r="M1548" s="16">
        <f t="shared" si="286"/>
        <v>0</v>
      </c>
      <c r="N1548" s="17">
        <f>VLOOKUP(K1548,RPM!$A$2:$D$62,3,FALSE)</f>
        <v>13</v>
      </c>
      <c r="O1548" s="16">
        <f>VLOOKUP(K1548,RPM!$A$2:$D$62,4,FALSE)</f>
        <v>13.235857142857142</v>
      </c>
      <c r="P1548" s="17">
        <f t="shared" si="288"/>
        <v>9.8699786714285711</v>
      </c>
      <c r="Q1548" s="16" cm="1">
        <f t="array" ref="Q1548">_xlfn.XLOOKUP(O1548,BSFC!$A$2:$A$24,_xlfn.XLOOKUP(K1548,BSFC!$B$1:$O$1,BSFC!$B$2:$O$24,,-1),,-1)</f>
        <v>520</v>
      </c>
      <c r="R1548" s="17">
        <f t="shared" si="289"/>
        <v>1.425663585873016</v>
      </c>
      <c r="S1548" s="16">
        <f t="shared" si="290"/>
        <v>2.0443068048074323E-4</v>
      </c>
      <c r="T1548" s="17">
        <f t="shared" si="293"/>
        <v>0.10630395384998648</v>
      </c>
      <c r="U1548" s="16">
        <f t="shared" si="294"/>
        <v>195.87958683164263</v>
      </c>
      <c r="V1548" s="17">
        <f t="shared" si="295"/>
        <v>0.40057630990159609</v>
      </c>
      <c r="W1548" s="16">
        <f t="shared" si="291"/>
        <v>1442074.7156457461</v>
      </c>
      <c r="X1548">
        <f>('Hybrid Info'!$A$2-Track!P1548)*(L1548-L1547)*1000+X1547</f>
        <v>2787.7462689037275</v>
      </c>
    </row>
    <row r="1549" spans="1:24">
      <c r="A1549" s="16">
        <f t="shared" si="292"/>
        <v>1548</v>
      </c>
      <c r="B1549" s="17">
        <f t="shared" si="287"/>
        <v>13.411199999999999</v>
      </c>
      <c r="C1549" s="16">
        <f>Specification!$G$32</f>
        <v>219.92450400000001</v>
      </c>
      <c r="D1549" s="17">
        <f>0.5*Specification!$K$4*Track!B1549^2*Specification!$K$3*Specification!$K$2</f>
        <v>93.159842569492653</v>
      </c>
      <c r="E1549" s="16">
        <v>0</v>
      </c>
      <c r="F1549" s="17">
        <f>Specification!$C$23*9.81*SIN((E1549*PI()/180))</f>
        <v>0</v>
      </c>
      <c r="G1549" s="18">
        <f>IF(J1549=1,VLOOKUP(K1549,RPM!$E$2:$H$62,3,FALSE)-F1549-E1549-D1549,IF(J1549=2,VLOOKUP(K1549,RPM!$H$2:$K$62,3,FALSE)-F1549-E1549-D1549,IF(J1549=3,VLOOKUP(K1549,RPM!$K$2:$N$62,3,FALSE)-F1549-E1549-D1549)))</f>
        <v>688.48526429214962</v>
      </c>
      <c r="H1549" s="19">
        <f>IF(J1549=1,Specification!$I$14,IF(J1549=2,Specification!$I$15,IF(J1549=3,Specification!$I$16)))</f>
        <v>582.50936296077191</v>
      </c>
      <c r="I1549" s="16">
        <f t="shared" si="285"/>
        <v>0</v>
      </c>
      <c r="J1549" s="17">
        <v>2</v>
      </c>
      <c r="K1549" s="16">
        <f>IF(J1549=1,VLOOKUP(B1549,RPM!$F$2:$H$62,3,TRUE),IF(J1549=2,VLOOKUP(B1549,RPM!$I$2:$K$62,3,TRUE),IF(J1549=3,VLOOKUP(B1549,RPM!$L$2:$N$62,3,TRUE))))</f>
        <v>7000</v>
      </c>
      <c r="L1549" s="17">
        <f t="shared" ref="L1549:L1612" si="296">IF(I1549=0,ABS(1/B1549)+L1548,IF(ABS(B1550-B1549)=0,1/B1549+L1548,ABS((B1550-B1549)/I1549)+L1548))</f>
        <v>119.70125304848426</v>
      </c>
      <c r="M1549" s="16">
        <f t="shared" si="286"/>
        <v>0</v>
      </c>
      <c r="N1549" s="17">
        <f>VLOOKUP(K1549,RPM!$A$2:$D$62,3,FALSE)</f>
        <v>13</v>
      </c>
      <c r="O1549" s="16">
        <f>VLOOKUP(K1549,RPM!$A$2:$D$62,4,FALSE)</f>
        <v>13.235857142857142</v>
      </c>
      <c r="P1549" s="17">
        <f t="shared" si="288"/>
        <v>9.8699786714285711</v>
      </c>
      <c r="Q1549" s="16" cm="1">
        <f t="array" ref="Q1549">_xlfn.XLOOKUP(O1549,BSFC!$A$2:$A$24,_xlfn.XLOOKUP(K1549,BSFC!$B$1:$O$1,BSFC!$B$2:$O$24,,-1),,-1)</f>
        <v>520</v>
      </c>
      <c r="R1549" s="17">
        <f t="shared" si="289"/>
        <v>1.425663585873016</v>
      </c>
      <c r="S1549" s="16">
        <f t="shared" si="290"/>
        <v>2.0443068048074323E-4</v>
      </c>
      <c r="T1549" s="17">
        <f t="shared" si="293"/>
        <v>0.10630395384998648</v>
      </c>
      <c r="U1549" s="16">
        <f t="shared" si="294"/>
        <v>195.98589078549261</v>
      </c>
      <c r="V1549" s="17">
        <f t="shared" si="295"/>
        <v>0.40078074058207686</v>
      </c>
      <c r="W1549" s="16">
        <f t="shared" si="291"/>
        <v>1442810.6660954768</v>
      </c>
      <c r="X1549">
        <f>('Hybrid Info'!$A$2-Track!P1549)*(L1549-L1548)*1000+X1548</f>
        <v>2955.5519778899798</v>
      </c>
    </row>
    <row r="1550" spans="1:24">
      <c r="A1550" s="16">
        <f t="shared" si="292"/>
        <v>1549</v>
      </c>
      <c r="B1550" s="17">
        <f t="shared" si="287"/>
        <v>13.411199999999999</v>
      </c>
      <c r="C1550" s="16">
        <f>Specification!$G$32</f>
        <v>219.92450400000001</v>
      </c>
      <c r="D1550" s="17">
        <f>0.5*Specification!$K$4*Track!B1550^2*Specification!$K$3*Specification!$K$2</f>
        <v>93.159842569492653</v>
      </c>
      <c r="E1550" s="16">
        <v>0</v>
      </c>
      <c r="F1550" s="17">
        <f>Specification!$C$23*9.81*SIN((E1550*PI()/180))</f>
        <v>0</v>
      </c>
      <c r="G1550" s="18">
        <f>IF(J1550=1,VLOOKUP(K1550,RPM!$E$2:$H$62,3,FALSE)-F1550-E1550-D1550,IF(J1550=2,VLOOKUP(K1550,RPM!$H$2:$K$62,3,FALSE)-F1550-E1550-D1550,IF(J1550=3,VLOOKUP(K1550,RPM!$K$2:$N$62,3,FALSE)-F1550-E1550-D1550)))</f>
        <v>688.48526429214962</v>
      </c>
      <c r="H1550" s="19">
        <f>IF(J1550=1,Specification!$I$14,IF(J1550=2,Specification!$I$15,IF(J1550=3,Specification!$I$16)))</f>
        <v>582.50936296077191</v>
      </c>
      <c r="I1550" s="16">
        <f t="shared" si="285"/>
        <v>0</v>
      </c>
      <c r="J1550" s="17">
        <v>2</v>
      </c>
      <c r="K1550" s="16">
        <f>IF(J1550=1,VLOOKUP(B1550,RPM!$F$2:$H$62,3,TRUE),IF(J1550=2,VLOOKUP(B1550,RPM!$I$2:$K$62,3,TRUE),IF(J1550=3,VLOOKUP(B1550,RPM!$L$2:$N$62,3,TRUE))))</f>
        <v>7000</v>
      </c>
      <c r="L1550" s="17">
        <f t="shared" si="296"/>
        <v>119.77581759155274</v>
      </c>
      <c r="M1550" s="16">
        <f t="shared" si="286"/>
        <v>0</v>
      </c>
      <c r="N1550" s="17">
        <f>VLOOKUP(K1550,RPM!$A$2:$D$62,3,FALSE)</f>
        <v>13</v>
      </c>
      <c r="O1550" s="16">
        <f>VLOOKUP(K1550,RPM!$A$2:$D$62,4,FALSE)</f>
        <v>13.235857142857142</v>
      </c>
      <c r="P1550" s="17">
        <f t="shared" si="288"/>
        <v>9.8699786714285711</v>
      </c>
      <c r="Q1550" s="16" cm="1">
        <f t="array" ref="Q1550">_xlfn.XLOOKUP(O1550,BSFC!$A$2:$A$24,_xlfn.XLOOKUP(K1550,BSFC!$B$1:$O$1,BSFC!$B$2:$O$24,,-1),,-1)</f>
        <v>520</v>
      </c>
      <c r="R1550" s="17">
        <f t="shared" si="289"/>
        <v>1.425663585873016</v>
      </c>
      <c r="S1550" s="16">
        <f t="shared" si="290"/>
        <v>2.0443068048074323E-4</v>
      </c>
      <c r="T1550" s="17">
        <f t="shared" si="293"/>
        <v>0.10630395384998648</v>
      </c>
      <c r="U1550" s="16">
        <f t="shared" si="294"/>
        <v>196.0921947393426</v>
      </c>
      <c r="V1550" s="17">
        <f t="shared" si="295"/>
        <v>0.40098517126255762</v>
      </c>
      <c r="W1550" s="16">
        <f t="shared" si="291"/>
        <v>1443546.6165452076</v>
      </c>
      <c r="X1550">
        <f>('Hybrid Info'!$A$2-Track!P1550)*(L1550-L1549)*1000+X1549</f>
        <v>3123.357686876232</v>
      </c>
    </row>
    <row r="1551" spans="1:24">
      <c r="A1551" s="16">
        <f t="shared" si="292"/>
        <v>1550</v>
      </c>
      <c r="B1551" s="17">
        <f t="shared" si="287"/>
        <v>13.411199999999999</v>
      </c>
      <c r="C1551" s="16">
        <f>Specification!$G$32</f>
        <v>219.92450400000001</v>
      </c>
      <c r="D1551" s="17">
        <f>0.5*Specification!$K$4*Track!B1551^2*Specification!$K$3*Specification!$K$2</f>
        <v>93.159842569492653</v>
      </c>
      <c r="E1551" s="16">
        <v>0</v>
      </c>
      <c r="F1551" s="17">
        <f>Specification!$C$23*9.81*SIN((E1551*PI()/180))</f>
        <v>0</v>
      </c>
      <c r="G1551" s="18">
        <f>IF(J1551=1,VLOOKUP(K1551,RPM!$E$2:$H$62,3,FALSE)-F1551-E1551-D1551,IF(J1551=2,VLOOKUP(K1551,RPM!$H$2:$K$62,3,FALSE)-F1551-E1551-D1551,IF(J1551=3,VLOOKUP(K1551,RPM!$K$2:$N$62,3,FALSE)-F1551-E1551-D1551)))</f>
        <v>688.48526429214962</v>
      </c>
      <c r="H1551" s="19">
        <f>IF(J1551=1,Specification!$I$14,IF(J1551=2,Specification!$I$15,IF(J1551=3,Specification!$I$16)))</f>
        <v>582.50936296077191</v>
      </c>
      <c r="I1551" s="16">
        <f t="shared" si="285"/>
        <v>0</v>
      </c>
      <c r="J1551" s="17">
        <v>2</v>
      </c>
      <c r="K1551" s="16">
        <f>IF(J1551=1,VLOOKUP(B1551,RPM!$F$2:$H$62,3,TRUE),IF(J1551=2,VLOOKUP(B1551,RPM!$I$2:$K$62,3,TRUE),IF(J1551=3,VLOOKUP(B1551,RPM!$L$2:$N$62,3,TRUE))))</f>
        <v>7000</v>
      </c>
      <c r="L1551" s="17">
        <f t="shared" si="296"/>
        <v>119.85038213462121</v>
      </c>
      <c r="M1551" s="16">
        <f t="shared" si="286"/>
        <v>0</v>
      </c>
      <c r="N1551" s="17">
        <f>VLOOKUP(K1551,RPM!$A$2:$D$62,3,FALSE)</f>
        <v>13</v>
      </c>
      <c r="O1551" s="16">
        <f>VLOOKUP(K1551,RPM!$A$2:$D$62,4,FALSE)</f>
        <v>13.235857142857142</v>
      </c>
      <c r="P1551" s="17">
        <f t="shared" si="288"/>
        <v>9.8699786714285711</v>
      </c>
      <c r="Q1551" s="16" cm="1">
        <f t="array" ref="Q1551">_xlfn.XLOOKUP(O1551,BSFC!$A$2:$A$24,_xlfn.XLOOKUP(K1551,BSFC!$B$1:$O$1,BSFC!$B$2:$O$24,,-1),,-1)</f>
        <v>520</v>
      </c>
      <c r="R1551" s="17">
        <f t="shared" si="289"/>
        <v>1.425663585873016</v>
      </c>
      <c r="S1551" s="16">
        <f t="shared" si="290"/>
        <v>2.0443068048074323E-4</v>
      </c>
      <c r="T1551" s="17">
        <f t="shared" si="293"/>
        <v>0.10630395384998648</v>
      </c>
      <c r="U1551" s="16">
        <f t="shared" si="294"/>
        <v>196.19849869319259</v>
      </c>
      <c r="V1551" s="17">
        <f t="shared" si="295"/>
        <v>0.40118960194303838</v>
      </c>
      <c r="W1551" s="16">
        <f t="shared" si="291"/>
        <v>1444282.5669949381</v>
      </c>
      <c r="X1551">
        <f>('Hybrid Info'!$A$2-Track!P1551)*(L1551-L1550)*1000+X1550</f>
        <v>3291.1633958624843</v>
      </c>
    </row>
    <row r="1552" spans="1:24">
      <c r="A1552" s="16">
        <f t="shared" si="292"/>
        <v>1551</v>
      </c>
      <c r="B1552" s="17">
        <f t="shared" si="287"/>
        <v>13.411199999999999</v>
      </c>
      <c r="C1552" s="16">
        <f>Specification!$G$32</f>
        <v>219.92450400000001</v>
      </c>
      <c r="D1552" s="17">
        <f>0.5*Specification!$K$4*Track!B1552^2*Specification!$K$3*Specification!$K$2</f>
        <v>93.159842569492653</v>
      </c>
      <c r="E1552" s="16">
        <v>0</v>
      </c>
      <c r="F1552" s="17">
        <f>Specification!$C$23*9.81*SIN((E1552*PI()/180))</f>
        <v>0</v>
      </c>
      <c r="G1552" s="18">
        <f>IF(J1552=1,VLOOKUP(K1552,RPM!$E$2:$H$62,3,FALSE)-F1552-E1552-D1552,IF(J1552=2,VLOOKUP(K1552,RPM!$H$2:$K$62,3,FALSE)-F1552-E1552-D1552,IF(J1552=3,VLOOKUP(K1552,RPM!$K$2:$N$62,3,FALSE)-F1552-E1552-D1552)))</f>
        <v>688.48526429214962</v>
      </c>
      <c r="H1552" s="19">
        <f>IF(J1552=1,Specification!$I$14,IF(J1552=2,Specification!$I$15,IF(J1552=3,Specification!$I$16)))</f>
        <v>582.50936296077191</v>
      </c>
      <c r="I1552" s="16">
        <f t="shared" si="285"/>
        <v>0</v>
      </c>
      <c r="J1552" s="17">
        <v>2</v>
      </c>
      <c r="K1552" s="16">
        <f>IF(J1552=1,VLOOKUP(B1552,RPM!$F$2:$H$62,3,TRUE),IF(J1552=2,VLOOKUP(B1552,RPM!$I$2:$K$62,3,TRUE),IF(J1552=3,VLOOKUP(B1552,RPM!$L$2:$N$62,3,TRUE))))</f>
        <v>7000</v>
      </c>
      <c r="L1552" s="17">
        <f t="shared" si="296"/>
        <v>119.92494667768969</v>
      </c>
      <c r="M1552" s="16">
        <f t="shared" si="286"/>
        <v>0</v>
      </c>
      <c r="N1552" s="17">
        <f>VLOOKUP(K1552,RPM!$A$2:$D$62,3,FALSE)</f>
        <v>13</v>
      </c>
      <c r="O1552" s="16">
        <f>VLOOKUP(K1552,RPM!$A$2:$D$62,4,FALSE)</f>
        <v>13.235857142857142</v>
      </c>
      <c r="P1552" s="17">
        <f t="shared" si="288"/>
        <v>9.8699786714285711</v>
      </c>
      <c r="Q1552" s="16" cm="1">
        <f t="array" ref="Q1552">_xlfn.XLOOKUP(O1552,BSFC!$A$2:$A$24,_xlfn.XLOOKUP(K1552,BSFC!$B$1:$O$1,BSFC!$B$2:$O$24,,-1),,-1)</f>
        <v>520</v>
      </c>
      <c r="R1552" s="17">
        <f t="shared" si="289"/>
        <v>1.425663585873016</v>
      </c>
      <c r="S1552" s="16">
        <f t="shared" si="290"/>
        <v>2.0443068048074323E-4</v>
      </c>
      <c r="T1552" s="17">
        <f t="shared" si="293"/>
        <v>0.10630395384998648</v>
      </c>
      <c r="U1552" s="16">
        <f t="shared" si="294"/>
        <v>196.30480264704258</v>
      </c>
      <c r="V1552" s="17">
        <f t="shared" si="295"/>
        <v>0.40139403262351914</v>
      </c>
      <c r="W1552" s="16">
        <f t="shared" si="291"/>
        <v>1445018.5174446688</v>
      </c>
      <c r="X1552">
        <f>('Hybrid Info'!$A$2-Track!P1552)*(L1552-L1551)*1000+X1551</f>
        <v>3458.9691048487366</v>
      </c>
    </row>
    <row r="1553" spans="1:24">
      <c r="A1553" s="16">
        <f t="shared" si="292"/>
        <v>1552</v>
      </c>
      <c r="B1553" s="17">
        <f t="shared" si="287"/>
        <v>13.411199999999999</v>
      </c>
      <c r="C1553" s="16">
        <f>Specification!$G$32</f>
        <v>219.92450400000001</v>
      </c>
      <c r="D1553" s="17">
        <f>0.5*Specification!$K$4*Track!B1553^2*Specification!$K$3*Specification!$K$2</f>
        <v>93.159842569492653</v>
      </c>
      <c r="E1553" s="16">
        <v>0</v>
      </c>
      <c r="F1553" s="17">
        <f>Specification!$C$23*9.81*SIN((E1553*PI()/180))</f>
        <v>0</v>
      </c>
      <c r="G1553" s="18">
        <f>IF(J1553=1,VLOOKUP(K1553,RPM!$E$2:$H$62,3,FALSE)-F1553-E1553-D1553,IF(J1553=2,VLOOKUP(K1553,RPM!$H$2:$K$62,3,FALSE)-F1553-E1553-D1553,IF(J1553=3,VLOOKUP(K1553,RPM!$K$2:$N$62,3,FALSE)-F1553-E1553-D1553)))</f>
        <v>688.48526429214962</v>
      </c>
      <c r="H1553" s="19">
        <f>IF(J1553=1,Specification!$I$14,IF(J1553=2,Specification!$I$15,IF(J1553=3,Specification!$I$16)))</f>
        <v>582.50936296077191</v>
      </c>
      <c r="I1553" s="16">
        <f t="shared" si="285"/>
        <v>0</v>
      </c>
      <c r="J1553" s="17">
        <v>2</v>
      </c>
      <c r="K1553" s="16">
        <f>IF(J1553=1,VLOOKUP(B1553,RPM!$F$2:$H$62,3,TRUE),IF(J1553=2,VLOOKUP(B1553,RPM!$I$2:$K$62,3,TRUE),IF(J1553=3,VLOOKUP(B1553,RPM!$L$2:$N$62,3,TRUE))))</f>
        <v>7000</v>
      </c>
      <c r="L1553" s="17">
        <f t="shared" si="296"/>
        <v>119.99951122075817</v>
      </c>
      <c r="M1553" s="16">
        <f t="shared" si="286"/>
        <v>0</v>
      </c>
      <c r="N1553" s="17">
        <f>VLOOKUP(K1553,RPM!$A$2:$D$62,3,FALSE)</f>
        <v>13</v>
      </c>
      <c r="O1553" s="16">
        <f>VLOOKUP(K1553,RPM!$A$2:$D$62,4,FALSE)</f>
        <v>13.235857142857142</v>
      </c>
      <c r="P1553" s="17">
        <f t="shared" si="288"/>
        <v>9.8699786714285711</v>
      </c>
      <c r="Q1553" s="16" cm="1">
        <f t="array" ref="Q1553">_xlfn.XLOOKUP(O1553,BSFC!$A$2:$A$24,_xlfn.XLOOKUP(K1553,BSFC!$B$1:$O$1,BSFC!$B$2:$O$24,,-1),,-1)</f>
        <v>520</v>
      </c>
      <c r="R1553" s="17">
        <f t="shared" si="289"/>
        <v>1.425663585873016</v>
      </c>
      <c r="S1553" s="16">
        <f t="shared" si="290"/>
        <v>2.0443068048074323E-4</v>
      </c>
      <c r="T1553" s="17">
        <f t="shared" si="293"/>
        <v>0.10630395384998648</v>
      </c>
      <c r="U1553" s="16">
        <f t="shared" si="294"/>
        <v>196.41110660089257</v>
      </c>
      <c r="V1553" s="17">
        <f t="shared" si="295"/>
        <v>0.4015984633039999</v>
      </c>
      <c r="W1553" s="16">
        <f t="shared" si="291"/>
        <v>1445754.4678943995</v>
      </c>
      <c r="X1553">
        <f>('Hybrid Info'!$A$2-Track!P1553)*(L1553-L1552)*1000+X1552</f>
        <v>3626.7748138349889</v>
      </c>
    </row>
    <row r="1554" spans="1:24">
      <c r="A1554" s="16">
        <f t="shared" si="292"/>
        <v>1553</v>
      </c>
      <c r="B1554" s="17">
        <f t="shared" si="287"/>
        <v>13.411199999999999</v>
      </c>
      <c r="C1554" s="16">
        <f>Specification!$G$32</f>
        <v>219.92450400000001</v>
      </c>
      <c r="D1554" s="17">
        <f>0.5*Specification!$K$4*Track!B1554^2*Specification!$K$3*Specification!$K$2</f>
        <v>93.159842569492653</v>
      </c>
      <c r="E1554" s="16">
        <v>0</v>
      </c>
      <c r="F1554" s="17">
        <f>Specification!$C$23*9.81*SIN((E1554*PI()/180))</f>
        <v>0</v>
      </c>
      <c r="G1554" s="18">
        <f>IF(J1554=1,VLOOKUP(K1554,RPM!$E$2:$H$62,3,FALSE)-F1554-E1554-D1554,IF(J1554=2,VLOOKUP(K1554,RPM!$H$2:$K$62,3,FALSE)-F1554-E1554-D1554,IF(J1554=3,VLOOKUP(K1554,RPM!$K$2:$N$62,3,FALSE)-F1554-E1554-D1554)))</f>
        <v>688.48526429214962</v>
      </c>
      <c r="H1554" s="19">
        <f>IF(J1554=1,Specification!$I$14,IF(J1554=2,Specification!$I$15,IF(J1554=3,Specification!$I$16)))</f>
        <v>582.50936296077191</v>
      </c>
      <c r="I1554" s="16">
        <f t="shared" si="285"/>
        <v>0</v>
      </c>
      <c r="J1554" s="17">
        <v>2</v>
      </c>
      <c r="K1554" s="16">
        <f>IF(J1554=1,VLOOKUP(B1554,RPM!$F$2:$H$62,3,TRUE),IF(J1554=2,VLOOKUP(B1554,RPM!$I$2:$K$62,3,TRUE),IF(J1554=3,VLOOKUP(B1554,RPM!$L$2:$N$62,3,TRUE))))</f>
        <v>7000</v>
      </c>
      <c r="L1554" s="17">
        <f t="shared" si="296"/>
        <v>120.07407576382664</v>
      </c>
      <c r="M1554" s="16">
        <f t="shared" si="286"/>
        <v>0</v>
      </c>
      <c r="N1554" s="17">
        <f>VLOOKUP(K1554,RPM!$A$2:$D$62,3,FALSE)</f>
        <v>13</v>
      </c>
      <c r="O1554" s="16">
        <f>VLOOKUP(K1554,RPM!$A$2:$D$62,4,FALSE)</f>
        <v>13.235857142857142</v>
      </c>
      <c r="P1554" s="17">
        <f t="shared" si="288"/>
        <v>9.8699786714285711</v>
      </c>
      <c r="Q1554" s="16" cm="1">
        <f t="array" ref="Q1554">_xlfn.XLOOKUP(O1554,BSFC!$A$2:$A$24,_xlfn.XLOOKUP(K1554,BSFC!$B$1:$O$1,BSFC!$B$2:$O$24,,-1),,-1)</f>
        <v>520</v>
      </c>
      <c r="R1554" s="17">
        <f t="shared" si="289"/>
        <v>1.425663585873016</v>
      </c>
      <c r="S1554" s="16">
        <f t="shared" si="290"/>
        <v>2.0443068048074323E-4</v>
      </c>
      <c r="T1554" s="17">
        <f t="shared" si="293"/>
        <v>0.10630395384998648</v>
      </c>
      <c r="U1554" s="16">
        <f t="shared" si="294"/>
        <v>196.51741055474255</v>
      </c>
      <c r="V1554" s="17">
        <f t="shared" si="295"/>
        <v>0.40180289398448066</v>
      </c>
      <c r="W1554" s="16">
        <f t="shared" si="291"/>
        <v>1446490.4183441303</v>
      </c>
      <c r="X1554">
        <f>('Hybrid Info'!$A$2-Track!P1554)*(L1554-L1553)*1000+X1553</f>
        <v>3794.5805228212412</v>
      </c>
    </row>
    <row r="1555" spans="1:24">
      <c r="A1555" s="16">
        <f t="shared" si="292"/>
        <v>1554</v>
      </c>
      <c r="B1555" s="17">
        <f t="shared" si="287"/>
        <v>13.411199999999999</v>
      </c>
      <c r="C1555" s="16">
        <f>Specification!$G$32</f>
        <v>219.92450400000001</v>
      </c>
      <c r="D1555" s="17">
        <f>0.5*Specification!$K$4*Track!B1555^2*Specification!$K$3*Specification!$K$2</f>
        <v>93.159842569492653</v>
      </c>
      <c r="E1555" s="16">
        <v>0</v>
      </c>
      <c r="F1555" s="17">
        <f>Specification!$C$23*9.81*SIN((E1555*PI()/180))</f>
        <v>0</v>
      </c>
      <c r="G1555" s="18">
        <f>IF(J1555=1,VLOOKUP(K1555,RPM!$E$2:$H$62,3,FALSE)-F1555-E1555-D1555,IF(J1555=2,VLOOKUP(K1555,RPM!$H$2:$K$62,3,FALSE)-F1555-E1555-D1555,IF(J1555=3,VLOOKUP(K1555,RPM!$K$2:$N$62,3,FALSE)-F1555-E1555-D1555)))</f>
        <v>688.48526429214962</v>
      </c>
      <c r="H1555" s="19">
        <f>IF(J1555=1,Specification!$I$14,IF(J1555=2,Specification!$I$15,IF(J1555=3,Specification!$I$16)))</f>
        <v>582.50936296077191</v>
      </c>
      <c r="I1555" s="16">
        <f t="shared" si="285"/>
        <v>0</v>
      </c>
      <c r="J1555" s="17">
        <v>2</v>
      </c>
      <c r="K1555" s="16">
        <f>IF(J1555=1,VLOOKUP(B1555,RPM!$F$2:$H$62,3,TRUE),IF(J1555=2,VLOOKUP(B1555,RPM!$I$2:$K$62,3,TRUE),IF(J1555=3,VLOOKUP(B1555,RPM!$L$2:$N$62,3,TRUE))))</f>
        <v>7000</v>
      </c>
      <c r="L1555" s="17">
        <f t="shared" si="296"/>
        <v>120.14864030689512</v>
      </c>
      <c r="M1555" s="16">
        <f t="shared" si="286"/>
        <v>0</v>
      </c>
      <c r="N1555" s="17">
        <f>VLOOKUP(K1555,RPM!$A$2:$D$62,3,FALSE)</f>
        <v>13</v>
      </c>
      <c r="O1555" s="16">
        <f>VLOOKUP(K1555,RPM!$A$2:$D$62,4,FALSE)</f>
        <v>13.235857142857142</v>
      </c>
      <c r="P1555" s="17">
        <f t="shared" si="288"/>
        <v>9.8699786714285711</v>
      </c>
      <c r="Q1555" s="16" cm="1">
        <f t="array" ref="Q1555">_xlfn.XLOOKUP(O1555,BSFC!$A$2:$A$24,_xlfn.XLOOKUP(K1555,BSFC!$B$1:$O$1,BSFC!$B$2:$O$24,,-1),,-1)</f>
        <v>520</v>
      </c>
      <c r="R1555" s="17">
        <f t="shared" si="289"/>
        <v>1.425663585873016</v>
      </c>
      <c r="S1555" s="16">
        <f t="shared" si="290"/>
        <v>2.0443068048074323E-4</v>
      </c>
      <c r="T1555" s="17">
        <f t="shared" si="293"/>
        <v>0.10630395384998648</v>
      </c>
      <c r="U1555" s="16">
        <f t="shared" si="294"/>
        <v>196.62371450859254</v>
      </c>
      <c r="V1555" s="17">
        <f t="shared" si="295"/>
        <v>0.40200732466496142</v>
      </c>
      <c r="W1555" s="16">
        <f t="shared" si="291"/>
        <v>1447226.368793861</v>
      </c>
      <c r="X1555">
        <f>('Hybrid Info'!$A$2-Track!P1555)*(L1555-L1554)*1000+X1554</f>
        <v>3962.3862318074935</v>
      </c>
    </row>
    <row r="1556" spans="1:24">
      <c r="A1556" s="16">
        <f t="shared" si="292"/>
        <v>1555</v>
      </c>
      <c r="B1556" s="17">
        <f t="shared" si="287"/>
        <v>13.411199999999999</v>
      </c>
      <c r="C1556" s="16">
        <f>Specification!$G$32</f>
        <v>219.92450400000001</v>
      </c>
      <c r="D1556" s="17">
        <f>0.5*Specification!$K$4*Track!B1556^2*Specification!$K$3*Specification!$K$2</f>
        <v>93.159842569492653</v>
      </c>
      <c r="E1556" s="16">
        <v>0</v>
      </c>
      <c r="F1556" s="17">
        <f>Specification!$C$23*9.81*SIN((E1556*PI()/180))</f>
        <v>0</v>
      </c>
      <c r="G1556" s="18">
        <f>IF(J1556=1,VLOOKUP(K1556,RPM!$E$2:$H$62,3,FALSE)-F1556-E1556-D1556,IF(J1556=2,VLOOKUP(K1556,RPM!$H$2:$K$62,3,FALSE)-F1556-E1556-D1556,IF(J1556=3,VLOOKUP(K1556,RPM!$K$2:$N$62,3,FALSE)-F1556-E1556-D1556)))</f>
        <v>688.48526429214962</v>
      </c>
      <c r="H1556" s="19">
        <f>IF(J1556=1,Specification!$I$14,IF(J1556=2,Specification!$I$15,IF(J1556=3,Specification!$I$16)))</f>
        <v>582.50936296077191</v>
      </c>
      <c r="I1556" s="16">
        <f t="shared" si="285"/>
        <v>0</v>
      </c>
      <c r="J1556" s="17">
        <v>2</v>
      </c>
      <c r="K1556" s="16">
        <f>IF(J1556=1,VLOOKUP(B1556,RPM!$F$2:$H$62,3,TRUE),IF(J1556=2,VLOOKUP(B1556,RPM!$I$2:$K$62,3,TRUE),IF(J1556=3,VLOOKUP(B1556,RPM!$L$2:$N$62,3,TRUE))))</f>
        <v>7000</v>
      </c>
      <c r="L1556" s="17">
        <f t="shared" si="296"/>
        <v>120.22320484996359</v>
      </c>
      <c r="M1556" s="16">
        <f t="shared" si="286"/>
        <v>0</v>
      </c>
      <c r="N1556" s="17">
        <f>VLOOKUP(K1556,RPM!$A$2:$D$62,3,FALSE)</f>
        <v>13</v>
      </c>
      <c r="O1556" s="16">
        <f>VLOOKUP(K1556,RPM!$A$2:$D$62,4,FALSE)</f>
        <v>13.235857142857142</v>
      </c>
      <c r="P1556" s="17">
        <f t="shared" si="288"/>
        <v>9.8699786714285711</v>
      </c>
      <c r="Q1556" s="16" cm="1">
        <f t="array" ref="Q1556">_xlfn.XLOOKUP(O1556,BSFC!$A$2:$A$24,_xlfn.XLOOKUP(K1556,BSFC!$B$1:$O$1,BSFC!$B$2:$O$24,,-1),,-1)</f>
        <v>520</v>
      </c>
      <c r="R1556" s="17">
        <f t="shared" si="289"/>
        <v>1.425663585873016</v>
      </c>
      <c r="S1556" s="16">
        <f t="shared" si="290"/>
        <v>2.0443068048074323E-4</v>
      </c>
      <c r="T1556" s="17">
        <f t="shared" si="293"/>
        <v>0.10630395384998648</v>
      </c>
      <c r="U1556" s="16">
        <f t="shared" si="294"/>
        <v>196.73001846244253</v>
      </c>
      <c r="V1556" s="17">
        <f t="shared" si="295"/>
        <v>0.40221175534544218</v>
      </c>
      <c r="W1556" s="16">
        <f t="shared" si="291"/>
        <v>1447962.3192435917</v>
      </c>
      <c r="X1556">
        <f>('Hybrid Info'!$A$2-Track!P1556)*(L1556-L1555)*1000+X1555</f>
        <v>4130.1919407937457</v>
      </c>
    </row>
    <row r="1557" spans="1:24">
      <c r="A1557" s="16">
        <f t="shared" si="292"/>
        <v>1556</v>
      </c>
      <c r="B1557" s="17">
        <f t="shared" si="287"/>
        <v>13.411199999999999</v>
      </c>
      <c r="C1557" s="16">
        <f>Specification!$G$32</f>
        <v>219.92450400000001</v>
      </c>
      <c r="D1557" s="17">
        <f>0.5*Specification!$K$4*Track!B1557^2*Specification!$K$3*Specification!$K$2</f>
        <v>93.159842569492653</v>
      </c>
      <c r="E1557" s="16">
        <v>0</v>
      </c>
      <c r="F1557" s="17">
        <f>Specification!$C$23*9.81*SIN((E1557*PI()/180))</f>
        <v>0</v>
      </c>
      <c r="G1557" s="18">
        <f>IF(J1557=1,VLOOKUP(K1557,RPM!$E$2:$H$62,3,FALSE)-F1557-E1557-D1557,IF(J1557=2,VLOOKUP(K1557,RPM!$H$2:$K$62,3,FALSE)-F1557-E1557-D1557,IF(J1557=3,VLOOKUP(K1557,RPM!$K$2:$N$62,3,FALSE)-F1557-E1557-D1557)))</f>
        <v>688.48526429214962</v>
      </c>
      <c r="H1557" s="19">
        <f>IF(J1557=1,Specification!$I$14,IF(J1557=2,Specification!$I$15,IF(J1557=3,Specification!$I$16)))</f>
        <v>582.50936296077191</v>
      </c>
      <c r="I1557" s="16">
        <f t="shared" si="285"/>
        <v>0</v>
      </c>
      <c r="J1557" s="17">
        <v>2</v>
      </c>
      <c r="K1557" s="16">
        <f>IF(J1557=1,VLOOKUP(B1557,RPM!$F$2:$H$62,3,TRUE),IF(J1557=2,VLOOKUP(B1557,RPM!$I$2:$K$62,3,TRUE),IF(J1557=3,VLOOKUP(B1557,RPM!$L$2:$N$62,3,TRUE))))</f>
        <v>7000</v>
      </c>
      <c r="L1557" s="17">
        <f t="shared" si="296"/>
        <v>120.29776939303207</v>
      </c>
      <c r="M1557" s="16">
        <f t="shared" si="286"/>
        <v>0</v>
      </c>
      <c r="N1557" s="17">
        <f>VLOOKUP(K1557,RPM!$A$2:$D$62,3,FALSE)</f>
        <v>13</v>
      </c>
      <c r="O1557" s="16">
        <f>VLOOKUP(K1557,RPM!$A$2:$D$62,4,FALSE)</f>
        <v>13.235857142857142</v>
      </c>
      <c r="P1557" s="17">
        <f t="shared" si="288"/>
        <v>9.8699786714285711</v>
      </c>
      <c r="Q1557" s="16" cm="1">
        <f t="array" ref="Q1557">_xlfn.XLOOKUP(O1557,BSFC!$A$2:$A$24,_xlfn.XLOOKUP(K1557,BSFC!$B$1:$O$1,BSFC!$B$2:$O$24,,-1),,-1)</f>
        <v>520</v>
      </c>
      <c r="R1557" s="17">
        <f t="shared" si="289"/>
        <v>1.425663585873016</v>
      </c>
      <c r="S1557" s="16">
        <f t="shared" si="290"/>
        <v>2.0443068048074323E-4</v>
      </c>
      <c r="T1557" s="17">
        <f t="shared" si="293"/>
        <v>0.10630395384998648</v>
      </c>
      <c r="U1557" s="16">
        <f t="shared" si="294"/>
        <v>196.83632241629252</v>
      </c>
      <c r="V1557" s="17">
        <f t="shared" si="295"/>
        <v>0.40241618602592294</v>
      </c>
      <c r="W1557" s="16">
        <f t="shared" si="291"/>
        <v>1448698.2696933225</v>
      </c>
      <c r="X1557">
        <f>('Hybrid Info'!$A$2-Track!P1557)*(L1557-L1556)*1000+X1556</f>
        <v>4297.997649779998</v>
      </c>
    </row>
    <row r="1558" spans="1:24">
      <c r="A1558" s="16">
        <f t="shared" si="292"/>
        <v>1557</v>
      </c>
      <c r="B1558" s="17">
        <f t="shared" si="287"/>
        <v>13.411199999999999</v>
      </c>
      <c r="C1558" s="16">
        <f>Specification!$G$32</f>
        <v>219.92450400000001</v>
      </c>
      <c r="D1558" s="17">
        <f>0.5*Specification!$K$4*Track!B1558^2*Specification!$K$3*Specification!$K$2</f>
        <v>93.159842569492653</v>
      </c>
      <c r="E1558" s="16">
        <v>0</v>
      </c>
      <c r="F1558" s="17">
        <f>Specification!$C$23*9.81*SIN((E1558*PI()/180))</f>
        <v>0</v>
      </c>
      <c r="G1558" s="18">
        <f>IF(J1558=1,VLOOKUP(K1558,RPM!$E$2:$H$62,3,FALSE)-F1558-E1558-D1558,IF(J1558=2,VLOOKUP(K1558,RPM!$H$2:$K$62,3,FALSE)-F1558-E1558-D1558,IF(J1558=3,VLOOKUP(K1558,RPM!$K$2:$N$62,3,FALSE)-F1558-E1558-D1558)))</f>
        <v>688.48526429214962</v>
      </c>
      <c r="H1558" s="19">
        <f>IF(J1558=1,Specification!$I$14,IF(J1558=2,Specification!$I$15,IF(J1558=3,Specification!$I$16)))</f>
        <v>582.50936296077191</v>
      </c>
      <c r="I1558" s="16">
        <f t="shared" si="285"/>
        <v>0</v>
      </c>
      <c r="J1558" s="17">
        <v>2</v>
      </c>
      <c r="K1558" s="16">
        <f>IF(J1558=1,VLOOKUP(B1558,RPM!$F$2:$H$62,3,TRUE),IF(J1558=2,VLOOKUP(B1558,RPM!$I$2:$K$62,3,TRUE),IF(J1558=3,VLOOKUP(B1558,RPM!$L$2:$N$62,3,TRUE))))</f>
        <v>7000</v>
      </c>
      <c r="L1558" s="17">
        <f t="shared" si="296"/>
        <v>120.37233393610055</v>
      </c>
      <c r="M1558" s="16">
        <f t="shared" si="286"/>
        <v>0</v>
      </c>
      <c r="N1558" s="17">
        <f>VLOOKUP(K1558,RPM!$A$2:$D$62,3,FALSE)</f>
        <v>13</v>
      </c>
      <c r="O1558" s="16">
        <f>VLOOKUP(K1558,RPM!$A$2:$D$62,4,FALSE)</f>
        <v>13.235857142857142</v>
      </c>
      <c r="P1558" s="17">
        <f t="shared" si="288"/>
        <v>9.8699786714285711</v>
      </c>
      <c r="Q1558" s="16" cm="1">
        <f t="array" ref="Q1558">_xlfn.XLOOKUP(O1558,BSFC!$A$2:$A$24,_xlfn.XLOOKUP(K1558,BSFC!$B$1:$O$1,BSFC!$B$2:$O$24,,-1),,-1)</f>
        <v>520</v>
      </c>
      <c r="R1558" s="17">
        <f t="shared" si="289"/>
        <v>1.425663585873016</v>
      </c>
      <c r="S1558" s="16">
        <f t="shared" si="290"/>
        <v>2.0443068048074323E-4</v>
      </c>
      <c r="T1558" s="17">
        <f t="shared" si="293"/>
        <v>0.10630395384998648</v>
      </c>
      <c r="U1558" s="16">
        <f t="shared" si="294"/>
        <v>196.94262637014251</v>
      </c>
      <c r="V1558" s="17">
        <f t="shared" si="295"/>
        <v>0.4026206167064037</v>
      </c>
      <c r="W1558" s="16">
        <f t="shared" si="291"/>
        <v>1449434.2201430534</v>
      </c>
      <c r="X1558">
        <f>('Hybrid Info'!$A$2-Track!P1558)*(L1558-L1557)*1000+X1557</f>
        <v>4465.8033587662503</v>
      </c>
    </row>
    <row r="1559" spans="1:24">
      <c r="A1559" s="16">
        <f t="shared" si="292"/>
        <v>1558</v>
      </c>
      <c r="B1559" s="17">
        <f t="shared" si="287"/>
        <v>13.411199999999999</v>
      </c>
      <c r="C1559" s="16">
        <f>Specification!$G$32</f>
        <v>219.92450400000001</v>
      </c>
      <c r="D1559" s="17">
        <f>0.5*Specification!$K$4*Track!B1559^2*Specification!$K$3*Specification!$K$2</f>
        <v>93.159842569492653</v>
      </c>
      <c r="E1559" s="16">
        <v>0</v>
      </c>
      <c r="F1559" s="17">
        <f>Specification!$C$23*9.81*SIN((E1559*PI()/180))</f>
        <v>0</v>
      </c>
      <c r="G1559" s="18">
        <f>IF(J1559=1,VLOOKUP(K1559,RPM!$E$2:$H$62,3,FALSE)-F1559-E1559-D1559,IF(J1559=2,VLOOKUP(K1559,RPM!$H$2:$K$62,3,FALSE)-F1559-E1559-D1559,IF(J1559=3,VLOOKUP(K1559,RPM!$K$2:$N$62,3,FALSE)-F1559-E1559-D1559)))</f>
        <v>688.48526429214962</v>
      </c>
      <c r="H1559" s="19">
        <f>IF(J1559=1,Specification!$I$14,IF(J1559=2,Specification!$I$15,IF(J1559=3,Specification!$I$16)))</f>
        <v>582.50936296077191</v>
      </c>
      <c r="I1559" s="16">
        <f t="shared" si="285"/>
        <v>0</v>
      </c>
      <c r="J1559" s="17">
        <v>2</v>
      </c>
      <c r="K1559" s="16">
        <f>IF(J1559=1,VLOOKUP(B1559,RPM!$F$2:$H$62,3,TRUE),IF(J1559=2,VLOOKUP(B1559,RPM!$I$2:$K$62,3,TRUE),IF(J1559=3,VLOOKUP(B1559,RPM!$L$2:$N$62,3,TRUE))))</f>
        <v>7000</v>
      </c>
      <c r="L1559" s="17">
        <f t="shared" si="296"/>
        <v>120.44689847916902</v>
      </c>
      <c r="M1559" s="16">
        <f t="shared" si="286"/>
        <v>0</v>
      </c>
      <c r="N1559" s="17">
        <f>VLOOKUP(K1559,RPM!$A$2:$D$62,3,FALSE)</f>
        <v>13</v>
      </c>
      <c r="O1559" s="16">
        <f>VLOOKUP(K1559,RPM!$A$2:$D$62,4,FALSE)</f>
        <v>13.235857142857142</v>
      </c>
      <c r="P1559" s="17">
        <f t="shared" si="288"/>
        <v>9.8699786714285711</v>
      </c>
      <c r="Q1559" s="16" cm="1">
        <f t="array" ref="Q1559">_xlfn.XLOOKUP(O1559,BSFC!$A$2:$A$24,_xlfn.XLOOKUP(K1559,BSFC!$B$1:$O$1,BSFC!$B$2:$O$24,,-1),,-1)</f>
        <v>520</v>
      </c>
      <c r="R1559" s="17">
        <f t="shared" si="289"/>
        <v>1.425663585873016</v>
      </c>
      <c r="S1559" s="16">
        <f t="shared" si="290"/>
        <v>2.0443068048074323E-4</v>
      </c>
      <c r="T1559" s="17">
        <f t="shared" si="293"/>
        <v>0.10630395384998648</v>
      </c>
      <c r="U1559" s="16">
        <f t="shared" si="294"/>
        <v>197.04893032399249</v>
      </c>
      <c r="V1559" s="17">
        <f t="shared" si="295"/>
        <v>0.40282504738688446</v>
      </c>
      <c r="W1559" s="16">
        <f t="shared" si="291"/>
        <v>1450170.1705927842</v>
      </c>
      <c r="X1559">
        <f>('Hybrid Info'!$A$2-Track!P1559)*(L1559-L1558)*1000+X1558</f>
        <v>4633.6090677525026</v>
      </c>
    </row>
    <row r="1560" spans="1:24">
      <c r="A1560" s="16">
        <f t="shared" si="292"/>
        <v>1559</v>
      </c>
      <c r="B1560" s="17">
        <f t="shared" si="287"/>
        <v>13.411199999999999</v>
      </c>
      <c r="C1560" s="16">
        <f>Specification!$G$32</f>
        <v>219.92450400000001</v>
      </c>
      <c r="D1560" s="17">
        <f>0.5*Specification!$K$4*Track!B1560^2*Specification!$K$3*Specification!$K$2</f>
        <v>93.159842569492653</v>
      </c>
      <c r="E1560" s="16">
        <v>0</v>
      </c>
      <c r="F1560" s="17">
        <f>Specification!$C$23*9.81*SIN((E1560*PI()/180))</f>
        <v>0</v>
      </c>
      <c r="G1560" s="18">
        <f>IF(J1560=1,VLOOKUP(K1560,RPM!$E$2:$H$62,3,FALSE)-F1560-E1560-D1560,IF(J1560=2,VLOOKUP(K1560,RPM!$H$2:$K$62,3,FALSE)-F1560-E1560-D1560,IF(J1560=3,VLOOKUP(K1560,RPM!$K$2:$N$62,3,FALSE)-F1560-E1560-D1560)))</f>
        <v>688.48526429214962</v>
      </c>
      <c r="H1560" s="19">
        <f>IF(J1560=1,Specification!$I$14,IF(J1560=2,Specification!$I$15,IF(J1560=3,Specification!$I$16)))</f>
        <v>582.50936296077191</v>
      </c>
      <c r="I1560" s="16">
        <f t="shared" si="285"/>
        <v>0</v>
      </c>
      <c r="J1560" s="17">
        <v>2</v>
      </c>
      <c r="K1560" s="16">
        <f>IF(J1560=1,VLOOKUP(B1560,RPM!$F$2:$H$62,3,TRUE),IF(J1560=2,VLOOKUP(B1560,RPM!$I$2:$K$62,3,TRUE),IF(J1560=3,VLOOKUP(B1560,RPM!$L$2:$N$62,3,TRUE))))</f>
        <v>7000</v>
      </c>
      <c r="L1560" s="17">
        <f t="shared" si="296"/>
        <v>120.5214630222375</v>
      </c>
      <c r="M1560" s="16">
        <f t="shared" si="286"/>
        <v>0</v>
      </c>
      <c r="N1560" s="17">
        <f>VLOOKUP(K1560,RPM!$A$2:$D$62,3,FALSE)</f>
        <v>13</v>
      </c>
      <c r="O1560" s="16">
        <f>VLOOKUP(K1560,RPM!$A$2:$D$62,4,FALSE)</f>
        <v>13.235857142857142</v>
      </c>
      <c r="P1560" s="17">
        <f t="shared" si="288"/>
        <v>9.8699786714285711</v>
      </c>
      <c r="Q1560" s="16" cm="1">
        <f t="array" ref="Q1560">_xlfn.XLOOKUP(O1560,BSFC!$A$2:$A$24,_xlfn.XLOOKUP(K1560,BSFC!$B$1:$O$1,BSFC!$B$2:$O$24,,-1),,-1)</f>
        <v>520</v>
      </c>
      <c r="R1560" s="17">
        <f t="shared" si="289"/>
        <v>1.425663585873016</v>
      </c>
      <c r="S1560" s="16">
        <f t="shared" si="290"/>
        <v>2.0443068048074323E-4</v>
      </c>
      <c r="T1560" s="17">
        <f t="shared" si="293"/>
        <v>0.10630395384998648</v>
      </c>
      <c r="U1560" s="16">
        <f t="shared" si="294"/>
        <v>197.15523427784248</v>
      </c>
      <c r="V1560" s="17">
        <f t="shared" si="295"/>
        <v>0.40302947806736522</v>
      </c>
      <c r="W1560" s="16">
        <f t="shared" si="291"/>
        <v>1450906.1210425149</v>
      </c>
      <c r="X1560">
        <f>('Hybrid Info'!$A$2-Track!P1560)*(L1560-L1559)*1000+X1559</f>
        <v>4801.4147767387549</v>
      </c>
    </row>
    <row r="1561" spans="1:24">
      <c r="A1561" s="16">
        <f t="shared" si="292"/>
        <v>1560</v>
      </c>
      <c r="B1561" s="17">
        <f t="shared" si="287"/>
        <v>13.411199999999999</v>
      </c>
      <c r="C1561" s="16">
        <f>Specification!$G$32</f>
        <v>219.92450400000001</v>
      </c>
      <c r="D1561" s="17">
        <f>0.5*Specification!$K$4*Track!B1561^2*Specification!$K$3*Specification!$K$2</f>
        <v>93.159842569492653</v>
      </c>
      <c r="E1561" s="16">
        <v>0</v>
      </c>
      <c r="F1561" s="17">
        <f>Specification!$C$23*9.81*SIN((E1561*PI()/180))</f>
        <v>0</v>
      </c>
      <c r="G1561" s="18">
        <f>IF(J1561=1,VLOOKUP(K1561,RPM!$E$2:$H$62,3,FALSE)-F1561-E1561-D1561,IF(J1561=2,VLOOKUP(K1561,RPM!$H$2:$K$62,3,FALSE)-F1561-E1561-D1561,IF(J1561=3,VLOOKUP(K1561,RPM!$K$2:$N$62,3,FALSE)-F1561-E1561-D1561)))</f>
        <v>688.48526429214962</v>
      </c>
      <c r="H1561" s="19">
        <f>IF(J1561=1,Specification!$I$14,IF(J1561=2,Specification!$I$15,IF(J1561=3,Specification!$I$16)))</f>
        <v>582.50936296077191</v>
      </c>
      <c r="I1561" s="16">
        <f t="shared" si="285"/>
        <v>0</v>
      </c>
      <c r="J1561" s="17">
        <v>2</v>
      </c>
      <c r="K1561" s="16">
        <f>IF(J1561=1,VLOOKUP(B1561,RPM!$F$2:$H$62,3,TRUE),IF(J1561=2,VLOOKUP(B1561,RPM!$I$2:$K$62,3,TRUE),IF(J1561=3,VLOOKUP(B1561,RPM!$L$2:$N$62,3,TRUE))))</f>
        <v>7000</v>
      </c>
      <c r="L1561" s="17">
        <f t="shared" si="296"/>
        <v>120.59602756530597</v>
      </c>
      <c r="M1561" s="16">
        <f t="shared" si="286"/>
        <v>0</v>
      </c>
      <c r="N1561" s="17">
        <f>VLOOKUP(K1561,RPM!$A$2:$D$62,3,FALSE)</f>
        <v>13</v>
      </c>
      <c r="O1561" s="16">
        <f>VLOOKUP(K1561,RPM!$A$2:$D$62,4,FALSE)</f>
        <v>13.235857142857142</v>
      </c>
      <c r="P1561" s="17">
        <f t="shared" si="288"/>
        <v>9.8699786714285711</v>
      </c>
      <c r="Q1561" s="16" cm="1">
        <f t="array" ref="Q1561">_xlfn.XLOOKUP(O1561,BSFC!$A$2:$A$24,_xlfn.XLOOKUP(K1561,BSFC!$B$1:$O$1,BSFC!$B$2:$O$24,,-1),,-1)</f>
        <v>520</v>
      </c>
      <c r="R1561" s="17">
        <f t="shared" si="289"/>
        <v>1.425663585873016</v>
      </c>
      <c r="S1561" s="16">
        <f t="shared" si="290"/>
        <v>2.0443068048074323E-4</v>
      </c>
      <c r="T1561" s="17">
        <f t="shared" si="293"/>
        <v>0.10630395384998648</v>
      </c>
      <c r="U1561" s="16">
        <f t="shared" si="294"/>
        <v>197.26153823169247</v>
      </c>
      <c r="V1561" s="17">
        <f t="shared" si="295"/>
        <v>0.40323390874784598</v>
      </c>
      <c r="W1561" s="16">
        <f t="shared" si="291"/>
        <v>1451642.0714922457</v>
      </c>
      <c r="X1561">
        <f>('Hybrid Info'!$A$2-Track!P1561)*(L1561-L1560)*1000+X1560</f>
        <v>4969.2204857250072</v>
      </c>
    </row>
    <row r="1562" spans="1:24">
      <c r="A1562" s="16">
        <f t="shared" si="292"/>
        <v>1561</v>
      </c>
      <c r="B1562" s="17">
        <f t="shared" si="287"/>
        <v>13.411199999999999</v>
      </c>
      <c r="C1562" s="16">
        <f>Specification!$G$32</f>
        <v>219.92450400000001</v>
      </c>
      <c r="D1562" s="17">
        <f>0.5*Specification!$K$4*Track!B1562^2*Specification!$K$3*Specification!$K$2</f>
        <v>93.159842569492653</v>
      </c>
      <c r="E1562" s="16">
        <v>0</v>
      </c>
      <c r="F1562" s="17">
        <f>Specification!$C$23*9.81*SIN((E1562*PI()/180))</f>
        <v>0</v>
      </c>
      <c r="G1562" s="18">
        <f>IF(J1562=1,VLOOKUP(K1562,RPM!$E$2:$H$62,3,FALSE)-F1562-E1562-D1562,IF(J1562=2,VLOOKUP(K1562,RPM!$H$2:$K$62,3,FALSE)-F1562-E1562-D1562,IF(J1562=3,VLOOKUP(K1562,RPM!$K$2:$N$62,3,FALSE)-F1562-E1562-D1562)))</f>
        <v>688.48526429214962</v>
      </c>
      <c r="H1562" s="19">
        <f>IF(J1562=1,Specification!$I$14,IF(J1562=2,Specification!$I$15,IF(J1562=3,Specification!$I$16)))</f>
        <v>582.50936296077191</v>
      </c>
      <c r="I1562" s="16">
        <f t="shared" si="285"/>
        <v>0</v>
      </c>
      <c r="J1562" s="17">
        <v>2</v>
      </c>
      <c r="K1562" s="16">
        <f>IF(J1562=1,VLOOKUP(B1562,RPM!$F$2:$H$62,3,TRUE),IF(J1562=2,VLOOKUP(B1562,RPM!$I$2:$K$62,3,TRUE),IF(J1562=3,VLOOKUP(B1562,RPM!$L$2:$N$62,3,TRUE))))</f>
        <v>7000</v>
      </c>
      <c r="L1562" s="17">
        <f t="shared" si="296"/>
        <v>120.67059210837445</v>
      </c>
      <c r="M1562" s="16">
        <f t="shared" si="286"/>
        <v>0</v>
      </c>
      <c r="N1562" s="17">
        <f>VLOOKUP(K1562,RPM!$A$2:$D$62,3,FALSE)</f>
        <v>13</v>
      </c>
      <c r="O1562" s="16">
        <f>VLOOKUP(K1562,RPM!$A$2:$D$62,4,FALSE)</f>
        <v>13.235857142857142</v>
      </c>
      <c r="P1562" s="17">
        <f t="shared" si="288"/>
        <v>9.8699786714285711</v>
      </c>
      <c r="Q1562" s="16" cm="1">
        <f t="array" ref="Q1562">_xlfn.XLOOKUP(O1562,BSFC!$A$2:$A$24,_xlfn.XLOOKUP(K1562,BSFC!$B$1:$O$1,BSFC!$B$2:$O$24,,-1),,-1)</f>
        <v>520</v>
      </c>
      <c r="R1562" s="17">
        <f t="shared" si="289"/>
        <v>1.425663585873016</v>
      </c>
      <c r="S1562" s="16">
        <f t="shared" si="290"/>
        <v>2.0443068048074323E-4</v>
      </c>
      <c r="T1562" s="17">
        <f t="shared" si="293"/>
        <v>0.10630395384998648</v>
      </c>
      <c r="U1562" s="16">
        <f t="shared" si="294"/>
        <v>197.36784218554246</v>
      </c>
      <c r="V1562" s="17">
        <f t="shared" si="295"/>
        <v>0.40343833942832674</v>
      </c>
      <c r="W1562" s="16">
        <f t="shared" si="291"/>
        <v>1452378.0219419762</v>
      </c>
      <c r="X1562">
        <f>('Hybrid Info'!$A$2-Track!P1562)*(L1562-L1561)*1000+X1561</f>
        <v>5137.0261947112594</v>
      </c>
    </row>
    <row r="1563" spans="1:24">
      <c r="A1563" s="16">
        <f t="shared" si="292"/>
        <v>1562</v>
      </c>
      <c r="B1563" s="17">
        <f t="shared" si="287"/>
        <v>13.411199999999999</v>
      </c>
      <c r="C1563" s="16">
        <f>Specification!$G$32</f>
        <v>219.92450400000001</v>
      </c>
      <c r="D1563" s="17">
        <f>0.5*Specification!$K$4*Track!B1563^2*Specification!$K$3*Specification!$K$2</f>
        <v>93.159842569492653</v>
      </c>
      <c r="E1563" s="16">
        <v>0</v>
      </c>
      <c r="F1563" s="17">
        <f>Specification!$C$23*9.81*SIN((E1563*PI()/180))</f>
        <v>0</v>
      </c>
      <c r="G1563" s="18">
        <f>IF(J1563=1,VLOOKUP(K1563,RPM!$E$2:$H$62,3,FALSE)-F1563-E1563-D1563,IF(J1563=2,VLOOKUP(K1563,RPM!$H$2:$K$62,3,FALSE)-F1563-E1563-D1563,IF(J1563=3,VLOOKUP(K1563,RPM!$K$2:$N$62,3,FALSE)-F1563-E1563-D1563)))</f>
        <v>688.48526429214962</v>
      </c>
      <c r="H1563" s="19">
        <f>IF(J1563=1,Specification!$I$14,IF(J1563=2,Specification!$I$15,IF(J1563=3,Specification!$I$16)))</f>
        <v>582.50936296077191</v>
      </c>
      <c r="I1563" s="16">
        <f t="shared" si="285"/>
        <v>0</v>
      </c>
      <c r="J1563" s="17">
        <v>2</v>
      </c>
      <c r="K1563" s="16">
        <f>IF(J1563=1,VLOOKUP(B1563,RPM!$F$2:$H$62,3,TRUE),IF(J1563=2,VLOOKUP(B1563,RPM!$I$2:$K$62,3,TRUE),IF(J1563=3,VLOOKUP(B1563,RPM!$L$2:$N$62,3,TRUE))))</f>
        <v>7000</v>
      </c>
      <c r="L1563" s="17">
        <f t="shared" si="296"/>
        <v>120.74515665144293</v>
      </c>
      <c r="M1563" s="16">
        <f t="shared" si="286"/>
        <v>0</v>
      </c>
      <c r="N1563" s="17">
        <f>VLOOKUP(K1563,RPM!$A$2:$D$62,3,FALSE)</f>
        <v>13</v>
      </c>
      <c r="O1563" s="16">
        <f>VLOOKUP(K1563,RPM!$A$2:$D$62,4,FALSE)</f>
        <v>13.235857142857142</v>
      </c>
      <c r="P1563" s="17">
        <f t="shared" si="288"/>
        <v>9.8699786714285711</v>
      </c>
      <c r="Q1563" s="16" cm="1">
        <f t="array" ref="Q1563">_xlfn.XLOOKUP(O1563,BSFC!$A$2:$A$24,_xlfn.XLOOKUP(K1563,BSFC!$B$1:$O$1,BSFC!$B$2:$O$24,,-1),,-1)</f>
        <v>520</v>
      </c>
      <c r="R1563" s="17">
        <f t="shared" si="289"/>
        <v>1.425663585873016</v>
      </c>
      <c r="S1563" s="16">
        <f t="shared" si="290"/>
        <v>2.0443068048074323E-4</v>
      </c>
      <c r="T1563" s="17">
        <f t="shared" si="293"/>
        <v>0.10630395384998648</v>
      </c>
      <c r="U1563" s="16">
        <f t="shared" si="294"/>
        <v>197.47414613939245</v>
      </c>
      <c r="V1563" s="17">
        <f t="shared" si="295"/>
        <v>0.4036427701088075</v>
      </c>
      <c r="W1563" s="16">
        <f t="shared" si="291"/>
        <v>1453113.9723917069</v>
      </c>
      <c r="X1563">
        <f>('Hybrid Info'!$A$2-Track!P1563)*(L1563-L1562)*1000+X1562</f>
        <v>5304.8319036975117</v>
      </c>
    </row>
    <row r="1564" spans="1:24">
      <c r="A1564" s="16">
        <f t="shared" si="292"/>
        <v>1563</v>
      </c>
      <c r="B1564" s="17">
        <f t="shared" si="287"/>
        <v>13.411199999999999</v>
      </c>
      <c r="C1564" s="16">
        <f>Specification!$G$32</f>
        <v>219.92450400000001</v>
      </c>
      <c r="D1564" s="17">
        <f>0.5*Specification!$K$4*Track!B1564^2*Specification!$K$3*Specification!$K$2</f>
        <v>93.159842569492653</v>
      </c>
      <c r="E1564" s="16">
        <v>0</v>
      </c>
      <c r="F1564" s="17">
        <f>Specification!$C$23*9.81*SIN((E1564*PI()/180))</f>
        <v>0</v>
      </c>
      <c r="G1564" s="18">
        <f>IF(J1564=1,VLOOKUP(K1564,RPM!$E$2:$H$62,3,FALSE)-F1564-E1564-D1564,IF(J1564=2,VLOOKUP(K1564,RPM!$H$2:$K$62,3,FALSE)-F1564-E1564-D1564,IF(J1564=3,VLOOKUP(K1564,RPM!$K$2:$N$62,3,FALSE)-F1564-E1564-D1564)))</f>
        <v>688.48526429214962</v>
      </c>
      <c r="H1564" s="19">
        <f>IF(J1564=1,Specification!$I$14,IF(J1564=2,Specification!$I$15,IF(J1564=3,Specification!$I$16)))</f>
        <v>582.50936296077191</v>
      </c>
      <c r="I1564" s="16">
        <f t="shared" si="285"/>
        <v>0</v>
      </c>
      <c r="J1564" s="17">
        <v>2</v>
      </c>
      <c r="K1564" s="16">
        <f>IF(J1564=1,VLOOKUP(B1564,RPM!$F$2:$H$62,3,TRUE),IF(J1564=2,VLOOKUP(B1564,RPM!$I$2:$K$62,3,TRUE),IF(J1564=3,VLOOKUP(B1564,RPM!$L$2:$N$62,3,TRUE))))</f>
        <v>7000</v>
      </c>
      <c r="L1564" s="17">
        <f t="shared" si="296"/>
        <v>120.8197211945114</v>
      </c>
      <c r="M1564" s="16">
        <f t="shared" si="286"/>
        <v>0</v>
      </c>
      <c r="N1564" s="17">
        <f>VLOOKUP(K1564,RPM!$A$2:$D$62,3,FALSE)</f>
        <v>13</v>
      </c>
      <c r="O1564" s="16">
        <f>VLOOKUP(K1564,RPM!$A$2:$D$62,4,FALSE)</f>
        <v>13.235857142857142</v>
      </c>
      <c r="P1564" s="17">
        <f t="shared" si="288"/>
        <v>9.8699786714285711</v>
      </c>
      <c r="Q1564" s="16" cm="1">
        <f t="array" ref="Q1564">_xlfn.XLOOKUP(O1564,BSFC!$A$2:$A$24,_xlfn.XLOOKUP(K1564,BSFC!$B$1:$O$1,BSFC!$B$2:$O$24,,-1),,-1)</f>
        <v>520</v>
      </c>
      <c r="R1564" s="17">
        <f t="shared" si="289"/>
        <v>1.425663585873016</v>
      </c>
      <c r="S1564" s="16">
        <f t="shared" si="290"/>
        <v>2.0443068048074323E-4</v>
      </c>
      <c r="T1564" s="17">
        <f t="shared" si="293"/>
        <v>0.10630395384998648</v>
      </c>
      <c r="U1564" s="16">
        <f t="shared" si="294"/>
        <v>197.58045009324243</v>
      </c>
      <c r="V1564" s="17">
        <f t="shared" si="295"/>
        <v>0.40384720078928826</v>
      </c>
      <c r="W1564" s="16">
        <f t="shared" si="291"/>
        <v>1453849.9228414376</v>
      </c>
      <c r="X1564">
        <f>('Hybrid Info'!$A$2-Track!P1564)*(L1564-L1563)*1000+X1563</f>
        <v>5472.637612683764</v>
      </c>
    </row>
    <row r="1565" spans="1:24">
      <c r="A1565" s="16">
        <f t="shared" si="292"/>
        <v>1564</v>
      </c>
      <c r="B1565" s="17">
        <f t="shared" si="287"/>
        <v>13.411199999999999</v>
      </c>
      <c r="C1565" s="16">
        <f>Specification!$G$32</f>
        <v>219.92450400000001</v>
      </c>
      <c r="D1565" s="17">
        <f>0.5*Specification!$K$4*Track!B1565^2*Specification!$K$3*Specification!$K$2</f>
        <v>93.159842569492653</v>
      </c>
      <c r="E1565" s="16">
        <v>0</v>
      </c>
      <c r="F1565" s="17">
        <f>Specification!$C$23*9.81*SIN((E1565*PI()/180))</f>
        <v>0</v>
      </c>
      <c r="G1565" s="18">
        <f>IF(J1565=1,VLOOKUP(K1565,RPM!$E$2:$H$62,3,FALSE)-F1565-E1565-D1565,IF(J1565=2,VLOOKUP(K1565,RPM!$H$2:$K$62,3,FALSE)-F1565-E1565-D1565,IF(J1565=3,VLOOKUP(K1565,RPM!$K$2:$N$62,3,FALSE)-F1565-E1565-D1565)))</f>
        <v>688.48526429214962</v>
      </c>
      <c r="H1565" s="19">
        <f>IF(J1565=1,Specification!$I$14,IF(J1565=2,Specification!$I$15,IF(J1565=3,Specification!$I$16)))</f>
        <v>582.50936296077191</v>
      </c>
      <c r="I1565" s="16">
        <f t="shared" si="285"/>
        <v>0</v>
      </c>
      <c r="J1565" s="17">
        <v>2</v>
      </c>
      <c r="K1565" s="16">
        <f>IF(J1565=1,VLOOKUP(B1565,RPM!$F$2:$H$62,3,TRUE),IF(J1565=2,VLOOKUP(B1565,RPM!$I$2:$K$62,3,TRUE),IF(J1565=3,VLOOKUP(B1565,RPM!$L$2:$N$62,3,TRUE))))</f>
        <v>7000</v>
      </c>
      <c r="L1565" s="17">
        <f t="shared" si="296"/>
        <v>120.89428573757988</v>
      </c>
      <c r="M1565" s="16">
        <f t="shared" si="286"/>
        <v>0</v>
      </c>
      <c r="N1565" s="17">
        <f>VLOOKUP(K1565,RPM!$A$2:$D$62,3,FALSE)</f>
        <v>13</v>
      </c>
      <c r="O1565" s="16">
        <f>VLOOKUP(K1565,RPM!$A$2:$D$62,4,FALSE)</f>
        <v>13.235857142857142</v>
      </c>
      <c r="P1565" s="17">
        <f t="shared" si="288"/>
        <v>9.8699786714285711</v>
      </c>
      <c r="Q1565" s="16" cm="1">
        <f t="array" ref="Q1565">_xlfn.XLOOKUP(O1565,BSFC!$A$2:$A$24,_xlfn.XLOOKUP(K1565,BSFC!$B$1:$O$1,BSFC!$B$2:$O$24,,-1),,-1)</f>
        <v>520</v>
      </c>
      <c r="R1565" s="17">
        <f t="shared" si="289"/>
        <v>1.425663585873016</v>
      </c>
      <c r="S1565" s="16">
        <f t="shared" si="290"/>
        <v>2.0443068048074323E-4</v>
      </c>
      <c r="T1565" s="17">
        <f t="shared" si="293"/>
        <v>0.10630395384998648</v>
      </c>
      <c r="U1565" s="16">
        <f t="shared" si="294"/>
        <v>197.68675404709242</v>
      </c>
      <c r="V1565" s="17">
        <f t="shared" si="295"/>
        <v>0.40405163146976902</v>
      </c>
      <c r="W1565" s="16">
        <f t="shared" si="291"/>
        <v>1454585.8732911684</v>
      </c>
      <c r="X1565">
        <f>('Hybrid Info'!$A$2-Track!P1565)*(L1565-L1564)*1000+X1564</f>
        <v>5640.4433216700163</v>
      </c>
    </row>
    <row r="1566" spans="1:24">
      <c r="A1566" s="16">
        <f t="shared" si="292"/>
        <v>1565</v>
      </c>
      <c r="B1566" s="17">
        <f t="shared" si="287"/>
        <v>13.411199999999999</v>
      </c>
      <c r="C1566" s="16">
        <f>Specification!$G$32</f>
        <v>219.92450400000001</v>
      </c>
      <c r="D1566" s="17">
        <f>0.5*Specification!$K$4*Track!B1566^2*Specification!$K$3*Specification!$K$2</f>
        <v>93.159842569492653</v>
      </c>
      <c r="E1566" s="16">
        <v>0</v>
      </c>
      <c r="F1566" s="17">
        <f>Specification!$C$23*9.81*SIN((E1566*PI()/180))</f>
        <v>0</v>
      </c>
      <c r="G1566" s="18">
        <f>IF(J1566=1,VLOOKUP(K1566,RPM!$E$2:$H$62,3,FALSE)-F1566-E1566-D1566,IF(J1566=2,VLOOKUP(K1566,RPM!$H$2:$K$62,3,FALSE)-F1566-E1566-D1566,IF(J1566=3,VLOOKUP(K1566,RPM!$K$2:$N$62,3,FALSE)-F1566-E1566-D1566)))</f>
        <v>688.48526429214962</v>
      </c>
      <c r="H1566" s="19">
        <f>IF(J1566=1,Specification!$I$14,IF(J1566=2,Specification!$I$15,IF(J1566=3,Specification!$I$16)))</f>
        <v>582.50936296077191</v>
      </c>
      <c r="I1566" s="16">
        <f t="shared" si="285"/>
        <v>0</v>
      </c>
      <c r="J1566" s="17">
        <v>2</v>
      </c>
      <c r="K1566" s="16">
        <f>IF(J1566=1,VLOOKUP(B1566,RPM!$F$2:$H$62,3,TRUE),IF(J1566=2,VLOOKUP(B1566,RPM!$I$2:$K$62,3,TRUE),IF(J1566=3,VLOOKUP(B1566,RPM!$L$2:$N$62,3,TRUE))))</f>
        <v>7000</v>
      </c>
      <c r="L1566" s="17">
        <f t="shared" si="296"/>
        <v>120.96885028064835</v>
      </c>
      <c r="M1566" s="16">
        <f t="shared" si="286"/>
        <v>0</v>
      </c>
      <c r="N1566" s="17">
        <f>VLOOKUP(K1566,RPM!$A$2:$D$62,3,FALSE)</f>
        <v>13</v>
      </c>
      <c r="O1566" s="16">
        <f>VLOOKUP(K1566,RPM!$A$2:$D$62,4,FALSE)</f>
        <v>13.235857142857142</v>
      </c>
      <c r="P1566" s="17">
        <f t="shared" si="288"/>
        <v>9.8699786714285711</v>
      </c>
      <c r="Q1566" s="16" cm="1">
        <f t="array" ref="Q1566">_xlfn.XLOOKUP(O1566,BSFC!$A$2:$A$24,_xlfn.XLOOKUP(K1566,BSFC!$B$1:$O$1,BSFC!$B$2:$O$24,,-1),,-1)</f>
        <v>520</v>
      </c>
      <c r="R1566" s="17">
        <f t="shared" si="289"/>
        <v>1.425663585873016</v>
      </c>
      <c r="S1566" s="16">
        <f t="shared" si="290"/>
        <v>2.0443068048074323E-4</v>
      </c>
      <c r="T1566" s="17">
        <f t="shared" si="293"/>
        <v>0.10630395384998648</v>
      </c>
      <c r="U1566" s="16">
        <f t="shared" si="294"/>
        <v>197.79305800094241</v>
      </c>
      <c r="V1566" s="17">
        <f t="shared" si="295"/>
        <v>0.40425606215024978</v>
      </c>
      <c r="W1566" s="16">
        <f t="shared" si="291"/>
        <v>1455321.8237408991</v>
      </c>
      <c r="X1566">
        <f>('Hybrid Info'!$A$2-Track!P1566)*(L1566-L1565)*1000+X1565</f>
        <v>5808.2490306562686</v>
      </c>
    </row>
    <row r="1567" spans="1:24">
      <c r="A1567" s="16">
        <f t="shared" si="292"/>
        <v>1566</v>
      </c>
      <c r="B1567" s="17">
        <f t="shared" si="287"/>
        <v>13.411199999999999</v>
      </c>
      <c r="C1567" s="16">
        <f>Specification!$G$32</f>
        <v>219.92450400000001</v>
      </c>
      <c r="D1567" s="17">
        <f>0.5*Specification!$K$4*Track!B1567^2*Specification!$K$3*Specification!$K$2</f>
        <v>93.159842569492653</v>
      </c>
      <c r="E1567" s="16">
        <v>0</v>
      </c>
      <c r="F1567" s="17">
        <f>Specification!$C$23*9.81*SIN((E1567*PI()/180))</f>
        <v>0</v>
      </c>
      <c r="G1567" s="18">
        <f>IF(J1567=1,VLOOKUP(K1567,RPM!$E$2:$H$62,3,FALSE)-F1567-E1567-D1567,IF(J1567=2,VLOOKUP(K1567,RPM!$H$2:$K$62,3,FALSE)-F1567-E1567-D1567,IF(J1567=3,VLOOKUP(K1567,RPM!$K$2:$N$62,3,FALSE)-F1567-E1567-D1567)))</f>
        <v>688.48526429214962</v>
      </c>
      <c r="H1567" s="19">
        <f>IF(J1567=1,Specification!$I$14,IF(J1567=2,Specification!$I$15,IF(J1567=3,Specification!$I$16)))</f>
        <v>582.50936296077191</v>
      </c>
      <c r="I1567" s="16">
        <f t="shared" si="285"/>
        <v>0</v>
      </c>
      <c r="J1567" s="17">
        <v>2</v>
      </c>
      <c r="K1567" s="16">
        <f>IF(J1567=1,VLOOKUP(B1567,RPM!$F$2:$H$62,3,TRUE),IF(J1567=2,VLOOKUP(B1567,RPM!$I$2:$K$62,3,TRUE),IF(J1567=3,VLOOKUP(B1567,RPM!$L$2:$N$62,3,TRUE))))</f>
        <v>7000</v>
      </c>
      <c r="L1567" s="17">
        <f t="shared" si="296"/>
        <v>121.04341482371683</v>
      </c>
      <c r="M1567" s="16">
        <f t="shared" si="286"/>
        <v>0</v>
      </c>
      <c r="N1567" s="17">
        <f>VLOOKUP(K1567,RPM!$A$2:$D$62,3,FALSE)</f>
        <v>13</v>
      </c>
      <c r="O1567" s="16">
        <f>VLOOKUP(K1567,RPM!$A$2:$D$62,4,FALSE)</f>
        <v>13.235857142857142</v>
      </c>
      <c r="P1567" s="17">
        <f t="shared" si="288"/>
        <v>9.8699786714285711</v>
      </c>
      <c r="Q1567" s="16" cm="1">
        <f t="array" ref="Q1567">_xlfn.XLOOKUP(O1567,BSFC!$A$2:$A$24,_xlfn.XLOOKUP(K1567,BSFC!$B$1:$O$1,BSFC!$B$2:$O$24,,-1),,-1)</f>
        <v>520</v>
      </c>
      <c r="R1567" s="17">
        <f t="shared" si="289"/>
        <v>1.425663585873016</v>
      </c>
      <c r="S1567" s="16">
        <f t="shared" si="290"/>
        <v>2.0443068048074323E-4</v>
      </c>
      <c r="T1567" s="17">
        <f t="shared" si="293"/>
        <v>0.10630395384998648</v>
      </c>
      <c r="U1567" s="16">
        <f t="shared" si="294"/>
        <v>197.8993619547924</v>
      </c>
      <c r="V1567" s="17">
        <f t="shared" si="295"/>
        <v>0.40446049283073054</v>
      </c>
      <c r="W1567" s="16">
        <f t="shared" si="291"/>
        <v>1456057.7741906301</v>
      </c>
      <c r="X1567">
        <f>('Hybrid Info'!$A$2-Track!P1567)*(L1567-L1566)*1000+X1566</f>
        <v>5976.0547396425209</v>
      </c>
    </row>
    <row r="1568" spans="1:24">
      <c r="A1568" s="16">
        <f t="shared" si="292"/>
        <v>1567</v>
      </c>
      <c r="B1568" s="17">
        <f t="shared" si="287"/>
        <v>13.411199999999999</v>
      </c>
      <c r="C1568" s="16">
        <f>Specification!$G$32</f>
        <v>219.92450400000001</v>
      </c>
      <c r="D1568" s="17">
        <f>0.5*Specification!$K$4*Track!B1568^2*Specification!$K$3*Specification!$K$2</f>
        <v>93.159842569492653</v>
      </c>
      <c r="E1568" s="16">
        <v>0</v>
      </c>
      <c r="F1568" s="17">
        <f>Specification!$C$23*9.81*SIN((E1568*PI()/180))</f>
        <v>0</v>
      </c>
      <c r="G1568" s="18">
        <f>IF(J1568=1,VLOOKUP(K1568,RPM!$E$2:$H$62,3,FALSE)-F1568-E1568-D1568,IF(J1568=2,VLOOKUP(K1568,RPM!$H$2:$K$62,3,FALSE)-F1568-E1568-D1568,IF(J1568=3,VLOOKUP(K1568,RPM!$K$2:$N$62,3,FALSE)-F1568-E1568-D1568)))</f>
        <v>688.48526429214962</v>
      </c>
      <c r="H1568" s="19">
        <f>IF(J1568=1,Specification!$I$14,IF(J1568=2,Specification!$I$15,IF(J1568=3,Specification!$I$16)))</f>
        <v>582.50936296077191</v>
      </c>
      <c r="I1568" s="16">
        <f t="shared" si="285"/>
        <v>0</v>
      </c>
      <c r="J1568" s="17">
        <v>2</v>
      </c>
      <c r="K1568" s="16">
        <f>IF(J1568=1,VLOOKUP(B1568,RPM!$F$2:$H$62,3,TRUE),IF(J1568=2,VLOOKUP(B1568,RPM!$I$2:$K$62,3,TRUE),IF(J1568=3,VLOOKUP(B1568,RPM!$L$2:$N$62,3,TRUE))))</f>
        <v>7000</v>
      </c>
      <c r="L1568" s="17">
        <f t="shared" si="296"/>
        <v>121.11797936678531</v>
      </c>
      <c r="M1568" s="16">
        <f t="shared" si="286"/>
        <v>0</v>
      </c>
      <c r="N1568" s="17">
        <f>VLOOKUP(K1568,RPM!$A$2:$D$62,3,FALSE)</f>
        <v>13</v>
      </c>
      <c r="O1568" s="16">
        <f>VLOOKUP(K1568,RPM!$A$2:$D$62,4,FALSE)</f>
        <v>13.235857142857142</v>
      </c>
      <c r="P1568" s="17">
        <f t="shared" si="288"/>
        <v>9.8699786714285711</v>
      </c>
      <c r="Q1568" s="16" cm="1">
        <f t="array" ref="Q1568">_xlfn.XLOOKUP(O1568,BSFC!$A$2:$A$24,_xlfn.XLOOKUP(K1568,BSFC!$B$1:$O$1,BSFC!$B$2:$O$24,,-1),,-1)</f>
        <v>520</v>
      </c>
      <c r="R1568" s="17">
        <f t="shared" si="289"/>
        <v>1.425663585873016</v>
      </c>
      <c r="S1568" s="16">
        <f t="shared" si="290"/>
        <v>2.0443068048074323E-4</v>
      </c>
      <c r="T1568" s="17">
        <f t="shared" si="293"/>
        <v>0.10630395384998648</v>
      </c>
      <c r="U1568" s="16">
        <f t="shared" si="294"/>
        <v>198.00566590864238</v>
      </c>
      <c r="V1568" s="17">
        <f t="shared" si="295"/>
        <v>0.40466492351121131</v>
      </c>
      <c r="W1568" s="16">
        <f t="shared" si="291"/>
        <v>1456793.7246403608</v>
      </c>
      <c r="X1568">
        <f>('Hybrid Info'!$A$2-Track!P1568)*(L1568-L1567)*1000+X1567</f>
        <v>6143.8604486287732</v>
      </c>
    </row>
    <row r="1569" spans="1:24">
      <c r="A1569" s="16">
        <f t="shared" si="292"/>
        <v>1568</v>
      </c>
      <c r="B1569" s="17">
        <f t="shared" si="287"/>
        <v>13.411199999999999</v>
      </c>
      <c r="C1569" s="16">
        <f>Specification!$G$32</f>
        <v>219.92450400000001</v>
      </c>
      <c r="D1569" s="17">
        <f>0.5*Specification!$K$4*Track!B1569^2*Specification!$K$3*Specification!$K$2</f>
        <v>93.159842569492653</v>
      </c>
      <c r="E1569" s="16">
        <v>0</v>
      </c>
      <c r="F1569" s="17">
        <f>Specification!$C$23*9.81*SIN((E1569*PI()/180))</f>
        <v>0</v>
      </c>
      <c r="G1569" s="18">
        <f>IF(J1569=1,VLOOKUP(K1569,RPM!$E$2:$H$62,3,FALSE)-F1569-E1569-D1569,IF(J1569=2,VLOOKUP(K1569,RPM!$H$2:$K$62,3,FALSE)-F1569-E1569-D1569,IF(J1569=3,VLOOKUP(K1569,RPM!$K$2:$N$62,3,FALSE)-F1569-E1569-D1569)))</f>
        <v>688.48526429214962</v>
      </c>
      <c r="H1569" s="19">
        <f>IF(J1569=1,Specification!$I$14,IF(J1569=2,Specification!$I$15,IF(J1569=3,Specification!$I$16)))</f>
        <v>582.50936296077191</v>
      </c>
      <c r="I1569" s="16">
        <f t="shared" si="285"/>
        <v>0</v>
      </c>
      <c r="J1569" s="17">
        <v>2</v>
      </c>
      <c r="K1569" s="16">
        <f>IF(J1569=1,VLOOKUP(B1569,RPM!$F$2:$H$62,3,TRUE),IF(J1569=2,VLOOKUP(B1569,RPM!$I$2:$K$62,3,TRUE),IF(J1569=3,VLOOKUP(B1569,RPM!$L$2:$N$62,3,TRUE))))</f>
        <v>7000</v>
      </c>
      <c r="L1569" s="17">
        <f t="shared" si="296"/>
        <v>121.19254390985378</v>
      </c>
      <c r="M1569" s="16">
        <f t="shared" si="286"/>
        <v>0</v>
      </c>
      <c r="N1569" s="17">
        <f>VLOOKUP(K1569,RPM!$A$2:$D$62,3,FALSE)</f>
        <v>13</v>
      </c>
      <c r="O1569" s="16">
        <f>VLOOKUP(K1569,RPM!$A$2:$D$62,4,FALSE)</f>
        <v>13.235857142857142</v>
      </c>
      <c r="P1569" s="17">
        <f t="shared" si="288"/>
        <v>9.8699786714285711</v>
      </c>
      <c r="Q1569" s="16" cm="1">
        <f t="array" ref="Q1569">_xlfn.XLOOKUP(O1569,BSFC!$A$2:$A$24,_xlfn.XLOOKUP(K1569,BSFC!$B$1:$O$1,BSFC!$B$2:$O$24,,-1),,-1)</f>
        <v>520</v>
      </c>
      <c r="R1569" s="17">
        <f t="shared" si="289"/>
        <v>1.425663585873016</v>
      </c>
      <c r="S1569" s="16">
        <f t="shared" si="290"/>
        <v>2.0443068048074323E-4</v>
      </c>
      <c r="T1569" s="17">
        <f t="shared" si="293"/>
        <v>0.10630395384998648</v>
      </c>
      <c r="U1569" s="16">
        <f t="shared" si="294"/>
        <v>198.11196986249237</v>
      </c>
      <c r="V1569" s="17">
        <f t="shared" si="295"/>
        <v>0.40486935419169207</v>
      </c>
      <c r="W1569" s="16">
        <f t="shared" si="291"/>
        <v>1457529.6750900915</v>
      </c>
      <c r="X1569">
        <f>('Hybrid Info'!$A$2-Track!P1569)*(L1569-L1568)*1000+X1568</f>
        <v>6311.6661576150254</v>
      </c>
    </row>
    <row r="1570" spans="1:24">
      <c r="A1570" s="16">
        <f t="shared" si="292"/>
        <v>1569</v>
      </c>
      <c r="B1570" s="17">
        <f t="shared" si="287"/>
        <v>13.411199999999999</v>
      </c>
      <c r="C1570" s="16">
        <f>Specification!$G$32</f>
        <v>219.92450400000001</v>
      </c>
      <c r="D1570" s="17">
        <f>0.5*Specification!$K$4*Track!B1570^2*Specification!$K$3*Specification!$K$2</f>
        <v>93.159842569492653</v>
      </c>
      <c r="E1570" s="16">
        <v>0</v>
      </c>
      <c r="F1570" s="17">
        <f>Specification!$C$23*9.81*SIN((E1570*PI()/180))</f>
        <v>0</v>
      </c>
      <c r="G1570" s="18">
        <f>IF(J1570=1,VLOOKUP(K1570,RPM!$E$2:$H$62,3,FALSE)-F1570-E1570-D1570,IF(J1570=2,VLOOKUP(K1570,RPM!$H$2:$K$62,3,FALSE)-F1570-E1570-D1570,IF(J1570=3,VLOOKUP(K1570,RPM!$K$2:$N$62,3,FALSE)-F1570-E1570-D1570)))</f>
        <v>688.48526429214962</v>
      </c>
      <c r="H1570" s="19">
        <f>IF(J1570=1,Specification!$I$14,IF(J1570=2,Specification!$I$15,IF(J1570=3,Specification!$I$16)))</f>
        <v>582.50936296077191</v>
      </c>
      <c r="I1570" s="16">
        <f t="shared" si="285"/>
        <v>0</v>
      </c>
      <c r="J1570" s="17">
        <v>2</v>
      </c>
      <c r="K1570" s="16">
        <f>IF(J1570=1,VLOOKUP(B1570,RPM!$F$2:$H$62,3,TRUE),IF(J1570=2,VLOOKUP(B1570,RPM!$I$2:$K$62,3,TRUE),IF(J1570=3,VLOOKUP(B1570,RPM!$L$2:$N$62,3,TRUE))))</f>
        <v>7000</v>
      </c>
      <c r="L1570" s="17">
        <f t="shared" si="296"/>
        <v>121.26710845292226</v>
      </c>
      <c r="M1570" s="16">
        <f t="shared" si="286"/>
        <v>0</v>
      </c>
      <c r="N1570" s="17">
        <f>VLOOKUP(K1570,RPM!$A$2:$D$62,3,FALSE)</f>
        <v>13</v>
      </c>
      <c r="O1570" s="16">
        <f>VLOOKUP(K1570,RPM!$A$2:$D$62,4,FALSE)</f>
        <v>13.235857142857142</v>
      </c>
      <c r="P1570" s="17">
        <f t="shared" si="288"/>
        <v>9.8699786714285711</v>
      </c>
      <c r="Q1570" s="16" cm="1">
        <f t="array" ref="Q1570">_xlfn.XLOOKUP(O1570,BSFC!$A$2:$A$24,_xlfn.XLOOKUP(K1570,BSFC!$B$1:$O$1,BSFC!$B$2:$O$24,,-1),,-1)</f>
        <v>520</v>
      </c>
      <c r="R1570" s="17">
        <f t="shared" si="289"/>
        <v>1.425663585873016</v>
      </c>
      <c r="S1570" s="16">
        <f t="shared" si="290"/>
        <v>2.0443068048074323E-4</v>
      </c>
      <c r="T1570" s="17">
        <f t="shared" si="293"/>
        <v>0.10630395384998648</v>
      </c>
      <c r="U1570" s="16">
        <f t="shared" si="294"/>
        <v>198.21827381634236</v>
      </c>
      <c r="V1570" s="17">
        <f t="shared" si="295"/>
        <v>0.40507378487217283</v>
      </c>
      <c r="W1570" s="16">
        <f t="shared" si="291"/>
        <v>1458265.6255398223</v>
      </c>
      <c r="X1570">
        <f>('Hybrid Info'!$A$2-Track!P1570)*(L1570-L1569)*1000+X1569</f>
        <v>6479.4718666012777</v>
      </c>
    </row>
    <row r="1571" spans="1:24">
      <c r="A1571" s="16">
        <f t="shared" si="292"/>
        <v>1570</v>
      </c>
      <c r="B1571" s="17">
        <f t="shared" si="287"/>
        <v>13.411199999999999</v>
      </c>
      <c r="C1571" s="16">
        <f>Specification!$G$32</f>
        <v>219.92450400000001</v>
      </c>
      <c r="D1571" s="17">
        <f>0.5*Specification!$K$4*Track!B1571^2*Specification!$K$3*Specification!$K$2</f>
        <v>93.159842569492653</v>
      </c>
      <c r="E1571" s="16">
        <v>0</v>
      </c>
      <c r="F1571" s="17">
        <f>Specification!$C$23*9.81*SIN((E1571*PI()/180))</f>
        <v>0</v>
      </c>
      <c r="G1571" s="18">
        <f>IF(J1571=1,VLOOKUP(K1571,RPM!$E$2:$H$62,3,FALSE)-F1571-E1571-D1571,IF(J1571=2,VLOOKUP(K1571,RPM!$H$2:$K$62,3,FALSE)-F1571-E1571-D1571,IF(J1571=3,VLOOKUP(K1571,RPM!$K$2:$N$62,3,FALSE)-F1571-E1571-D1571)))</f>
        <v>688.48526429214962</v>
      </c>
      <c r="H1571" s="19">
        <f>IF(J1571=1,Specification!$I$14,IF(J1571=2,Specification!$I$15,IF(J1571=3,Specification!$I$16)))</f>
        <v>582.50936296077191</v>
      </c>
      <c r="I1571" s="16">
        <f t="shared" si="285"/>
        <v>0</v>
      </c>
      <c r="J1571" s="17">
        <v>2</v>
      </c>
      <c r="K1571" s="16">
        <f>IF(J1571=1,VLOOKUP(B1571,RPM!$F$2:$H$62,3,TRUE),IF(J1571=2,VLOOKUP(B1571,RPM!$I$2:$K$62,3,TRUE),IF(J1571=3,VLOOKUP(B1571,RPM!$L$2:$N$62,3,TRUE))))</f>
        <v>7000</v>
      </c>
      <c r="L1571" s="17">
        <f t="shared" si="296"/>
        <v>121.34167299599073</v>
      </c>
      <c r="M1571" s="16">
        <f t="shared" si="286"/>
        <v>0</v>
      </c>
      <c r="N1571" s="17">
        <f>VLOOKUP(K1571,RPM!$A$2:$D$62,3,FALSE)</f>
        <v>13</v>
      </c>
      <c r="O1571" s="16">
        <f>VLOOKUP(K1571,RPM!$A$2:$D$62,4,FALSE)</f>
        <v>13.235857142857142</v>
      </c>
      <c r="P1571" s="17">
        <f t="shared" si="288"/>
        <v>9.8699786714285711</v>
      </c>
      <c r="Q1571" s="16" cm="1">
        <f t="array" ref="Q1571">_xlfn.XLOOKUP(O1571,BSFC!$A$2:$A$24,_xlfn.XLOOKUP(K1571,BSFC!$B$1:$O$1,BSFC!$B$2:$O$24,,-1),,-1)</f>
        <v>520</v>
      </c>
      <c r="R1571" s="17">
        <f t="shared" si="289"/>
        <v>1.425663585873016</v>
      </c>
      <c r="S1571" s="16">
        <f t="shared" si="290"/>
        <v>2.0443068048074323E-4</v>
      </c>
      <c r="T1571" s="17">
        <f t="shared" si="293"/>
        <v>0.10630395384998648</v>
      </c>
      <c r="U1571" s="16">
        <f t="shared" si="294"/>
        <v>198.32457777019235</v>
      </c>
      <c r="V1571" s="17">
        <f t="shared" si="295"/>
        <v>0.40527821555265359</v>
      </c>
      <c r="W1571" s="16">
        <f t="shared" si="291"/>
        <v>1459001.575989553</v>
      </c>
      <c r="X1571">
        <f>('Hybrid Info'!$A$2-Track!P1571)*(L1571-L1570)*1000+X1570</f>
        <v>6647.27757558753</v>
      </c>
    </row>
    <row r="1572" spans="1:24">
      <c r="A1572" s="16">
        <f t="shared" si="292"/>
        <v>1571</v>
      </c>
      <c r="B1572" s="17">
        <f t="shared" si="287"/>
        <v>13.411199999999999</v>
      </c>
      <c r="C1572" s="16">
        <f>Specification!$G$32</f>
        <v>219.92450400000001</v>
      </c>
      <c r="D1572" s="17">
        <f>0.5*Specification!$K$4*Track!B1572^2*Specification!$K$3*Specification!$K$2</f>
        <v>93.159842569492653</v>
      </c>
      <c r="E1572" s="16">
        <v>0</v>
      </c>
      <c r="F1572" s="17">
        <f>Specification!$C$23*9.81*SIN((E1572*PI()/180))</f>
        <v>0</v>
      </c>
      <c r="G1572" s="18">
        <f>IF(J1572=1,VLOOKUP(K1572,RPM!$E$2:$H$62,3,FALSE)-F1572-E1572-D1572,IF(J1572=2,VLOOKUP(K1572,RPM!$H$2:$K$62,3,FALSE)-F1572-E1572-D1572,IF(J1572=3,VLOOKUP(K1572,RPM!$K$2:$N$62,3,FALSE)-F1572-E1572-D1572)))</f>
        <v>688.48526429214962</v>
      </c>
      <c r="H1572" s="19">
        <f>IF(J1572=1,Specification!$I$14,IF(J1572=2,Specification!$I$15,IF(J1572=3,Specification!$I$16)))</f>
        <v>582.50936296077191</v>
      </c>
      <c r="I1572" s="16">
        <f t="shared" ref="I1572:I1635" si="297">IF(B1572=13.4112,0,G1572/H1572)</f>
        <v>0</v>
      </c>
      <c r="J1572" s="17">
        <v>2</v>
      </c>
      <c r="K1572" s="16">
        <f>IF(J1572=1,VLOOKUP(B1572,RPM!$F$2:$H$62,3,TRUE),IF(J1572=2,VLOOKUP(B1572,RPM!$I$2:$K$62,3,TRUE),IF(J1572=3,VLOOKUP(B1572,RPM!$L$2:$N$62,3,TRUE))))</f>
        <v>7000</v>
      </c>
      <c r="L1572" s="17">
        <f t="shared" si="296"/>
        <v>121.41623753905921</v>
      </c>
      <c r="M1572" s="16">
        <f t="shared" si="286"/>
        <v>0</v>
      </c>
      <c r="N1572" s="17">
        <f>VLOOKUP(K1572,RPM!$A$2:$D$62,3,FALSE)</f>
        <v>13</v>
      </c>
      <c r="O1572" s="16">
        <f>VLOOKUP(K1572,RPM!$A$2:$D$62,4,FALSE)</f>
        <v>13.235857142857142</v>
      </c>
      <c r="P1572" s="17">
        <f t="shared" si="288"/>
        <v>9.8699786714285711</v>
      </c>
      <c r="Q1572" s="16" cm="1">
        <f t="array" ref="Q1572">_xlfn.XLOOKUP(O1572,BSFC!$A$2:$A$24,_xlfn.XLOOKUP(K1572,BSFC!$B$1:$O$1,BSFC!$B$2:$O$24,,-1),,-1)</f>
        <v>520</v>
      </c>
      <c r="R1572" s="17">
        <f t="shared" si="289"/>
        <v>1.425663585873016</v>
      </c>
      <c r="S1572" s="16">
        <f t="shared" si="290"/>
        <v>2.0443068048074323E-4</v>
      </c>
      <c r="T1572" s="17">
        <f t="shared" si="293"/>
        <v>0.10630395384998648</v>
      </c>
      <c r="U1572" s="16">
        <f t="shared" si="294"/>
        <v>198.43088172404234</v>
      </c>
      <c r="V1572" s="17">
        <f t="shared" si="295"/>
        <v>0.40548264623313435</v>
      </c>
      <c r="W1572" s="16">
        <f t="shared" si="291"/>
        <v>1459737.5264392837</v>
      </c>
      <c r="X1572">
        <f>('Hybrid Info'!$A$2-Track!P1572)*(L1572-L1571)*1000+X1571</f>
        <v>6815.0832845737823</v>
      </c>
    </row>
    <row r="1573" spans="1:24">
      <c r="A1573" s="16">
        <f t="shared" si="292"/>
        <v>1572</v>
      </c>
      <c r="B1573" s="17">
        <f t="shared" si="287"/>
        <v>13.411199999999999</v>
      </c>
      <c r="C1573" s="16">
        <f>Specification!$G$32</f>
        <v>219.92450400000001</v>
      </c>
      <c r="D1573" s="17">
        <f>0.5*Specification!$K$4*Track!B1573^2*Specification!$K$3*Specification!$K$2</f>
        <v>93.159842569492653</v>
      </c>
      <c r="E1573" s="16">
        <v>0</v>
      </c>
      <c r="F1573" s="17">
        <f>Specification!$C$23*9.81*SIN((E1573*PI()/180))</f>
        <v>0</v>
      </c>
      <c r="G1573" s="18">
        <f>IF(J1573=1,VLOOKUP(K1573,RPM!$E$2:$H$62,3,FALSE)-F1573-E1573-D1573,IF(J1573=2,VLOOKUP(K1573,RPM!$H$2:$K$62,3,FALSE)-F1573-E1573-D1573,IF(J1573=3,VLOOKUP(K1573,RPM!$K$2:$N$62,3,FALSE)-F1573-E1573-D1573)))</f>
        <v>688.48526429214962</v>
      </c>
      <c r="H1573" s="19">
        <f>IF(J1573=1,Specification!$I$14,IF(J1573=2,Specification!$I$15,IF(J1573=3,Specification!$I$16)))</f>
        <v>582.50936296077191</v>
      </c>
      <c r="I1573" s="16">
        <f t="shared" si="297"/>
        <v>0</v>
      </c>
      <c r="J1573" s="17">
        <v>2</v>
      </c>
      <c r="K1573" s="16">
        <f>IF(J1573=1,VLOOKUP(B1573,RPM!$F$2:$H$62,3,TRUE),IF(J1573=2,VLOOKUP(B1573,RPM!$I$2:$K$62,3,TRUE),IF(J1573=3,VLOOKUP(B1573,RPM!$L$2:$N$62,3,TRUE))))</f>
        <v>7000</v>
      </c>
      <c r="L1573" s="17">
        <f t="shared" si="296"/>
        <v>121.49080208212769</v>
      </c>
      <c r="M1573" s="16">
        <f t="shared" si="286"/>
        <v>0</v>
      </c>
      <c r="N1573" s="17">
        <f>VLOOKUP(K1573,RPM!$A$2:$D$62,3,FALSE)</f>
        <v>13</v>
      </c>
      <c r="O1573" s="16">
        <f>VLOOKUP(K1573,RPM!$A$2:$D$62,4,FALSE)</f>
        <v>13.235857142857142</v>
      </c>
      <c r="P1573" s="17">
        <f t="shared" si="288"/>
        <v>9.8699786714285711</v>
      </c>
      <c r="Q1573" s="16" cm="1">
        <f t="array" ref="Q1573">_xlfn.XLOOKUP(O1573,BSFC!$A$2:$A$24,_xlfn.XLOOKUP(K1573,BSFC!$B$1:$O$1,BSFC!$B$2:$O$24,,-1),,-1)</f>
        <v>520</v>
      </c>
      <c r="R1573" s="17">
        <f t="shared" si="289"/>
        <v>1.425663585873016</v>
      </c>
      <c r="S1573" s="16">
        <f t="shared" si="290"/>
        <v>2.0443068048074323E-4</v>
      </c>
      <c r="T1573" s="17">
        <f t="shared" si="293"/>
        <v>0.10630395384998648</v>
      </c>
      <c r="U1573" s="16">
        <f t="shared" si="294"/>
        <v>198.53718567789232</v>
      </c>
      <c r="V1573" s="17">
        <f t="shared" si="295"/>
        <v>0.40568707691361511</v>
      </c>
      <c r="W1573" s="16">
        <f t="shared" si="291"/>
        <v>1460473.4768890145</v>
      </c>
      <c r="X1573">
        <f>('Hybrid Info'!$A$2-Track!P1573)*(L1573-L1572)*1000+X1572</f>
        <v>6982.8889935600346</v>
      </c>
    </row>
    <row r="1574" spans="1:24">
      <c r="A1574" s="16">
        <f t="shared" si="292"/>
        <v>1573</v>
      </c>
      <c r="B1574" s="17">
        <f t="shared" si="287"/>
        <v>13.411199999999999</v>
      </c>
      <c r="C1574" s="16">
        <f>Specification!$G$32</f>
        <v>219.92450400000001</v>
      </c>
      <c r="D1574" s="17">
        <f>0.5*Specification!$K$4*Track!B1574^2*Specification!$K$3*Specification!$K$2</f>
        <v>93.159842569492653</v>
      </c>
      <c r="E1574" s="16">
        <v>0</v>
      </c>
      <c r="F1574" s="17">
        <f>Specification!$C$23*9.81*SIN((E1574*PI()/180))</f>
        <v>0</v>
      </c>
      <c r="G1574" s="18">
        <f>IF(J1574=1,VLOOKUP(K1574,RPM!$E$2:$H$62,3,FALSE)-F1574-E1574-D1574,IF(J1574=2,VLOOKUP(K1574,RPM!$H$2:$K$62,3,FALSE)-F1574-E1574-D1574,IF(J1574=3,VLOOKUP(K1574,RPM!$K$2:$N$62,3,FALSE)-F1574-E1574-D1574)))</f>
        <v>688.48526429214962</v>
      </c>
      <c r="H1574" s="19">
        <f>IF(J1574=1,Specification!$I$14,IF(J1574=2,Specification!$I$15,IF(J1574=3,Specification!$I$16)))</f>
        <v>582.50936296077191</v>
      </c>
      <c r="I1574" s="16">
        <f t="shared" si="297"/>
        <v>0</v>
      </c>
      <c r="J1574" s="17">
        <v>2</v>
      </c>
      <c r="K1574" s="16">
        <f>IF(J1574=1,VLOOKUP(B1574,RPM!$F$2:$H$62,3,TRUE),IF(J1574=2,VLOOKUP(B1574,RPM!$I$2:$K$62,3,TRUE),IF(J1574=3,VLOOKUP(B1574,RPM!$L$2:$N$62,3,TRUE))))</f>
        <v>7000</v>
      </c>
      <c r="L1574" s="17">
        <f t="shared" si="296"/>
        <v>121.56536662519616</v>
      </c>
      <c r="M1574" s="16">
        <f t="shared" si="286"/>
        <v>0</v>
      </c>
      <c r="N1574" s="17">
        <f>VLOOKUP(K1574,RPM!$A$2:$D$62,3,FALSE)</f>
        <v>13</v>
      </c>
      <c r="O1574" s="16">
        <f>VLOOKUP(K1574,RPM!$A$2:$D$62,4,FALSE)</f>
        <v>13.235857142857142</v>
      </c>
      <c r="P1574" s="17">
        <f t="shared" si="288"/>
        <v>9.8699786714285711</v>
      </c>
      <c r="Q1574" s="16" cm="1">
        <f t="array" ref="Q1574">_xlfn.XLOOKUP(O1574,BSFC!$A$2:$A$24,_xlfn.XLOOKUP(K1574,BSFC!$B$1:$O$1,BSFC!$B$2:$O$24,,-1),,-1)</f>
        <v>520</v>
      </c>
      <c r="R1574" s="17">
        <f t="shared" si="289"/>
        <v>1.425663585873016</v>
      </c>
      <c r="S1574" s="16">
        <f t="shared" si="290"/>
        <v>2.0443068048074323E-4</v>
      </c>
      <c r="T1574" s="17">
        <f t="shared" si="293"/>
        <v>0.10630395384998648</v>
      </c>
      <c r="U1574" s="16">
        <f t="shared" si="294"/>
        <v>198.64348963174231</v>
      </c>
      <c r="V1574" s="17">
        <f t="shared" si="295"/>
        <v>0.40589150759409587</v>
      </c>
      <c r="W1574" s="16">
        <f t="shared" si="291"/>
        <v>1461209.427338745</v>
      </c>
      <c r="X1574">
        <f>('Hybrid Info'!$A$2-Track!P1574)*(L1574-L1573)*1000+X1573</f>
        <v>7150.6947025462869</v>
      </c>
    </row>
    <row r="1575" spans="1:24">
      <c r="A1575" s="16">
        <f t="shared" si="292"/>
        <v>1574</v>
      </c>
      <c r="B1575" s="17">
        <f t="shared" si="287"/>
        <v>13.411199999999999</v>
      </c>
      <c r="C1575" s="16">
        <f>Specification!$G$32</f>
        <v>219.92450400000001</v>
      </c>
      <c r="D1575" s="17">
        <f>0.5*Specification!$K$4*Track!B1575^2*Specification!$K$3*Specification!$K$2</f>
        <v>93.159842569492653</v>
      </c>
      <c r="E1575" s="16">
        <v>0</v>
      </c>
      <c r="F1575" s="17">
        <f>Specification!$C$23*9.81*SIN((E1575*PI()/180))</f>
        <v>0</v>
      </c>
      <c r="G1575" s="18">
        <f>IF(J1575=1,VLOOKUP(K1575,RPM!$E$2:$H$62,3,FALSE)-F1575-E1575-D1575,IF(J1575=2,VLOOKUP(K1575,RPM!$H$2:$K$62,3,FALSE)-F1575-E1575-D1575,IF(J1575=3,VLOOKUP(K1575,RPM!$K$2:$N$62,3,FALSE)-F1575-E1575-D1575)))</f>
        <v>688.48526429214962</v>
      </c>
      <c r="H1575" s="19">
        <f>IF(J1575=1,Specification!$I$14,IF(J1575=2,Specification!$I$15,IF(J1575=3,Specification!$I$16)))</f>
        <v>582.50936296077191</v>
      </c>
      <c r="I1575" s="16">
        <f t="shared" si="297"/>
        <v>0</v>
      </c>
      <c r="J1575" s="17">
        <v>2</v>
      </c>
      <c r="K1575" s="16">
        <f>IF(J1575=1,VLOOKUP(B1575,RPM!$F$2:$H$62,3,TRUE),IF(J1575=2,VLOOKUP(B1575,RPM!$I$2:$K$62,3,TRUE),IF(J1575=3,VLOOKUP(B1575,RPM!$L$2:$N$62,3,TRUE))))</f>
        <v>7000</v>
      </c>
      <c r="L1575" s="17">
        <f t="shared" si="296"/>
        <v>121.63993116826464</v>
      </c>
      <c r="M1575" s="16">
        <f t="shared" si="286"/>
        <v>0</v>
      </c>
      <c r="N1575" s="17">
        <f>VLOOKUP(K1575,RPM!$A$2:$D$62,3,FALSE)</f>
        <v>13</v>
      </c>
      <c r="O1575" s="16">
        <f>VLOOKUP(K1575,RPM!$A$2:$D$62,4,FALSE)</f>
        <v>13.235857142857142</v>
      </c>
      <c r="P1575" s="17">
        <f t="shared" si="288"/>
        <v>9.8699786714285711</v>
      </c>
      <c r="Q1575" s="16" cm="1">
        <f t="array" ref="Q1575">_xlfn.XLOOKUP(O1575,BSFC!$A$2:$A$24,_xlfn.XLOOKUP(K1575,BSFC!$B$1:$O$1,BSFC!$B$2:$O$24,,-1),,-1)</f>
        <v>520</v>
      </c>
      <c r="R1575" s="17">
        <f t="shared" si="289"/>
        <v>1.425663585873016</v>
      </c>
      <c r="S1575" s="16">
        <f t="shared" si="290"/>
        <v>2.0443068048074323E-4</v>
      </c>
      <c r="T1575" s="17">
        <f t="shared" si="293"/>
        <v>0.10630395384998648</v>
      </c>
      <c r="U1575" s="16">
        <f t="shared" si="294"/>
        <v>198.7497935855923</v>
      </c>
      <c r="V1575" s="17">
        <f t="shared" si="295"/>
        <v>0.40609593827457663</v>
      </c>
      <c r="W1575" s="16">
        <f t="shared" si="291"/>
        <v>1461945.3777884757</v>
      </c>
      <c r="X1575">
        <f>('Hybrid Info'!$A$2-Track!P1575)*(L1575-L1574)*1000+X1574</f>
        <v>7318.5004115325391</v>
      </c>
    </row>
    <row r="1576" spans="1:24">
      <c r="A1576" s="16">
        <f t="shared" si="292"/>
        <v>1575</v>
      </c>
      <c r="B1576" s="17">
        <f t="shared" si="287"/>
        <v>13.411199999999999</v>
      </c>
      <c r="C1576" s="16">
        <f>Specification!$G$32</f>
        <v>219.92450400000001</v>
      </c>
      <c r="D1576" s="17">
        <f>0.5*Specification!$K$4*Track!B1576^2*Specification!$K$3*Specification!$K$2</f>
        <v>93.159842569492653</v>
      </c>
      <c r="E1576" s="16">
        <v>0</v>
      </c>
      <c r="F1576" s="17">
        <f>Specification!$C$23*9.81*SIN((E1576*PI()/180))</f>
        <v>0</v>
      </c>
      <c r="G1576" s="18">
        <f>IF(J1576=1,VLOOKUP(K1576,RPM!$E$2:$H$62,3,FALSE)-F1576-E1576-D1576,IF(J1576=2,VLOOKUP(K1576,RPM!$H$2:$K$62,3,FALSE)-F1576-E1576-D1576,IF(J1576=3,VLOOKUP(K1576,RPM!$K$2:$N$62,3,FALSE)-F1576-E1576-D1576)))</f>
        <v>688.48526429214962</v>
      </c>
      <c r="H1576" s="19">
        <f>IF(J1576=1,Specification!$I$14,IF(J1576=2,Specification!$I$15,IF(J1576=3,Specification!$I$16)))</f>
        <v>582.50936296077191</v>
      </c>
      <c r="I1576" s="16">
        <f t="shared" si="297"/>
        <v>0</v>
      </c>
      <c r="J1576" s="17">
        <v>2</v>
      </c>
      <c r="K1576" s="16">
        <f>IF(J1576=1,VLOOKUP(B1576,RPM!$F$2:$H$62,3,TRUE),IF(J1576=2,VLOOKUP(B1576,RPM!$I$2:$K$62,3,TRUE),IF(J1576=3,VLOOKUP(B1576,RPM!$L$2:$N$62,3,TRUE))))</f>
        <v>7000</v>
      </c>
      <c r="L1576" s="17">
        <f t="shared" si="296"/>
        <v>121.71449571133311</v>
      </c>
      <c r="M1576" s="16">
        <f t="shared" si="286"/>
        <v>0</v>
      </c>
      <c r="N1576" s="17">
        <f>VLOOKUP(K1576,RPM!$A$2:$D$62,3,FALSE)</f>
        <v>13</v>
      </c>
      <c r="O1576" s="16">
        <f>VLOOKUP(K1576,RPM!$A$2:$D$62,4,FALSE)</f>
        <v>13.235857142857142</v>
      </c>
      <c r="P1576" s="17">
        <f t="shared" si="288"/>
        <v>9.8699786714285711</v>
      </c>
      <c r="Q1576" s="16" cm="1">
        <f t="array" ref="Q1576">_xlfn.XLOOKUP(O1576,BSFC!$A$2:$A$24,_xlfn.XLOOKUP(K1576,BSFC!$B$1:$O$1,BSFC!$B$2:$O$24,,-1),,-1)</f>
        <v>520</v>
      </c>
      <c r="R1576" s="17">
        <f t="shared" si="289"/>
        <v>1.425663585873016</v>
      </c>
      <c r="S1576" s="16">
        <f t="shared" si="290"/>
        <v>2.0443068048074323E-4</v>
      </c>
      <c r="T1576" s="17">
        <f t="shared" si="293"/>
        <v>0.10630395384998648</v>
      </c>
      <c r="U1576" s="16">
        <f t="shared" si="294"/>
        <v>198.85609753944229</v>
      </c>
      <c r="V1576" s="17">
        <f t="shared" si="295"/>
        <v>0.40630036895505739</v>
      </c>
      <c r="W1576" s="16">
        <f t="shared" si="291"/>
        <v>1462681.3282382064</v>
      </c>
      <c r="X1576">
        <f>('Hybrid Info'!$A$2-Track!P1576)*(L1576-L1575)*1000+X1575</f>
        <v>7486.3061205187914</v>
      </c>
    </row>
    <row r="1577" spans="1:24">
      <c r="A1577" s="16">
        <f t="shared" si="292"/>
        <v>1576</v>
      </c>
      <c r="B1577" s="17">
        <f t="shared" si="287"/>
        <v>13.411199999999999</v>
      </c>
      <c r="C1577" s="16">
        <f>Specification!$G$32</f>
        <v>219.92450400000001</v>
      </c>
      <c r="D1577" s="17">
        <f>0.5*Specification!$K$4*Track!B1577^2*Specification!$K$3*Specification!$K$2</f>
        <v>93.159842569492653</v>
      </c>
      <c r="E1577" s="16">
        <v>0</v>
      </c>
      <c r="F1577" s="17">
        <f>Specification!$C$23*9.81*SIN((E1577*PI()/180))</f>
        <v>0</v>
      </c>
      <c r="G1577" s="18">
        <f>IF(J1577=1,VLOOKUP(K1577,RPM!$E$2:$H$62,3,FALSE)-F1577-E1577-D1577,IF(J1577=2,VLOOKUP(K1577,RPM!$H$2:$K$62,3,FALSE)-F1577-E1577-D1577,IF(J1577=3,VLOOKUP(K1577,RPM!$K$2:$N$62,3,FALSE)-F1577-E1577-D1577)))</f>
        <v>688.48526429214962</v>
      </c>
      <c r="H1577" s="19">
        <f>IF(J1577=1,Specification!$I$14,IF(J1577=2,Specification!$I$15,IF(J1577=3,Specification!$I$16)))</f>
        <v>582.50936296077191</v>
      </c>
      <c r="I1577" s="16">
        <f t="shared" si="297"/>
        <v>0</v>
      </c>
      <c r="J1577" s="17">
        <v>2</v>
      </c>
      <c r="K1577" s="16">
        <f>IF(J1577=1,VLOOKUP(B1577,RPM!$F$2:$H$62,3,TRUE),IF(J1577=2,VLOOKUP(B1577,RPM!$I$2:$K$62,3,TRUE),IF(J1577=3,VLOOKUP(B1577,RPM!$L$2:$N$62,3,TRUE))))</f>
        <v>7000</v>
      </c>
      <c r="L1577" s="17">
        <f t="shared" si="296"/>
        <v>121.78906025440159</v>
      </c>
      <c r="M1577" s="16">
        <f t="shared" si="286"/>
        <v>0</v>
      </c>
      <c r="N1577" s="17">
        <f>VLOOKUP(K1577,RPM!$A$2:$D$62,3,FALSE)</f>
        <v>13</v>
      </c>
      <c r="O1577" s="16">
        <f>VLOOKUP(K1577,RPM!$A$2:$D$62,4,FALSE)</f>
        <v>13.235857142857142</v>
      </c>
      <c r="P1577" s="17">
        <f t="shared" si="288"/>
        <v>9.8699786714285711</v>
      </c>
      <c r="Q1577" s="16" cm="1">
        <f t="array" ref="Q1577">_xlfn.XLOOKUP(O1577,BSFC!$A$2:$A$24,_xlfn.XLOOKUP(K1577,BSFC!$B$1:$O$1,BSFC!$B$2:$O$24,,-1),,-1)</f>
        <v>520</v>
      </c>
      <c r="R1577" s="17">
        <f t="shared" si="289"/>
        <v>1.425663585873016</v>
      </c>
      <c r="S1577" s="16">
        <f t="shared" si="290"/>
        <v>2.0443068048074323E-4</v>
      </c>
      <c r="T1577" s="17">
        <f t="shared" si="293"/>
        <v>0.10630395384998648</v>
      </c>
      <c r="U1577" s="16">
        <f t="shared" si="294"/>
        <v>198.96240149329228</v>
      </c>
      <c r="V1577" s="17">
        <f t="shared" si="295"/>
        <v>0.40650479963553815</v>
      </c>
      <c r="W1577" s="16">
        <f t="shared" si="291"/>
        <v>1463417.2786879374</v>
      </c>
      <c r="X1577">
        <f>('Hybrid Info'!$A$2-Track!P1577)*(L1577-L1576)*1000+X1576</f>
        <v>7654.1118295050437</v>
      </c>
    </row>
    <row r="1578" spans="1:24">
      <c r="A1578" s="16">
        <f t="shared" si="292"/>
        <v>1577</v>
      </c>
      <c r="B1578" s="17">
        <f t="shared" si="287"/>
        <v>13.411199999999999</v>
      </c>
      <c r="C1578" s="16">
        <f>Specification!$G$32</f>
        <v>219.92450400000001</v>
      </c>
      <c r="D1578" s="17">
        <f>0.5*Specification!$K$4*Track!B1578^2*Specification!$K$3*Specification!$K$2</f>
        <v>93.159842569492653</v>
      </c>
      <c r="E1578" s="16">
        <v>0</v>
      </c>
      <c r="F1578" s="17">
        <f>Specification!$C$23*9.81*SIN((E1578*PI()/180))</f>
        <v>0</v>
      </c>
      <c r="G1578" s="18">
        <f>IF(J1578=1,VLOOKUP(K1578,RPM!$E$2:$H$62,3,FALSE)-F1578-E1578-D1578,IF(J1578=2,VLOOKUP(K1578,RPM!$H$2:$K$62,3,FALSE)-F1578-E1578-D1578,IF(J1578=3,VLOOKUP(K1578,RPM!$K$2:$N$62,3,FALSE)-F1578-E1578-D1578)))</f>
        <v>688.48526429214962</v>
      </c>
      <c r="H1578" s="19">
        <f>IF(J1578=1,Specification!$I$14,IF(J1578=2,Specification!$I$15,IF(J1578=3,Specification!$I$16)))</f>
        <v>582.50936296077191</v>
      </c>
      <c r="I1578" s="16">
        <f t="shared" si="297"/>
        <v>0</v>
      </c>
      <c r="J1578" s="17">
        <v>2</v>
      </c>
      <c r="K1578" s="16">
        <f>IF(J1578=1,VLOOKUP(B1578,RPM!$F$2:$H$62,3,TRUE),IF(J1578=2,VLOOKUP(B1578,RPM!$I$2:$K$62,3,TRUE),IF(J1578=3,VLOOKUP(B1578,RPM!$L$2:$N$62,3,TRUE))))</f>
        <v>7000</v>
      </c>
      <c r="L1578" s="17">
        <f t="shared" si="296"/>
        <v>121.86362479747007</v>
      </c>
      <c r="M1578" s="16">
        <f t="shared" si="286"/>
        <v>0</v>
      </c>
      <c r="N1578" s="17">
        <f>VLOOKUP(K1578,RPM!$A$2:$D$62,3,FALSE)</f>
        <v>13</v>
      </c>
      <c r="O1578" s="16">
        <f>VLOOKUP(K1578,RPM!$A$2:$D$62,4,FALSE)</f>
        <v>13.235857142857142</v>
      </c>
      <c r="P1578" s="17">
        <f t="shared" si="288"/>
        <v>9.8699786714285711</v>
      </c>
      <c r="Q1578" s="16" cm="1">
        <f t="array" ref="Q1578">_xlfn.XLOOKUP(O1578,BSFC!$A$2:$A$24,_xlfn.XLOOKUP(K1578,BSFC!$B$1:$O$1,BSFC!$B$2:$O$24,,-1),,-1)</f>
        <v>520</v>
      </c>
      <c r="R1578" s="17">
        <f t="shared" si="289"/>
        <v>1.425663585873016</v>
      </c>
      <c r="S1578" s="16">
        <f t="shared" si="290"/>
        <v>2.0443068048074323E-4</v>
      </c>
      <c r="T1578" s="17">
        <f t="shared" si="293"/>
        <v>0.10630395384998648</v>
      </c>
      <c r="U1578" s="16">
        <f t="shared" si="294"/>
        <v>199.06870544714226</v>
      </c>
      <c r="V1578" s="17">
        <f t="shared" si="295"/>
        <v>0.40670923031601891</v>
      </c>
      <c r="W1578" s="16">
        <f t="shared" si="291"/>
        <v>1464153.2291376682</v>
      </c>
      <c r="X1578">
        <f>('Hybrid Info'!$A$2-Track!P1578)*(L1578-L1577)*1000+X1577</f>
        <v>7821.917538491296</v>
      </c>
    </row>
    <row r="1579" spans="1:24">
      <c r="A1579" s="16">
        <f t="shared" si="292"/>
        <v>1578</v>
      </c>
      <c r="B1579" s="17">
        <f t="shared" si="287"/>
        <v>13.411199999999999</v>
      </c>
      <c r="C1579" s="16">
        <f>Specification!$G$32</f>
        <v>219.92450400000001</v>
      </c>
      <c r="D1579" s="17">
        <f>0.5*Specification!$K$4*Track!B1579^2*Specification!$K$3*Specification!$K$2</f>
        <v>93.159842569492653</v>
      </c>
      <c r="E1579" s="16">
        <v>0</v>
      </c>
      <c r="F1579" s="17">
        <f>Specification!$C$23*9.81*SIN((E1579*PI()/180))</f>
        <v>0</v>
      </c>
      <c r="G1579" s="18">
        <f>IF(J1579=1,VLOOKUP(K1579,RPM!$E$2:$H$62,3,FALSE)-F1579-E1579-D1579,IF(J1579=2,VLOOKUP(K1579,RPM!$H$2:$K$62,3,FALSE)-F1579-E1579-D1579,IF(J1579=3,VLOOKUP(K1579,RPM!$K$2:$N$62,3,FALSE)-F1579-E1579-D1579)))</f>
        <v>688.48526429214962</v>
      </c>
      <c r="H1579" s="19">
        <f>IF(J1579=1,Specification!$I$14,IF(J1579=2,Specification!$I$15,IF(J1579=3,Specification!$I$16)))</f>
        <v>582.50936296077191</v>
      </c>
      <c r="I1579" s="16">
        <f t="shared" si="297"/>
        <v>0</v>
      </c>
      <c r="J1579" s="17">
        <v>2</v>
      </c>
      <c r="K1579" s="16">
        <f>IF(J1579=1,VLOOKUP(B1579,RPM!$F$2:$H$62,3,TRUE),IF(J1579=2,VLOOKUP(B1579,RPM!$I$2:$K$62,3,TRUE),IF(J1579=3,VLOOKUP(B1579,RPM!$L$2:$N$62,3,TRUE))))</f>
        <v>7000</v>
      </c>
      <c r="L1579" s="17">
        <f t="shared" si="296"/>
        <v>121.93818934053854</v>
      </c>
      <c r="M1579" s="16">
        <f t="shared" si="286"/>
        <v>0</v>
      </c>
      <c r="N1579" s="17">
        <f>VLOOKUP(K1579,RPM!$A$2:$D$62,3,FALSE)</f>
        <v>13</v>
      </c>
      <c r="O1579" s="16">
        <f>VLOOKUP(K1579,RPM!$A$2:$D$62,4,FALSE)</f>
        <v>13.235857142857142</v>
      </c>
      <c r="P1579" s="17">
        <f t="shared" si="288"/>
        <v>9.8699786714285711</v>
      </c>
      <c r="Q1579" s="16" cm="1">
        <f t="array" ref="Q1579">_xlfn.XLOOKUP(O1579,BSFC!$A$2:$A$24,_xlfn.XLOOKUP(K1579,BSFC!$B$1:$O$1,BSFC!$B$2:$O$24,,-1),,-1)</f>
        <v>520</v>
      </c>
      <c r="R1579" s="17">
        <f t="shared" si="289"/>
        <v>1.425663585873016</v>
      </c>
      <c r="S1579" s="16">
        <f t="shared" si="290"/>
        <v>2.0443068048074323E-4</v>
      </c>
      <c r="T1579" s="17">
        <f t="shared" si="293"/>
        <v>0.10630395384998648</v>
      </c>
      <c r="U1579" s="16">
        <f t="shared" si="294"/>
        <v>199.17500940099225</v>
      </c>
      <c r="V1579" s="17">
        <f t="shared" si="295"/>
        <v>0.40691366099649967</v>
      </c>
      <c r="W1579" s="16">
        <f t="shared" si="291"/>
        <v>1464889.1795873989</v>
      </c>
      <c r="X1579">
        <f>('Hybrid Info'!$A$2-Track!P1579)*(L1579-L1578)*1000+X1578</f>
        <v>7989.7232474775483</v>
      </c>
    </row>
    <row r="1580" spans="1:24">
      <c r="A1580" s="16">
        <f t="shared" si="292"/>
        <v>1579</v>
      </c>
      <c r="B1580" s="17">
        <f t="shared" si="287"/>
        <v>13.411199999999999</v>
      </c>
      <c r="C1580" s="16">
        <f>Specification!$G$32</f>
        <v>219.92450400000001</v>
      </c>
      <c r="D1580" s="17">
        <f>0.5*Specification!$K$4*Track!B1580^2*Specification!$K$3*Specification!$K$2</f>
        <v>93.159842569492653</v>
      </c>
      <c r="E1580" s="16">
        <v>0</v>
      </c>
      <c r="F1580" s="17">
        <f>Specification!$C$23*9.81*SIN((E1580*PI()/180))</f>
        <v>0</v>
      </c>
      <c r="G1580" s="18">
        <f>IF(J1580=1,VLOOKUP(K1580,RPM!$E$2:$H$62,3,FALSE)-F1580-E1580-D1580,IF(J1580=2,VLOOKUP(K1580,RPM!$H$2:$K$62,3,FALSE)-F1580-E1580-D1580,IF(J1580=3,VLOOKUP(K1580,RPM!$K$2:$N$62,3,FALSE)-F1580-E1580-D1580)))</f>
        <v>688.48526429214962</v>
      </c>
      <c r="H1580" s="19">
        <f>IF(J1580=1,Specification!$I$14,IF(J1580=2,Specification!$I$15,IF(J1580=3,Specification!$I$16)))</f>
        <v>582.50936296077191</v>
      </c>
      <c r="I1580" s="16">
        <f t="shared" si="297"/>
        <v>0</v>
      </c>
      <c r="J1580" s="17">
        <v>2</v>
      </c>
      <c r="K1580" s="16">
        <f>IF(J1580=1,VLOOKUP(B1580,RPM!$F$2:$H$62,3,TRUE),IF(J1580=2,VLOOKUP(B1580,RPM!$I$2:$K$62,3,TRUE),IF(J1580=3,VLOOKUP(B1580,RPM!$L$2:$N$62,3,TRUE))))</f>
        <v>7000</v>
      </c>
      <c r="L1580" s="17">
        <f t="shared" si="296"/>
        <v>122.01275388360702</v>
      </c>
      <c r="M1580" s="16">
        <f t="shared" si="286"/>
        <v>0</v>
      </c>
      <c r="N1580" s="17">
        <f>VLOOKUP(K1580,RPM!$A$2:$D$62,3,FALSE)</f>
        <v>13</v>
      </c>
      <c r="O1580" s="16">
        <f>VLOOKUP(K1580,RPM!$A$2:$D$62,4,FALSE)</f>
        <v>13.235857142857142</v>
      </c>
      <c r="P1580" s="17">
        <f t="shared" si="288"/>
        <v>9.8699786714285711</v>
      </c>
      <c r="Q1580" s="16" cm="1">
        <f t="array" ref="Q1580">_xlfn.XLOOKUP(O1580,BSFC!$A$2:$A$24,_xlfn.XLOOKUP(K1580,BSFC!$B$1:$O$1,BSFC!$B$2:$O$24,,-1),,-1)</f>
        <v>520</v>
      </c>
      <c r="R1580" s="17">
        <f t="shared" si="289"/>
        <v>1.425663585873016</v>
      </c>
      <c r="S1580" s="16">
        <f t="shared" si="290"/>
        <v>2.0443068048074323E-4</v>
      </c>
      <c r="T1580" s="17">
        <f t="shared" si="293"/>
        <v>0.10630395384998648</v>
      </c>
      <c r="U1580" s="16">
        <f t="shared" si="294"/>
        <v>199.28131335484224</v>
      </c>
      <c r="V1580" s="17">
        <f t="shared" si="295"/>
        <v>0.40711809167698043</v>
      </c>
      <c r="W1580" s="16">
        <f t="shared" si="291"/>
        <v>1465625.1300371296</v>
      </c>
      <c r="X1580">
        <f>('Hybrid Info'!$A$2-Track!P1580)*(L1580-L1579)*1000+X1579</f>
        <v>8157.5289564638006</v>
      </c>
    </row>
    <row r="1581" spans="1:24">
      <c r="A1581" s="16">
        <f t="shared" si="292"/>
        <v>1580</v>
      </c>
      <c r="B1581" s="17">
        <f t="shared" si="287"/>
        <v>13.411199999999999</v>
      </c>
      <c r="C1581" s="16">
        <f>Specification!$G$32</f>
        <v>219.92450400000001</v>
      </c>
      <c r="D1581" s="17">
        <f>0.5*Specification!$K$4*Track!B1581^2*Specification!$K$3*Specification!$K$2</f>
        <v>93.159842569492653</v>
      </c>
      <c r="E1581" s="16">
        <v>0</v>
      </c>
      <c r="F1581" s="17">
        <f>Specification!$C$23*9.81*SIN((E1581*PI()/180))</f>
        <v>0</v>
      </c>
      <c r="G1581" s="18">
        <f>IF(J1581=1,VLOOKUP(K1581,RPM!$E$2:$H$62,3,FALSE)-F1581-E1581-D1581,IF(J1581=2,VLOOKUP(K1581,RPM!$H$2:$K$62,3,FALSE)-F1581-E1581-D1581,IF(J1581=3,VLOOKUP(K1581,RPM!$K$2:$N$62,3,FALSE)-F1581-E1581-D1581)))</f>
        <v>688.48526429214962</v>
      </c>
      <c r="H1581" s="19">
        <f>IF(J1581=1,Specification!$I$14,IF(J1581=2,Specification!$I$15,IF(J1581=3,Specification!$I$16)))</f>
        <v>582.50936296077191</v>
      </c>
      <c r="I1581" s="16">
        <f t="shared" si="297"/>
        <v>0</v>
      </c>
      <c r="J1581" s="17">
        <v>2</v>
      </c>
      <c r="K1581" s="16">
        <f>IF(J1581=1,VLOOKUP(B1581,RPM!$F$2:$H$62,3,TRUE),IF(J1581=2,VLOOKUP(B1581,RPM!$I$2:$K$62,3,TRUE),IF(J1581=3,VLOOKUP(B1581,RPM!$L$2:$N$62,3,TRUE))))</f>
        <v>7000</v>
      </c>
      <c r="L1581" s="17">
        <f t="shared" si="296"/>
        <v>122.08731842667549</v>
      </c>
      <c r="M1581" s="16">
        <f t="shared" si="286"/>
        <v>0</v>
      </c>
      <c r="N1581" s="17">
        <f>VLOOKUP(K1581,RPM!$A$2:$D$62,3,FALSE)</f>
        <v>13</v>
      </c>
      <c r="O1581" s="16">
        <f>VLOOKUP(K1581,RPM!$A$2:$D$62,4,FALSE)</f>
        <v>13.235857142857142</v>
      </c>
      <c r="P1581" s="17">
        <f t="shared" si="288"/>
        <v>9.8699786714285711</v>
      </c>
      <c r="Q1581" s="16" cm="1">
        <f t="array" ref="Q1581">_xlfn.XLOOKUP(O1581,BSFC!$A$2:$A$24,_xlfn.XLOOKUP(K1581,BSFC!$B$1:$O$1,BSFC!$B$2:$O$24,,-1),,-1)</f>
        <v>520</v>
      </c>
      <c r="R1581" s="17">
        <f t="shared" si="289"/>
        <v>1.425663585873016</v>
      </c>
      <c r="S1581" s="16">
        <f t="shared" si="290"/>
        <v>2.0443068048074323E-4</v>
      </c>
      <c r="T1581" s="17">
        <f t="shared" si="293"/>
        <v>0.10630395384998648</v>
      </c>
      <c r="U1581" s="16">
        <f t="shared" si="294"/>
        <v>199.38761730869223</v>
      </c>
      <c r="V1581" s="17">
        <f t="shared" si="295"/>
        <v>0.40732252235746119</v>
      </c>
      <c r="W1581" s="16">
        <f t="shared" si="291"/>
        <v>1466361.0804868604</v>
      </c>
      <c r="X1581">
        <f>('Hybrid Info'!$A$2-Track!P1581)*(L1581-L1580)*1000+X1580</f>
        <v>8325.3346654500529</v>
      </c>
    </row>
    <row r="1582" spans="1:24">
      <c r="A1582" s="16">
        <f t="shared" si="292"/>
        <v>1581</v>
      </c>
      <c r="B1582" s="17">
        <f t="shared" si="287"/>
        <v>13.411199999999999</v>
      </c>
      <c r="C1582" s="16">
        <f>Specification!$G$32</f>
        <v>219.92450400000001</v>
      </c>
      <c r="D1582" s="17">
        <f>0.5*Specification!$K$4*Track!B1582^2*Specification!$K$3*Specification!$K$2</f>
        <v>93.159842569492653</v>
      </c>
      <c r="E1582" s="16">
        <v>0</v>
      </c>
      <c r="F1582" s="17">
        <f>Specification!$C$23*9.81*SIN((E1582*PI()/180))</f>
        <v>0</v>
      </c>
      <c r="G1582" s="18">
        <f>IF(J1582=1,VLOOKUP(K1582,RPM!$E$2:$H$62,3,FALSE)-F1582-E1582-D1582,IF(J1582=2,VLOOKUP(K1582,RPM!$H$2:$K$62,3,FALSE)-F1582-E1582-D1582,IF(J1582=3,VLOOKUP(K1582,RPM!$K$2:$N$62,3,FALSE)-F1582-E1582-D1582)))</f>
        <v>688.48526429214962</v>
      </c>
      <c r="H1582" s="19">
        <f>IF(J1582=1,Specification!$I$14,IF(J1582=2,Specification!$I$15,IF(J1582=3,Specification!$I$16)))</f>
        <v>582.50936296077191</v>
      </c>
      <c r="I1582" s="16">
        <f t="shared" si="297"/>
        <v>0</v>
      </c>
      <c r="J1582" s="17">
        <v>2</v>
      </c>
      <c r="K1582" s="16">
        <f>IF(J1582=1,VLOOKUP(B1582,RPM!$F$2:$H$62,3,TRUE),IF(J1582=2,VLOOKUP(B1582,RPM!$I$2:$K$62,3,TRUE),IF(J1582=3,VLOOKUP(B1582,RPM!$L$2:$N$62,3,TRUE))))</f>
        <v>7000</v>
      </c>
      <c r="L1582" s="17">
        <f t="shared" si="296"/>
        <v>122.16188296974397</v>
      </c>
      <c r="M1582" s="16">
        <f t="shared" ref="M1582:M1645" si="298">TAN(E1582*PI()/180)+M1581</f>
        <v>0</v>
      </c>
      <c r="N1582" s="17">
        <f>VLOOKUP(K1582,RPM!$A$2:$D$62,3,FALSE)</f>
        <v>13</v>
      </c>
      <c r="O1582" s="16">
        <f>VLOOKUP(K1582,RPM!$A$2:$D$62,4,FALSE)</f>
        <v>13.235857142857142</v>
      </c>
      <c r="P1582" s="17">
        <f t="shared" si="288"/>
        <v>9.8699786714285711</v>
      </c>
      <c r="Q1582" s="16" cm="1">
        <f t="array" ref="Q1582">_xlfn.XLOOKUP(O1582,BSFC!$A$2:$A$24,_xlfn.XLOOKUP(K1582,BSFC!$B$1:$O$1,BSFC!$B$2:$O$24,,-1),,-1)</f>
        <v>520</v>
      </c>
      <c r="R1582" s="17">
        <f t="shared" si="289"/>
        <v>1.425663585873016</v>
      </c>
      <c r="S1582" s="16">
        <f t="shared" si="290"/>
        <v>2.0443068048074323E-4</v>
      </c>
      <c r="T1582" s="17">
        <f t="shared" si="293"/>
        <v>0.10630395384998648</v>
      </c>
      <c r="U1582" s="16">
        <f t="shared" si="294"/>
        <v>199.49392126254222</v>
      </c>
      <c r="V1582" s="17">
        <f t="shared" si="295"/>
        <v>0.40752695303794195</v>
      </c>
      <c r="W1582" s="16">
        <f t="shared" si="291"/>
        <v>1467097.0309365911</v>
      </c>
      <c r="X1582">
        <f>('Hybrid Info'!$A$2-Track!P1582)*(L1582-L1581)*1000+X1581</f>
        <v>8493.1403744363051</v>
      </c>
    </row>
    <row r="1583" spans="1:24">
      <c r="A1583" s="16">
        <f t="shared" si="292"/>
        <v>1582</v>
      </c>
      <c r="B1583" s="17">
        <f t="shared" si="287"/>
        <v>13.411199999999999</v>
      </c>
      <c r="C1583" s="16">
        <f>Specification!$G$32</f>
        <v>219.92450400000001</v>
      </c>
      <c r="D1583" s="17">
        <f>0.5*Specification!$K$4*Track!B1583^2*Specification!$K$3*Specification!$K$2</f>
        <v>93.159842569492653</v>
      </c>
      <c r="E1583" s="16">
        <v>0</v>
      </c>
      <c r="F1583" s="17">
        <f>Specification!$C$23*9.81*SIN((E1583*PI()/180))</f>
        <v>0</v>
      </c>
      <c r="G1583" s="18">
        <f>IF(J1583=1,VLOOKUP(K1583,RPM!$E$2:$H$62,3,FALSE)-F1583-E1583-D1583,IF(J1583=2,VLOOKUP(K1583,RPM!$H$2:$K$62,3,FALSE)-F1583-E1583-D1583,IF(J1583=3,VLOOKUP(K1583,RPM!$K$2:$N$62,3,FALSE)-F1583-E1583-D1583)))</f>
        <v>688.48526429214962</v>
      </c>
      <c r="H1583" s="19">
        <f>IF(J1583=1,Specification!$I$14,IF(J1583=2,Specification!$I$15,IF(J1583=3,Specification!$I$16)))</f>
        <v>582.50936296077191</v>
      </c>
      <c r="I1583" s="16">
        <f t="shared" si="297"/>
        <v>0</v>
      </c>
      <c r="J1583" s="17">
        <v>2</v>
      </c>
      <c r="K1583" s="16">
        <f>IF(J1583=1,VLOOKUP(B1583,RPM!$F$2:$H$62,3,TRUE),IF(J1583=2,VLOOKUP(B1583,RPM!$I$2:$K$62,3,TRUE),IF(J1583=3,VLOOKUP(B1583,RPM!$L$2:$N$62,3,TRUE))))</f>
        <v>7000</v>
      </c>
      <c r="L1583" s="17">
        <f t="shared" si="296"/>
        <v>122.23644751281245</v>
      </c>
      <c r="M1583" s="16">
        <f t="shared" si="298"/>
        <v>0</v>
      </c>
      <c r="N1583" s="17">
        <f>VLOOKUP(K1583,RPM!$A$2:$D$62,3,FALSE)</f>
        <v>13</v>
      </c>
      <c r="O1583" s="16">
        <f>VLOOKUP(K1583,RPM!$A$2:$D$62,4,FALSE)</f>
        <v>13.235857142857142</v>
      </c>
      <c r="P1583" s="17">
        <f t="shared" si="288"/>
        <v>9.8699786714285711</v>
      </c>
      <c r="Q1583" s="16" cm="1">
        <f t="array" ref="Q1583">_xlfn.XLOOKUP(O1583,BSFC!$A$2:$A$24,_xlfn.XLOOKUP(K1583,BSFC!$B$1:$O$1,BSFC!$B$2:$O$24,,-1),,-1)</f>
        <v>520</v>
      </c>
      <c r="R1583" s="17">
        <f t="shared" si="289"/>
        <v>1.425663585873016</v>
      </c>
      <c r="S1583" s="16">
        <f t="shared" si="290"/>
        <v>2.0443068048074323E-4</v>
      </c>
      <c r="T1583" s="17">
        <f t="shared" si="293"/>
        <v>0.10630395384998648</v>
      </c>
      <c r="U1583" s="16">
        <f t="shared" si="294"/>
        <v>199.6002252163922</v>
      </c>
      <c r="V1583" s="17">
        <f t="shared" si="295"/>
        <v>0.40773138371842271</v>
      </c>
      <c r="W1583" s="16">
        <f t="shared" si="291"/>
        <v>1467832.9813863218</v>
      </c>
      <c r="X1583">
        <f>('Hybrid Info'!$A$2-Track!P1583)*(L1583-L1582)*1000+X1582</f>
        <v>8660.9460834225574</v>
      </c>
    </row>
    <row r="1584" spans="1:24">
      <c r="A1584" s="16">
        <f t="shared" si="292"/>
        <v>1583</v>
      </c>
      <c r="B1584" s="17">
        <f t="shared" si="287"/>
        <v>13.411199999999999</v>
      </c>
      <c r="C1584" s="16">
        <f>Specification!$G$32</f>
        <v>219.92450400000001</v>
      </c>
      <c r="D1584" s="17">
        <f>0.5*Specification!$K$4*Track!B1584^2*Specification!$K$3*Specification!$K$2</f>
        <v>93.159842569492653</v>
      </c>
      <c r="E1584" s="16">
        <v>0</v>
      </c>
      <c r="F1584" s="17">
        <f>Specification!$C$23*9.81*SIN((E1584*PI()/180))</f>
        <v>0</v>
      </c>
      <c r="G1584" s="18">
        <f>IF(J1584=1,VLOOKUP(K1584,RPM!$E$2:$H$62,3,FALSE)-F1584-E1584-D1584,IF(J1584=2,VLOOKUP(K1584,RPM!$H$2:$K$62,3,FALSE)-F1584-E1584-D1584,IF(J1584=3,VLOOKUP(K1584,RPM!$K$2:$N$62,3,FALSE)-F1584-E1584-D1584)))</f>
        <v>688.48526429214962</v>
      </c>
      <c r="H1584" s="19">
        <f>IF(J1584=1,Specification!$I$14,IF(J1584=2,Specification!$I$15,IF(J1584=3,Specification!$I$16)))</f>
        <v>582.50936296077191</v>
      </c>
      <c r="I1584" s="16">
        <f t="shared" si="297"/>
        <v>0</v>
      </c>
      <c r="J1584" s="17">
        <v>2</v>
      </c>
      <c r="K1584" s="16">
        <f>IF(J1584=1,VLOOKUP(B1584,RPM!$F$2:$H$62,3,TRUE),IF(J1584=2,VLOOKUP(B1584,RPM!$I$2:$K$62,3,TRUE),IF(J1584=3,VLOOKUP(B1584,RPM!$L$2:$N$62,3,TRUE))))</f>
        <v>7000</v>
      </c>
      <c r="L1584" s="17">
        <f t="shared" si="296"/>
        <v>122.31101205588092</v>
      </c>
      <c r="M1584" s="16">
        <f t="shared" si="298"/>
        <v>0</v>
      </c>
      <c r="N1584" s="17">
        <f>VLOOKUP(K1584,RPM!$A$2:$D$62,3,FALSE)</f>
        <v>13</v>
      </c>
      <c r="O1584" s="16">
        <f>VLOOKUP(K1584,RPM!$A$2:$D$62,4,FALSE)</f>
        <v>13.235857142857142</v>
      </c>
      <c r="P1584" s="17">
        <f t="shared" si="288"/>
        <v>9.8699786714285711</v>
      </c>
      <c r="Q1584" s="16" cm="1">
        <f t="array" ref="Q1584">_xlfn.XLOOKUP(O1584,BSFC!$A$2:$A$24,_xlfn.XLOOKUP(K1584,BSFC!$B$1:$O$1,BSFC!$B$2:$O$24,,-1),,-1)</f>
        <v>520</v>
      </c>
      <c r="R1584" s="17">
        <f t="shared" si="289"/>
        <v>1.425663585873016</v>
      </c>
      <c r="S1584" s="16">
        <f t="shared" si="290"/>
        <v>2.0443068048074323E-4</v>
      </c>
      <c r="T1584" s="17">
        <f t="shared" si="293"/>
        <v>0.10630395384998648</v>
      </c>
      <c r="U1584" s="16">
        <f t="shared" si="294"/>
        <v>199.70652917024219</v>
      </c>
      <c r="V1584" s="17">
        <f t="shared" si="295"/>
        <v>0.40793581439890347</v>
      </c>
      <c r="W1584" s="16">
        <f t="shared" si="291"/>
        <v>1468568.9318360526</v>
      </c>
      <c r="X1584">
        <f>('Hybrid Info'!$A$2-Track!P1584)*(L1584-L1583)*1000+X1583</f>
        <v>8828.7517924088097</v>
      </c>
    </row>
    <row r="1585" spans="1:24">
      <c r="A1585" s="16">
        <f t="shared" si="292"/>
        <v>1584</v>
      </c>
      <c r="B1585" s="17">
        <f t="shared" ref="B1585:B1648" si="299">IF(SQRT(B1584^2+2*I1584)&gt;13.4112,13.4112,SQRT(B1584^2+2*I1584))</f>
        <v>13.411199999999999</v>
      </c>
      <c r="C1585" s="16">
        <f>Specification!$G$32</f>
        <v>219.92450400000001</v>
      </c>
      <c r="D1585" s="17">
        <f>0.5*Specification!$K$4*Track!B1585^2*Specification!$K$3*Specification!$K$2</f>
        <v>93.159842569492653</v>
      </c>
      <c r="E1585" s="16">
        <v>0</v>
      </c>
      <c r="F1585" s="17">
        <f>Specification!$C$23*9.81*SIN((E1585*PI()/180))</f>
        <v>0</v>
      </c>
      <c r="G1585" s="18">
        <f>IF(J1585=1,VLOOKUP(K1585,RPM!$E$2:$H$62,3,FALSE)-F1585-E1585-D1585,IF(J1585=2,VLOOKUP(K1585,RPM!$H$2:$K$62,3,FALSE)-F1585-E1585-D1585,IF(J1585=3,VLOOKUP(K1585,RPM!$K$2:$N$62,3,FALSE)-F1585-E1585-D1585)))</f>
        <v>688.48526429214962</v>
      </c>
      <c r="H1585" s="19">
        <f>IF(J1585=1,Specification!$I$14,IF(J1585=2,Specification!$I$15,IF(J1585=3,Specification!$I$16)))</f>
        <v>582.50936296077191</v>
      </c>
      <c r="I1585" s="16">
        <f t="shared" si="297"/>
        <v>0</v>
      </c>
      <c r="J1585" s="17">
        <v>2</v>
      </c>
      <c r="K1585" s="16">
        <f>IF(J1585=1,VLOOKUP(B1585,RPM!$F$2:$H$62,3,TRUE),IF(J1585=2,VLOOKUP(B1585,RPM!$I$2:$K$62,3,TRUE),IF(J1585=3,VLOOKUP(B1585,RPM!$L$2:$N$62,3,TRUE))))</f>
        <v>7000</v>
      </c>
      <c r="L1585" s="17">
        <f t="shared" si="296"/>
        <v>122.3855765989494</v>
      </c>
      <c r="M1585" s="16">
        <f t="shared" si="298"/>
        <v>0</v>
      </c>
      <c r="N1585" s="17">
        <f>VLOOKUP(K1585,RPM!$A$2:$D$62,3,FALSE)</f>
        <v>13</v>
      </c>
      <c r="O1585" s="16">
        <f>VLOOKUP(K1585,RPM!$A$2:$D$62,4,FALSE)</f>
        <v>13.235857142857142</v>
      </c>
      <c r="P1585" s="17">
        <f t="shared" si="288"/>
        <v>9.8699786714285711</v>
      </c>
      <c r="Q1585" s="16" cm="1">
        <f t="array" ref="Q1585">_xlfn.XLOOKUP(O1585,BSFC!$A$2:$A$24,_xlfn.XLOOKUP(K1585,BSFC!$B$1:$O$1,BSFC!$B$2:$O$24,,-1),,-1)</f>
        <v>520</v>
      </c>
      <c r="R1585" s="17">
        <f t="shared" si="289"/>
        <v>1.425663585873016</v>
      </c>
      <c r="S1585" s="16">
        <f t="shared" si="290"/>
        <v>2.0443068048074323E-4</v>
      </c>
      <c r="T1585" s="17">
        <f t="shared" si="293"/>
        <v>0.10630395384998648</v>
      </c>
      <c r="U1585" s="16">
        <f t="shared" si="294"/>
        <v>199.81283312409218</v>
      </c>
      <c r="V1585" s="17">
        <f t="shared" si="295"/>
        <v>0.40814024507938423</v>
      </c>
      <c r="W1585" s="16">
        <f t="shared" si="291"/>
        <v>1469304.8822857831</v>
      </c>
      <c r="X1585">
        <f>('Hybrid Info'!$A$2-Track!P1585)*(L1585-L1584)*1000+X1584</f>
        <v>8996.557501395062</v>
      </c>
    </row>
    <row r="1586" spans="1:24">
      <c r="A1586" s="16">
        <f t="shared" si="292"/>
        <v>1585</v>
      </c>
      <c r="B1586" s="17">
        <f t="shared" si="299"/>
        <v>13.411199999999999</v>
      </c>
      <c r="C1586" s="16">
        <f>Specification!$G$32</f>
        <v>219.92450400000001</v>
      </c>
      <c r="D1586" s="17">
        <f>0.5*Specification!$K$4*Track!B1586^2*Specification!$K$3*Specification!$K$2</f>
        <v>93.159842569492653</v>
      </c>
      <c r="E1586" s="16">
        <v>0</v>
      </c>
      <c r="F1586" s="17">
        <f>Specification!$C$23*9.81*SIN((E1586*PI()/180))</f>
        <v>0</v>
      </c>
      <c r="G1586" s="18">
        <f>IF(J1586=1,VLOOKUP(K1586,RPM!$E$2:$H$62,3,FALSE)-F1586-E1586-D1586,IF(J1586=2,VLOOKUP(K1586,RPM!$H$2:$K$62,3,FALSE)-F1586-E1586-D1586,IF(J1586=3,VLOOKUP(K1586,RPM!$K$2:$N$62,3,FALSE)-F1586-E1586-D1586)))</f>
        <v>688.48526429214962</v>
      </c>
      <c r="H1586" s="19">
        <f>IF(J1586=1,Specification!$I$14,IF(J1586=2,Specification!$I$15,IF(J1586=3,Specification!$I$16)))</f>
        <v>582.50936296077191</v>
      </c>
      <c r="I1586" s="16">
        <f t="shared" si="297"/>
        <v>0</v>
      </c>
      <c r="J1586" s="17">
        <v>2</v>
      </c>
      <c r="K1586" s="16">
        <f>IF(J1586=1,VLOOKUP(B1586,RPM!$F$2:$H$62,3,TRUE),IF(J1586=2,VLOOKUP(B1586,RPM!$I$2:$K$62,3,TRUE),IF(J1586=3,VLOOKUP(B1586,RPM!$L$2:$N$62,3,TRUE))))</f>
        <v>7000</v>
      </c>
      <c r="L1586" s="17">
        <f t="shared" si="296"/>
        <v>122.46014114201787</v>
      </c>
      <c r="M1586" s="16">
        <f t="shared" si="298"/>
        <v>0</v>
      </c>
      <c r="N1586" s="17">
        <f>VLOOKUP(K1586,RPM!$A$2:$D$62,3,FALSE)</f>
        <v>13</v>
      </c>
      <c r="O1586" s="16">
        <f>VLOOKUP(K1586,RPM!$A$2:$D$62,4,FALSE)</f>
        <v>13.235857142857142</v>
      </c>
      <c r="P1586" s="17">
        <f t="shared" si="288"/>
        <v>9.8699786714285711</v>
      </c>
      <c r="Q1586" s="16" cm="1">
        <f t="array" ref="Q1586">_xlfn.XLOOKUP(O1586,BSFC!$A$2:$A$24,_xlfn.XLOOKUP(K1586,BSFC!$B$1:$O$1,BSFC!$B$2:$O$24,,-1),,-1)</f>
        <v>520</v>
      </c>
      <c r="R1586" s="17">
        <f t="shared" si="289"/>
        <v>1.425663585873016</v>
      </c>
      <c r="S1586" s="16">
        <f t="shared" si="290"/>
        <v>2.0443068048074323E-4</v>
      </c>
      <c r="T1586" s="17">
        <f t="shared" si="293"/>
        <v>0.10630395384998648</v>
      </c>
      <c r="U1586" s="16">
        <f t="shared" si="294"/>
        <v>199.91913707794217</v>
      </c>
      <c r="V1586" s="17">
        <f t="shared" si="295"/>
        <v>0.40834467575986499</v>
      </c>
      <c r="W1586" s="16">
        <f t="shared" si="291"/>
        <v>1470040.8327355138</v>
      </c>
      <c r="X1586">
        <f>('Hybrid Info'!$A$2-Track!P1586)*(L1586-L1585)*1000+X1585</f>
        <v>9164.3632103813143</v>
      </c>
    </row>
    <row r="1587" spans="1:24">
      <c r="A1587" s="16">
        <f t="shared" si="292"/>
        <v>1586</v>
      </c>
      <c r="B1587" s="17">
        <f t="shared" si="299"/>
        <v>13.411199999999999</v>
      </c>
      <c r="C1587" s="16">
        <f>Specification!$G$32</f>
        <v>219.92450400000001</v>
      </c>
      <c r="D1587" s="17">
        <f>0.5*Specification!$K$4*Track!B1587^2*Specification!$K$3*Specification!$K$2</f>
        <v>93.159842569492653</v>
      </c>
      <c r="E1587" s="16">
        <v>0</v>
      </c>
      <c r="F1587" s="17">
        <f>Specification!$C$23*9.81*SIN((E1587*PI()/180))</f>
        <v>0</v>
      </c>
      <c r="G1587" s="18">
        <f>IF(J1587=1,VLOOKUP(K1587,RPM!$E$2:$H$62,3,FALSE)-F1587-E1587-D1587,IF(J1587=2,VLOOKUP(K1587,RPM!$H$2:$K$62,3,FALSE)-F1587-E1587-D1587,IF(J1587=3,VLOOKUP(K1587,RPM!$K$2:$N$62,3,FALSE)-F1587-E1587-D1587)))</f>
        <v>688.48526429214962</v>
      </c>
      <c r="H1587" s="19">
        <f>IF(J1587=1,Specification!$I$14,IF(J1587=2,Specification!$I$15,IF(J1587=3,Specification!$I$16)))</f>
        <v>582.50936296077191</v>
      </c>
      <c r="I1587" s="16">
        <f t="shared" si="297"/>
        <v>0</v>
      </c>
      <c r="J1587" s="17">
        <v>2</v>
      </c>
      <c r="K1587" s="16">
        <f>IF(J1587=1,VLOOKUP(B1587,RPM!$F$2:$H$62,3,TRUE),IF(J1587=2,VLOOKUP(B1587,RPM!$I$2:$K$62,3,TRUE),IF(J1587=3,VLOOKUP(B1587,RPM!$L$2:$N$62,3,TRUE))))</f>
        <v>7000</v>
      </c>
      <c r="L1587" s="17">
        <f t="shared" si="296"/>
        <v>122.53470568508635</v>
      </c>
      <c r="M1587" s="16">
        <f t="shared" si="298"/>
        <v>0</v>
      </c>
      <c r="N1587" s="17">
        <f>VLOOKUP(K1587,RPM!$A$2:$D$62,3,FALSE)</f>
        <v>13</v>
      </c>
      <c r="O1587" s="16">
        <f>VLOOKUP(K1587,RPM!$A$2:$D$62,4,FALSE)</f>
        <v>13.235857142857142</v>
      </c>
      <c r="P1587" s="17">
        <f t="shared" si="288"/>
        <v>9.8699786714285711</v>
      </c>
      <c r="Q1587" s="16" cm="1">
        <f t="array" ref="Q1587">_xlfn.XLOOKUP(O1587,BSFC!$A$2:$A$24,_xlfn.XLOOKUP(K1587,BSFC!$B$1:$O$1,BSFC!$B$2:$O$24,,-1),,-1)</f>
        <v>520</v>
      </c>
      <c r="R1587" s="17">
        <f t="shared" si="289"/>
        <v>1.425663585873016</v>
      </c>
      <c r="S1587" s="16">
        <f t="shared" si="290"/>
        <v>2.0443068048074323E-4</v>
      </c>
      <c r="T1587" s="17">
        <f t="shared" si="293"/>
        <v>0.10630395384998648</v>
      </c>
      <c r="U1587" s="16">
        <f t="shared" si="294"/>
        <v>200.02544103179216</v>
      </c>
      <c r="V1587" s="17">
        <f t="shared" si="295"/>
        <v>0.40854910644034576</v>
      </c>
      <c r="W1587" s="16">
        <f t="shared" si="291"/>
        <v>1470776.7831852448</v>
      </c>
      <c r="X1587">
        <f>('Hybrid Info'!$A$2-Track!P1587)*(L1587-L1586)*1000+X1586</f>
        <v>9332.1689193675666</v>
      </c>
    </row>
    <row r="1588" spans="1:24">
      <c r="A1588" s="16">
        <f t="shared" si="292"/>
        <v>1587</v>
      </c>
      <c r="B1588" s="17">
        <f t="shared" si="299"/>
        <v>13.411199999999999</v>
      </c>
      <c r="C1588" s="16">
        <f>Specification!$G$32</f>
        <v>219.92450400000001</v>
      </c>
      <c r="D1588" s="17">
        <f>0.5*Specification!$K$4*Track!B1588^2*Specification!$K$3*Specification!$K$2</f>
        <v>93.159842569492653</v>
      </c>
      <c r="E1588" s="16">
        <v>0</v>
      </c>
      <c r="F1588" s="17">
        <f>Specification!$C$23*9.81*SIN((E1588*PI()/180))</f>
        <v>0</v>
      </c>
      <c r="G1588" s="18">
        <f>IF(J1588=1,VLOOKUP(K1588,RPM!$E$2:$H$62,3,FALSE)-F1588-E1588-D1588,IF(J1588=2,VLOOKUP(K1588,RPM!$H$2:$K$62,3,FALSE)-F1588-E1588-D1588,IF(J1588=3,VLOOKUP(K1588,RPM!$K$2:$N$62,3,FALSE)-F1588-E1588-D1588)))</f>
        <v>688.48526429214962</v>
      </c>
      <c r="H1588" s="19">
        <f>IF(J1588=1,Specification!$I$14,IF(J1588=2,Specification!$I$15,IF(J1588=3,Specification!$I$16)))</f>
        <v>582.50936296077191</v>
      </c>
      <c r="I1588" s="16">
        <f t="shared" si="297"/>
        <v>0</v>
      </c>
      <c r="J1588" s="17">
        <v>2</v>
      </c>
      <c r="K1588" s="16">
        <f>IF(J1588=1,VLOOKUP(B1588,RPM!$F$2:$H$62,3,TRUE),IF(J1588=2,VLOOKUP(B1588,RPM!$I$2:$K$62,3,TRUE),IF(J1588=3,VLOOKUP(B1588,RPM!$L$2:$N$62,3,TRUE))))</f>
        <v>7000</v>
      </c>
      <c r="L1588" s="17">
        <f t="shared" si="296"/>
        <v>122.60927022815483</v>
      </c>
      <c r="M1588" s="16">
        <f t="shared" si="298"/>
        <v>0</v>
      </c>
      <c r="N1588" s="17">
        <f>VLOOKUP(K1588,RPM!$A$2:$D$62,3,FALSE)</f>
        <v>13</v>
      </c>
      <c r="O1588" s="16">
        <f>VLOOKUP(K1588,RPM!$A$2:$D$62,4,FALSE)</f>
        <v>13.235857142857142</v>
      </c>
      <c r="P1588" s="17">
        <f t="shared" si="288"/>
        <v>9.8699786714285711</v>
      </c>
      <c r="Q1588" s="16" cm="1">
        <f t="array" ref="Q1588">_xlfn.XLOOKUP(O1588,BSFC!$A$2:$A$24,_xlfn.XLOOKUP(K1588,BSFC!$B$1:$O$1,BSFC!$B$2:$O$24,,-1),,-1)</f>
        <v>520</v>
      </c>
      <c r="R1588" s="17">
        <f t="shared" si="289"/>
        <v>1.425663585873016</v>
      </c>
      <c r="S1588" s="16">
        <f t="shared" si="290"/>
        <v>2.0443068048074323E-4</v>
      </c>
      <c r="T1588" s="17">
        <f t="shared" si="293"/>
        <v>0.10630395384998648</v>
      </c>
      <c r="U1588" s="16">
        <f t="shared" si="294"/>
        <v>200.13174498564214</v>
      </c>
      <c r="V1588" s="17">
        <f t="shared" si="295"/>
        <v>0.40875353712082652</v>
      </c>
      <c r="W1588" s="16">
        <f t="shared" si="291"/>
        <v>1471512.7336349755</v>
      </c>
      <c r="X1588">
        <f>('Hybrid Info'!$A$2-Track!P1588)*(L1588-L1587)*1000+X1587</f>
        <v>9499.9746283538188</v>
      </c>
    </row>
    <row r="1589" spans="1:24">
      <c r="A1589" s="16">
        <f t="shared" si="292"/>
        <v>1588</v>
      </c>
      <c r="B1589" s="17">
        <f t="shared" si="299"/>
        <v>13.411199999999999</v>
      </c>
      <c r="C1589" s="16">
        <f>Specification!$G$32</f>
        <v>219.92450400000001</v>
      </c>
      <c r="D1589" s="17">
        <f>0.5*Specification!$K$4*Track!B1589^2*Specification!$K$3*Specification!$K$2</f>
        <v>93.159842569492653</v>
      </c>
      <c r="E1589" s="16">
        <v>0</v>
      </c>
      <c r="F1589" s="17">
        <f>Specification!$C$23*9.81*SIN((E1589*PI()/180))</f>
        <v>0</v>
      </c>
      <c r="G1589" s="18">
        <f>IF(J1589=1,VLOOKUP(K1589,RPM!$E$2:$H$62,3,FALSE)-F1589-E1589-D1589,IF(J1589=2,VLOOKUP(K1589,RPM!$H$2:$K$62,3,FALSE)-F1589-E1589-D1589,IF(J1589=3,VLOOKUP(K1589,RPM!$K$2:$N$62,3,FALSE)-F1589-E1589-D1589)))</f>
        <v>688.48526429214962</v>
      </c>
      <c r="H1589" s="19">
        <f>IF(J1589=1,Specification!$I$14,IF(J1589=2,Specification!$I$15,IF(J1589=3,Specification!$I$16)))</f>
        <v>582.50936296077191</v>
      </c>
      <c r="I1589" s="16">
        <f t="shared" si="297"/>
        <v>0</v>
      </c>
      <c r="J1589" s="17">
        <v>2</v>
      </c>
      <c r="K1589" s="16">
        <f>IF(J1589=1,VLOOKUP(B1589,RPM!$F$2:$H$62,3,TRUE),IF(J1589=2,VLOOKUP(B1589,RPM!$I$2:$K$62,3,TRUE),IF(J1589=3,VLOOKUP(B1589,RPM!$L$2:$N$62,3,TRUE))))</f>
        <v>7000</v>
      </c>
      <c r="L1589" s="17">
        <f t="shared" si="296"/>
        <v>122.6838347712233</v>
      </c>
      <c r="M1589" s="16">
        <f t="shared" si="298"/>
        <v>0</v>
      </c>
      <c r="N1589" s="17">
        <f>VLOOKUP(K1589,RPM!$A$2:$D$62,3,FALSE)</f>
        <v>13</v>
      </c>
      <c r="O1589" s="16">
        <f>VLOOKUP(K1589,RPM!$A$2:$D$62,4,FALSE)</f>
        <v>13.235857142857142</v>
      </c>
      <c r="P1589" s="17">
        <f t="shared" si="288"/>
        <v>9.8699786714285711</v>
      </c>
      <c r="Q1589" s="16" cm="1">
        <f t="array" ref="Q1589">_xlfn.XLOOKUP(O1589,BSFC!$A$2:$A$24,_xlfn.XLOOKUP(K1589,BSFC!$B$1:$O$1,BSFC!$B$2:$O$24,,-1),,-1)</f>
        <v>520</v>
      </c>
      <c r="R1589" s="17">
        <f t="shared" si="289"/>
        <v>1.425663585873016</v>
      </c>
      <c r="S1589" s="16">
        <f t="shared" si="290"/>
        <v>2.0443068048074323E-4</v>
      </c>
      <c r="T1589" s="17">
        <f t="shared" si="293"/>
        <v>0.10630395384998648</v>
      </c>
      <c r="U1589" s="16">
        <f t="shared" si="294"/>
        <v>200.23804893949213</v>
      </c>
      <c r="V1589" s="17">
        <f t="shared" si="295"/>
        <v>0.40895796780130728</v>
      </c>
      <c r="W1589" s="16">
        <f t="shared" si="291"/>
        <v>1472248.6840847062</v>
      </c>
      <c r="X1589">
        <f>('Hybrid Info'!$A$2-Track!P1589)*(L1589-L1588)*1000+X1588</f>
        <v>9667.7803373400711</v>
      </c>
    </row>
    <row r="1590" spans="1:24">
      <c r="A1590" s="16">
        <f t="shared" si="292"/>
        <v>1589</v>
      </c>
      <c r="B1590" s="17">
        <f t="shared" si="299"/>
        <v>13.411199999999999</v>
      </c>
      <c r="C1590" s="16">
        <f>Specification!$G$32</f>
        <v>219.92450400000001</v>
      </c>
      <c r="D1590" s="17">
        <f>0.5*Specification!$K$4*Track!B1590^2*Specification!$K$3*Specification!$K$2</f>
        <v>93.159842569492653</v>
      </c>
      <c r="E1590" s="16">
        <v>0</v>
      </c>
      <c r="F1590" s="17">
        <f>Specification!$C$23*9.81*SIN((E1590*PI()/180))</f>
        <v>0</v>
      </c>
      <c r="G1590" s="18">
        <f>IF(J1590=1,VLOOKUP(K1590,RPM!$E$2:$H$62,3,FALSE)-F1590-E1590-D1590,IF(J1590=2,VLOOKUP(K1590,RPM!$H$2:$K$62,3,FALSE)-F1590-E1590-D1590,IF(J1590=3,VLOOKUP(K1590,RPM!$K$2:$N$62,3,FALSE)-F1590-E1590-D1590)))</f>
        <v>688.48526429214962</v>
      </c>
      <c r="H1590" s="19">
        <f>IF(J1590=1,Specification!$I$14,IF(J1590=2,Specification!$I$15,IF(J1590=3,Specification!$I$16)))</f>
        <v>582.50936296077191</v>
      </c>
      <c r="I1590" s="16">
        <f t="shared" si="297"/>
        <v>0</v>
      </c>
      <c r="J1590" s="17">
        <v>2</v>
      </c>
      <c r="K1590" s="16">
        <f>IF(J1590=1,VLOOKUP(B1590,RPM!$F$2:$H$62,3,TRUE),IF(J1590=2,VLOOKUP(B1590,RPM!$I$2:$K$62,3,TRUE),IF(J1590=3,VLOOKUP(B1590,RPM!$L$2:$N$62,3,TRUE))))</f>
        <v>7000</v>
      </c>
      <c r="L1590" s="17">
        <f t="shared" si="296"/>
        <v>122.75839931429178</v>
      </c>
      <c r="M1590" s="16">
        <f t="shared" si="298"/>
        <v>0</v>
      </c>
      <c r="N1590" s="17">
        <f>VLOOKUP(K1590,RPM!$A$2:$D$62,3,FALSE)</f>
        <v>13</v>
      </c>
      <c r="O1590" s="16">
        <f>VLOOKUP(K1590,RPM!$A$2:$D$62,4,FALSE)</f>
        <v>13.235857142857142</v>
      </c>
      <c r="P1590" s="17">
        <f t="shared" si="288"/>
        <v>9.8699786714285711</v>
      </c>
      <c r="Q1590" s="16" cm="1">
        <f t="array" ref="Q1590">_xlfn.XLOOKUP(O1590,BSFC!$A$2:$A$24,_xlfn.XLOOKUP(K1590,BSFC!$B$1:$O$1,BSFC!$B$2:$O$24,,-1),,-1)</f>
        <v>520</v>
      </c>
      <c r="R1590" s="17">
        <f t="shared" si="289"/>
        <v>1.425663585873016</v>
      </c>
      <c r="S1590" s="16">
        <f t="shared" si="290"/>
        <v>2.0443068048074323E-4</v>
      </c>
      <c r="T1590" s="17">
        <f t="shared" si="293"/>
        <v>0.10630395384998648</v>
      </c>
      <c r="U1590" s="16">
        <f t="shared" si="294"/>
        <v>200.34435289334212</v>
      </c>
      <c r="V1590" s="17">
        <f t="shared" si="295"/>
        <v>0.40916239848178804</v>
      </c>
      <c r="W1590" s="16">
        <f t="shared" si="291"/>
        <v>1472984.634534437</v>
      </c>
      <c r="X1590">
        <f>('Hybrid Info'!$A$2-Track!P1590)*(L1590-L1589)*1000+X1589</f>
        <v>9835.5860463263234</v>
      </c>
    </row>
    <row r="1591" spans="1:24">
      <c r="A1591" s="16">
        <f t="shared" si="292"/>
        <v>1590</v>
      </c>
      <c r="B1591" s="17">
        <f t="shared" si="299"/>
        <v>13.411199999999999</v>
      </c>
      <c r="C1591" s="16">
        <f>Specification!$G$32</f>
        <v>219.92450400000001</v>
      </c>
      <c r="D1591" s="17">
        <f>0.5*Specification!$K$4*Track!B1591^2*Specification!$K$3*Specification!$K$2</f>
        <v>93.159842569492653</v>
      </c>
      <c r="E1591" s="16">
        <v>0</v>
      </c>
      <c r="F1591" s="17">
        <f>Specification!$C$23*9.81*SIN((E1591*PI()/180))</f>
        <v>0</v>
      </c>
      <c r="G1591" s="18">
        <f>IF(J1591=1,VLOOKUP(K1591,RPM!$E$2:$H$62,3,FALSE)-F1591-E1591-D1591,IF(J1591=2,VLOOKUP(K1591,RPM!$H$2:$K$62,3,FALSE)-F1591-E1591-D1591,IF(J1591=3,VLOOKUP(K1591,RPM!$K$2:$N$62,3,FALSE)-F1591-E1591-D1591)))</f>
        <v>688.48526429214962</v>
      </c>
      <c r="H1591" s="19">
        <f>IF(J1591=1,Specification!$I$14,IF(J1591=2,Specification!$I$15,IF(J1591=3,Specification!$I$16)))</f>
        <v>582.50936296077191</v>
      </c>
      <c r="I1591" s="16">
        <f t="shared" si="297"/>
        <v>0</v>
      </c>
      <c r="J1591" s="17">
        <v>2</v>
      </c>
      <c r="K1591" s="16">
        <f>IF(J1591=1,VLOOKUP(B1591,RPM!$F$2:$H$62,3,TRUE),IF(J1591=2,VLOOKUP(B1591,RPM!$I$2:$K$62,3,TRUE),IF(J1591=3,VLOOKUP(B1591,RPM!$L$2:$N$62,3,TRUE))))</f>
        <v>7000</v>
      </c>
      <c r="L1591" s="17">
        <f t="shared" si="296"/>
        <v>122.83296385736026</v>
      </c>
      <c r="M1591" s="16">
        <f t="shared" si="298"/>
        <v>0</v>
      </c>
      <c r="N1591" s="17">
        <f>VLOOKUP(K1591,RPM!$A$2:$D$62,3,FALSE)</f>
        <v>13</v>
      </c>
      <c r="O1591" s="16">
        <f>VLOOKUP(K1591,RPM!$A$2:$D$62,4,FALSE)</f>
        <v>13.235857142857142</v>
      </c>
      <c r="P1591" s="17">
        <f t="shared" si="288"/>
        <v>9.8699786714285711</v>
      </c>
      <c r="Q1591" s="16" cm="1">
        <f t="array" ref="Q1591">_xlfn.XLOOKUP(O1591,BSFC!$A$2:$A$24,_xlfn.XLOOKUP(K1591,BSFC!$B$1:$O$1,BSFC!$B$2:$O$24,,-1),,-1)</f>
        <v>520</v>
      </c>
      <c r="R1591" s="17">
        <f t="shared" si="289"/>
        <v>1.425663585873016</v>
      </c>
      <c r="S1591" s="16">
        <f t="shared" si="290"/>
        <v>2.0443068048074323E-4</v>
      </c>
      <c r="T1591" s="17">
        <f t="shared" si="293"/>
        <v>0.10630395384998648</v>
      </c>
      <c r="U1591" s="16">
        <f t="shared" si="294"/>
        <v>200.45065684719211</v>
      </c>
      <c r="V1591" s="17">
        <f t="shared" si="295"/>
        <v>0.4093668291622688</v>
      </c>
      <c r="W1591" s="16">
        <f t="shared" si="291"/>
        <v>1473720.5849841677</v>
      </c>
      <c r="X1591">
        <f>('Hybrid Info'!$A$2-Track!P1591)*(L1591-L1590)*1000+X1590</f>
        <v>10003.391755312576</v>
      </c>
    </row>
    <row r="1592" spans="1:24">
      <c r="A1592" s="16">
        <f t="shared" si="292"/>
        <v>1591</v>
      </c>
      <c r="B1592" s="17">
        <f t="shared" si="299"/>
        <v>13.411199999999999</v>
      </c>
      <c r="C1592" s="16">
        <f>Specification!$G$32</f>
        <v>219.92450400000001</v>
      </c>
      <c r="D1592" s="17">
        <f>0.5*Specification!$K$4*Track!B1592^2*Specification!$K$3*Specification!$K$2</f>
        <v>93.159842569492653</v>
      </c>
      <c r="E1592" s="16">
        <v>0</v>
      </c>
      <c r="F1592" s="17">
        <f>Specification!$C$23*9.81*SIN((E1592*PI()/180))</f>
        <v>0</v>
      </c>
      <c r="G1592" s="18">
        <f>IF(J1592=1,VLOOKUP(K1592,RPM!$E$2:$H$62,3,FALSE)-F1592-E1592-D1592,IF(J1592=2,VLOOKUP(K1592,RPM!$H$2:$K$62,3,FALSE)-F1592-E1592-D1592,IF(J1592=3,VLOOKUP(K1592,RPM!$K$2:$N$62,3,FALSE)-F1592-E1592-D1592)))</f>
        <v>688.48526429214962</v>
      </c>
      <c r="H1592" s="19">
        <f>IF(J1592=1,Specification!$I$14,IF(J1592=2,Specification!$I$15,IF(J1592=3,Specification!$I$16)))</f>
        <v>582.50936296077191</v>
      </c>
      <c r="I1592" s="16">
        <f t="shared" si="297"/>
        <v>0</v>
      </c>
      <c r="J1592" s="17">
        <v>2</v>
      </c>
      <c r="K1592" s="16">
        <f>IF(J1592=1,VLOOKUP(B1592,RPM!$F$2:$H$62,3,TRUE),IF(J1592=2,VLOOKUP(B1592,RPM!$I$2:$K$62,3,TRUE),IF(J1592=3,VLOOKUP(B1592,RPM!$L$2:$N$62,3,TRUE))))</f>
        <v>7000</v>
      </c>
      <c r="L1592" s="17">
        <f t="shared" si="296"/>
        <v>122.90752840042873</v>
      </c>
      <c r="M1592" s="16">
        <f t="shared" si="298"/>
        <v>0</v>
      </c>
      <c r="N1592" s="17">
        <f>VLOOKUP(K1592,RPM!$A$2:$D$62,3,FALSE)</f>
        <v>13</v>
      </c>
      <c r="O1592" s="16">
        <f>VLOOKUP(K1592,RPM!$A$2:$D$62,4,FALSE)</f>
        <v>13.235857142857142</v>
      </c>
      <c r="P1592" s="17">
        <f t="shared" si="288"/>
        <v>9.8699786714285711</v>
      </c>
      <c r="Q1592" s="16" cm="1">
        <f t="array" ref="Q1592">_xlfn.XLOOKUP(O1592,BSFC!$A$2:$A$24,_xlfn.XLOOKUP(K1592,BSFC!$B$1:$O$1,BSFC!$B$2:$O$24,,-1),,-1)</f>
        <v>520</v>
      </c>
      <c r="R1592" s="17">
        <f t="shared" si="289"/>
        <v>1.425663585873016</v>
      </c>
      <c r="S1592" s="16">
        <f t="shared" si="290"/>
        <v>2.0443068048074323E-4</v>
      </c>
      <c r="T1592" s="17">
        <f t="shared" si="293"/>
        <v>0.10630395384998648</v>
      </c>
      <c r="U1592" s="16">
        <f t="shared" si="294"/>
        <v>200.55696080104209</v>
      </c>
      <c r="V1592" s="17">
        <f t="shared" si="295"/>
        <v>0.40957125984274956</v>
      </c>
      <c r="W1592" s="16">
        <f t="shared" si="291"/>
        <v>1474456.5354338984</v>
      </c>
      <c r="X1592">
        <f>('Hybrid Info'!$A$2-Track!P1592)*(L1592-L1591)*1000+X1591</f>
        <v>10171.197464298828</v>
      </c>
    </row>
    <row r="1593" spans="1:24">
      <c r="A1593" s="16">
        <f t="shared" si="292"/>
        <v>1592</v>
      </c>
      <c r="B1593" s="17">
        <f t="shared" si="299"/>
        <v>13.411199999999999</v>
      </c>
      <c r="C1593" s="16">
        <f>Specification!$G$32</f>
        <v>219.92450400000001</v>
      </c>
      <c r="D1593" s="17">
        <f>0.5*Specification!$K$4*Track!B1593^2*Specification!$K$3*Specification!$K$2</f>
        <v>93.159842569492653</v>
      </c>
      <c r="E1593" s="16">
        <v>0</v>
      </c>
      <c r="F1593" s="17">
        <f>Specification!$C$23*9.81*SIN((E1593*PI()/180))</f>
        <v>0</v>
      </c>
      <c r="G1593" s="18">
        <f>IF(J1593=1,VLOOKUP(K1593,RPM!$E$2:$H$62,3,FALSE)-F1593-E1593-D1593,IF(J1593=2,VLOOKUP(K1593,RPM!$H$2:$K$62,3,FALSE)-F1593-E1593-D1593,IF(J1593=3,VLOOKUP(K1593,RPM!$K$2:$N$62,3,FALSE)-F1593-E1593-D1593)))</f>
        <v>688.48526429214962</v>
      </c>
      <c r="H1593" s="19">
        <f>IF(J1593=1,Specification!$I$14,IF(J1593=2,Specification!$I$15,IF(J1593=3,Specification!$I$16)))</f>
        <v>582.50936296077191</v>
      </c>
      <c r="I1593" s="16">
        <f t="shared" si="297"/>
        <v>0</v>
      </c>
      <c r="J1593" s="17">
        <v>2</v>
      </c>
      <c r="K1593" s="16">
        <f>IF(J1593=1,VLOOKUP(B1593,RPM!$F$2:$H$62,3,TRUE),IF(J1593=2,VLOOKUP(B1593,RPM!$I$2:$K$62,3,TRUE),IF(J1593=3,VLOOKUP(B1593,RPM!$L$2:$N$62,3,TRUE))))</f>
        <v>7000</v>
      </c>
      <c r="L1593" s="17">
        <f t="shared" si="296"/>
        <v>122.98209294349721</v>
      </c>
      <c r="M1593" s="16">
        <f t="shared" si="298"/>
        <v>0</v>
      </c>
      <c r="N1593" s="17">
        <f>VLOOKUP(K1593,RPM!$A$2:$D$62,3,FALSE)</f>
        <v>13</v>
      </c>
      <c r="O1593" s="16">
        <f>VLOOKUP(K1593,RPM!$A$2:$D$62,4,FALSE)</f>
        <v>13.235857142857142</v>
      </c>
      <c r="P1593" s="17">
        <f t="shared" si="288"/>
        <v>9.8699786714285711</v>
      </c>
      <c r="Q1593" s="16" cm="1">
        <f t="array" ref="Q1593">_xlfn.XLOOKUP(O1593,BSFC!$A$2:$A$24,_xlfn.XLOOKUP(K1593,BSFC!$B$1:$O$1,BSFC!$B$2:$O$24,,-1),,-1)</f>
        <v>520</v>
      </c>
      <c r="R1593" s="17">
        <f t="shared" si="289"/>
        <v>1.425663585873016</v>
      </c>
      <c r="S1593" s="16">
        <f t="shared" si="290"/>
        <v>2.0443068048074323E-4</v>
      </c>
      <c r="T1593" s="17">
        <f t="shared" si="293"/>
        <v>0.10630395384998648</v>
      </c>
      <c r="U1593" s="16">
        <f t="shared" si="294"/>
        <v>200.66326475489208</v>
      </c>
      <c r="V1593" s="17">
        <f t="shared" si="295"/>
        <v>0.40977569052323032</v>
      </c>
      <c r="W1593" s="16">
        <f t="shared" si="291"/>
        <v>1475192.4858836292</v>
      </c>
      <c r="X1593">
        <f>('Hybrid Info'!$A$2-Track!P1593)*(L1593-L1592)*1000+X1592</f>
        <v>10339.00317328508</v>
      </c>
    </row>
    <row r="1594" spans="1:24">
      <c r="A1594" s="16">
        <f t="shared" si="292"/>
        <v>1593</v>
      </c>
      <c r="B1594" s="17">
        <f t="shared" si="299"/>
        <v>13.411199999999999</v>
      </c>
      <c r="C1594" s="16">
        <f>Specification!$G$32</f>
        <v>219.92450400000001</v>
      </c>
      <c r="D1594" s="17">
        <f>0.5*Specification!$K$4*Track!B1594^2*Specification!$K$3*Specification!$K$2</f>
        <v>93.159842569492653</v>
      </c>
      <c r="E1594" s="16">
        <v>0</v>
      </c>
      <c r="F1594" s="17">
        <f>Specification!$C$23*9.81*SIN((E1594*PI()/180))</f>
        <v>0</v>
      </c>
      <c r="G1594" s="18">
        <f>IF(J1594=1,VLOOKUP(K1594,RPM!$E$2:$H$62,3,FALSE)-F1594-E1594-D1594,IF(J1594=2,VLOOKUP(K1594,RPM!$H$2:$K$62,3,FALSE)-F1594-E1594-D1594,IF(J1594=3,VLOOKUP(K1594,RPM!$K$2:$N$62,3,FALSE)-F1594-E1594-D1594)))</f>
        <v>688.48526429214962</v>
      </c>
      <c r="H1594" s="19">
        <f>IF(J1594=1,Specification!$I$14,IF(J1594=2,Specification!$I$15,IF(J1594=3,Specification!$I$16)))</f>
        <v>582.50936296077191</v>
      </c>
      <c r="I1594" s="16">
        <f t="shared" si="297"/>
        <v>0</v>
      </c>
      <c r="J1594" s="17">
        <v>2</v>
      </c>
      <c r="K1594" s="16">
        <f>IF(J1594=1,VLOOKUP(B1594,RPM!$F$2:$H$62,3,TRUE),IF(J1594=2,VLOOKUP(B1594,RPM!$I$2:$K$62,3,TRUE),IF(J1594=3,VLOOKUP(B1594,RPM!$L$2:$N$62,3,TRUE))))</f>
        <v>7000</v>
      </c>
      <c r="L1594" s="17">
        <f t="shared" si="296"/>
        <v>123.05665748656568</v>
      </c>
      <c r="M1594" s="16">
        <f t="shared" si="298"/>
        <v>0</v>
      </c>
      <c r="N1594" s="17">
        <f>VLOOKUP(K1594,RPM!$A$2:$D$62,3,FALSE)</f>
        <v>13</v>
      </c>
      <c r="O1594" s="16">
        <f>VLOOKUP(K1594,RPM!$A$2:$D$62,4,FALSE)</f>
        <v>13.235857142857142</v>
      </c>
      <c r="P1594" s="17">
        <f t="shared" si="288"/>
        <v>9.8699786714285711</v>
      </c>
      <c r="Q1594" s="16" cm="1">
        <f t="array" ref="Q1594">_xlfn.XLOOKUP(O1594,BSFC!$A$2:$A$24,_xlfn.XLOOKUP(K1594,BSFC!$B$1:$O$1,BSFC!$B$2:$O$24,,-1),,-1)</f>
        <v>520</v>
      </c>
      <c r="R1594" s="17">
        <f t="shared" si="289"/>
        <v>1.425663585873016</v>
      </c>
      <c r="S1594" s="16">
        <f t="shared" si="290"/>
        <v>2.0443068048074323E-4</v>
      </c>
      <c r="T1594" s="17">
        <f t="shared" si="293"/>
        <v>0.10630395384998648</v>
      </c>
      <c r="U1594" s="16">
        <f t="shared" si="294"/>
        <v>200.76956870874207</v>
      </c>
      <c r="V1594" s="17">
        <f t="shared" si="295"/>
        <v>0.40998012120371108</v>
      </c>
      <c r="W1594" s="16">
        <f t="shared" si="291"/>
        <v>1475928.4363333599</v>
      </c>
      <c r="X1594">
        <f>('Hybrid Info'!$A$2-Track!P1594)*(L1594-L1593)*1000+X1593</f>
        <v>10506.808882271333</v>
      </c>
    </row>
    <row r="1595" spans="1:24">
      <c r="A1595" s="16">
        <f t="shared" si="292"/>
        <v>1594</v>
      </c>
      <c r="B1595" s="17">
        <f t="shared" si="299"/>
        <v>13.411199999999999</v>
      </c>
      <c r="C1595" s="16">
        <f>Specification!$G$32</f>
        <v>219.92450400000001</v>
      </c>
      <c r="D1595" s="17">
        <f>0.5*Specification!$K$4*Track!B1595^2*Specification!$K$3*Specification!$K$2</f>
        <v>93.159842569492653</v>
      </c>
      <c r="E1595" s="16">
        <v>0</v>
      </c>
      <c r="F1595" s="17">
        <f>Specification!$C$23*9.81*SIN((E1595*PI()/180))</f>
        <v>0</v>
      </c>
      <c r="G1595" s="18">
        <f>IF(J1595=1,VLOOKUP(K1595,RPM!$E$2:$H$62,3,FALSE)-F1595-E1595-D1595,IF(J1595=2,VLOOKUP(K1595,RPM!$H$2:$K$62,3,FALSE)-F1595-E1595-D1595,IF(J1595=3,VLOOKUP(K1595,RPM!$K$2:$N$62,3,FALSE)-F1595-E1595-D1595)))</f>
        <v>688.48526429214962</v>
      </c>
      <c r="H1595" s="19">
        <f>IF(J1595=1,Specification!$I$14,IF(J1595=2,Specification!$I$15,IF(J1595=3,Specification!$I$16)))</f>
        <v>582.50936296077191</v>
      </c>
      <c r="I1595" s="16">
        <f t="shared" si="297"/>
        <v>0</v>
      </c>
      <c r="J1595" s="17">
        <v>2</v>
      </c>
      <c r="K1595" s="16">
        <f>IF(J1595=1,VLOOKUP(B1595,RPM!$F$2:$H$62,3,TRUE),IF(J1595=2,VLOOKUP(B1595,RPM!$I$2:$K$62,3,TRUE),IF(J1595=3,VLOOKUP(B1595,RPM!$L$2:$N$62,3,TRUE))))</f>
        <v>7000</v>
      </c>
      <c r="L1595" s="17">
        <f t="shared" si="296"/>
        <v>123.13122202963416</v>
      </c>
      <c r="M1595" s="16">
        <f t="shared" si="298"/>
        <v>0</v>
      </c>
      <c r="N1595" s="17">
        <f>VLOOKUP(K1595,RPM!$A$2:$D$62,3,FALSE)</f>
        <v>13</v>
      </c>
      <c r="O1595" s="16">
        <f>VLOOKUP(K1595,RPM!$A$2:$D$62,4,FALSE)</f>
        <v>13.235857142857142</v>
      </c>
      <c r="P1595" s="17">
        <f t="shared" si="288"/>
        <v>9.8699786714285711</v>
      </c>
      <c r="Q1595" s="16" cm="1">
        <f t="array" ref="Q1595">_xlfn.XLOOKUP(O1595,BSFC!$A$2:$A$24,_xlfn.XLOOKUP(K1595,BSFC!$B$1:$O$1,BSFC!$B$2:$O$24,,-1),,-1)</f>
        <v>520</v>
      </c>
      <c r="R1595" s="17">
        <f t="shared" si="289"/>
        <v>1.425663585873016</v>
      </c>
      <c r="S1595" s="16">
        <f t="shared" si="290"/>
        <v>2.0443068048074323E-4</v>
      </c>
      <c r="T1595" s="17">
        <f t="shared" si="293"/>
        <v>0.10630395384998648</v>
      </c>
      <c r="U1595" s="16">
        <f t="shared" si="294"/>
        <v>200.87587266259206</v>
      </c>
      <c r="V1595" s="17">
        <f t="shared" si="295"/>
        <v>0.41018455188419184</v>
      </c>
      <c r="W1595" s="16">
        <f t="shared" si="291"/>
        <v>1476664.3867830907</v>
      </c>
      <c r="X1595">
        <f>('Hybrid Info'!$A$2-Track!P1595)*(L1595-L1594)*1000+X1594</f>
        <v>10674.614591257585</v>
      </c>
    </row>
    <row r="1596" spans="1:24">
      <c r="A1596" s="16">
        <f t="shared" si="292"/>
        <v>1595</v>
      </c>
      <c r="B1596" s="17">
        <f t="shared" si="299"/>
        <v>13.411199999999999</v>
      </c>
      <c r="C1596" s="16">
        <f>Specification!$G$32</f>
        <v>219.92450400000001</v>
      </c>
      <c r="D1596" s="17">
        <f>0.5*Specification!$K$4*Track!B1596^2*Specification!$K$3*Specification!$K$2</f>
        <v>93.159842569492653</v>
      </c>
      <c r="E1596" s="16">
        <v>0</v>
      </c>
      <c r="F1596" s="17">
        <f>Specification!$C$23*9.81*SIN((E1596*PI()/180))</f>
        <v>0</v>
      </c>
      <c r="G1596" s="18">
        <f>IF(J1596=1,VLOOKUP(K1596,RPM!$E$2:$H$62,3,FALSE)-F1596-E1596-D1596,IF(J1596=2,VLOOKUP(K1596,RPM!$H$2:$K$62,3,FALSE)-F1596-E1596-D1596,IF(J1596=3,VLOOKUP(K1596,RPM!$K$2:$N$62,3,FALSE)-F1596-E1596-D1596)))</f>
        <v>688.48526429214962</v>
      </c>
      <c r="H1596" s="19">
        <f>IF(J1596=1,Specification!$I$14,IF(J1596=2,Specification!$I$15,IF(J1596=3,Specification!$I$16)))</f>
        <v>582.50936296077191</v>
      </c>
      <c r="I1596" s="16">
        <f t="shared" si="297"/>
        <v>0</v>
      </c>
      <c r="J1596" s="17">
        <v>2</v>
      </c>
      <c r="K1596" s="16">
        <f>IF(J1596=1,VLOOKUP(B1596,RPM!$F$2:$H$62,3,TRUE),IF(J1596=2,VLOOKUP(B1596,RPM!$I$2:$K$62,3,TRUE),IF(J1596=3,VLOOKUP(B1596,RPM!$L$2:$N$62,3,TRUE))))</f>
        <v>7000</v>
      </c>
      <c r="L1596" s="17">
        <f t="shared" si="296"/>
        <v>123.20578657270264</v>
      </c>
      <c r="M1596" s="16">
        <f t="shared" si="298"/>
        <v>0</v>
      </c>
      <c r="N1596" s="17">
        <f>VLOOKUP(K1596,RPM!$A$2:$D$62,3,FALSE)</f>
        <v>13</v>
      </c>
      <c r="O1596" s="16">
        <f>VLOOKUP(K1596,RPM!$A$2:$D$62,4,FALSE)</f>
        <v>13.235857142857142</v>
      </c>
      <c r="P1596" s="17">
        <f t="shared" si="288"/>
        <v>9.8699786714285711</v>
      </c>
      <c r="Q1596" s="16" cm="1">
        <f t="array" ref="Q1596">_xlfn.XLOOKUP(O1596,BSFC!$A$2:$A$24,_xlfn.XLOOKUP(K1596,BSFC!$B$1:$O$1,BSFC!$B$2:$O$24,,-1),,-1)</f>
        <v>520</v>
      </c>
      <c r="R1596" s="17">
        <f t="shared" si="289"/>
        <v>1.425663585873016</v>
      </c>
      <c r="S1596" s="16">
        <f t="shared" si="290"/>
        <v>2.0443068048074323E-4</v>
      </c>
      <c r="T1596" s="17">
        <f t="shared" si="293"/>
        <v>0.10630395384998648</v>
      </c>
      <c r="U1596" s="16">
        <f t="shared" si="294"/>
        <v>200.98217661644205</v>
      </c>
      <c r="V1596" s="17">
        <f t="shared" si="295"/>
        <v>0.4103889825646726</v>
      </c>
      <c r="W1596" s="16">
        <f t="shared" si="291"/>
        <v>1477400.3372328212</v>
      </c>
      <c r="X1596">
        <f>('Hybrid Info'!$A$2-Track!P1596)*(L1596-L1595)*1000+X1595</f>
        <v>10842.420300243837</v>
      </c>
    </row>
    <row r="1597" spans="1:24">
      <c r="A1597" s="16">
        <f t="shared" si="292"/>
        <v>1596</v>
      </c>
      <c r="B1597" s="17">
        <f t="shared" si="299"/>
        <v>13.411199999999999</v>
      </c>
      <c r="C1597" s="16">
        <f>Specification!$G$32</f>
        <v>219.92450400000001</v>
      </c>
      <c r="D1597" s="17">
        <f>0.5*Specification!$K$4*Track!B1597^2*Specification!$K$3*Specification!$K$2</f>
        <v>93.159842569492653</v>
      </c>
      <c r="E1597" s="16">
        <v>0</v>
      </c>
      <c r="F1597" s="17">
        <f>Specification!$C$23*9.81*SIN((E1597*PI()/180))</f>
        <v>0</v>
      </c>
      <c r="G1597" s="18">
        <f>IF(J1597=1,VLOOKUP(K1597,RPM!$E$2:$H$62,3,FALSE)-F1597-E1597-D1597,IF(J1597=2,VLOOKUP(K1597,RPM!$H$2:$K$62,3,FALSE)-F1597-E1597-D1597,IF(J1597=3,VLOOKUP(K1597,RPM!$K$2:$N$62,3,FALSE)-F1597-E1597-D1597)))</f>
        <v>688.48526429214962</v>
      </c>
      <c r="H1597" s="19">
        <f>IF(J1597=1,Specification!$I$14,IF(J1597=2,Specification!$I$15,IF(J1597=3,Specification!$I$16)))</f>
        <v>582.50936296077191</v>
      </c>
      <c r="I1597" s="16">
        <f t="shared" si="297"/>
        <v>0</v>
      </c>
      <c r="J1597" s="17">
        <v>2</v>
      </c>
      <c r="K1597" s="16">
        <f>IF(J1597=1,VLOOKUP(B1597,RPM!$F$2:$H$62,3,TRUE),IF(J1597=2,VLOOKUP(B1597,RPM!$I$2:$K$62,3,TRUE),IF(J1597=3,VLOOKUP(B1597,RPM!$L$2:$N$62,3,TRUE))))</f>
        <v>7000</v>
      </c>
      <c r="L1597" s="17">
        <f t="shared" si="296"/>
        <v>123.28035111577111</v>
      </c>
      <c r="M1597" s="16">
        <f t="shared" si="298"/>
        <v>0</v>
      </c>
      <c r="N1597" s="17">
        <f>VLOOKUP(K1597,RPM!$A$2:$D$62,3,FALSE)</f>
        <v>13</v>
      </c>
      <c r="O1597" s="16">
        <f>VLOOKUP(K1597,RPM!$A$2:$D$62,4,FALSE)</f>
        <v>13.235857142857142</v>
      </c>
      <c r="P1597" s="17">
        <f t="shared" si="288"/>
        <v>9.8699786714285711</v>
      </c>
      <c r="Q1597" s="16" cm="1">
        <f t="array" ref="Q1597">_xlfn.XLOOKUP(O1597,BSFC!$A$2:$A$24,_xlfn.XLOOKUP(K1597,BSFC!$B$1:$O$1,BSFC!$B$2:$O$24,,-1),,-1)</f>
        <v>520</v>
      </c>
      <c r="R1597" s="17">
        <f t="shared" si="289"/>
        <v>1.425663585873016</v>
      </c>
      <c r="S1597" s="16">
        <f t="shared" si="290"/>
        <v>2.0443068048074323E-4</v>
      </c>
      <c r="T1597" s="17">
        <f t="shared" si="293"/>
        <v>0.10630395384998648</v>
      </c>
      <c r="U1597" s="16">
        <f t="shared" si="294"/>
        <v>201.08848057029203</v>
      </c>
      <c r="V1597" s="17">
        <f t="shared" si="295"/>
        <v>0.41059341324515336</v>
      </c>
      <c r="W1597" s="16">
        <f t="shared" si="291"/>
        <v>1478136.2876825521</v>
      </c>
      <c r="X1597">
        <f>('Hybrid Info'!$A$2-Track!P1597)*(L1597-L1596)*1000+X1596</f>
        <v>11010.226009230089</v>
      </c>
    </row>
    <row r="1598" spans="1:24">
      <c r="A1598" s="16">
        <f t="shared" si="292"/>
        <v>1597</v>
      </c>
      <c r="B1598" s="17">
        <f t="shared" si="299"/>
        <v>13.411199999999999</v>
      </c>
      <c r="C1598" s="16">
        <f>Specification!$G$32</f>
        <v>219.92450400000001</v>
      </c>
      <c r="D1598" s="17">
        <f>0.5*Specification!$K$4*Track!B1598^2*Specification!$K$3*Specification!$K$2</f>
        <v>93.159842569492653</v>
      </c>
      <c r="E1598" s="16">
        <v>0</v>
      </c>
      <c r="F1598" s="17">
        <f>Specification!$C$23*9.81*SIN((E1598*PI()/180))</f>
        <v>0</v>
      </c>
      <c r="G1598" s="18">
        <f>IF(J1598=1,VLOOKUP(K1598,RPM!$E$2:$H$62,3,FALSE)-F1598-E1598-D1598,IF(J1598=2,VLOOKUP(K1598,RPM!$H$2:$K$62,3,FALSE)-F1598-E1598-D1598,IF(J1598=3,VLOOKUP(K1598,RPM!$K$2:$N$62,3,FALSE)-F1598-E1598-D1598)))</f>
        <v>688.48526429214962</v>
      </c>
      <c r="H1598" s="19">
        <f>IF(J1598=1,Specification!$I$14,IF(J1598=2,Specification!$I$15,IF(J1598=3,Specification!$I$16)))</f>
        <v>582.50936296077191</v>
      </c>
      <c r="I1598" s="16">
        <f t="shared" si="297"/>
        <v>0</v>
      </c>
      <c r="J1598" s="17">
        <v>2</v>
      </c>
      <c r="K1598" s="16">
        <f>IF(J1598=1,VLOOKUP(B1598,RPM!$F$2:$H$62,3,TRUE),IF(J1598=2,VLOOKUP(B1598,RPM!$I$2:$K$62,3,TRUE),IF(J1598=3,VLOOKUP(B1598,RPM!$L$2:$N$62,3,TRUE))))</f>
        <v>7000</v>
      </c>
      <c r="L1598" s="17">
        <f t="shared" si="296"/>
        <v>123.35491565883959</v>
      </c>
      <c r="M1598" s="16">
        <f t="shared" si="298"/>
        <v>0</v>
      </c>
      <c r="N1598" s="17">
        <f>VLOOKUP(K1598,RPM!$A$2:$D$62,3,FALSE)</f>
        <v>13</v>
      </c>
      <c r="O1598" s="16">
        <f>VLOOKUP(K1598,RPM!$A$2:$D$62,4,FALSE)</f>
        <v>13.235857142857142</v>
      </c>
      <c r="P1598" s="17">
        <f t="shared" si="288"/>
        <v>9.8699786714285711</v>
      </c>
      <c r="Q1598" s="16" cm="1">
        <f t="array" ref="Q1598">_xlfn.XLOOKUP(O1598,BSFC!$A$2:$A$24,_xlfn.XLOOKUP(K1598,BSFC!$B$1:$O$1,BSFC!$B$2:$O$24,,-1),,-1)</f>
        <v>520</v>
      </c>
      <c r="R1598" s="17">
        <f t="shared" si="289"/>
        <v>1.425663585873016</v>
      </c>
      <c r="S1598" s="16">
        <f t="shared" si="290"/>
        <v>2.0443068048074323E-4</v>
      </c>
      <c r="T1598" s="17">
        <f t="shared" si="293"/>
        <v>0.10630395384998648</v>
      </c>
      <c r="U1598" s="16">
        <f t="shared" si="294"/>
        <v>201.19478452414202</v>
      </c>
      <c r="V1598" s="17">
        <f t="shared" si="295"/>
        <v>0.41079784392563412</v>
      </c>
      <c r="W1598" s="16">
        <f t="shared" si="291"/>
        <v>1478872.2381322829</v>
      </c>
      <c r="X1598">
        <f>('Hybrid Info'!$A$2-Track!P1598)*(L1598-L1597)*1000+X1597</f>
        <v>11178.031718216342</v>
      </c>
    </row>
    <row r="1599" spans="1:24">
      <c r="A1599" s="16">
        <f t="shared" si="292"/>
        <v>1598</v>
      </c>
      <c r="B1599" s="17">
        <f t="shared" si="299"/>
        <v>13.411199999999999</v>
      </c>
      <c r="C1599" s="16">
        <f>Specification!$G$32</f>
        <v>219.92450400000001</v>
      </c>
      <c r="D1599" s="17">
        <f>0.5*Specification!$K$4*Track!B1599^2*Specification!$K$3*Specification!$K$2</f>
        <v>93.159842569492653</v>
      </c>
      <c r="E1599" s="16">
        <v>0</v>
      </c>
      <c r="F1599" s="17">
        <f>Specification!$C$23*9.81*SIN((E1599*PI()/180))</f>
        <v>0</v>
      </c>
      <c r="G1599" s="18">
        <f>IF(J1599=1,VLOOKUP(K1599,RPM!$E$2:$H$62,3,FALSE)-F1599-E1599-D1599,IF(J1599=2,VLOOKUP(K1599,RPM!$H$2:$K$62,3,FALSE)-F1599-E1599-D1599,IF(J1599=3,VLOOKUP(K1599,RPM!$K$2:$N$62,3,FALSE)-F1599-E1599-D1599)))</f>
        <v>688.48526429214962</v>
      </c>
      <c r="H1599" s="19">
        <f>IF(J1599=1,Specification!$I$14,IF(J1599=2,Specification!$I$15,IF(J1599=3,Specification!$I$16)))</f>
        <v>582.50936296077191</v>
      </c>
      <c r="I1599" s="16">
        <f t="shared" si="297"/>
        <v>0</v>
      </c>
      <c r="J1599" s="17">
        <v>2</v>
      </c>
      <c r="K1599" s="16">
        <f>IF(J1599=1,VLOOKUP(B1599,RPM!$F$2:$H$62,3,TRUE),IF(J1599=2,VLOOKUP(B1599,RPM!$I$2:$K$62,3,TRUE),IF(J1599=3,VLOOKUP(B1599,RPM!$L$2:$N$62,3,TRUE))))</f>
        <v>7000</v>
      </c>
      <c r="L1599" s="17">
        <f t="shared" si="296"/>
        <v>123.42948020190806</v>
      </c>
      <c r="M1599" s="16">
        <f t="shared" si="298"/>
        <v>0</v>
      </c>
      <c r="N1599" s="17">
        <f>VLOOKUP(K1599,RPM!$A$2:$D$62,3,FALSE)</f>
        <v>13</v>
      </c>
      <c r="O1599" s="16">
        <f>VLOOKUP(K1599,RPM!$A$2:$D$62,4,FALSE)</f>
        <v>13.235857142857142</v>
      </c>
      <c r="P1599" s="17">
        <f t="shared" si="288"/>
        <v>9.8699786714285711</v>
      </c>
      <c r="Q1599" s="16" cm="1">
        <f t="array" ref="Q1599">_xlfn.XLOOKUP(O1599,BSFC!$A$2:$A$24,_xlfn.XLOOKUP(K1599,BSFC!$B$1:$O$1,BSFC!$B$2:$O$24,,-1),,-1)</f>
        <v>520</v>
      </c>
      <c r="R1599" s="17">
        <f t="shared" si="289"/>
        <v>1.425663585873016</v>
      </c>
      <c r="S1599" s="16">
        <f t="shared" si="290"/>
        <v>2.0443068048074323E-4</v>
      </c>
      <c r="T1599" s="17">
        <f t="shared" si="293"/>
        <v>0.10630395384998648</v>
      </c>
      <c r="U1599" s="16">
        <f t="shared" si="294"/>
        <v>201.30108847799201</v>
      </c>
      <c r="V1599" s="17">
        <f t="shared" si="295"/>
        <v>0.41100227460611488</v>
      </c>
      <c r="W1599" s="16">
        <f t="shared" si="291"/>
        <v>1479608.1885820136</v>
      </c>
      <c r="X1599">
        <f>('Hybrid Info'!$A$2-Track!P1599)*(L1599-L1598)*1000+X1598</f>
        <v>11345.837427202594</v>
      </c>
    </row>
    <row r="1600" spans="1:24">
      <c r="A1600" s="16">
        <f t="shared" si="292"/>
        <v>1599</v>
      </c>
      <c r="B1600" s="17">
        <f t="shared" si="299"/>
        <v>13.411199999999999</v>
      </c>
      <c r="C1600" s="16">
        <f>Specification!$G$32</f>
        <v>219.92450400000001</v>
      </c>
      <c r="D1600" s="17">
        <f>0.5*Specification!$K$4*Track!B1600^2*Specification!$K$3*Specification!$K$2</f>
        <v>93.159842569492653</v>
      </c>
      <c r="E1600" s="16">
        <v>0</v>
      </c>
      <c r="F1600" s="17">
        <f>Specification!$C$23*9.81*SIN((E1600*PI()/180))</f>
        <v>0</v>
      </c>
      <c r="G1600" s="18">
        <f>IF(J1600=1,VLOOKUP(K1600,RPM!$E$2:$H$62,3,FALSE)-F1600-E1600-D1600,IF(J1600=2,VLOOKUP(K1600,RPM!$H$2:$K$62,3,FALSE)-F1600-E1600-D1600,IF(J1600=3,VLOOKUP(K1600,RPM!$K$2:$N$62,3,FALSE)-F1600-E1600-D1600)))</f>
        <v>688.48526429214962</v>
      </c>
      <c r="H1600" s="19">
        <f>IF(J1600=1,Specification!$I$14,IF(J1600=2,Specification!$I$15,IF(J1600=3,Specification!$I$16)))</f>
        <v>582.50936296077191</v>
      </c>
      <c r="I1600" s="16">
        <f t="shared" si="297"/>
        <v>0</v>
      </c>
      <c r="J1600" s="17">
        <v>2</v>
      </c>
      <c r="K1600" s="16">
        <f>IF(J1600=1,VLOOKUP(B1600,RPM!$F$2:$H$62,3,TRUE),IF(J1600=2,VLOOKUP(B1600,RPM!$I$2:$K$62,3,TRUE),IF(J1600=3,VLOOKUP(B1600,RPM!$L$2:$N$62,3,TRUE))))</f>
        <v>7000</v>
      </c>
      <c r="L1600" s="17">
        <f t="shared" si="296"/>
        <v>123.50404474497654</v>
      </c>
      <c r="M1600" s="16">
        <f t="shared" si="298"/>
        <v>0</v>
      </c>
      <c r="N1600" s="17">
        <f>VLOOKUP(K1600,RPM!$A$2:$D$62,3,FALSE)</f>
        <v>13</v>
      </c>
      <c r="O1600" s="16">
        <f>VLOOKUP(K1600,RPM!$A$2:$D$62,4,FALSE)</f>
        <v>13.235857142857142</v>
      </c>
      <c r="P1600" s="17">
        <f t="shared" si="288"/>
        <v>9.8699786714285711</v>
      </c>
      <c r="Q1600" s="16" cm="1">
        <f t="array" ref="Q1600">_xlfn.XLOOKUP(O1600,BSFC!$A$2:$A$24,_xlfn.XLOOKUP(K1600,BSFC!$B$1:$O$1,BSFC!$B$2:$O$24,,-1),,-1)</f>
        <v>520</v>
      </c>
      <c r="R1600" s="17">
        <f t="shared" si="289"/>
        <v>1.425663585873016</v>
      </c>
      <c r="S1600" s="16">
        <f t="shared" si="290"/>
        <v>2.0443068048074323E-4</v>
      </c>
      <c r="T1600" s="17">
        <f t="shared" si="293"/>
        <v>0.10630395384998648</v>
      </c>
      <c r="U1600" s="16">
        <f t="shared" si="294"/>
        <v>201.407392431842</v>
      </c>
      <c r="V1600" s="17">
        <f t="shared" si="295"/>
        <v>0.41120670528659564</v>
      </c>
      <c r="W1600" s="16">
        <f t="shared" si="291"/>
        <v>1480344.1390317443</v>
      </c>
      <c r="X1600">
        <f>('Hybrid Info'!$A$2-Track!P1600)*(L1600-L1599)*1000+X1599</f>
        <v>11513.643136188846</v>
      </c>
    </row>
    <row r="1601" spans="1:24">
      <c r="A1601" s="16">
        <f t="shared" si="292"/>
        <v>1600</v>
      </c>
      <c r="B1601" s="17">
        <f t="shared" si="299"/>
        <v>13.411199999999999</v>
      </c>
      <c r="C1601" s="16">
        <f>Specification!$G$32</f>
        <v>219.92450400000001</v>
      </c>
      <c r="D1601" s="17">
        <f>0.5*Specification!$K$4*Track!B1601^2*Specification!$K$3*Specification!$K$2</f>
        <v>93.159842569492653</v>
      </c>
      <c r="E1601" s="16">
        <v>0</v>
      </c>
      <c r="F1601" s="17">
        <f>Specification!$C$23*9.81*SIN((E1601*PI()/180))</f>
        <v>0</v>
      </c>
      <c r="G1601" s="18">
        <f>IF(J1601=1,VLOOKUP(K1601,RPM!$E$2:$H$62,3,FALSE)-F1601-E1601-D1601,IF(J1601=2,VLOOKUP(K1601,RPM!$H$2:$K$62,3,FALSE)-F1601-E1601-D1601,IF(J1601=3,VLOOKUP(K1601,RPM!$K$2:$N$62,3,FALSE)-F1601-E1601-D1601)))</f>
        <v>688.48526429214962</v>
      </c>
      <c r="H1601" s="19">
        <f>IF(J1601=1,Specification!$I$14,IF(J1601=2,Specification!$I$15,IF(J1601=3,Specification!$I$16)))</f>
        <v>582.50936296077191</v>
      </c>
      <c r="I1601" s="16">
        <f t="shared" si="297"/>
        <v>0</v>
      </c>
      <c r="J1601" s="17">
        <v>2</v>
      </c>
      <c r="K1601" s="16">
        <f>IF(J1601=1,VLOOKUP(B1601,RPM!$F$2:$H$62,3,TRUE),IF(J1601=2,VLOOKUP(B1601,RPM!$I$2:$K$62,3,TRUE),IF(J1601=3,VLOOKUP(B1601,RPM!$L$2:$N$62,3,TRUE))))</f>
        <v>7000</v>
      </c>
      <c r="L1601" s="17">
        <f t="shared" si="296"/>
        <v>123.57860928804502</v>
      </c>
      <c r="M1601" s="16">
        <f t="shared" si="298"/>
        <v>0</v>
      </c>
      <c r="N1601" s="17">
        <f>VLOOKUP(K1601,RPM!$A$2:$D$62,3,FALSE)</f>
        <v>13</v>
      </c>
      <c r="O1601" s="16">
        <f>VLOOKUP(K1601,RPM!$A$2:$D$62,4,FALSE)</f>
        <v>13.235857142857142</v>
      </c>
      <c r="P1601" s="17">
        <f t="shared" si="288"/>
        <v>9.8699786714285711</v>
      </c>
      <c r="Q1601" s="16" cm="1">
        <f t="array" ref="Q1601">_xlfn.XLOOKUP(O1601,BSFC!$A$2:$A$24,_xlfn.XLOOKUP(K1601,BSFC!$B$1:$O$1,BSFC!$B$2:$O$24,,-1),,-1)</f>
        <v>520</v>
      </c>
      <c r="R1601" s="17">
        <f t="shared" si="289"/>
        <v>1.425663585873016</v>
      </c>
      <c r="S1601" s="16">
        <f t="shared" si="290"/>
        <v>2.0443068048074323E-4</v>
      </c>
      <c r="T1601" s="17">
        <f t="shared" si="293"/>
        <v>0.10630395384998648</v>
      </c>
      <c r="U1601" s="16">
        <f t="shared" si="294"/>
        <v>201.51369638569199</v>
      </c>
      <c r="V1601" s="17">
        <f t="shared" si="295"/>
        <v>0.4114111359670764</v>
      </c>
      <c r="W1601" s="16">
        <f t="shared" si="291"/>
        <v>1481080.0894814751</v>
      </c>
      <c r="X1601">
        <f>('Hybrid Info'!$A$2-Track!P1601)*(L1601-L1600)*1000+X1600</f>
        <v>11681.448845175099</v>
      </c>
    </row>
    <row r="1602" spans="1:24">
      <c r="A1602" s="16">
        <f t="shared" si="292"/>
        <v>1601</v>
      </c>
      <c r="B1602" s="17">
        <f t="shared" si="299"/>
        <v>13.411199999999999</v>
      </c>
      <c r="C1602" s="16">
        <f>Specification!$G$32</f>
        <v>219.92450400000001</v>
      </c>
      <c r="D1602" s="17">
        <f>0.5*Specification!$K$4*Track!B1602^2*Specification!$K$3*Specification!$K$2</f>
        <v>93.159842569492653</v>
      </c>
      <c r="E1602" s="16">
        <v>0</v>
      </c>
      <c r="F1602" s="17">
        <f>Specification!$C$23*9.81*SIN((E1602*PI()/180))</f>
        <v>0</v>
      </c>
      <c r="G1602" s="18">
        <f>IF(J1602=1,VLOOKUP(K1602,RPM!$E$2:$H$62,3,FALSE)-F1602-E1602-D1602,IF(J1602=2,VLOOKUP(K1602,RPM!$H$2:$K$62,3,FALSE)-F1602-E1602-D1602,IF(J1602=3,VLOOKUP(K1602,RPM!$K$2:$N$62,3,FALSE)-F1602-E1602-D1602)))</f>
        <v>688.48526429214962</v>
      </c>
      <c r="H1602" s="19">
        <f>IF(J1602=1,Specification!$I$14,IF(J1602=2,Specification!$I$15,IF(J1602=3,Specification!$I$16)))</f>
        <v>582.50936296077191</v>
      </c>
      <c r="I1602" s="16">
        <f t="shared" si="297"/>
        <v>0</v>
      </c>
      <c r="J1602" s="17">
        <v>2</v>
      </c>
      <c r="K1602" s="16">
        <f>IF(J1602=1,VLOOKUP(B1602,RPM!$F$2:$H$62,3,TRUE),IF(J1602=2,VLOOKUP(B1602,RPM!$I$2:$K$62,3,TRUE),IF(J1602=3,VLOOKUP(B1602,RPM!$L$2:$N$62,3,TRUE))))</f>
        <v>7000</v>
      </c>
      <c r="L1602" s="17">
        <f t="shared" si="296"/>
        <v>123.65317383111349</v>
      </c>
      <c r="M1602" s="16">
        <f t="shared" si="298"/>
        <v>0</v>
      </c>
      <c r="N1602" s="17">
        <f>VLOOKUP(K1602,RPM!$A$2:$D$62,3,FALSE)</f>
        <v>13</v>
      </c>
      <c r="O1602" s="16">
        <f>VLOOKUP(K1602,RPM!$A$2:$D$62,4,FALSE)</f>
        <v>13.235857142857142</v>
      </c>
      <c r="P1602" s="17">
        <f t="shared" ref="P1602:P1665" si="300">O1602*0.7457</f>
        <v>9.8699786714285711</v>
      </c>
      <c r="Q1602" s="16" cm="1">
        <f t="array" ref="Q1602">_xlfn.XLOOKUP(O1602,BSFC!$A$2:$A$24,_xlfn.XLOOKUP(K1602,BSFC!$B$1:$O$1,BSFC!$B$2:$O$24,,-1),,-1)</f>
        <v>520</v>
      </c>
      <c r="R1602" s="17">
        <f t="shared" ref="R1602:R1665" si="301">Q1602*P1602/3600</f>
        <v>1.425663585873016</v>
      </c>
      <c r="S1602" s="16">
        <f t="shared" si="290"/>
        <v>2.0443068048074323E-4</v>
      </c>
      <c r="T1602" s="17">
        <f t="shared" si="293"/>
        <v>0.10630395384998648</v>
      </c>
      <c r="U1602" s="16">
        <f t="shared" si="294"/>
        <v>201.62000033954197</v>
      </c>
      <c r="V1602" s="17">
        <f t="shared" si="295"/>
        <v>0.41161556664755716</v>
      </c>
      <c r="W1602" s="16">
        <f t="shared" si="291"/>
        <v>1481816.0399312058</v>
      </c>
      <c r="X1602">
        <f>('Hybrid Info'!$A$2-Track!P1602)*(L1602-L1601)*1000+X1601</f>
        <v>11849.254554161351</v>
      </c>
    </row>
    <row r="1603" spans="1:24">
      <c r="A1603" s="16">
        <f t="shared" si="292"/>
        <v>1602</v>
      </c>
      <c r="B1603" s="17">
        <f t="shared" si="299"/>
        <v>13.411199999999999</v>
      </c>
      <c r="C1603" s="16">
        <f>Specification!$G$32</f>
        <v>219.92450400000001</v>
      </c>
      <c r="D1603" s="17">
        <f>0.5*Specification!$K$4*Track!B1603^2*Specification!$K$3*Specification!$K$2</f>
        <v>93.159842569492653</v>
      </c>
      <c r="E1603" s="16">
        <v>0</v>
      </c>
      <c r="F1603" s="17">
        <f>Specification!$C$23*9.81*SIN((E1603*PI()/180))</f>
        <v>0</v>
      </c>
      <c r="G1603" s="18">
        <f>IF(J1603=1,VLOOKUP(K1603,RPM!$E$2:$H$62,3,FALSE)-F1603-E1603-D1603,IF(J1603=2,VLOOKUP(K1603,RPM!$H$2:$K$62,3,FALSE)-F1603-E1603-D1603,IF(J1603=3,VLOOKUP(K1603,RPM!$K$2:$N$62,3,FALSE)-F1603-E1603-D1603)))</f>
        <v>688.48526429214962</v>
      </c>
      <c r="H1603" s="19">
        <f>IF(J1603=1,Specification!$I$14,IF(J1603=2,Specification!$I$15,IF(J1603=3,Specification!$I$16)))</f>
        <v>582.50936296077191</v>
      </c>
      <c r="I1603" s="16">
        <f t="shared" si="297"/>
        <v>0</v>
      </c>
      <c r="J1603" s="17">
        <v>2</v>
      </c>
      <c r="K1603" s="16">
        <f>IF(J1603=1,VLOOKUP(B1603,RPM!$F$2:$H$62,3,TRUE),IF(J1603=2,VLOOKUP(B1603,RPM!$I$2:$K$62,3,TRUE),IF(J1603=3,VLOOKUP(B1603,RPM!$L$2:$N$62,3,TRUE))))</f>
        <v>7000</v>
      </c>
      <c r="L1603" s="17">
        <f t="shared" si="296"/>
        <v>123.72773837418197</v>
      </c>
      <c r="M1603" s="16">
        <f t="shared" si="298"/>
        <v>0</v>
      </c>
      <c r="N1603" s="17">
        <f>VLOOKUP(K1603,RPM!$A$2:$D$62,3,FALSE)</f>
        <v>13</v>
      </c>
      <c r="O1603" s="16">
        <f>VLOOKUP(K1603,RPM!$A$2:$D$62,4,FALSE)</f>
        <v>13.235857142857142</v>
      </c>
      <c r="P1603" s="17">
        <f t="shared" si="300"/>
        <v>9.8699786714285711</v>
      </c>
      <c r="Q1603" s="16" cm="1">
        <f t="array" ref="Q1603">_xlfn.XLOOKUP(O1603,BSFC!$A$2:$A$24,_xlfn.XLOOKUP(K1603,BSFC!$B$1:$O$1,BSFC!$B$2:$O$24,,-1),,-1)</f>
        <v>520</v>
      </c>
      <c r="R1603" s="17">
        <f t="shared" si="301"/>
        <v>1.425663585873016</v>
      </c>
      <c r="S1603" s="16">
        <f t="shared" ref="S1603:S1666" si="302">(L1603-L1602)/3600*P1603</f>
        <v>2.0443068048074323E-4</v>
      </c>
      <c r="T1603" s="17">
        <f t="shared" si="293"/>
        <v>0.10630395384998648</v>
      </c>
      <c r="U1603" s="16">
        <f t="shared" si="294"/>
        <v>201.72630429339196</v>
      </c>
      <c r="V1603" s="17">
        <f t="shared" si="295"/>
        <v>0.41181999732803792</v>
      </c>
      <c r="W1603" s="16">
        <f t="shared" ref="W1603:W1666" si="303">V1603*1000*3600</f>
        <v>1482551.9903809365</v>
      </c>
      <c r="X1603">
        <f>('Hybrid Info'!$A$2-Track!P1603)*(L1603-L1602)*1000+X1602</f>
        <v>12017.060263147603</v>
      </c>
    </row>
    <row r="1604" spans="1:24">
      <c r="A1604" s="16">
        <f t="shared" ref="A1604:A1667" si="304">A1603+1</f>
        <v>1603</v>
      </c>
      <c r="B1604" s="17">
        <f t="shared" si="299"/>
        <v>13.411199999999999</v>
      </c>
      <c r="C1604" s="16">
        <f>Specification!$G$32</f>
        <v>219.92450400000001</v>
      </c>
      <c r="D1604" s="17">
        <f>0.5*Specification!$K$4*Track!B1604^2*Specification!$K$3*Specification!$K$2</f>
        <v>93.159842569492653</v>
      </c>
      <c r="E1604" s="16">
        <v>0</v>
      </c>
      <c r="F1604" s="17">
        <f>Specification!$C$23*9.81*SIN((E1604*PI()/180))</f>
        <v>0</v>
      </c>
      <c r="G1604" s="18">
        <f>IF(J1604=1,VLOOKUP(K1604,RPM!$E$2:$H$62,3,FALSE)-F1604-E1604-D1604,IF(J1604=2,VLOOKUP(K1604,RPM!$H$2:$K$62,3,FALSE)-F1604-E1604-D1604,IF(J1604=3,VLOOKUP(K1604,RPM!$K$2:$N$62,3,FALSE)-F1604-E1604-D1604)))</f>
        <v>688.48526429214962</v>
      </c>
      <c r="H1604" s="19">
        <f>IF(J1604=1,Specification!$I$14,IF(J1604=2,Specification!$I$15,IF(J1604=3,Specification!$I$16)))</f>
        <v>582.50936296077191</v>
      </c>
      <c r="I1604" s="16">
        <f t="shared" si="297"/>
        <v>0</v>
      </c>
      <c r="J1604" s="17">
        <v>2</v>
      </c>
      <c r="K1604" s="16">
        <f>IF(J1604=1,VLOOKUP(B1604,RPM!$F$2:$H$62,3,TRUE),IF(J1604=2,VLOOKUP(B1604,RPM!$I$2:$K$62,3,TRUE),IF(J1604=3,VLOOKUP(B1604,RPM!$L$2:$N$62,3,TRUE))))</f>
        <v>7000</v>
      </c>
      <c r="L1604" s="17">
        <f t="shared" si="296"/>
        <v>123.80230291725044</v>
      </c>
      <c r="M1604" s="16">
        <f t="shared" si="298"/>
        <v>0</v>
      </c>
      <c r="N1604" s="17">
        <f>VLOOKUP(K1604,RPM!$A$2:$D$62,3,FALSE)</f>
        <v>13</v>
      </c>
      <c r="O1604" s="16">
        <f>VLOOKUP(K1604,RPM!$A$2:$D$62,4,FALSE)</f>
        <v>13.235857142857142</v>
      </c>
      <c r="P1604" s="17">
        <f t="shared" si="300"/>
        <v>9.8699786714285711</v>
      </c>
      <c r="Q1604" s="16" cm="1">
        <f t="array" ref="Q1604">_xlfn.XLOOKUP(O1604,BSFC!$A$2:$A$24,_xlfn.XLOOKUP(K1604,BSFC!$B$1:$O$1,BSFC!$B$2:$O$24,,-1),,-1)</f>
        <v>520</v>
      </c>
      <c r="R1604" s="17">
        <f t="shared" si="301"/>
        <v>1.425663585873016</v>
      </c>
      <c r="S1604" s="16">
        <f t="shared" si="302"/>
        <v>2.0443068048074323E-4</v>
      </c>
      <c r="T1604" s="17">
        <f t="shared" ref="T1604:T1667" si="305">S1604*Q1604</f>
        <v>0.10630395384998648</v>
      </c>
      <c r="U1604" s="16">
        <f t="shared" ref="U1604:U1667" si="306">U1603+T1604</f>
        <v>201.83260824724195</v>
      </c>
      <c r="V1604" s="17">
        <f t="shared" si="295"/>
        <v>0.41202442800851868</v>
      </c>
      <c r="W1604" s="16">
        <f t="shared" si="303"/>
        <v>1483287.9408306673</v>
      </c>
      <c r="X1604">
        <f>('Hybrid Info'!$A$2-Track!P1604)*(L1604-L1603)*1000+X1603</f>
        <v>12184.865972133855</v>
      </c>
    </row>
    <row r="1605" spans="1:24">
      <c r="A1605" s="16">
        <f t="shared" si="304"/>
        <v>1604</v>
      </c>
      <c r="B1605" s="17">
        <f t="shared" si="299"/>
        <v>13.411199999999999</v>
      </c>
      <c r="C1605" s="16">
        <f>Specification!$G$32</f>
        <v>219.92450400000001</v>
      </c>
      <c r="D1605" s="17">
        <f>0.5*Specification!$K$4*Track!B1605^2*Specification!$K$3*Specification!$K$2</f>
        <v>93.159842569492653</v>
      </c>
      <c r="E1605" s="16">
        <v>0</v>
      </c>
      <c r="F1605" s="17">
        <f>Specification!$C$23*9.81*SIN((E1605*PI()/180))</f>
        <v>0</v>
      </c>
      <c r="G1605" s="18">
        <f>IF(J1605=1,VLOOKUP(K1605,RPM!$E$2:$H$62,3,FALSE)-F1605-E1605-D1605,IF(J1605=2,VLOOKUP(K1605,RPM!$H$2:$K$62,3,FALSE)-F1605-E1605-D1605,IF(J1605=3,VLOOKUP(K1605,RPM!$K$2:$N$62,3,FALSE)-F1605-E1605-D1605)))</f>
        <v>688.48526429214962</v>
      </c>
      <c r="H1605" s="19">
        <f>IF(J1605=1,Specification!$I$14,IF(J1605=2,Specification!$I$15,IF(J1605=3,Specification!$I$16)))</f>
        <v>582.50936296077191</v>
      </c>
      <c r="I1605" s="16">
        <f t="shared" si="297"/>
        <v>0</v>
      </c>
      <c r="J1605" s="17">
        <v>2</v>
      </c>
      <c r="K1605" s="16">
        <f>IF(J1605=1,VLOOKUP(B1605,RPM!$F$2:$H$62,3,TRUE),IF(J1605=2,VLOOKUP(B1605,RPM!$I$2:$K$62,3,TRUE),IF(J1605=3,VLOOKUP(B1605,RPM!$L$2:$N$62,3,TRUE))))</f>
        <v>7000</v>
      </c>
      <c r="L1605" s="17">
        <f t="shared" si="296"/>
        <v>123.87686746031892</v>
      </c>
      <c r="M1605" s="16">
        <f t="shared" si="298"/>
        <v>0</v>
      </c>
      <c r="N1605" s="17">
        <f>VLOOKUP(K1605,RPM!$A$2:$D$62,3,FALSE)</f>
        <v>13</v>
      </c>
      <c r="O1605" s="16">
        <f>VLOOKUP(K1605,RPM!$A$2:$D$62,4,FALSE)</f>
        <v>13.235857142857142</v>
      </c>
      <c r="P1605" s="17">
        <f t="shared" si="300"/>
        <v>9.8699786714285711</v>
      </c>
      <c r="Q1605" s="16" cm="1">
        <f t="array" ref="Q1605">_xlfn.XLOOKUP(O1605,BSFC!$A$2:$A$24,_xlfn.XLOOKUP(K1605,BSFC!$B$1:$O$1,BSFC!$B$2:$O$24,,-1),,-1)</f>
        <v>520</v>
      </c>
      <c r="R1605" s="17">
        <f t="shared" si="301"/>
        <v>1.425663585873016</v>
      </c>
      <c r="S1605" s="16">
        <f t="shared" si="302"/>
        <v>2.0443068048074323E-4</v>
      </c>
      <c r="T1605" s="17">
        <f t="shared" si="305"/>
        <v>0.10630395384998648</v>
      </c>
      <c r="U1605" s="16">
        <f t="shared" si="306"/>
        <v>201.93891220109194</v>
      </c>
      <c r="V1605" s="17">
        <f t="shared" ref="V1605:V1668" si="307">V1604+S1605</f>
        <v>0.41222885868899944</v>
      </c>
      <c r="W1605" s="16">
        <f t="shared" si="303"/>
        <v>1484023.891280398</v>
      </c>
      <c r="X1605">
        <f>('Hybrid Info'!$A$2-Track!P1605)*(L1605-L1604)*1000+X1604</f>
        <v>12352.671681120108</v>
      </c>
    </row>
    <row r="1606" spans="1:24">
      <c r="A1606" s="16">
        <f t="shared" si="304"/>
        <v>1605</v>
      </c>
      <c r="B1606" s="17">
        <f t="shared" si="299"/>
        <v>13.411199999999999</v>
      </c>
      <c r="C1606" s="16">
        <f>Specification!$G$32</f>
        <v>219.92450400000001</v>
      </c>
      <c r="D1606" s="17">
        <f>0.5*Specification!$K$4*Track!B1606^2*Specification!$K$3*Specification!$K$2</f>
        <v>93.159842569492653</v>
      </c>
      <c r="E1606" s="16">
        <v>0</v>
      </c>
      <c r="F1606" s="17">
        <f>Specification!$C$23*9.81*SIN((E1606*PI()/180))</f>
        <v>0</v>
      </c>
      <c r="G1606" s="18">
        <f>IF(J1606=1,VLOOKUP(K1606,RPM!$E$2:$H$62,3,FALSE)-F1606-E1606-D1606,IF(J1606=2,VLOOKUP(K1606,RPM!$H$2:$K$62,3,FALSE)-F1606-E1606-D1606,IF(J1606=3,VLOOKUP(K1606,RPM!$K$2:$N$62,3,FALSE)-F1606-E1606-D1606)))</f>
        <v>688.48526429214962</v>
      </c>
      <c r="H1606" s="19">
        <f>IF(J1606=1,Specification!$I$14,IF(J1606=2,Specification!$I$15,IF(J1606=3,Specification!$I$16)))</f>
        <v>582.50936296077191</v>
      </c>
      <c r="I1606" s="16">
        <f t="shared" si="297"/>
        <v>0</v>
      </c>
      <c r="J1606" s="17">
        <v>2</v>
      </c>
      <c r="K1606" s="16">
        <f>IF(J1606=1,VLOOKUP(B1606,RPM!$F$2:$H$62,3,TRUE),IF(J1606=2,VLOOKUP(B1606,RPM!$I$2:$K$62,3,TRUE),IF(J1606=3,VLOOKUP(B1606,RPM!$L$2:$N$62,3,TRUE))))</f>
        <v>7000</v>
      </c>
      <c r="L1606" s="17">
        <f t="shared" si="296"/>
        <v>123.9514320033874</v>
      </c>
      <c r="M1606" s="16">
        <f t="shared" si="298"/>
        <v>0</v>
      </c>
      <c r="N1606" s="17">
        <f>VLOOKUP(K1606,RPM!$A$2:$D$62,3,FALSE)</f>
        <v>13</v>
      </c>
      <c r="O1606" s="16">
        <f>VLOOKUP(K1606,RPM!$A$2:$D$62,4,FALSE)</f>
        <v>13.235857142857142</v>
      </c>
      <c r="P1606" s="17">
        <f t="shared" si="300"/>
        <v>9.8699786714285711</v>
      </c>
      <c r="Q1606" s="16" cm="1">
        <f t="array" ref="Q1606">_xlfn.XLOOKUP(O1606,BSFC!$A$2:$A$24,_xlfn.XLOOKUP(K1606,BSFC!$B$1:$O$1,BSFC!$B$2:$O$24,,-1),,-1)</f>
        <v>520</v>
      </c>
      <c r="R1606" s="17">
        <f t="shared" si="301"/>
        <v>1.425663585873016</v>
      </c>
      <c r="S1606" s="16">
        <f t="shared" si="302"/>
        <v>2.0443068048074323E-4</v>
      </c>
      <c r="T1606" s="17">
        <f t="shared" si="305"/>
        <v>0.10630395384998648</v>
      </c>
      <c r="U1606" s="16">
        <f t="shared" si="306"/>
        <v>202.04521615494193</v>
      </c>
      <c r="V1606" s="17">
        <f t="shared" si="307"/>
        <v>0.4124332893694802</v>
      </c>
      <c r="W1606" s="16">
        <f t="shared" si="303"/>
        <v>1484759.8417301287</v>
      </c>
      <c r="X1606">
        <f>('Hybrid Info'!$A$2-Track!P1606)*(L1606-L1605)*1000+X1605</f>
        <v>12520.47739010636</v>
      </c>
    </row>
    <row r="1607" spans="1:24">
      <c r="A1607" s="16">
        <f t="shared" si="304"/>
        <v>1606</v>
      </c>
      <c r="B1607" s="17">
        <f t="shared" si="299"/>
        <v>13.411199999999999</v>
      </c>
      <c r="C1607" s="16">
        <f>Specification!$G$32</f>
        <v>219.92450400000001</v>
      </c>
      <c r="D1607" s="17">
        <f>0.5*Specification!$K$4*Track!B1607^2*Specification!$K$3*Specification!$K$2</f>
        <v>93.159842569492653</v>
      </c>
      <c r="E1607" s="16">
        <v>0</v>
      </c>
      <c r="F1607" s="17">
        <f>Specification!$C$23*9.81*SIN((E1607*PI()/180))</f>
        <v>0</v>
      </c>
      <c r="G1607" s="18">
        <f>IF(J1607=1,VLOOKUP(K1607,RPM!$E$2:$H$62,3,FALSE)-F1607-E1607-D1607,IF(J1607=2,VLOOKUP(K1607,RPM!$H$2:$K$62,3,FALSE)-F1607-E1607-D1607,IF(J1607=3,VLOOKUP(K1607,RPM!$K$2:$N$62,3,FALSE)-F1607-E1607-D1607)))</f>
        <v>688.48526429214962</v>
      </c>
      <c r="H1607" s="19">
        <f>IF(J1607=1,Specification!$I$14,IF(J1607=2,Specification!$I$15,IF(J1607=3,Specification!$I$16)))</f>
        <v>582.50936296077191</v>
      </c>
      <c r="I1607" s="16">
        <f t="shared" si="297"/>
        <v>0</v>
      </c>
      <c r="J1607" s="17">
        <v>2</v>
      </c>
      <c r="K1607" s="16">
        <f>IF(J1607=1,VLOOKUP(B1607,RPM!$F$2:$H$62,3,TRUE),IF(J1607=2,VLOOKUP(B1607,RPM!$I$2:$K$62,3,TRUE),IF(J1607=3,VLOOKUP(B1607,RPM!$L$2:$N$62,3,TRUE))))</f>
        <v>7000</v>
      </c>
      <c r="L1607" s="17">
        <f t="shared" si="296"/>
        <v>124.02599654645587</v>
      </c>
      <c r="M1607" s="16">
        <f t="shared" si="298"/>
        <v>0</v>
      </c>
      <c r="N1607" s="17">
        <f>VLOOKUP(K1607,RPM!$A$2:$D$62,3,FALSE)</f>
        <v>13</v>
      </c>
      <c r="O1607" s="16">
        <f>VLOOKUP(K1607,RPM!$A$2:$D$62,4,FALSE)</f>
        <v>13.235857142857142</v>
      </c>
      <c r="P1607" s="17">
        <f t="shared" si="300"/>
        <v>9.8699786714285711</v>
      </c>
      <c r="Q1607" s="16" cm="1">
        <f t="array" ref="Q1607">_xlfn.XLOOKUP(O1607,BSFC!$A$2:$A$24,_xlfn.XLOOKUP(K1607,BSFC!$B$1:$O$1,BSFC!$B$2:$O$24,,-1),,-1)</f>
        <v>520</v>
      </c>
      <c r="R1607" s="17">
        <f t="shared" si="301"/>
        <v>1.425663585873016</v>
      </c>
      <c r="S1607" s="16">
        <f t="shared" si="302"/>
        <v>2.0443068048074323E-4</v>
      </c>
      <c r="T1607" s="17">
        <f t="shared" si="305"/>
        <v>0.10630395384998648</v>
      </c>
      <c r="U1607" s="16">
        <f t="shared" si="306"/>
        <v>202.15152010879191</v>
      </c>
      <c r="V1607" s="17">
        <f t="shared" si="307"/>
        <v>0.41263772004996097</v>
      </c>
      <c r="W1607" s="16">
        <f t="shared" si="303"/>
        <v>1485495.7921798595</v>
      </c>
      <c r="X1607">
        <f>('Hybrid Info'!$A$2-Track!P1607)*(L1607-L1606)*1000+X1606</f>
        <v>12688.283099092612</v>
      </c>
    </row>
    <row r="1608" spans="1:24">
      <c r="A1608" s="16">
        <f t="shared" si="304"/>
        <v>1607</v>
      </c>
      <c r="B1608" s="17">
        <f t="shared" si="299"/>
        <v>13.411199999999999</v>
      </c>
      <c r="C1608" s="16">
        <f>Specification!$G$32</f>
        <v>219.92450400000001</v>
      </c>
      <c r="D1608" s="17">
        <f>0.5*Specification!$K$4*Track!B1608^2*Specification!$K$3*Specification!$K$2</f>
        <v>93.159842569492653</v>
      </c>
      <c r="E1608" s="16">
        <v>0</v>
      </c>
      <c r="F1608" s="17">
        <f>Specification!$C$23*9.81*SIN((E1608*PI()/180))</f>
        <v>0</v>
      </c>
      <c r="G1608" s="18">
        <f>IF(J1608=1,VLOOKUP(K1608,RPM!$E$2:$H$62,3,FALSE)-F1608-E1608-D1608,IF(J1608=2,VLOOKUP(K1608,RPM!$H$2:$K$62,3,FALSE)-F1608-E1608-D1608,IF(J1608=3,VLOOKUP(K1608,RPM!$K$2:$N$62,3,FALSE)-F1608-E1608-D1608)))</f>
        <v>688.48526429214962</v>
      </c>
      <c r="H1608" s="19">
        <f>IF(J1608=1,Specification!$I$14,IF(J1608=2,Specification!$I$15,IF(J1608=3,Specification!$I$16)))</f>
        <v>582.50936296077191</v>
      </c>
      <c r="I1608" s="16">
        <f t="shared" si="297"/>
        <v>0</v>
      </c>
      <c r="J1608" s="17">
        <v>2</v>
      </c>
      <c r="K1608" s="16">
        <f>IF(J1608=1,VLOOKUP(B1608,RPM!$F$2:$H$62,3,TRUE),IF(J1608=2,VLOOKUP(B1608,RPM!$I$2:$K$62,3,TRUE),IF(J1608=3,VLOOKUP(B1608,RPM!$L$2:$N$62,3,TRUE))))</f>
        <v>7000</v>
      </c>
      <c r="L1608" s="17">
        <f t="shared" si="296"/>
        <v>124.10056108952435</v>
      </c>
      <c r="M1608" s="16">
        <f t="shared" si="298"/>
        <v>0</v>
      </c>
      <c r="N1608" s="17">
        <f>VLOOKUP(K1608,RPM!$A$2:$D$62,3,FALSE)</f>
        <v>13</v>
      </c>
      <c r="O1608" s="16">
        <f>VLOOKUP(K1608,RPM!$A$2:$D$62,4,FALSE)</f>
        <v>13.235857142857142</v>
      </c>
      <c r="P1608" s="17">
        <f t="shared" si="300"/>
        <v>9.8699786714285711</v>
      </c>
      <c r="Q1608" s="16" cm="1">
        <f t="array" ref="Q1608">_xlfn.XLOOKUP(O1608,BSFC!$A$2:$A$24,_xlfn.XLOOKUP(K1608,BSFC!$B$1:$O$1,BSFC!$B$2:$O$24,,-1),,-1)</f>
        <v>520</v>
      </c>
      <c r="R1608" s="17">
        <f t="shared" si="301"/>
        <v>1.425663585873016</v>
      </c>
      <c r="S1608" s="16">
        <f t="shared" si="302"/>
        <v>2.0443068048074323E-4</v>
      </c>
      <c r="T1608" s="17">
        <f t="shared" si="305"/>
        <v>0.10630395384998648</v>
      </c>
      <c r="U1608" s="16">
        <f t="shared" si="306"/>
        <v>202.2578240626419</v>
      </c>
      <c r="V1608" s="17">
        <f t="shared" si="307"/>
        <v>0.41284215073044173</v>
      </c>
      <c r="W1608" s="16">
        <f t="shared" si="303"/>
        <v>1486231.7426295902</v>
      </c>
      <c r="X1608">
        <f>('Hybrid Info'!$A$2-Track!P1608)*(L1608-L1607)*1000+X1607</f>
        <v>12856.088808078865</v>
      </c>
    </row>
    <row r="1609" spans="1:24">
      <c r="A1609" s="16">
        <f t="shared" si="304"/>
        <v>1608</v>
      </c>
      <c r="B1609" s="17">
        <f t="shared" si="299"/>
        <v>13.411199999999999</v>
      </c>
      <c r="C1609" s="16">
        <f>Specification!$G$32</f>
        <v>219.92450400000001</v>
      </c>
      <c r="D1609" s="17">
        <f>0.5*Specification!$K$4*Track!B1609^2*Specification!$K$3*Specification!$K$2</f>
        <v>93.159842569492653</v>
      </c>
      <c r="E1609" s="16">
        <v>0</v>
      </c>
      <c r="F1609" s="17">
        <f>Specification!$C$23*9.81*SIN((E1609*PI()/180))</f>
        <v>0</v>
      </c>
      <c r="G1609" s="18">
        <f>IF(J1609=1,VLOOKUP(K1609,RPM!$E$2:$H$62,3,FALSE)-F1609-E1609-D1609,IF(J1609=2,VLOOKUP(K1609,RPM!$H$2:$K$62,3,FALSE)-F1609-E1609-D1609,IF(J1609=3,VLOOKUP(K1609,RPM!$K$2:$N$62,3,FALSE)-F1609-E1609-D1609)))</f>
        <v>688.48526429214962</v>
      </c>
      <c r="H1609" s="19">
        <f>IF(J1609=1,Specification!$I$14,IF(J1609=2,Specification!$I$15,IF(J1609=3,Specification!$I$16)))</f>
        <v>582.50936296077191</v>
      </c>
      <c r="I1609" s="16">
        <f t="shared" si="297"/>
        <v>0</v>
      </c>
      <c r="J1609" s="17">
        <v>2</v>
      </c>
      <c r="K1609" s="16">
        <f>IF(J1609=1,VLOOKUP(B1609,RPM!$F$2:$H$62,3,TRUE),IF(J1609=2,VLOOKUP(B1609,RPM!$I$2:$K$62,3,TRUE),IF(J1609=3,VLOOKUP(B1609,RPM!$L$2:$N$62,3,TRUE))))</f>
        <v>7000</v>
      </c>
      <c r="L1609" s="17">
        <f t="shared" si="296"/>
        <v>124.17512563259282</v>
      </c>
      <c r="M1609" s="16">
        <f t="shared" si="298"/>
        <v>0</v>
      </c>
      <c r="N1609" s="17">
        <f>VLOOKUP(K1609,RPM!$A$2:$D$62,3,FALSE)</f>
        <v>13</v>
      </c>
      <c r="O1609" s="16">
        <f>VLOOKUP(K1609,RPM!$A$2:$D$62,4,FALSE)</f>
        <v>13.235857142857142</v>
      </c>
      <c r="P1609" s="17">
        <f t="shared" si="300"/>
        <v>9.8699786714285711</v>
      </c>
      <c r="Q1609" s="16" cm="1">
        <f t="array" ref="Q1609">_xlfn.XLOOKUP(O1609,BSFC!$A$2:$A$24,_xlfn.XLOOKUP(K1609,BSFC!$B$1:$O$1,BSFC!$B$2:$O$24,,-1),,-1)</f>
        <v>520</v>
      </c>
      <c r="R1609" s="17">
        <f t="shared" si="301"/>
        <v>1.425663585873016</v>
      </c>
      <c r="S1609" s="16">
        <f t="shared" si="302"/>
        <v>2.0443068048074323E-4</v>
      </c>
      <c r="T1609" s="17">
        <f t="shared" si="305"/>
        <v>0.10630395384998648</v>
      </c>
      <c r="U1609" s="16">
        <f t="shared" si="306"/>
        <v>202.36412801649189</v>
      </c>
      <c r="V1609" s="17">
        <f t="shared" si="307"/>
        <v>0.41304658141092249</v>
      </c>
      <c r="W1609" s="16">
        <f t="shared" si="303"/>
        <v>1486967.6930793209</v>
      </c>
      <c r="X1609">
        <f>('Hybrid Info'!$A$2-Track!P1609)*(L1609-L1608)*1000+X1608</f>
        <v>13023.894517065117</v>
      </c>
    </row>
    <row r="1610" spans="1:24">
      <c r="A1610" s="16">
        <f t="shared" si="304"/>
        <v>1609</v>
      </c>
      <c r="B1610" s="17">
        <f t="shared" si="299"/>
        <v>13.411199999999999</v>
      </c>
      <c r="C1610" s="16">
        <f>Specification!$G$30</f>
        <v>109.96225200000001</v>
      </c>
      <c r="D1610" s="17">
        <f>0.5*Specification!$K$4*Track!B1610^2*Specification!$K$3*Specification!$K$2</f>
        <v>93.159842569492653</v>
      </c>
      <c r="E1610" s="16">
        <v>0</v>
      </c>
      <c r="F1610" s="17">
        <f>Specification!$C$23*9.81*SIN((E1610*PI()/180))</f>
        <v>0</v>
      </c>
      <c r="G1610" s="18">
        <f>IF(J1610=1,VLOOKUP(K1610,RPM!$E$2:$H$62,3,FALSE)-F1610-E1610-D1610,IF(J1610=2,VLOOKUP(K1610,RPM!$H$2:$K$62,3,FALSE)-F1610-E1610-D1610,IF(J1610=3,VLOOKUP(K1610,RPM!$K$2:$N$62,3,FALSE)-F1610-E1610-D1610)))</f>
        <v>688.48526429214962</v>
      </c>
      <c r="H1610" s="19">
        <f>IF(J1610=1,Specification!$I$14,IF(J1610=2,Specification!$I$15,IF(J1610=3,Specification!$I$16)))</f>
        <v>582.50936296077191</v>
      </c>
      <c r="I1610" s="16">
        <f t="shared" si="297"/>
        <v>0</v>
      </c>
      <c r="J1610" s="17">
        <v>2</v>
      </c>
      <c r="K1610" s="16">
        <f>IF(J1610=1,VLOOKUP(B1610,RPM!$F$2:$H$62,3,TRUE),IF(J1610=2,VLOOKUP(B1610,RPM!$I$2:$K$62,3,TRUE),IF(J1610=3,VLOOKUP(B1610,RPM!$L$2:$N$62,3,TRUE))))</f>
        <v>7000</v>
      </c>
      <c r="L1610" s="17">
        <f t="shared" si="296"/>
        <v>124.2496901756613</v>
      </c>
      <c r="M1610" s="16">
        <f t="shared" si="298"/>
        <v>0</v>
      </c>
      <c r="N1610" s="17">
        <f>VLOOKUP(K1610,RPM!$A$2:$D$62,3,FALSE)</f>
        <v>13</v>
      </c>
      <c r="O1610" s="16">
        <f>VLOOKUP(K1610,RPM!$A$2:$D$62,4,FALSE)</f>
        <v>13.235857142857142</v>
      </c>
      <c r="P1610" s="17">
        <f t="shared" si="300"/>
        <v>9.8699786714285711</v>
      </c>
      <c r="Q1610" s="16" cm="1">
        <f t="array" ref="Q1610">_xlfn.XLOOKUP(O1610,BSFC!$A$2:$A$24,_xlfn.XLOOKUP(K1610,BSFC!$B$1:$O$1,BSFC!$B$2:$O$24,,-1),,-1)</f>
        <v>520</v>
      </c>
      <c r="R1610" s="17">
        <f t="shared" si="301"/>
        <v>1.425663585873016</v>
      </c>
      <c r="S1610" s="16">
        <f t="shared" si="302"/>
        <v>2.0443068048074323E-4</v>
      </c>
      <c r="T1610" s="17">
        <f t="shared" si="305"/>
        <v>0.10630395384998648</v>
      </c>
      <c r="U1610" s="16">
        <f t="shared" si="306"/>
        <v>202.47043197034188</v>
      </c>
      <c r="V1610" s="17">
        <f t="shared" si="307"/>
        <v>0.41325101209140325</v>
      </c>
      <c r="W1610" s="16">
        <f t="shared" si="303"/>
        <v>1487703.6435290517</v>
      </c>
      <c r="X1610">
        <f>('Hybrid Info'!$A$2-Track!P1610)*(L1610-L1609)*1000+X1609</f>
        <v>13191.700226051369</v>
      </c>
    </row>
    <row r="1611" spans="1:24">
      <c r="A1611" s="16">
        <f t="shared" si="304"/>
        <v>1610</v>
      </c>
      <c r="B1611" s="17">
        <f t="shared" si="299"/>
        <v>13.411199999999999</v>
      </c>
      <c r="C1611" s="16">
        <f>Specification!$G$30</f>
        <v>109.96225200000001</v>
      </c>
      <c r="D1611" s="17">
        <f>0.5*Specification!$K$4*Track!B1611^2*Specification!$K$3*Specification!$K$2</f>
        <v>93.159842569492653</v>
      </c>
      <c r="E1611" s="16">
        <v>0</v>
      </c>
      <c r="F1611" s="17">
        <f>Specification!$C$23*9.81*SIN((E1611*PI()/180))</f>
        <v>0</v>
      </c>
      <c r="G1611" s="18">
        <f>IF(J1611=1,VLOOKUP(K1611,RPM!$E$2:$H$62,3,FALSE)-F1611-E1611-D1611,IF(J1611=2,VLOOKUP(K1611,RPM!$H$2:$K$62,3,FALSE)-F1611-E1611-D1611,IF(J1611=3,VLOOKUP(K1611,RPM!$K$2:$N$62,3,FALSE)-F1611-E1611-D1611)))</f>
        <v>688.48526429214962</v>
      </c>
      <c r="H1611" s="19">
        <f>IF(J1611=1,Specification!$I$14,IF(J1611=2,Specification!$I$15,IF(J1611=3,Specification!$I$16)))</f>
        <v>582.50936296077191</v>
      </c>
      <c r="I1611" s="16">
        <f t="shared" si="297"/>
        <v>0</v>
      </c>
      <c r="J1611" s="17">
        <v>2</v>
      </c>
      <c r="K1611" s="16">
        <f>IF(J1611=1,VLOOKUP(B1611,RPM!$F$2:$H$62,3,TRUE),IF(J1611=2,VLOOKUP(B1611,RPM!$I$2:$K$62,3,TRUE),IF(J1611=3,VLOOKUP(B1611,RPM!$L$2:$N$62,3,TRUE))))</f>
        <v>7000</v>
      </c>
      <c r="L1611" s="17">
        <f t="shared" si="296"/>
        <v>124.32425471872978</v>
      </c>
      <c r="M1611" s="16">
        <f t="shared" si="298"/>
        <v>0</v>
      </c>
      <c r="N1611" s="17">
        <f>VLOOKUP(K1611,RPM!$A$2:$D$62,3,FALSE)</f>
        <v>13</v>
      </c>
      <c r="O1611" s="16">
        <f>VLOOKUP(K1611,RPM!$A$2:$D$62,4,FALSE)</f>
        <v>13.235857142857142</v>
      </c>
      <c r="P1611" s="17">
        <f t="shared" si="300"/>
        <v>9.8699786714285711</v>
      </c>
      <c r="Q1611" s="16" cm="1">
        <f t="array" ref="Q1611">_xlfn.XLOOKUP(O1611,BSFC!$A$2:$A$24,_xlfn.XLOOKUP(K1611,BSFC!$B$1:$O$1,BSFC!$B$2:$O$24,,-1),,-1)</f>
        <v>520</v>
      </c>
      <c r="R1611" s="17">
        <f t="shared" si="301"/>
        <v>1.425663585873016</v>
      </c>
      <c r="S1611" s="16">
        <f t="shared" si="302"/>
        <v>2.0443068048074323E-4</v>
      </c>
      <c r="T1611" s="17">
        <f t="shared" si="305"/>
        <v>0.10630395384998648</v>
      </c>
      <c r="U1611" s="16">
        <f t="shared" si="306"/>
        <v>202.57673592419187</v>
      </c>
      <c r="V1611" s="17">
        <f t="shared" si="307"/>
        <v>0.41345544277188401</v>
      </c>
      <c r="W1611" s="16">
        <f t="shared" si="303"/>
        <v>1488439.5939787824</v>
      </c>
      <c r="X1611">
        <f>('Hybrid Info'!$A$2-Track!P1611)*(L1611-L1610)*1000+X1610</f>
        <v>13359.505935037621</v>
      </c>
    </row>
    <row r="1612" spans="1:24">
      <c r="A1612" s="16">
        <f t="shared" si="304"/>
        <v>1611</v>
      </c>
      <c r="B1612" s="17">
        <f t="shared" si="299"/>
        <v>13.411199999999999</v>
      </c>
      <c r="C1612" s="16">
        <f>Specification!$G$30</f>
        <v>109.96225200000001</v>
      </c>
      <c r="D1612" s="17">
        <f>0.5*Specification!$K$4*Track!B1612^2*Specification!$K$3*Specification!$K$2</f>
        <v>93.159842569492653</v>
      </c>
      <c r="E1612" s="16">
        <v>0</v>
      </c>
      <c r="F1612" s="17">
        <f>Specification!$C$23*9.81*SIN((E1612*PI()/180))</f>
        <v>0</v>
      </c>
      <c r="G1612" s="18">
        <f>IF(J1612=1,VLOOKUP(K1612,RPM!$E$2:$H$62,3,FALSE)-F1612-E1612-D1612,IF(J1612=2,VLOOKUP(K1612,RPM!$H$2:$K$62,3,FALSE)-F1612-E1612-D1612,IF(J1612=3,VLOOKUP(K1612,RPM!$K$2:$N$62,3,FALSE)-F1612-E1612-D1612)))</f>
        <v>688.48526429214962</v>
      </c>
      <c r="H1612" s="19">
        <f>IF(J1612=1,Specification!$I$14,IF(J1612=2,Specification!$I$15,IF(J1612=3,Specification!$I$16)))</f>
        <v>582.50936296077191</v>
      </c>
      <c r="I1612" s="16">
        <f t="shared" si="297"/>
        <v>0</v>
      </c>
      <c r="J1612" s="17">
        <v>2</v>
      </c>
      <c r="K1612" s="16">
        <f>IF(J1612=1,VLOOKUP(B1612,RPM!$F$2:$H$62,3,TRUE),IF(J1612=2,VLOOKUP(B1612,RPM!$I$2:$K$62,3,TRUE),IF(J1612=3,VLOOKUP(B1612,RPM!$L$2:$N$62,3,TRUE))))</f>
        <v>7000</v>
      </c>
      <c r="L1612" s="17">
        <f t="shared" si="296"/>
        <v>124.39881926179825</v>
      </c>
      <c r="M1612" s="16">
        <f t="shared" si="298"/>
        <v>0</v>
      </c>
      <c r="N1612" s="17">
        <f>VLOOKUP(K1612,RPM!$A$2:$D$62,3,FALSE)</f>
        <v>13</v>
      </c>
      <c r="O1612" s="16">
        <f>VLOOKUP(K1612,RPM!$A$2:$D$62,4,FALSE)</f>
        <v>13.235857142857142</v>
      </c>
      <c r="P1612" s="17">
        <f t="shared" si="300"/>
        <v>9.8699786714285711</v>
      </c>
      <c r="Q1612" s="16" cm="1">
        <f t="array" ref="Q1612">_xlfn.XLOOKUP(O1612,BSFC!$A$2:$A$24,_xlfn.XLOOKUP(K1612,BSFC!$B$1:$O$1,BSFC!$B$2:$O$24,,-1),,-1)</f>
        <v>520</v>
      </c>
      <c r="R1612" s="17">
        <f t="shared" si="301"/>
        <v>1.425663585873016</v>
      </c>
      <c r="S1612" s="16">
        <f t="shared" si="302"/>
        <v>2.0443068048074323E-4</v>
      </c>
      <c r="T1612" s="17">
        <f t="shared" si="305"/>
        <v>0.10630395384998648</v>
      </c>
      <c r="U1612" s="16">
        <f t="shared" si="306"/>
        <v>202.68303987804185</v>
      </c>
      <c r="V1612" s="17">
        <f t="shared" si="307"/>
        <v>0.41365987345236477</v>
      </c>
      <c r="W1612" s="16">
        <f t="shared" si="303"/>
        <v>1489175.5444285132</v>
      </c>
      <c r="X1612">
        <f>('Hybrid Info'!$A$2-Track!P1612)*(L1612-L1611)*1000+X1611</f>
        <v>13527.311644023874</v>
      </c>
    </row>
    <row r="1613" spans="1:24">
      <c r="A1613" s="16">
        <f t="shared" si="304"/>
        <v>1612</v>
      </c>
      <c r="B1613" s="17">
        <f t="shared" si="299"/>
        <v>13.411199999999999</v>
      </c>
      <c r="C1613" s="16">
        <f>Specification!$G$30</f>
        <v>109.96225200000001</v>
      </c>
      <c r="D1613" s="17">
        <f>0.5*Specification!$K$4*Track!B1613^2*Specification!$K$3*Specification!$K$2</f>
        <v>93.159842569492653</v>
      </c>
      <c r="E1613" s="16">
        <v>0</v>
      </c>
      <c r="F1613" s="17">
        <f>Specification!$C$23*9.81*SIN((E1613*PI()/180))</f>
        <v>0</v>
      </c>
      <c r="G1613" s="18">
        <f>IF(J1613=1,VLOOKUP(K1613,RPM!$E$2:$H$62,3,FALSE)-F1613-E1613-D1613,IF(J1613=2,VLOOKUP(K1613,RPM!$H$2:$K$62,3,FALSE)-F1613-E1613-D1613,IF(J1613=3,VLOOKUP(K1613,RPM!$K$2:$N$62,3,FALSE)-F1613-E1613-D1613)))</f>
        <v>688.48526429214962</v>
      </c>
      <c r="H1613" s="19">
        <f>IF(J1613=1,Specification!$I$14,IF(J1613=2,Specification!$I$15,IF(J1613=3,Specification!$I$16)))</f>
        <v>582.50936296077191</v>
      </c>
      <c r="I1613" s="16">
        <f t="shared" si="297"/>
        <v>0</v>
      </c>
      <c r="J1613" s="17">
        <v>2</v>
      </c>
      <c r="K1613" s="16">
        <f>IF(J1613=1,VLOOKUP(B1613,RPM!$F$2:$H$62,3,TRUE),IF(J1613=2,VLOOKUP(B1613,RPM!$I$2:$K$62,3,TRUE),IF(J1613=3,VLOOKUP(B1613,RPM!$L$2:$N$62,3,TRUE))))</f>
        <v>7000</v>
      </c>
      <c r="L1613" s="17">
        <f t="shared" ref="L1613:L1676" si="308">IF(I1613=0,ABS(1/B1613)+L1612,IF(ABS(B1614-B1613)=0,1/B1613+L1612,ABS((B1614-B1613)/I1613)+L1612))</f>
        <v>124.47338380486673</v>
      </c>
      <c r="M1613" s="16">
        <f t="shared" si="298"/>
        <v>0</v>
      </c>
      <c r="N1613" s="17">
        <f>VLOOKUP(K1613,RPM!$A$2:$D$62,3,FALSE)</f>
        <v>13</v>
      </c>
      <c r="O1613" s="16">
        <f>VLOOKUP(K1613,RPM!$A$2:$D$62,4,FALSE)</f>
        <v>13.235857142857142</v>
      </c>
      <c r="P1613" s="17">
        <f t="shared" si="300"/>
        <v>9.8699786714285711</v>
      </c>
      <c r="Q1613" s="16" cm="1">
        <f t="array" ref="Q1613">_xlfn.XLOOKUP(O1613,BSFC!$A$2:$A$24,_xlfn.XLOOKUP(K1613,BSFC!$B$1:$O$1,BSFC!$B$2:$O$24,,-1),,-1)</f>
        <v>520</v>
      </c>
      <c r="R1613" s="17">
        <f t="shared" si="301"/>
        <v>1.425663585873016</v>
      </c>
      <c r="S1613" s="16">
        <f t="shared" si="302"/>
        <v>2.0443068048074323E-4</v>
      </c>
      <c r="T1613" s="17">
        <f t="shared" si="305"/>
        <v>0.10630395384998648</v>
      </c>
      <c r="U1613" s="16">
        <f t="shared" si="306"/>
        <v>202.78934383189184</v>
      </c>
      <c r="V1613" s="17">
        <f t="shared" si="307"/>
        <v>0.41386430413284553</v>
      </c>
      <c r="W1613" s="16">
        <f t="shared" si="303"/>
        <v>1489911.4948782439</v>
      </c>
      <c r="X1613">
        <f>('Hybrid Info'!$A$2-Track!P1613)*(L1613-L1612)*1000+X1612</f>
        <v>13695.117353010126</v>
      </c>
    </row>
    <row r="1614" spans="1:24">
      <c r="A1614" s="16">
        <f t="shared" si="304"/>
        <v>1613</v>
      </c>
      <c r="B1614" s="17">
        <f t="shared" si="299"/>
        <v>13.411199999999999</v>
      </c>
      <c r="C1614" s="16">
        <f>Specification!$G$30</f>
        <v>109.96225200000001</v>
      </c>
      <c r="D1614" s="17">
        <f>0.5*Specification!$K$4*Track!B1614^2*Specification!$K$3*Specification!$K$2</f>
        <v>93.159842569492653</v>
      </c>
      <c r="E1614" s="16">
        <v>0</v>
      </c>
      <c r="F1614" s="17">
        <f>Specification!$C$23*9.81*SIN((E1614*PI()/180))</f>
        <v>0</v>
      </c>
      <c r="G1614" s="18">
        <f>IF(J1614=1,VLOOKUP(K1614,RPM!$E$2:$H$62,3,FALSE)-F1614-E1614-D1614,IF(J1614=2,VLOOKUP(K1614,RPM!$H$2:$K$62,3,FALSE)-F1614-E1614-D1614,IF(J1614=3,VLOOKUP(K1614,RPM!$K$2:$N$62,3,FALSE)-F1614-E1614-D1614)))</f>
        <v>688.48526429214962</v>
      </c>
      <c r="H1614" s="19">
        <f>IF(J1614=1,Specification!$I$14,IF(J1614=2,Specification!$I$15,IF(J1614=3,Specification!$I$16)))</f>
        <v>582.50936296077191</v>
      </c>
      <c r="I1614" s="16">
        <f t="shared" si="297"/>
        <v>0</v>
      </c>
      <c r="J1614" s="17">
        <v>2</v>
      </c>
      <c r="K1614" s="16">
        <f>IF(J1614=1,VLOOKUP(B1614,RPM!$F$2:$H$62,3,TRUE),IF(J1614=2,VLOOKUP(B1614,RPM!$I$2:$K$62,3,TRUE),IF(J1614=3,VLOOKUP(B1614,RPM!$L$2:$N$62,3,TRUE))))</f>
        <v>7000</v>
      </c>
      <c r="L1614" s="17">
        <f t="shared" si="308"/>
        <v>124.5479483479352</v>
      </c>
      <c r="M1614" s="16">
        <f t="shared" si="298"/>
        <v>0</v>
      </c>
      <c r="N1614" s="17">
        <f>VLOOKUP(K1614,RPM!$A$2:$D$62,3,FALSE)</f>
        <v>13</v>
      </c>
      <c r="O1614" s="16">
        <f>VLOOKUP(K1614,RPM!$A$2:$D$62,4,FALSE)</f>
        <v>13.235857142857142</v>
      </c>
      <c r="P1614" s="17">
        <f t="shared" si="300"/>
        <v>9.8699786714285711</v>
      </c>
      <c r="Q1614" s="16" cm="1">
        <f t="array" ref="Q1614">_xlfn.XLOOKUP(O1614,BSFC!$A$2:$A$24,_xlfn.XLOOKUP(K1614,BSFC!$B$1:$O$1,BSFC!$B$2:$O$24,,-1),,-1)</f>
        <v>520</v>
      </c>
      <c r="R1614" s="17">
        <f t="shared" si="301"/>
        <v>1.425663585873016</v>
      </c>
      <c r="S1614" s="16">
        <f t="shared" si="302"/>
        <v>2.0443068048074323E-4</v>
      </c>
      <c r="T1614" s="17">
        <f t="shared" si="305"/>
        <v>0.10630395384998648</v>
      </c>
      <c r="U1614" s="16">
        <f t="shared" si="306"/>
        <v>202.89564778574183</v>
      </c>
      <c r="V1614" s="17">
        <f t="shared" si="307"/>
        <v>0.41406873481332629</v>
      </c>
      <c r="W1614" s="16">
        <f t="shared" si="303"/>
        <v>1490647.4453279746</v>
      </c>
      <c r="X1614">
        <f>('Hybrid Info'!$A$2-Track!P1614)*(L1614-L1613)*1000+X1613</f>
        <v>13862.923061996378</v>
      </c>
    </row>
    <row r="1615" spans="1:24">
      <c r="A1615" s="16">
        <f t="shared" si="304"/>
        <v>1614</v>
      </c>
      <c r="B1615" s="17">
        <f t="shared" si="299"/>
        <v>13.411199999999999</v>
      </c>
      <c r="C1615" s="16">
        <f>Specification!$G$30</f>
        <v>109.96225200000001</v>
      </c>
      <c r="D1615" s="17">
        <f>0.5*Specification!$K$4*Track!B1615^2*Specification!$K$3*Specification!$K$2</f>
        <v>93.159842569492653</v>
      </c>
      <c r="E1615" s="16">
        <v>0</v>
      </c>
      <c r="F1615" s="17">
        <f>Specification!$C$23*9.81*SIN((E1615*PI()/180))</f>
        <v>0</v>
      </c>
      <c r="G1615" s="18">
        <f>IF(J1615=1,VLOOKUP(K1615,RPM!$E$2:$H$62,3,FALSE)-F1615-E1615-D1615,IF(J1615=2,VLOOKUP(K1615,RPM!$H$2:$K$62,3,FALSE)-F1615-E1615-D1615,IF(J1615=3,VLOOKUP(K1615,RPM!$K$2:$N$62,3,FALSE)-F1615-E1615-D1615)))</f>
        <v>688.48526429214962</v>
      </c>
      <c r="H1615" s="19">
        <f>IF(J1615=1,Specification!$I$14,IF(J1615=2,Specification!$I$15,IF(J1615=3,Specification!$I$16)))</f>
        <v>582.50936296077191</v>
      </c>
      <c r="I1615" s="16">
        <f t="shared" si="297"/>
        <v>0</v>
      </c>
      <c r="J1615" s="17">
        <v>2</v>
      </c>
      <c r="K1615" s="16">
        <f>IF(J1615=1,VLOOKUP(B1615,RPM!$F$2:$H$62,3,TRUE),IF(J1615=2,VLOOKUP(B1615,RPM!$I$2:$K$62,3,TRUE),IF(J1615=3,VLOOKUP(B1615,RPM!$L$2:$N$62,3,TRUE))))</f>
        <v>7000</v>
      </c>
      <c r="L1615" s="17">
        <f t="shared" si="308"/>
        <v>124.62251289100368</v>
      </c>
      <c r="M1615" s="16">
        <f t="shared" si="298"/>
        <v>0</v>
      </c>
      <c r="N1615" s="17">
        <f>VLOOKUP(K1615,RPM!$A$2:$D$62,3,FALSE)</f>
        <v>13</v>
      </c>
      <c r="O1615" s="16">
        <f>VLOOKUP(K1615,RPM!$A$2:$D$62,4,FALSE)</f>
        <v>13.235857142857142</v>
      </c>
      <c r="P1615" s="17">
        <f t="shared" si="300"/>
        <v>9.8699786714285711</v>
      </c>
      <c r="Q1615" s="16" cm="1">
        <f t="array" ref="Q1615">_xlfn.XLOOKUP(O1615,BSFC!$A$2:$A$24,_xlfn.XLOOKUP(K1615,BSFC!$B$1:$O$1,BSFC!$B$2:$O$24,,-1),,-1)</f>
        <v>520</v>
      </c>
      <c r="R1615" s="17">
        <f t="shared" si="301"/>
        <v>1.425663585873016</v>
      </c>
      <c r="S1615" s="16">
        <f t="shared" si="302"/>
        <v>2.0443068048074323E-4</v>
      </c>
      <c r="T1615" s="17">
        <f t="shared" si="305"/>
        <v>0.10630395384998648</v>
      </c>
      <c r="U1615" s="16">
        <f t="shared" si="306"/>
        <v>203.00195173959182</v>
      </c>
      <c r="V1615" s="17">
        <f t="shared" si="307"/>
        <v>0.41427316549380705</v>
      </c>
      <c r="W1615" s="16">
        <f t="shared" si="303"/>
        <v>1491383.3957777054</v>
      </c>
      <c r="X1615">
        <f>('Hybrid Info'!$A$2-Track!P1615)*(L1615-L1614)*1000+X1614</f>
        <v>14030.728770982631</v>
      </c>
    </row>
    <row r="1616" spans="1:24">
      <c r="A1616" s="16">
        <f t="shared" si="304"/>
        <v>1615</v>
      </c>
      <c r="B1616" s="17">
        <f t="shared" si="299"/>
        <v>13.411199999999999</v>
      </c>
      <c r="C1616" s="16">
        <f>Specification!$G$30</f>
        <v>109.96225200000001</v>
      </c>
      <c r="D1616" s="17">
        <f>0.5*Specification!$K$4*Track!B1616^2*Specification!$K$3*Specification!$K$2</f>
        <v>93.159842569492653</v>
      </c>
      <c r="E1616" s="16">
        <v>0</v>
      </c>
      <c r="F1616" s="17">
        <f>Specification!$C$23*9.81*SIN((E1616*PI()/180))</f>
        <v>0</v>
      </c>
      <c r="G1616" s="18">
        <f>IF(J1616=1,VLOOKUP(K1616,RPM!$E$2:$H$62,3,FALSE)-F1616-E1616-D1616,IF(J1616=2,VLOOKUP(K1616,RPM!$H$2:$K$62,3,FALSE)-F1616-E1616-D1616,IF(J1616=3,VLOOKUP(K1616,RPM!$K$2:$N$62,3,FALSE)-F1616-E1616-D1616)))</f>
        <v>688.48526429214962</v>
      </c>
      <c r="H1616" s="19">
        <f>IF(J1616=1,Specification!$I$14,IF(J1616=2,Specification!$I$15,IF(J1616=3,Specification!$I$16)))</f>
        <v>582.50936296077191</v>
      </c>
      <c r="I1616" s="16">
        <f t="shared" si="297"/>
        <v>0</v>
      </c>
      <c r="J1616" s="17">
        <v>2</v>
      </c>
      <c r="K1616" s="16">
        <f>IF(J1616=1,VLOOKUP(B1616,RPM!$F$2:$H$62,3,TRUE),IF(J1616=2,VLOOKUP(B1616,RPM!$I$2:$K$62,3,TRUE),IF(J1616=3,VLOOKUP(B1616,RPM!$L$2:$N$62,3,TRUE))))</f>
        <v>7000</v>
      </c>
      <c r="L1616" s="17">
        <f t="shared" si="308"/>
        <v>124.69707743407216</v>
      </c>
      <c r="M1616" s="16">
        <f t="shared" si="298"/>
        <v>0</v>
      </c>
      <c r="N1616" s="17">
        <f>VLOOKUP(K1616,RPM!$A$2:$D$62,3,FALSE)</f>
        <v>13</v>
      </c>
      <c r="O1616" s="16">
        <f>VLOOKUP(K1616,RPM!$A$2:$D$62,4,FALSE)</f>
        <v>13.235857142857142</v>
      </c>
      <c r="P1616" s="17">
        <f t="shared" si="300"/>
        <v>9.8699786714285711</v>
      </c>
      <c r="Q1616" s="16" cm="1">
        <f t="array" ref="Q1616">_xlfn.XLOOKUP(O1616,BSFC!$A$2:$A$24,_xlfn.XLOOKUP(K1616,BSFC!$B$1:$O$1,BSFC!$B$2:$O$24,,-1),,-1)</f>
        <v>520</v>
      </c>
      <c r="R1616" s="17">
        <f t="shared" si="301"/>
        <v>1.425663585873016</v>
      </c>
      <c r="S1616" s="16">
        <f t="shared" si="302"/>
        <v>2.0443068048074323E-4</v>
      </c>
      <c r="T1616" s="17">
        <f t="shared" si="305"/>
        <v>0.10630395384998648</v>
      </c>
      <c r="U1616" s="16">
        <f t="shared" si="306"/>
        <v>203.10825569344181</v>
      </c>
      <c r="V1616" s="17">
        <f t="shared" si="307"/>
        <v>0.41447759617428781</v>
      </c>
      <c r="W1616" s="16">
        <f t="shared" si="303"/>
        <v>1492119.3462274361</v>
      </c>
      <c r="X1616">
        <f>('Hybrid Info'!$A$2-Track!P1616)*(L1616-L1615)*1000+X1615</f>
        <v>14198.534479968883</v>
      </c>
    </row>
    <row r="1617" spans="1:24">
      <c r="A1617" s="16">
        <f t="shared" si="304"/>
        <v>1616</v>
      </c>
      <c r="B1617" s="17">
        <f t="shared" si="299"/>
        <v>13.411199999999999</v>
      </c>
      <c r="C1617" s="16">
        <f>Specification!$G$30</f>
        <v>109.96225200000001</v>
      </c>
      <c r="D1617" s="17">
        <f>0.5*Specification!$K$4*Track!B1617^2*Specification!$K$3*Specification!$K$2</f>
        <v>93.159842569492653</v>
      </c>
      <c r="E1617" s="16">
        <v>0</v>
      </c>
      <c r="F1617" s="17">
        <f>Specification!$C$23*9.81*SIN((E1617*PI()/180))</f>
        <v>0</v>
      </c>
      <c r="G1617" s="18">
        <f>IF(J1617=1,VLOOKUP(K1617,RPM!$E$2:$H$62,3,FALSE)-F1617-E1617-D1617,IF(J1617=2,VLOOKUP(K1617,RPM!$H$2:$K$62,3,FALSE)-F1617-E1617-D1617,IF(J1617=3,VLOOKUP(K1617,RPM!$K$2:$N$62,3,FALSE)-F1617-E1617-D1617)))</f>
        <v>688.48526429214962</v>
      </c>
      <c r="H1617" s="19">
        <f>IF(J1617=1,Specification!$I$14,IF(J1617=2,Specification!$I$15,IF(J1617=3,Specification!$I$16)))</f>
        <v>582.50936296077191</v>
      </c>
      <c r="I1617" s="16">
        <f t="shared" si="297"/>
        <v>0</v>
      </c>
      <c r="J1617" s="17">
        <v>2</v>
      </c>
      <c r="K1617" s="16">
        <f>IF(J1617=1,VLOOKUP(B1617,RPM!$F$2:$H$62,3,TRUE),IF(J1617=2,VLOOKUP(B1617,RPM!$I$2:$K$62,3,TRUE),IF(J1617=3,VLOOKUP(B1617,RPM!$L$2:$N$62,3,TRUE))))</f>
        <v>7000</v>
      </c>
      <c r="L1617" s="17">
        <f t="shared" si="308"/>
        <v>124.77164197714063</v>
      </c>
      <c r="M1617" s="16">
        <f t="shared" si="298"/>
        <v>0</v>
      </c>
      <c r="N1617" s="17">
        <f>VLOOKUP(K1617,RPM!$A$2:$D$62,3,FALSE)</f>
        <v>13</v>
      </c>
      <c r="O1617" s="16">
        <f>VLOOKUP(K1617,RPM!$A$2:$D$62,4,FALSE)</f>
        <v>13.235857142857142</v>
      </c>
      <c r="P1617" s="17">
        <f t="shared" si="300"/>
        <v>9.8699786714285711</v>
      </c>
      <c r="Q1617" s="16" cm="1">
        <f t="array" ref="Q1617">_xlfn.XLOOKUP(O1617,BSFC!$A$2:$A$24,_xlfn.XLOOKUP(K1617,BSFC!$B$1:$O$1,BSFC!$B$2:$O$24,,-1),,-1)</f>
        <v>520</v>
      </c>
      <c r="R1617" s="17">
        <f t="shared" si="301"/>
        <v>1.425663585873016</v>
      </c>
      <c r="S1617" s="16">
        <f t="shared" si="302"/>
        <v>2.0443068048074323E-4</v>
      </c>
      <c r="T1617" s="17">
        <f t="shared" si="305"/>
        <v>0.10630395384998648</v>
      </c>
      <c r="U1617" s="16">
        <f t="shared" si="306"/>
        <v>203.21455964729179</v>
      </c>
      <c r="V1617" s="17">
        <f t="shared" si="307"/>
        <v>0.41468202685476857</v>
      </c>
      <c r="W1617" s="16">
        <f t="shared" si="303"/>
        <v>1492855.2966771668</v>
      </c>
      <c r="X1617">
        <f>('Hybrid Info'!$A$2-Track!P1617)*(L1617-L1616)*1000+X1616</f>
        <v>14366.340188955135</v>
      </c>
    </row>
    <row r="1618" spans="1:24">
      <c r="A1618" s="16">
        <f t="shared" si="304"/>
        <v>1617</v>
      </c>
      <c r="B1618" s="17">
        <f t="shared" si="299"/>
        <v>13.411199999999999</v>
      </c>
      <c r="C1618" s="16">
        <f>Specification!$G$30</f>
        <v>109.96225200000001</v>
      </c>
      <c r="D1618" s="17">
        <f>0.5*Specification!$K$4*Track!B1618^2*Specification!$K$3*Specification!$K$2</f>
        <v>93.159842569492653</v>
      </c>
      <c r="E1618" s="16">
        <v>0</v>
      </c>
      <c r="F1618" s="17">
        <f>Specification!$C$23*9.81*SIN((E1618*PI()/180))</f>
        <v>0</v>
      </c>
      <c r="G1618" s="18">
        <f>IF(J1618=1,VLOOKUP(K1618,RPM!$E$2:$H$62,3,FALSE)-F1618-E1618-D1618,IF(J1618=2,VLOOKUP(K1618,RPM!$H$2:$K$62,3,FALSE)-F1618-E1618-D1618,IF(J1618=3,VLOOKUP(K1618,RPM!$K$2:$N$62,3,FALSE)-F1618-E1618-D1618)))</f>
        <v>688.48526429214962</v>
      </c>
      <c r="H1618" s="19">
        <f>IF(J1618=1,Specification!$I$14,IF(J1618=2,Specification!$I$15,IF(J1618=3,Specification!$I$16)))</f>
        <v>582.50936296077191</v>
      </c>
      <c r="I1618" s="16">
        <f t="shared" si="297"/>
        <v>0</v>
      </c>
      <c r="J1618" s="17">
        <v>2</v>
      </c>
      <c r="K1618" s="16">
        <f>IF(J1618=1,VLOOKUP(B1618,RPM!$F$2:$H$62,3,TRUE),IF(J1618=2,VLOOKUP(B1618,RPM!$I$2:$K$62,3,TRUE),IF(J1618=3,VLOOKUP(B1618,RPM!$L$2:$N$62,3,TRUE))))</f>
        <v>7000</v>
      </c>
      <c r="L1618" s="17">
        <f t="shared" si="308"/>
        <v>124.84620652020911</v>
      </c>
      <c r="M1618" s="16">
        <f t="shared" si="298"/>
        <v>0</v>
      </c>
      <c r="N1618" s="17">
        <f>VLOOKUP(K1618,RPM!$A$2:$D$62,3,FALSE)</f>
        <v>13</v>
      </c>
      <c r="O1618" s="16">
        <f>VLOOKUP(K1618,RPM!$A$2:$D$62,4,FALSE)</f>
        <v>13.235857142857142</v>
      </c>
      <c r="P1618" s="17">
        <f t="shared" si="300"/>
        <v>9.8699786714285711</v>
      </c>
      <c r="Q1618" s="16" cm="1">
        <f t="array" ref="Q1618">_xlfn.XLOOKUP(O1618,BSFC!$A$2:$A$24,_xlfn.XLOOKUP(K1618,BSFC!$B$1:$O$1,BSFC!$B$2:$O$24,,-1),,-1)</f>
        <v>520</v>
      </c>
      <c r="R1618" s="17">
        <f t="shared" si="301"/>
        <v>1.425663585873016</v>
      </c>
      <c r="S1618" s="16">
        <f t="shared" si="302"/>
        <v>2.0443068048074323E-4</v>
      </c>
      <c r="T1618" s="17">
        <f t="shared" si="305"/>
        <v>0.10630395384998648</v>
      </c>
      <c r="U1618" s="16">
        <f t="shared" si="306"/>
        <v>203.32086360114178</v>
      </c>
      <c r="V1618" s="17">
        <f t="shared" si="307"/>
        <v>0.41488645753524933</v>
      </c>
      <c r="W1618" s="16">
        <f t="shared" si="303"/>
        <v>1493591.2471268976</v>
      </c>
      <c r="X1618">
        <f>('Hybrid Info'!$A$2-Track!P1618)*(L1618-L1617)*1000+X1617</f>
        <v>14534.145897941387</v>
      </c>
    </row>
    <row r="1619" spans="1:24">
      <c r="A1619" s="16">
        <f t="shared" si="304"/>
        <v>1618</v>
      </c>
      <c r="B1619" s="17">
        <f t="shared" si="299"/>
        <v>13.411199999999999</v>
      </c>
      <c r="C1619" s="16">
        <f>Specification!$G$30</f>
        <v>109.96225200000001</v>
      </c>
      <c r="D1619" s="17">
        <f>0.5*Specification!$K$4*Track!B1619^2*Specification!$K$3*Specification!$K$2</f>
        <v>93.159842569492653</v>
      </c>
      <c r="E1619" s="16">
        <v>0</v>
      </c>
      <c r="F1619" s="17">
        <f>Specification!$C$23*9.81*SIN((E1619*PI()/180))</f>
        <v>0</v>
      </c>
      <c r="G1619" s="18">
        <f>IF(J1619=1,VLOOKUP(K1619,RPM!$E$2:$H$62,3,FALSE)-F1619-E1619-D1619,IF(J1619=2,VLOOKUP(K1619,RPM!$H$2:$K$62,3,FALSE)-F1619-E1619-D1619,IF(J1619=3,VLOOKUP(K1619,RPM!$K$2:$N$62,3,FALSE)-F1619-E1619-D1619)))</f>
        <v>688.48526429214962</v>
      </c>
      <c r="H1619" s="19">
        <f>IF(J1619=1,Specification!$I$14,IF(J1619=2,Specification!$I$15,IF(J1619=3,Specification!$I$16)))</f>
        <v>582.50936296077191</v>
      </c>
      <c r="I1619" s="16">
        <f t="shared" si="297"/>
        <v>0</v>
      </c>
      <c r="J1619" s="17">
        <v>2</v>
      </c>
      <c r="K1619" s="16">
        <f>IF(J1619=1,VLOOKUP(B1619,RPM!$F$2:$H$62,3,TRUE),IF(J1619=2,VLOOKUP(B1619,RPM!$I$2:$K$62,3,TRUE),IF(J1619=3,VLOOKUP(B1619,RPM!$L$2:$N$62,3,TRUE))))</f>
        <v>7000</v>
      </c>
      <c r="L1619" s="17">
        <f t="shared" si="308"/>
        <v>124.92077106327758</v>
      </c>
      <c r="M1619" s="16">
        <f t="shared" si="298"/>
        <v>0</v>
      </c>
      <c r="N1619" s="17">
        <f>VLOOKUP(K1619,RPM!$A$2:$D$62,3,FALSE)</f>
        <v>13</v>
      </c>
      <c r="O1619" s="16">
        <f>VLOOKUP(K1619,RPM!$A$2:$D$62,4,FALSE)</f>
        <v>13.235857142857142</v>
      </c>
      <c r="P1619" s="17">
        <f t="shared" si="300"/>
        <v>9.8699786714285711</v>
      </c>
      <c r="Q1619" s="16" cm="1">
        <f t="array" ref="Q1619">_xlfn.XLOOKUP(O1619,BSFC!$A$2:$A$24,_xlfn.XLOOKUP(K1619,BSFC!$B$1:$O$1,BSFC!$B$2:$O$24,,-1),,-1)</f>
        <v>520</v>
      </c>
      <c r="R1619" s="17">
        <f t="shared" si="301"/>
        <v>1.425663585873016</v>
      </c>
      <c r="S1619" s="16">
        <f t="shared" si="302"/>
        <v>2.0443068048074323E-4</v>
      </c>
      <c r="T1619" s="17">
        <f t="shared" si="305"/>
        <v>0.10630395384998648</v>
      </c>
      <c r="U1619" s="16">
        <f t="shared" si="306"/>
        <v>203.42716755499177</v>
      </c>
      <c r="V1619" s="17">
        <f t="shared" si="307"/>
        <v>0.41509088821573009</v>
      </c>
      <c r="W1619" s="16">
        <f t="shared" si="303"/>
        <v>1494327.1975766283</v>
      </c>
      <c r="X1619">
        <f>('Hybrid Info'!$A$2-Track!P1619)*(L1619-L1618)*1000+X1618</f>
        <v>14701.95160692764</v>
      </c>
    </row>
    <row r="1620" spans="1:24">
      <c r="A1620" s="16">
        <f t="shared" si="304"/>
        <v>1619</v>
      </c>
      <c r="B1620" s="17">
        <f t="shared" si="299"/>
        <v>13.411199999999999</v>
      </c>
      <c r="C1620" s="16">
        <f>Specification!$G$30</f>
        <v>109.96225200000001</v>
      </c>
      <c r="D1620" s="17">
        <f>0.5*Specification!$K$4*Track!B1620^2*Specification!$K$3*Specification!$K$2</f>
        <v>93.159842569492653</v>
      </c>
      <c r="E1620" s="16">
        <v>0</v>
      </c>
      <c r="F1620" s="17">
        <f>Specification!$C$23*9.81*SIN((E1620*PI()/180))</f>
        <v>0</v>
      </c>
      <c r="G1620" s="18">
        <f>IF(J1620=1,VLOOKUP(K1620,RPM!$E$2:$H$62,3,FALSE)-F1620-E1620-D1620,IF(J1620=2,VLOOKUP(K1620,RPM!$H$2:$K$62,3,FALSE)-F1620-E1620-D1620,IF(J1620=3,VLOOKUP(K1620,RPM!$K$2:$N$62,3,FALSE)-F1620-E1620-D1620)))</f>
        <v>688.48526429214962</v>
      </c>
      <c r="H1620" s="19">
        <f>IF(J1620=1,Specification!$I$14,IF(J1620=2,Specification!$I$15,IF(J1620=3,Specification!$I$16)))</f>
        <v>582.50936296077191</v>
      </c>
      <c r="I1620" s="16">
        <f t="shared" si="297"/>
        <v>0</v>
      </c>
      <c r="J1620" s="17">
        <v>2</v>
      </c>
      <c r="K1620" s="16">
        <f>IF(J1620=1,VLOOKUP(B1620,RPM!$F$2:$H$62,3,TRUE),IF(J1620=2,VLOOKUP(B1620,RPM!$I$2:$K$62,3,TRUE),IF(J1620=3,VLOOKUP(B1620,RPM!$L$2:$N$62,3,TRUE))))</f>
        <v>7000</v>
      </c>
      <c r="L1620" s="17">
        <f t="shared" si="308"/>
        <v>124.99533560634606</v>
      </c>
      <c r="M1620" s="16">
        <f t="shared" si="298"/>
        <v>0</v>
      </c>
      <c r="N1620" s="17">
        <f>VLOOKUP(K1620,RPM!$A$2:$D$62,3,FALSE)</f>
        <v>13</v>
      </c>
      <c r="O1620" s="16">
        <f>VLOOKUP(K1620,RPM!$A$2:$D$62,4,FALSE)</f>
        <v>13.235857142857142</v>
      </c>
      <c r="P1620" s="17">
        <f t="shared" si="300"/>
        <v>9.8699786714285711</v>
      </c>
      <c r="Q1620" s="16" cm="1">
        <f t="array" ref="Q1620">_xlfn.XLOOKUP(O1620,BSFC!$A$2:$A$24,_xlfn.XLOOKUP(K1620,BSFC!$B$1:$O$1,BSFC!$B$2:$O$24,,-1),,-1)</f>
        <v>520</v>
      </c>
      <c r="R1620" s="17">
        <f t="shared" si="301"/>
        <v>1.425663585873016</v>
      </c>
      <c r="S1620" s="16">
        <f t="shared" si="302"/>
        <v>2.0443068048074323E-4</v>
      </c>
      <c r="T1620" s="17">
        <f t="shared" si="305"/>
        <v>0.10630395384998648</v>
      </c>
      <c r="U1620" s="16">
        <f t="shared" si="306"/>
        <v>203.53347150884176</v>
      </c>
      <c r="V1620" s="17">
        <f t="shared" si="307"/>
        <v>0.41529531889621085</v>
      </c>
      <c r="W1620" s="16">
        <f t="shared" si="303"/>
        <v>1495063.148026359</v>
      </c>
      <c r="X1620">
        <f>('Hybrid Info'!$A$2-Track!P1620)*(L1620-L1619)*1000+X1619</f>
        <v>14869.757315913892</v>
      </c>
    </row>
    <row r="1621" spans="1:24">
      <c r="A1621" s="16">
        <f t="shared" si="304"/>
        <v>1620</v>
      </c>
      <c r="B1621" s="17">
        <f t="shared" si="299"/>
        <v>13.411199999999999</v>
      </c>
      <c r="C1621" s="16">
        <f>Specification!$G$30</f>
        <v>109.96225200000001</v>
      </c>
      <c r="D1621" s="17">
        <f>0.5*Specification!$K$4*Track!B1621^2*Specification!$K$3*Specification!$K$2</f>
        <v>93.159842569492653</v>
      </c>
      <c r="E1621" s="16">
        <v>0</v>
      </c>
      <c r="F1621" s="17">
        <f>Specification!$C$23*9.81*SIN((E1621*PI()/180))</f>
        <v>0</v>
      </c>
      <c r="G1621" s="18">
        <f>IF(J1621=1,VLOOKUP(K1621,RPM!$E$2:$H$62,3,FALSE)-F1621-E1621-D1621,IF(J1621=2,VLOOKUP(K1621,RPM!$H$2:$K$62,3,FALSE)-F1621-E1621-D1621,IF(J1621=3,VLOOKUP(K1621,RPM!$K$2:$N$62,3,FALSE)-F1621-E1621-D1621)))</f>
        <v>688.48526429214962</v>
      </c>
      <c r="H1621" s="19">
        <f>IF(J1621=1,Specification!$I$14,IF(J1621=2,Specification!$I$15,IF(J1621=3,Specification!$I$16)))</f>
        <v>582.50936296077191</v>
      </c>
      <c r="I1621" s="16">
        <f t="shared" si="297"/>
        <v>0</v>
      </c>
      <c r="J1621" s="17">
        <v>2</v>
      </c>
      <c r="K1621" s="16">
        <f>IF(J1621=1,VLOOKUP(B1621,RPM!$F$2:$H$62,3,TRUE),IF(J1621=2,VLOOKUP(B1621,RPM!$I$2:$K$62,3,TRUE),IF(J1621=3,VLOOKUP(B1621,RPM!$L$2:$N$62,3,TRUE))))</f>
        <v>7000</v>
      </c>
      <c r="L1621" s="17">
        <f t="shared" si="308"/>
        <v>125.06990014941454</v>
      </c>
      <c r="M1621" s="16">
        <f t="shared" si="298"/>
        <v>0</v>
      </c>
      <c r="N1621" s="17">
        <f>VLOOKUP(K1621,RPM!$A$2:$D$62,3,FALSE)</f>
        <v>13</v>
      </c>
      <c r="O1621" s="16">
        <f>VLOOKUP(K1621,RPM!$A$2:$D$62,4,FALSE)</f>
        <v>13.235857142857142</v>
      </c>
      <c r="P1621" s="17">
        <f t="shared" si="300"/>
        <v>9.8699786714285711</v>
      </c>
      <c r="Q1621" s="16" cm="1">
        <f t="array" ref="Q1621">_xlfn.XLOOKUP(O1621,BSFC!$A$2:$A$24,_xlfn.XLOOKUP(K1621,BSFC!$B$1:$O$1,BSFC!$B$2:$O$24,,-1),,-1)</f>
        <v>520</v>
      </c>
      <c r="R1621" s="17">
        <f t="shared" si="301"/>
        <v>1.425663585873016</v>
      </c>
      <c r="S1621" s="16">
        <f t="shared" si="302"/>
        <v>2.0443068048074323E-4</v>
      </c>
      <c r="T1621" s="17">
        <f t="shared" si="305"/>
        <v>0.10630395384998648</v>
      </c>
      <c r="U1621" s="16">
        <f t="shared" si="306"/>
        <v>203.63977546269174</v>
      </c>
      <c r="V1621" s="17">
        <f t="shared" si="307"/>
        <v>0.41549974957669161</v>
      </c>
      <c r="W1621" s="16">
        <f t="shared" si="303"/>
        <v>1495799.0984760898</v>
      </c>
      <c r="X1621">
        <f>('Hybrid Info'!$A$2-Track!P1621)*(L1621-L1620)*1000+X1620</f>
        <v>15037.563024900144</v>
      </c>
    </row>
    <row r="1622" spans="1:24">
      <c r="A1622" s="16">
        <f t="shared" si="304"/>
        <v>1621</v>
      </c>
      <c r="B1622" s="17">
        <f t="shared" si="299"/>
        <v>13.411199999999999</v>
      </c>
      <c r="C1622" s="16">
        <f>Specification!$G$30</f>
        <v>109.96225200000001</v>
      </c>
      <c r="D1622" s="17">
        <f>0.5*Specification!$K$4*Track!B1622^2*Specification!$K$3*Specification!$K$2</f>
        <v>93.159842569492653</v>
      </c>
      <c r="E1622" s="16">
        <v>0</v>
      </c>
      <c r="F1622" s="17">
        <f>Specification!$C$23*9.81*SIN((E1622*PI()/180))</f>
        <v>0</v>
      </c>
      <c r="G1622" s="18">
        <f>IF(J1622=1,VLOOKUP(K1622,RPM!$E$2:$H$62,3,FALSE)-F1622-E1622-D1622,IF(J1622=2,VLOOKUP(K1622,RPM!$H$2:$K$62,3,FALSE)-F1622-E1622-D1622,IF(J1622=3,VLOOKUP(K1622,RPM!$K$2:$N$62,3,FALSE)-F1622-E1622-D1622)))</f>
        <v>688.48526429214962</v>
      </c>
      <c r="H1622" s="19">
        <f>IF(J1622=1,Specification!$I$14,IF(J1622=2,Specification!$I$15,IF(J1622=3,Specification!$I$16)))</f>
        <v>582.50936296077191</v>
      </c>
      <c r="I1622" s="16">
        <f t="shared" si="297"/>
        <v>0</v>
      </c>
      <c r="J1622" s="17">
        <v>2</v>
      </c>
      <c r="K1622" s="16">
        <f>IF(J1622=1,VLOOKUP(B1622,RPM!$F$2:$H$62,3,TRUE),IF(J1622=2,VLOOKUP(B1622,RPM!$I$2:$K$62,3,TRUE),IF(J1622=3,VLOOKUP(B1622,RPM!$L$2:$N$62,3,TRUE))))</f>
        <v>7000</v>
      </c>
      <c r="L1622" s="17">
        <f t="shared" si="308"/>
        <v>125.14446469248301</v>
      </c>
      <c r="M1622" s="16">
        <f t="shared" si="298"/>
        <v>0</v>
      </c>
      <c r="N1622" s="17">
        <f>VLOOKUP(K1622,RPM!$A$2:$D$62,3,FALSE)</f>
        <v>13</v>
      </c>
      <c r="O1622" s="16">
        <f>VLOOKUP(K1622,RPM!$A$2:$D$62,4,FALSE)</f>
        <v>13.235857142857142</v>
      </c>
      <c r="P1622" s="17">
        <f t="shared" si="300"/>
        <v>9.8699786714285711</v>
      </c>
      <c r="Q1622" s="16" cm="1">
        <f t="array" ref="Q1622">_xlfn.XLOOKUP(O1622,BSFC!$A$2:$A$24,_xlfn.XLOOKUP(K1622,BSFC!$B$1:$O$1,BSFC!$B$2:$O$24,,-1),,-1)</f>
        <v>520</v>
      </c>
      <c r="R1622" s="17">
        <f t="shared" si="301"/>
        <v>1.425663585873016</v>
      </c>
      <c r="S1622" s="16">
        <f t="shared" si="302"/>
        <v>2.0443068048074323E-4</v>
      </c>
      <c r="T1622" s="17">
        <f t="shared" si="305"/>
        <v>0.10630395384998648</v>
      </c>
      <c r="U1622" s="16">
        <f t="shared" si="306"/>
        <v>203.74607941654173</v>
      </c>
      <c r="V1622" s="17">
        <f t="shared" si="307"/>
        <v>0.41570418025717237</v>
      </c>
      <c r="W1622" s="16">
        <f t="shared" si="303"/>
        <v>1496535.0489258205</v>
      </c>
      <c r="X1622">
        <f>('Hybrid Info'!$A$2-Track!P1622)*(L1622-L1621)*1000+X1621</f>
        <v>15205.368733886397</v>
      </c>
    </row>
    <row r="1623" spans="1:24">
      <c r="A1623" s="16">
        <f t="shared" si="304"/>
        <v>1622</v>
      </c>
      <c r="B1623" s="17">
        <f t="shared" si="299"/>
        <v>13.411199999999999</v>
      </c>
      <c r="C1623" s="16">
        <f>Specification!$G$30</f>
        <v>109.96225200000001</v>
      </c>
      <c r="D1623" s="17">
        <f>0.5*Specification!$K$4*Track!B1623^2*Specification!$K$3*Specification!$K$2</f>
        <v>93.159842569492653</v>
      </c>
      <c r="E1623" s="16">
        <v>0</v>
      </c>
      <c r="F1623" s="17">
        <f>Specification!$C$23*9.81*SIN((E1623*PI()/180))</f>
        <v>0</v>
      </c>
      <c r="G1623" s="18">
        <f>IF(J1623=1,VLOOKUP(K1623,RPM!$E$2:$H$62,3,FALSE)-F1623-E1623-D1623,IF(J1623=2,VLOOKUP(K1623,RPM!$H$2:$K$62,3,FALSE)-F1623-E1623-D1623,IF(J1623=3,VLOOKUP(K1623,RPM!$K$2:$N$62,3,FALSE)-F1623-E1623-D1623)))</f>
        <v>688.48526429214962</v>
      </c>
      <c r="H1623" s="19">
        <f>IF(J1623=1,Specification!$I$14,IF(J1623=2,Specification!$I$15,IF(J1623=3,Specification!$I$16)))</f>
        <v>582.50936296077191</v>
      </c>
      <c r="I1623" s="16">
        <f t="shared" si="297"/>
        <v>0</v>
      </c>
      <c r="J1623" s="17">
        <v>2</v>
      </c>
      <c r="K1623" s="16">
        <f>IF(J1623=1,VLOOKUP(B1623,RPM!$F$2:$H$62,3,TRUE),IF(J1623=2,VLOOKUP(B1623,RPM!$I$2:$K$62,3,TRUE),IF(J1623=3,VLOOKUP(B1623,RPM!$L$2:$N$62,3,TRUE))))</f>
        <v>7000</v>
      </c>
      <c r="L1623" s="17">
        <f t="shared" si="308"/>
        <v>125.21902923555149</v>
      </c>
      <c r="M1623" s="16">
        <f t="shared" si="298"/>
        <v>0</v>
      </c>
      <c r="N1623" s="17">
        <f>VLOOKUP(K1623,RPM!$A$2:$D$62,3,FALSE)</f>
        <v>13</v>
      </c>
      <c r="O1623" s="16">
        <f>VLOOKUP(K1623,RPM!$A$2:$D$62,4,FALSE)</f>
        <v>13.235857142857142</v>
      </c>
      <c r="P1623" s="17">
        <f t="shared" si="300"/>
        <v>9.8699786714285711</v>
      </c>
      <c r="Q1623" s="16" cm="1">
        <f t="array" ref="Q1623">_xlfn.XLOOKUP(O1623,BSFC!$A$2:$A$24,_xlfn.XLOOKUP(K1623,BSFC!$B$1:$O$1,BSFC!$B$2:$O$24,,-1),,-1)</f>
        <v>520</v>
      </c>
      <c r="R1623" s="17">
        <f t="shared" si="301"/>
        <v>1.425663585873016</v>
      </c>
      <c r="S1623" s="16">
        <f t="shared" si="302"/>
        <v>2.0443068048074323E-4</v>
      </c>
      <c r="T1623" s="17">
        <f t="shared" si="305"/>
        <v>0.10630395384998648</v>
      </c>
      <c r="U1623" s="16">
        <f t="shared" si="306"/>
        <v>203.85238337039172</v>
      </c>
      <c r="V1623" s="17">
        <f t="shared" si="307"/>
        <v>0.41590861093765313</v>
      </c>
      <c r="W1623" s="16">
        <f t="shared" si="303"/>
        <v>1497270.9993755512</v>
      </c>
      <c r="X1623">
        <f>('Hybrid Info'!$A$2-Track!P1623)*(L1623-L1622)*1000+X1622</f>
        <v>15373.174442872649</v>
      </c>
    </row>
    <row r="1624" spans="1:24">
      <c r="A1624" s="16">
        <f t="shared" si="304"/>
        <v>1623</v>
      </c>
      <c r="B1624" s="17">
        <f t="shared" si="299"/>
        <v>13.411199999999999</v>
      </c>
      <c r="C1624" s="16">
        <f>Specification!$G$30</f>
        <v>109.96225200000001</v>
      </c>
      <c r="D1624" s="17">
        <f>0.5*Specification!$K$4*Track!B1624^2*Specification!$K$3*Specification!$K$2</f>
        <v>93.159842569492653</v>
      </c>
      <c r="E1624" s="16">
        <v>0</v>
      </c>
      <c r="F1624" s="17">
        <f>Specification!$C$23*9.81*SIN((E1624*PI()/180))</f>
        <v>0</v>
      </c>
      <c r="G1624" s="18">
        <f>IF(J1624=1,VLOOKUP(K1624,RPM!$E$2:$H$62,3,FALSE)-F1624-E1624-D1624,IF(J1624=2,VLOOKUP(K1624,RPM!$H$2:$K$62,3,FALSE)-F1624-E1624-D1624,IF(J1624=3,VLOOKUP(K1624,RPM!$K$2:$N$62,3,FALSE)-F1624-E1624-D1624)))</f>
        <v>688.48526429214962</v>
      </c>
      <c r="H1624" s="19">
        <f>IF(J1624=1,Specification!$I$14,IF(J1624=2,Specification!$I$15,IF(J1624=3,Specification!$I$16)))</f>
        <v>582.50936296077191</v>
      </c>
      <c r="I1624" s="16">
        <f t="shared" si="297"/>
        <v>0</v>
      </c>
      <c r="J1624" s="17">
        <v>2</v>
      </c>
      <c r="K1624" s="16">
        <f>IF(J1624=1,VLOOKUP(B1624,RPM!$F$2:$H$62,3,TRUE),IF(J1624=2,VLOOKUP(B1624,RPM!$I$2:$K$62,3,TRUE),IF(J1624=3,VLOOKUP(B1624,RPM!$L$2:$N$62,3,TRUE))))</f>
        <v>7000</v>
      </c>
      <c r="L1624" s="17">
        <f t="shared" si="308"/>
        <v>125.29359377861996</v>
      </c>
      <c r="M1624" s="16">
        <f t="shared" si="298"/>
        <v>0</v>
      </c>
      <c r="N1624" s="17">
        <f>VLOOKUP(K1624,RPM!$A$2:$D$62,3,FALSE)</f>
        <v>13</v>
      </c>
      <c r="O1624" s="16">
        <f>VLOOKUP(K1624,RPM!$A$2:$D$62,4,FALSE)</f>
        <v>13.235857142857142</v>
      </c>
      <c r="P1624" s="17">
        <f t="shared" si="300"/>
        <v>9.8699786714285711</v>
      </c>
      <c r="Q1624" s="16" cm="1">
        <f t="array" ref="Q1624">_xlfn.XLOOKUP(O1624,BSFC!$A$2:$A$24,_xlfn.XLOOKUP(K1624,BSFC!$B$1:$O$1,BSFC!$B$2:$O$24,,-1),,-1)</f>
        <v>520</v>
      </c>
      <c r="R1624" s="17">
        <f t="shared" si="301"/>
        <v>1.425663585873016</v>
      </c>
      <c r="S1624" s="16">
        <f t="shared" si="302"/>
        <v>2.0443068048074323E-4</v>
      </c>
      <c r="T1624" s="17">
        <f t="shared" si="305"/>
        <v>0.10630395384998648</v>
      </c>
      <c r="U1624" s="16">
        <f t="shared" si="306"/>
        <v>203.95868732424171</v>
      </c>
      <c r="V1624" s="17">
        <f t="shared" si="307"/>
        <v>0.41611304161813389</v>
      </c>
      <c r="W1624" s="16">
        <f t="shared" si="303"/>
        <v>1498006.949825282</v>
      </c>
      <c r="X1624">
        <f>('Hybrid Info'!$A$2-Track!P1624)*(L1624-L1623)*1000+X1623</f>
        <v>15540.980151858901</v>
      </c>
    </row>
    <row r="1625" spans="1:24">
      <c r="A1625" s="16">
        <f t="shared" si="304"/>
        <v>1624</v>
      </c>
      <c r="B1625" s="17">
        <f t="shared" si="299"/>
        <v>13.411199999999999</v>
      </c>
      <c r="C1625" s="16">
        <f>Specification!$G$30</f>
        <v>109.96225200000001</v>
      </c>
      <c r="D1625" s="17">
        <f>0.5*Specification!$K$4*Track!B1625^2*Specification!$K$3*Specification!$K$2</f>
        <v>93.159842569492653</v>
      </c>
      <c r="E1625" s="16">
        <v>0</v>
      </c>
      <c r="F1625" s="17">
        <f>Specification!$C$23*9.81*SIN((E1625*PI()/180))</f>
        <v>0</v>
      </c>
      <c r="G1625" s="18">
        <f>IF(J1625=1,VLOOKUP(K1625,RPM!$E$2:$H$62,3,FALSE)-F1625-E1625-D1625,IF(J1625=2,VLOOKUP(K1625,RPM!$H$2:$K$62,3,FALSE)-F1625-E1625-D1625,IF(J1625=3,VLOOKUP(K1625,RPM!$K$2:$N$62,3,FALSE)-F1625-E1625-D1625)))</f>
        <v>688.48526429214962</v>
      </c>
      <c r="H1625" s="19">
        <f>IF(J1625=1,Specification!$I$14,IF(J1625=2,Specification!$I$15,IF(J1625=3,Specification!$I$16)))</f>
        <v>582.50936296077191</v>
      </c>
      <c r="I1625" s="16">
        <f t="shared" si="297"/>
        <v>0</v>
      </c>
      <c r="J1625" s="17">
        <v>2</v>
      </c>
      <c r="K1625" s="16">
        <f>IF(J1625=1,VLOOKUP(B1625,RPM!$F$2:$H$62,3,TRUE),IF(J1625=2,VLOOKUP(B1625,RPM!$I$2:$K$62,3,TRUE),IF(J1625=3,VLOOKUP(B1625,RPM!$L$2:$N$62,3,TRUE))))</f>
        <v>7000</v>
      </c>
      <c r="L1625" s="17">
        <f t="shared" si="308"/>
        <v>125.36815832168844</v>
      </c>
      <c r="M1625" s="16">
        <f t="shared" si="298"/>
        <v>0</v>
      </c>
      <c r="N1625" s="17">
        <f>VLOOKUP(K1625,RPM!$A$2:$D$62,3,FALSE)</f>
        <v>13</v>
      </c>
      <c r="O1625" s="16">
        <f>VLOOKUP(K1625,RPM!$A$2:$D$62,4,FALSE)</f>
        <v>13.235857142857142</v>
      </c>
      <c r="P1625" s="17">
        <f t="shared" si="300"/>
        <v>9.8699786714285711</v>
      </c>
      <c r="Q1625" s="16" cm="1">
        <f t="array" ref="Q1625">_xlfn.XLOOKUP(O1625,BSFC!$A$2:$A$24,_xlfn.XLOOKUP(K1625,BSFC!$B$1:$O$1,BSFC!$B$2:$O$24,,-1),,-1)</f>
        <v>520</v>
      </c>
      <c r="R1625" s="17">
        <f t="shared" si="301"/>
        <v>1.425663585873016</v>
      </c>
      <c r="S1625" s="16">
        <f t="shared" si="302"/>
        <v>2.0443068048074323E-4</v>
      </c>
      <c r="T1625" s="17">
        <f t="shared" si="305"/>
        <v>0.10630395384998648</v>
      </c>
      <c r="U1625" s="16">
        <f t="shared" si="306"/>
        <v>204.0649912780917</v>
      </c>
      <c r="V1625" s="17">
        <f t="shared" si="307"/>
        <v>0.41631747229861465</v>
      </c>
      <c r="W1625" s="16">
        <f t="shared" si="303"/>
        <v>1498742.9002750127</v>
      </c>
      <c r="X1625">
        <f>('Hybrid Info'!$A$2-Track!P1625)*(L1625-L1624)*1000+X1624</f>
        <v>15708.785860845153</v>
      </c>
    </row>
    <row r="1626" spans="1:24">
      <c r="A1626" s="16">
        <f t="shared" si="304"/>
        <v>1625</v>
      </c>
      <c r="B1626" s="17">
        <f t="shared" si="299"/>
        <v>13.411199999999999</v>
      </c>
      <c r="C1626" s="16">
        <f>Specification!$G$30</f>
        <v>109.96225200000001</v>
      </c>
      <c r="D1626" s="17">
        <f>0.5*Specification!$K$4*Track!B1626^2*Specification!$K$3*Specification!$K$2</f>
        <v>93.159842569492653</v>
      </c>
      <c r="E1626" s="16">
        <v>0</v>
      </c>
      <c r="F1626" s="17">
        <f>Specification!$C$23*9.81*SIN((E1626*PI()/180))</f>
        <v>0</v>
      </c>
      <c r="G1626" s="18">
        <f>IF(J1626=1,VLOOKUP(K1626,RPM!$E$2:$H$62,3,FALSE)-F1626-E1626-D1626,IF(J1626=2,VLOOKUP(K1626,RPM!$H$2:$K$62,3,FALSE)-F1626-E1626-D1626,IF(J1626=3,VLOOKUP(K1626,RPM!$K$2:$N$62,3,FALSE)-F1626-E1626-D1626)))</f>
        <v>688.48526429214962</v>
      </c>
      <c r="H1626" s="19">
        <f>IF(J1626=1,Specification!$I$14,IF(J1626=2,Specification!$I$15,IF(J1626=3,Specification!$I$16)))</f>
        <v>582.50936296077191</v>
      </c>
      <c r="I1626" s="16">
        <f t="shared" si="297"/>
        <v>0</v>
      </c>
      <c r="J1626" s="17">
        <v>2</v>
      </c>
      <c r="K1626" s="16">
        <f>IF(J1626=1,VLOOKUP(B1626,RPM!$F$2:$H$62,3,TRUE),IF(J1626=2,VLOOKUP(B1626,RPM!$I$2:$K$62,3,TRUE),IF(J1626=3,VLOOKUP(B1626,RPM!$L$2:$N$62,3,TRUE))))</f>
        <v>7000</v>
      </c>
      <c r="L1626" s="17">
        <f t="shared" si="308"/>
        <v>125.44272286475692</v>
      </c>
      <c r="M1626" s="16">
        <f t="shared" si="298"/>
        <v>0</v>
      </c>
      <c r="N1626" s="17">
        <f>VLOOKUP(K1626,RPM!$A$2:$D$62,3,FALSE)</f>
        <v>13</v>
      </c>
      <c r="O1626" s="16">
        <f>VLOOKUP(K1626,RPM!$A$2:$D$62,4,FALSE)</f>
        <v>13.235857142857142</v>
      </c>
      <c r="P1626" s="17">
        <f t="shared" si="300"/>
        <v>9.8699786714285711</v>
      </c>
      <c r="Q1626" s="16" cm="1">
        <f t="array" ref="Q1626">_xlfn.XLOOKUP(O1626,BSFC!$A$2:$A$24,_xlfn.XLOOKUP(K1626,BSFC!$B$1:$O$1,BSFC!$B$2:$O$24,,-1),,-1)</f>
        <v>520</v>
      </c>
      <c r="R1626" s="17">
        <f t="shared" si="301"/>
        <v>1.425663585873016</v>
      </c>
      <c r="S1626" s="16">
        <f t="shared" si="302"/>
        <v>2.0443068048074323E-4</v>
      </c>
      <c r="T1626" s="17">
        <f t="shared" si="305"/>
        <v>0.10630395384998648</v>
      </c>
      <c r="U1626" s="16">
        <f t="shared" si="306"/>
        <v>204.17129523194168</v>
      </c>
      <c r="V1626" s="17">
        <f t="shared" si="307"/>
        <v>0.41652190297909542</v>
      </c>
      <c r="W1626" s="16">
        <f t="shared" si="303"/>
        <v>1499478.8507247437</v>
      </c>
      <c r="X1626">
        <f>('Hybrid Info'!$A$2-Track!P1626)*(L1626-L1625)*1000+X1625</f>
        <v>15876.591569831406</v>
      </c>
    </row>
    <row r="1627" spans="1:24">
      <c r="A1627" s="16">
        <f t="shared" si="304"/>
        <v>1626</v>
      </c>
      <c r="B1627" s="17">
        <f t="shared" si="299"/>
        <v>13.411199999999999</v>
      </c>
      <c r="C1627" s="16">
        <f>Specification!$G$30</f>
        <v>109.96225200000001</v>
      </c>
      <c r="D1627" s="17">
        <f>0.5*Specification!$K$4*Track!B1627^2*Specification!$K$3*Specification!$K$2</f>
        <v>93.159842569492653</v>
      </c>
      <c r="E1627" s="16">
        <v>0</v>
      </c>
      <c r="F1627" s="17">
        <f>Specification!$C$23*9.81*SIN((E1627*PI()/180))</f>
        <v>0</v>
      </c>
      <c r="G1627" s="18">
        <f>IF(J1627=1,VLOOKUP(K1627,RPM!$E$2:$H$62,3,FALSE)-F1627-E1627-D1627,IF(J1627=2,VLOOKUP(K1627,RPM!$H$2:$K$62,3,FALSE)-F1627-E1627-D1627,IF(J1627=3,VLOOKUP(K1627,RPM!$K$2:$N$62,3,FALSE)-F1627-E1627-D1627)))</f>
        <v>688.48526429214962</v>
      </c>
      <c r="H1627" s="19">
        <f>IF(J1627=1,Specification!$I$14,IF(J1627=2,Specification!$I$15,IF(J1627=3,Specification!$I$16)))</f>
        <v>582.50936296077191</v>
      </c>
      <c r="I1627" s="16">
        <f t="shared" si="297"/>
        <v>0</v>
      </c>
      <c r="J1627" s="17">
        <v>2</v>
      </c>
      <c r="K1627" s="16">
        <f>IF(J1627=1,VLOOKUP(B1627,RPM!$F$2:$H$62,3,TRUE),IF(J1627=2,VLOOKUP(B1627,RPM!$I$2:$K$62,3,TRUE),IF(J1627=3,VLOOKUP(B1627,RPM!$L$2:$N$62,3,TRUE))))</f>
        <v>7000</v>
      </c>
      <c r="L1627" s="17">
        <f t="shared" si="308"/>
        <v>125.51728740782539</v>
      </c>
      <c r="M1627" s="16">
        <f t="shared" si="298"/>
        <v>0</v>
      </c>
      <c r="N1627" s="17">
        <f>VLOOKUP(K1627,RPM!$A$2:$D$62,3,FALSE)</f>
        <v>13</v>
      </c>
      <c r="O1627" s="16">
        <f>VLOOKUP(K1627,RPM!$A$2:$D$62,4,FALSE)</f>
        <v>13.235857142857142</v>
      </c>
      <c r="P1627" s="17">
        <f t="shared" si="300"/>
        <v>9.8699786714285711</v>
      </c>
      <c r="Q1627" s="16" cm="1">
        <f t="array" ref="Q1627">_xlfn.XLOOKUP(O1627,BSFC!$A$2:$A$24,_xlfn.XLOOKUP(K1627,BSFC!$B$1:$O$1,BSFC!$B$2:$O$24,,-1),,-1)</f>
        <v>520</v>
      </c>
      <c r="R1627" s="17">
        <f t="shared" si="301"/>
        <v>1.425663585873016</v>
      </c>
      <c r="S1627" s="16">
        <f t="shared" si="302"/>
        <v>2.0443068048074323E-4</v>
      </c>
      <c r="T1627" s="17">
        <f t="shared" si="305"/>
        <v>0.10630395384998648</v>
      </c>
      <c r="U1627" s="16">
        <f t="shared" si="306"/>
        <v>204.27759918579167</v>
      </c>
      <c r="V1627" s="17">
        <f t="shared" si="307"/>
        <v>0.41672633365957618</v>
      </c>
      <c r="W1627" s="16">
        <f t="shared" si="303"/>
        <v>1500214.8011744744</v>
      </c>
      <c r="X1627">
        <f>('Hybrid Info'!$A$2-Track!P1627)*(L1627-L1626)*1000+X1626</f>
        <v>16044.397278817658</v>
      </c>
    </row>
    <row r="1628" spans="1:24">
      <c r="A1628" s="16">
        <f t="shared" si="304"/>
        <v>1627</v>
      </c>
      <c r="B1628" s="17">
        <f t="shared" si="299"/>
        <v>13.411199999999999</v>
      </c>
      <c r="C1628" s="16">
        <f>Specification!$G$30</f>
        <v>109.96225200000001</v>
      </c>
      <c r="D1628" s="17">
        <f>0.5*Specification!$K$4*Track!B1628^2*Specification!$K$3*Specification!$K$2</f>
        <v>93.159842569492653</v>
      </c>
      <c r="E1628" s="16">
        <v>0</v>
      </c>
      <c r="F1628" s="17">
        <f>Specification!$C$23*9.81*SIN((E1628*PI()/180))</f>
        <v>0</v>
      </c>
      <c r="G1628" s="18">
        <f>IF(J1628=1,VLOOKUP(K1628,RPM!$E$2:$H$62,3,FALSE)-F1628-E1628-D1628,IF(J1628=2,VLOOKUP(K1628,RPM!$H$2:$K$62,3,FALSE)-F1628-E1628-D1628,IF(J1628=3,VLOOKUP(K1628,RPM!$K$2:$N$62,3,FALSE)-F1628-E1628-D1628)))</f>
        <v>688.48526429214962</v>
      </c>
      <c r="H1628" s="19">
        <f>IF(J1628=1,Specification!$I$14,IF(J1628=2,Specification!$I$15,IF(J1628=3,Specification!$I$16)))</f>
        <v>582.50936296077191</v>
      </c>
      <c r="I1628" s="16">
        <f t="shared" si="297"/>
        <v>0</v>
      </c>
      <c r="J1628" s="17">
        <v>2</v>
      </c>
      <c r="K1628" s="16">
        <f>IF(J1628=1,VLOOKUP(B1628,RPM!$F$2:$H$62,3,TRUE),IF(J1628=2,VLOOKUP(B1628,RPM!$I$2:$K$62,3,TRUE),IF(J1628=3,VLOOKUP(B1628,RPM!$L$2:$N$62,3,TRUE))))</f>
        <v>7000</v>
      </c>
      <c r="L1628" s="17">
        <f t="shared" si="308"/>
        <v>125.59185195089387</v>
      </c>
      <c r="M1628" s="16">
        <f t="shared" si="298"/>
        <v>0</v>
      </c>
      <c r="N1628" s="17">
        <f>VLOOKUP(K1628,RPM!$A$2:$D$62,3,FALSE)</f>
        <v>13</v>
      </c>
      <c r="O1628" s="16">
        <f>VLOOKUP(K1628,RPM!$A$2:$D$62,4,FALSE)</f>
        <v>13.235857142857142</v>
      </c>
      <c r="P1628" s="17">
        <f t="shared" si="300"/>
        <v>9.8699786714285711</v>
      </c>
      <c r="Q1628" s="16" cm="1">
        <f t="array" ref="Q1628">_xlfn.XLOOKUP(O1628,BSFC!$A$2:$A$24,_xlfn.XLOOKUP(K1628,BSFC!$B$1:$O$1,BSFC!$B$2:$O$24,,-1),,-1)</f>
        <v>520</v>
      </c>
      <c r="R1628" s="17">
        <f t="shared" si="301"/>
        <v>1.425663585873016</v>
      </c>
      <c r="S1628" s="16">
        <f t="shared" si="302"/>
        <v>2.0443068048074323E-4</v>
      </c>
      <c r="T1628" s="17">
        <f t="shared" si="305"/>
        <v>0.10630395384998648</v>
      </c>
      <c r="U1628" s="16">
        <f t="shared" si="306"/>
        <v>204.38390313964166</v>
      </c>
      <c r="V1628" s="17">
        <f t="shared" si="307"/>
        <v>0.41693076434005694</v>
      </c>
      <c r="W1628" s="16">
        <f t="shared" si="303"/>
        <v>1500950.7516242049</v>
      </c>
      <c r="X1628">
        <f>('Hybrid Info'!$A$2-Track!P1628)*(L1628-L1627)*1000+X1627</f>
        <v>16212.20298780391</v>
      </c>
    </row>
    <row r="1629" spans="1:24">
      <c r="A1629" s="16">
        <f t="shared" si="304"/>
        <v>1628</v>
      </c>
      <c r="B1629" s="17">
        <f t="shared" si="299"/>
        <v>13.411199999999999</v>
      </c>
      <c r="C1629" s="16">
        <f>Specification!$G$30</f>
        <v>109.96225200000001</v>
      </c>
      <c r="D1629" s="17">
        <f>0.5*Specification!$K$4*Track!B1629^2*Specification!$K$3*Specification!$K$2</f>
        <v>93.159842569492653</v>
      </c>
      <c r="E1629" s="16">
        <v>0</v>
      </c>
      <c r="F1629" s="17">
        <f>Specification!$C$23*9.81*SIN((E1629*PI()/180))</f>
        <v>0</v>
      </c>
      <c r="G1629" s="18">
        <f>IF(J1629=1,VLOOKUP(K1629,RPM!$E$2:$H$62,3,FALSE)-F1629-E1629-D1629,IF(J1629=2,VLOOKUP(K1629,RPM!$H$2:$K$62,3,FALSE)-F1629-E1629-D1629,IF(J1629=3,VLOOKUP(K1629,RPM!$K$2:$N$62,3,FALSE)-F1629-E1629-D1629)))</f>
        <v>688.48526429214962</v>
      </c>
      <c r="H1629" s="19">
        <f>IF(J1629=1,Specification!$I$14,IF(J1629=2,Specification!$I$15,IF(J1629=3,Specification!$I$16)))</f>
        <v>582.50936296077191</v>
      </c>
      <c r="I1629" s="16">
        <f t="shared" si="297"/>
        <v>0</v>
      </c>
      <c r="J1629" s="17">
        <v>2</v>
      </c>
      <c r="K1629" s="16">
        <f>IF(J1629=1,VLOOKUP(B1629,RPM!$F$2:$H$62,3,TRUE),IF(J1629=2,VLOOKUP(B1629,RPM!$I$2:$K$62,3,TRUE),IF(J1629=3,VLOOKUP(B1629,RPM!$L$2:$N$62,3,TRUE))))</f>
        <v>7000</v>
      </c>
      <c r="L1629" s="17">
        <f t="shared" si="308"/>
        <v>125.66641649396234</v>
      </c>
      <c r="M1629" s="16">
        <f t="shared" si="298"/>
        <v>0</v>
      </c>
      <c r="N1629" s="17">
        <f>VLOOKUP(K1629,RPM!$A$2:$D$62,3,FALSE)</f>
        <v>13</v>
      </c>
      <c r="O1629" s="16">
        <f>VLOOKUP(K1629,RPM!$A$2:$D$62,4,FALSE)</f>
        <v>13.235857142857142</v>
      </c>
      <c r="P1629" s="17">
        <f t="shared" si="300"/>
        <v>9.8699786714285711</v>
      </c>
      <c r="Q1629" s="16" cm="1">
        <f t="array" ref="Q1629">_xlfn.XLOOKUP(O1629,BSFC!$A$2:$A$24,_xlfn.XLOOKUP(K1629,BSFC!$B$1:$O$1,BSFC!$B$2:$O$24,,-1),,-1)</f>
        <v>520</v>
      </c>
      <c r="R1629" s="17">
        <f t="shared" si="301"/>
        <v>1.425663585873016</v>
      </c>
      <c r="S1629" s="16">
        <f t="shared" si="302"/>
        <v>2.0443068048074323E-4</v>
      </c>
      <c r="T1629" s="17">
        <f t="shared" si="305"/>
        <v>0.10630395384998648</v>
      </c>
      <c r="U1629" s="16">
        <f t="shared" si="306"/>
        <v>204.49020709349165</v>
      </c>
      <c r="V1629" s="17">
        <f t="shared" si="307"/>
        <v>0.4171351950205377</v>
      </c>
      <c r="W1629" s="16">
        <f t="shared" si="303"/>
        <v>1501686.7020739357</v>
      </c>
      <c r="X1629">
        <f>('Hybrid Info'!$A$2-Track!P1629)*(L1629-L1628)*1000+X1628</f>
        <v>16380.008696790163</v>
      </c>
    </row>
    <row r="1630" spans="1:24">
      <c r="A1630" s="16">
        <f t="shared" si="304"/>
        <v>1629</v>
      </c>
      <c r="B1630" s="17">
        <f t="shared" si="299"/>
        <v>13.411199999999999</v>
      </c>
      <c r="C1630" s="16">
        <f>Specification!$G$30</f>
        <v>109.96225200000001</v>
      </c>
      <c r="D1630" s="17">
        <f>0.5*Specification!$K$4*Track!B1630^2*Specification!$K$3*Specification!$K$2</f>
        <v>93.159842569492653</v>
      </c>
      <c r="E1630" s="16">
        <v>0</v>
      </c>
      <c r="F1630" s="17">
        <f>Specification!$C$23*9.81*SIN((E1630*PI()/180))</f>
        <v>0</v>
      </c>
      <c r="G1630" s="18">
        <f>IF(J1630=1,VLOOKUP(K1630,RPM!$E$2:$H$62,3,FALSE)-F1630-E1630-D1630,IF(J1630=2,VLOOKUP(K1630,RPM!$H$2:$K$62,3,FALSE)-F1630-E1630-D1630,IF(J1630=3,VLOOKUP(K1630,RPM!$K$2:$N$62,3,FALSE)-F1630-E1630-D1630)))</f>
        <v>688.48526429214962</v>
      </c>
      <c r="H1630" s="19">
        <f>IF(J1630=1,Specification!$I$14,IF(J1630=2,Specification!$I$15,IF(J1630=3,Specification!$I$16)))</f>
        <v>582.50936296077191</v>
      </c>
      <c r="I1630" s="16">
        <f t="shared" si="297"/>
        <v>0</v>
      </c>
      <c r="J1630" s="17">
        <v>2</v>
      </c>
      <c r="K1630" s="16">
        <f>IF(J1630=1,VLOOKUP(B1630,RPM!$F$2:$H$62,3,TRUE),IF(J1630=2,VLOOKUP(B1630,RPM!$I$2:$K$62,3,TRUE),IF(J1630=3,VLOOKUP(B1630,RPM!$L$2:$N$62,3,TRUE))))</f>
        <v>7000</v>
      </c>
      <c r="L1630" s="17">
        <f t="shared" si="308"/>
        <v>125.74098103703082</v>
      </c>
      <c r="M1630" s="16">
        <f t="shared" si="298"/>
        <v>0</v>
      </c>
      <c r="N1630" s="17">
        <f>VLOOKUP(K1630,RPM!$A$2:$D$62,3,FALSE)</f>
        <v>13</v>
      </c>
      <c r="O1630" s="16">
        <f>VLOOKUP(K1630,RPM!$A$2:$D$62,4,FALSE)</f>
        <v>13.235857142857142</v>
      </c>
      <c r="P1630" s="17">
        <f t="shared" si="300"/>
        <v>9.8699786714285711</v>
      </c>
      <c r="Q1630" s="16" cm="1">
        <f t="array" ref="Q1630">_xlfn.XLOOKUP(O1630,BSFC!$A$2:$A$24,_xlfn.XLOOKUP(K1630,BSFC!$B$1:$O$1,BSFC!$B$2:$O$24,,-1),,-1)</f>
        <v>520</v>
      </c>
      <c r="R1630" s="17">
        <f t="shared" si="301"/>
        <v>1.425663585873016</v>
      </c>
      <c r="S1630" s="16">
        <f t="shared" si="302"/>
        <v>2.0443068048074323E-4</v>
      </c>
      <c r="T1630" s="17">
        <f t="shared" si="305"/>
        <v>0.10630395384998648</v>
      </c>
      <c r="U1630" s="16">
        <f t="shared" si="306"/>
        <v>204.59651104734164</v>
      </c>
      <c r="V1630" s="17">
        <f t="shared" si="307"/>
        <v>0.41733962570101846</v>
      </c>
      <c r="W1630" s="16">
        <f t="shared" si="303"/>
        <v>1502422.6525236664</v>
      </c>
      <c r="X1630">
        <f>('Hybrid Info'!$A$2-Track!P1630)*(L1630-L1629)*1000+X1629</f>
        <v>16547.814405776415</v>
      </c>
    </row>
    <row r="1631" spans="1:24">
      <c r="A1631" s="16">
        <f t="shared" si="304"/>
        <v>1630</v>
      </c>
      <c r="B1631" s="17">
        <f t="shared" si="299"/>
        <v>13.411199999999999</v>
      </c>
      <c r="C1631" s="16">
        <f>Specification!$G$30</f>
        <v>109.96225200000001</v>
      </c>
      <c r="D1631" s="17">
        <f>0.5*Specification!$K$4*Track!B1631^2*Specification!$K$3*Specification!$K$2</f>
        <v>93.159842569492653</v>
      </c>
      <c r="E1631" s="16">
        <v>0</v>
      </c>
      <c r="F1631" s="17">
        <f>Specification!$C$23*9.81*SIN((E1631*PI()/180))</f>
        <v>0</v>
      </c>
      <c r="G1631" s="18">
        <f>IF(J1631=1,VLOOKUP(K1631,RPM!$E$2:$H$62,3,FALSE)-F1631-E1631-D1631,IF(J1631=2,VLOOKUP(K1631,RPM!$H$2:$K$62,3,FALSE)-F1631-E1631-D1631,IF(J1631=3,VLOOKUP(K1631,RPM!$K$2:$N$62,3,FALSE)-F1631-E1631-D1631)))</f>
        <v>688.48526429214962</v>
      </c>
      <c r="H1631" s="19">
        <f>IF(J1631=1,Specification!$I$14,IF(J1631=2,Specification!$I$15,IF(J1631=3,Specification!$I$16)))</f>
        <v>582.50936296077191</v>
      </c>
      <c r="I1631" s="16">
        <f t="shared" si="297"/>
        <v>0</v>
      </c>
      <c r="J1631" s="17">
        <v>2</v>
      </c>
      <c r="K1631" s="16">
        <f>IF(J1631=1,VLOOKUP(B1631,RPM!$F$2:$H$62,3,TRUE),IF(J1631=2,VLOOKUP(B1631,RPM!$I$2:$K$62,3,TRUE),IF(J1631=3,VLOOKUP(B1631,RPM!$L$2:$N$62,3,TRUE))))</f>
        <v>7000</v>
      </c>
      <c r="L1631" s="17">
        <f t="shared" si="308"/>
        <v>125.8155455800993</v>
      </c>
      <c r="M1631" s="16">
        <f t="shared" si="298"/>
        <v>0</v>
      </c>
      <c r="N1631" s="17">
        <f>VLOOKUP(K1631,RPM!$A$2:$D$62,3,FALSE)</f>
        <v>13</v>
      </c>
      <c r="O1631" s="16">
        <f>VLOOKUP(K1631,RPM!$A$2:$D$62,4,FALSE)</f>
        <v>13.235857142857142</v>
      </c>
      <c r="P1631" s="17">
        <f t="shared" si="300"/>
        <v>9.8699786714285711</v>
      </c>
      <c r="Q1631" s="16" cm="1">
        <f t="array" ref="Q1631">_xlfn.XLOOKUP(O1631,BSFC!$A$2:$A$24,_xlfn.XLOOKUP(K1631,BSFC!$B$1:$O$1,BSFC!$B$2:$O$24,,-1),,-1)</f>
        <v>520</v>
      </c>
      <c r="R1631" s="17">
        <f t="shared" si="301"/>
        <v>1.425663585873016</v>
      </c>
      <c r="S1631" s="16">
        <f t="shared" si="302"/>
        <v>2.0443068048074323E-4</v>
      </c>
      <c r="T1631" s="17">
        <f t="shared" si="305"/>
        <v>0.10630395384998648</v>
      </c>
      <c r="U1631" s="16">
        <f t="shared" si="306"/>
        <v>204.70281500119162</v>
      </c>
      <c r="V1631" s="17">
        <f t="shared" si="307"/>
        <v>0.41754405638149922</v>
      </c>
      <c r="W1631" s="16">
        <f t="shared" si="303"/>
        <v>1503158.6029733971</v>
      </c>
      <c r="X1631">
        <f>('Hybrid Info'!$A$2-Track!P1631)*(L1631-L1630)*1000+X1630</f>
        <v>16715.620114762667</v>
      </c>
    </row>
    <row r="1632" spans="1:24">
      <c r="A1632" s="16">
        <f t="shared" si="304"/>
        <v>1631</v>
      </c>
      <c r="B1632" s="17">
        <f t="shared" si="299"/>
        <v>13.411199999999999</v>
      </c>
      <c r="C1632" s="16">
        <f>Specification!$G$30</f>
        <v>109.96225200000001</v>
      </c>
      <c r="D1632" s="17">
        <f>0.5*Specification!$K$4*Track!B1632^2*Specification!$K$3*Specification!$K$2</f>
        <v>93.159842569492653</v>
      </c>
      <c r="E1632" s="16">
        <v>0</v>
      </c>
      <c r="F1632" s="17">
        <f>Specification!$C$23*9.81*SIN((E1632*PI()/180))</f>
        <v>0</v>
      </c>
      <c r="G1632" s="18">
        <f>IF(J1632=1,VLOOKUP(K1632,RPM!$E$2:$H$62,3,FALSE)-F1632-E1632-D1632,IF(J1632=2,VLOOKUP(K1632,RPM!$H$2:$K$62,3,FALSE)-F1632-E1632-D1632,IF(J1632=3,VLOOKUP(K1632,RPM!$K$2:$N$62,3,FALSE)-F1632-E1632-D1632)))</f>
        <v>688.48526429214962</v>
      </c>
      <c r="H1632" s="19">
        <f>IF(J1632=1,Specification!$I$14,IF(J1632=2,Specification!$I$15,IF(J1632=3,Specification!$I$16)))</f>
        <v>582.50936296077191</v>
      </c>
      <c r="I1632" s="16">
        <f t="shared" si="297"/>
        <v>0</v>
      </c>
      <c r="J1632" s="17">
        <v>2</v>
      </c>
      <c r="K1632" s="16">
        <f>IF(J1632=1,VLOOKUP(B1632,RPM!$F$2:$H$62,3,TRUE),IF(J1632=2,VLOOKUP(B1632,RPM!$I$2:$K$62,3,TRUE),IF(J1632=3,VLOOKUP(B1632,RPM!$L$2:$N$62,3,TRUE))))</f>
        <v>7000</v>
      </c>
      <c r="L1632" s="17">
        <f t="shared" si="308"/>
        <v>125.89011012316777</v>
      </c>
      <c r="M1632" s="16">
        <f t="shared" si="298"/>
        <v>0</v>
      </c>
      <c r="N1632" s="17">
        <f>VLOOKUP(K1632,RPM!$A$2:$D$62,3,FALSE)</f>
        <v>13</v>
      </c>
      <c r="O1632" s="16">
        <f>VLOOKUP(K1632,RPM!$A$2:$D$62,4,FALSE)</f>
        <v>13.235857142857142</v>
      </c>
      <c r="P1632" s="17">
        <f t="shared" si="300"/>
        <v>9.8699786714285711</v>
      </c>
      <c r="Q1632" s="16" cm="1">
        <f t="array" ref="Q1632">_xlfn.XLOOKUP(O1632,BSFC!$A$2:$A$24,_xlfn.XLOOKUP(K1632,BSFC!$B$1:$O$1,BSFC!$B$2:$O$24,,-1),,-1)</f>
        <v>520</v>
      </c>
      <c r="R1632" s="17">
        <f t="shared" si="301"/>
        <v>1.425663585873016</v>
      </c>
      <c r="S1632" s="16">
        <f t="shared" si="302"/>
        <v>2.0443068048074323E-4</v>
      </c>
      <c r="T1632" s="17">
        <f t="shared" si="305"/>
        <v>0.10630395384998648</v>
      </c>
      <c r="U1632" s="16">
        <f t="shared" si="306"/>
        <v>204.80911895504161</v>
      </c>
      <c r="V1632" s="17">
        <f t="shared" si="307"/>
        <v>0.41774848706197998</v>
      </c>
      <c r="W1632" s="16">
        <f t="shared" si="303"/>
        <v>1503894.5534231279</v>
      </c>
      <c r="X1632">
        <f>('Hybrid Info'!$A$2-Track!P1632)*(L1632-L1631)*1000+X1631</f>
        <v>16883.425823748919</v>
      </c>
    </row>
    <row r="1633" spans="1:24">
      <c r="A1633" s="16">
        <f t="shared" si="304"/>
        <v>1632</v>
      </c>
      <c r="B1633" s="17">
        <f t="shared" si="299"/>
        <v>13.411199999999999</v>
      </c>
      <c r="C1633" s="16">
        <f>Specification!$G$30</f>
        <v>109.96225200000001</v>
      </c>
      <c r="D1633" s="17">
        <f>0.5*Specification!$K$4*Track!B1633^2*Specification!$K$3*Specification!$K$2</f>
        <v>93.159842569492653</v>
      </c>
      <c r="E1633" s="16">
        <v>0</v>
      </c>
      <c r="F1633" s="17">
        <f>Specification!$C$23*9.81*SIN((E1633*PI()/180))</f>
        <v>0</v>
      </c>
      <c r="G1633" s="18">
        <f>IF(J1633=1,VLOOKUP(K1633,RPM!$E$2:$H$62,3,FALSE)-F1633-E1633-D1633,IF(J1633=2,VLOOKUP(K1633,RPM!$H$2:$K$62,3,FALSE)-F1633-E1633-D1633,IF(J1633=3,VLOOKUP(K1633,RPM!$K$2:$N$62,3,FALSE)-F1633-E1633-D1633)))</f>
        <v>688.48526429214962</v>
      </c>
      <c r="H1633" s="19">
        <f>IF(J1633=1,Specification!$I$14,IF(J1633=2,Specification!$I$15,IF(J1633=3,Specification!$I$16)))</f>
        <v>582.50936296077191</v>
      </c>
      <c r="I1633" s="16">
        <f t="shared" si="297"/>
        <v>0</v>
      </c>
      <c r="J1633" s="17">
        <v>2</v>
      </c>
      <c r="K1633" s="16">
        <f>IF(J1633=1,VLOOKUP(B1633,RPM!$F$2:$H$62,3,TRUE),IF(J1633=2,VLOOKUP(B1633,RPM!$I$2:$K$62,3,TRUE),IF(J1633=3,VLOOKUP(B1633,RPM!$L$2:$N$62,3,TRUE))))</f>
        <v>7000</v>
      </c>
      <c r="L1633" s="17">
        <f t="shared" si="308"/>
        <v>125.96467466623625</v>
      </c>
      <c r="M1633" s="16">
        <f t="shared" si="298"/>
        <v>0</v>
      </c>
      <c r="N1633" s="17">
        <f>VLOOKUP(K1633,RPM!$A$2:$D$62,3,FALSE)</f>
        <v>13</v>
      </c>
      <c r="O1633" s="16">
        <f>VLOOKUP(K1633,RPM!$A$2:$D$62,4,FALSE)</f>
        <v>13.235857142857142</v>
      </c>
      <c r="P1633" s="17">
        <f t="shared" si="300"/>
        <v>9.8699786714285711</v>
      </c>
      <c r="Q1633" s="16" cm="1">
        <f t="array" ref="Q1633">_xlfn.XLOOKUP(O1633,BSFC!$A$2:$A$24,_xlfn.XLOOKUP(K1633,BSFC!$B$1:$O$1,BSFC!$B$2:$O$24,,-1),,-1)</f>
        <v>520</v>
      </c>
      <c r="R1633" s="17">
        <f t="shared" si="301"/>
        <v>1.425663585873016</v>
      </c>
      <c r="S1633" s="16">
        <f t="shared" si="302"/>
        <v>2.0443068048074323E-4</v>
      </c>
      <c r="T1633" s="17">
        <f t="shared" si="305"/>
        <v>0.10630395384998648</v>
      </c>
      <c r="U1633" s="16">
        <f t="shared" si="306"/>
        <v>204.9154229088916</v>
      </c>
      <c r="V1633" s="17">
        <f t="shared" si="307"/>
        <v>0.41795291774246074</v>
      </c>
      <c r="W1633" s="16">
        <f t="shared" si="303"/>
        <v>1504630.5038728586</v>
      </c>
      <c r="X1633">
        <f>('Hybrid Info'!$A$2-Track!P1633)*(L1633-L1632)*1000+X1632</f>
        <v>17051.231532735172</v>
      </c>
    </row>
    <row r="1634" spans="1:24">
      <c r="A1634" s="16">
        <f t="shared" si="304"/>
        <v>1633</v>
      </c>
      <c r="B1634" s="17">
        <f t="shared" si="299"/>
        <v>13.411199999999999</v>
      </c>
      <c r="C1634" s="16">
        <f>Specification!$G$30</f>
        <v>109.96225200000001</v>
      </c>
      <c r="D1634" s="17">
        <f>0.5*Specification!$K$4*Track!B1634^2*Specification!$K$3*Specification!$K$2</f>
        <v>93.159842569492653</v>
      </c>
      <c r="E1634" s="16">
        <v>0</v>
      </c>
      <c r="F1634" s="17">
        <f>Specification!$C$23*9.81*SIN((E1634*PI()/180))</f>
        <v>0</v>
      </c>
      <c r="G1634" s="18">
        <f>IF(J1634=1,VLOOKUP(K1634,RPM!$E$2:$H$62,3,FALSE)-F1634-E1634-D1634,IF(J1634=2,VLOOKUP(K1634,RPM!$H$2:$K$62,3,FALSE)-F1634-E1634-D1634,IF(J1634=3,VLOOKUP(K1634,RPM!$K$2:$N$62,3,FALSE)-F1634-E1634-D1634)))</f>
        <v>688.48526429214962</v>
      </c>
      <c r="H1634" s="19">
        <f>IF(J1634=1,Specification!$I$14,IF(J1634=2,Specification!$I$15,IF(J1634=3,Specification!$I$16)))</f>
        <v>582.50936296077191</v>
      </c>
      <c r="I1634" s="16">
        <f t="shared" si="297"/>
        <v>0</v>
      </c>
      <c r="J1634" s="17">
        <v>2</v>
      </c>
      <c r="K1634" s="16">
        <f>IF(J1634=1,VLOOKUP(B1634,RPM!$F$2:$H$62,3,TRUE),IF(J1634=2,VLOOKUP(B1634,RPM!$I$2:$K$62,3,TRUE),IF(J1634=3,VLOOKUP(B1634,RPM!$L$2:$N$62,3,TRUE))))</f>
        <v>7000</v>
      </c>
      <c r="L1634" s="17">
        <f t="shared" si="308"/>
        <v>126.03923920930472</v>
      </c>
      <c r="M1634" s="16">
        <f t="shared" si="298"/>
        <v>0</v>
      </c>
      <c r="N1634" s="17">
        <f>VLOOKUP(K1634,RPM!$A$2:$D$62,3,FALSE)</f>
        <v>13</v>
      </c>
      <c r="O1634" s="16">
        <f>VLOOKUP(K1634,RPM!$A$2:$D$62,4,FALSE)</f>
        <v>13.235857142857142</v>
      </c>
      <c r="P1634" s="17">
        <f t="shared" si="300"/>
        <v>9.8699786714285711</v>
      </c>
      <c r="Q1634" s="16" cm="1">
        <f t="array" ref="Q1634">_xlfn.XLOOKUP(O1634,BSFC!$A$2:$A$24,_xlfn.XLOOKUP(K1634,BSFC!$B$1:$O$1,BSFC!$B$2:$O$24,,-1),,-1)</f>
        <v>520</v>
      </c>
      <c r="R1634" s="17">
        <f t="shared" si="301"/>
        <v>1.425663585873016</v>
      </c>
      <c r="S1634" s="16">
        <f t="shared" si="302"/>
        <v>2.0443068048074323E-4</v>
      </c>
      <c r="T1634" s="17">
        <f t="shared" si="305"/>
        <v>0.10630395384998648</v>
      </c>
      <c r="U1634" s="16">
        <f t="shared" si="306"/>
        <v>205.02172686274159</v>
      </c>
      <c r="V1634" s="17">
        <f t="shared" si="307"/>
        <v>0.4181573484229415</v>
      </c>
      <c r="W1634" s="16">
        <f t="shared" si="303"/>
        <v>1505366.4543225893</v>
      </c>
      <c r="X1634">
        <f>('Hybrid Info'!$A$2-Track!P1634)*(L1634-L1633)*1000+X1633</f>
        <v>17219.037241721424</v>
      </c>
    </row>
    <row r="1635" spans="1:24">
      <c r="A1635" s="16">
        <f t="shared" si="304"/>
        <v>1634</v>
      </c>
      <c r="B1635" s="17">
        <f t="shared" si="299"/>
        <v>13.411199999999999</v>
      </c>
      <c r="C1635" s="16">
        <f>Specification!$G$30</f>
        <v>109.96225200000001</v>
      </c>
      <c r="D1635" s="17">
        <f>0.5*Specification!$K$4*Track!B1635^2*Specification!$K$3*Specification!$K$2</f>
        <v>93.159842569492653</v>
      </c>
      <c r="E1635" s="16">
        <v>0</v>
      </c>
      <c r="F1635" s="17">
        <f>Specification!$C$23*9.81*SIN((E1635*PI()/180))</f>
        <v>0</v>
      </c>
      <c r="G1635" s="18">
        <f>IF(J1635=1,VLOOKUP(K1635,RPM!$E$2:$H$62,3,FALSE)-F1635-E1635-D1635,IF(J1635=2,VLOOKUP(K1635,RPM!$H$2:$K$62,3,FALSE)-F1635-E1635-D1635,IF(J1635=3,VLOOKUP(K1635,RPM!$K$2:$N$62,3,FALSE)-F1635-E1635-D1635)))</f>
        <v>688.48526429214962</v>
      </c>
      <c r="H1635" s="19">
        <f>IF(J1635=1,Specification!$I$14,IF(J1635=2,Specification!$I$15,IF(J1635=3,Specification!$I$16)))</f>
        <v>582.50936296077191</v>
      </c>
      <c r="I1635" s="16">
        <f t="shared" si="297"/>
        <v>0</v>
      </c>
      <c r="J1635" s="17">
        <v>2</v>
      </c>
      <c r="K1635" s="16">
        <f>IF(J1635=1,VLOOKUP(B1635,RPM!$F$2:$H$62,3,TRUE),IF(J1635=2,VLOOKUP(B1635,RPM!$I$2:$K$62,3,TRUE),IF(J1635=3,VLOOKUP(B1635,RPM!$L$2:$N$62,3,TRUE))))</f>
        <v>7000</v>
      </c>
      <c r="L1635" s="17">
        <f t="shared" si="308"/>
        <v>126.1138037523732</v>
      </c>
      <c r="M1635" s="16">
        <f t="shared" si="298"/>
        <v>0</v>
      </c>
      <c r="N1635" s="17">
        <f>VLOOKUP(K1635,RPM!$A$2:$D$62,3,FALSE)</f>
        <v>13</v>
      </c>
      <c r="O1635" s="16">
        <f>VLOOKUP(K1635,RPM!$A$2:$D$62,4,FALSE)</f>
        <v>13.235857142857142</v>
      </c>
      <c r="P1635" s="17">
        <f t="shared" si="300"/>
        <v>9.8699786714285711</v>
      </c>
      <c r="Q1635" s="16" cm="1">
        <f t="array" ref="Q1635">_xlfn.XLOOKUP(O1635,BSFC!$A$2:$A$24,_xlfn.XLOOKUP(K1635,BSFC!$B$1:$O$1,BSFC!$B$2:$O$24,,-1),,-1)</f>
        <v>520</v>
      </c>
      <c r="R1635" s="17">
        <f t="shared" si="301"/>
        <v>1.425663585873016</v>
      </c>
      <c r="S1635" s="16">
        <f t="shared" si="302"/>
        <v>2.0443068048074323E-4</v>
      </c>
      <c r="T1635" s="17">
        <f t="shared" si="305"/>
        <v>0.10630395384998648</v>
      </c>
      <c r="U1635" s="16">
        <f t="shared" si="306"/>
        <v>205.12803081659158</v>
      </c>
      <c r="V1635" s="17">
        <f t="shared" si="307"/>
        <v>0.41836177910342226</v>
      </c>
      <c r="W1635" s="16">
        <f t="shared" si="303"/>
        <v>1506102.4047723201</v>
      </c>
      <c r="X1635">
        <f>('Hybrid Info'!$A$2-Track!P1635)*(L1635-L1634)*1000+X1634</f>
        <v>17386.842950707676</v>
      </c>
    </row>
    <row r="1636" spans="1:24">
      <c r="A1636" s="16">
        <f t="shared" si="304"/>
        <v>1635</v>
      </c>
      <c r="B1636" s="17">
        <f t="shared" si="299"/>
        <v>13.411199999999999</v>
      </c>
      <c r="C1636" s="16">
        <f>Specification!$G$30</f>
        <v>109.96225200000001</v>
      </c>
      <c r="D1636" s="17">
        <f>0.5*Specification!$K$4*Track!B1636^2*Specification!$K$3*Specification!$K$2</f>
        <v>93.159842569492653</v>
      </c>
      <c r="E1636" s="16">
        <v>0</v>
      </c>
      <c r="F1636" s="17">
        <f>Specification!$C$23*9.81*SIN((E1636*PI()/180))</f>
        <v>0</v>
      </c>
      <c r="G1636" s="18">
        <f>IF(J1636=1,VLOOKUP(K1636,RPM!$E$2:$H$62,3,FALSE)-F1636-E1636-D1636,IF(J1636=2,VLOOKUP(K1636,RPM!$H$2:$K$62,3,FALSE)-F1636-E1636-D1636,IF(J1636=3,VLOOKUP(K1636,RPM!$K$2:$N$62,3,FALSE)-F1636-E1636-D1636)))</f>
        <v>688.48526429214962</v>
      </c>
      <c r="H1636" s="19">
        <f>IF(J1636=1,Specification!$I$14,IF(J1636=2,Specification!$I$15,IF(J1636=3,Specification!$I$16)))</f>
        <v>582.50936296077191</v>
      </c>
      <c r="I1636" s="16">
        <f t="shared" ref="I1636:I1699" si="309">IF(B1636=13.4112,0,G1636/H1636)</f>
        <v>0</v>
      </c>
      <c r="J1636" s="17">
        <v>2</v>
      </c>
      <c r="K1636" s="16">
        <f>IF(J1636=1,VLOOKUP(B1636,RPM!$F$2:$H$62,3,TRUE),IF(J1636=2,VLOOKUP(B1636,RPM!$I$2:$K$62,3,TRUE),IF(J1636=3,VLOOKUP(B1636,RPM!$L$2:$N$62,3,TRUE))))</f>
        <v>7000</v>
      </c>
      <c r="L1636" s="17">
        <f t="shared" si="308"/>
        <v>126.18836829544168</v>
      </c>
      <c r="M1636" s="16">
        <f t="shared" si="298"/>
        <v>0</v>
      </c>
      <c r="N1636" s="17">
        <f>VLOOKUP(K1636,RPM!$A$2:$D$62,3,FALSE)</f>
        <v>13</v>
      </c>
      <c r="O1636" s="16">
        <f>VLOOKUP(K1636,RPM!$A$2:$D$62,4,FALSE)</f>
        <v>13.235857142857142</v>
      </c>
      <c r="P1636" s="17">
        <f t="shared" si="300"/>
        <v>9.8699786714285711</v>
      </c>
      <c r="Q1636" s="16" cm="1">
        <f t="array" ref="Q1636">_xlfn.XLOOKUP(O1636,BSFC!$A$2:$A$24,_xlfn.XLOOKUP(K1636,BSFC!$B$1:$O$1,BSFC!$B$2:$O$24,,-1),,-1)</f>
        <v>520</v>
      </c>
      <c r="R1636" s="17">
        <f t="shared" si="301"/>
        <v>1.425663585873016</v>
      </c>
      <c r="S1636" s="16">
        <f t="shared" si="302"/>
        <v>2.0443068048074323E-4</v>
      </c>
      <c r="T1636" s="17">
        <f t="shared" si="305"/>
        <v>0.10630395384998648</v>
      </c>
      <c r="U1636" s="16">
        <f t="shared" si="306"/>
        <v>205.23433477044156</v>
      </c>
      <c r="V1636" s="17">
        <f t="shared" si="307"/>
        <v>0.41856620978390302</v>
      </c>
      <c r="W1636" s="16">
        <f t="shared" si="303"/>
        <v>1506838.355222051</v>
      </c>
      <c r="X1636">
        <f>('Hybrid Info'!$A$2-Track!P1636)*(L1636-L1635)*1000+X1635</f>
        <v>17554.648659693928</v>
      </c>
    </row>
    <row r="1637" spans="1:24">
      <c r="A1637" s="16">
        <f t="shared" si="304"/>
        <v>1636</v>
      </c>
      <c r="B1637" s="17">
        <f t="shared" si="299"/>
        <v>13.411199999999999</v>
      </c>
      <c r="C1637" s="16">
        <f>Specification!$G$30</f>
        <v>109.96225200000001</v>
      </c>
      <c r="D1637" s="17">
        <f>0.5*Specification!$K$4*Track!B1637^2*Specification!$K$3*Specification!$K$2</f>
        <v>93.159842569492653</v>
      </c>
      <c r="E1637" s="16">
        <v>0</v>
      </c>
      <c r="F1637" s="17">
        <f>Specification!$C$23*9.81*SIN((E1637*PI()/180))</f>
        <v>0</v>
      </c>
      <c r="G1637" s="18">
        <f>IF(J1637=1,VLOOKUP(K1637,RPM!$E$2:$H$62,3,FALSE)-F1637-E1637-D1637,IF(J1637=2,VLOOKUP(K1637,RPM!$H$2:$K$62,3,FALSE)-F1637-E1637-D1637,IF(J1637=3,VLOOKUP(K1637,RPM!$K$2:$N$62,3,FALSE)-F1637-E1637-D1637)))</f>
        <v>688.48526429214962</v>
      </c>
      <c r="H1637" s="19">
        <f>IF(J1637=1,Specification!$I$14,IF(J1637=2,Specification!$I$15,IF(J1637=3,Specification!$I$16)))</f>
        <v>582.50936296077191</v>
      </c>
      <c r="I1637" s="16">
        <f t="shared" si="309"/>
        <v>0</v>
      </c>
      <c r="J1637" s="17">
        <v>2</v>
      </c>
      <c r="K1637" s="16">
        <f>IF(J1637=1,VLOOKUP(B1637,RPM!$F$2:$H$62,3,TRUE),IF(J1637=2,VLOOKUP(B1637,RPM!$I$2:$K$62,3,TRUE),IF(J1637=3,VLOOKUP(B1637,RPM!$L$2:$N$62,3,TRUE))))</f>
        <v>7000</v>
      </c>
      <c r="L1637" s="17">
        <f t="shared" si="308"/>
        <v>126.26293283851015</v>
      </c>
      <c r="M1637" s="16">
        <f t="shared" si="298"/>
        <v>0</v>
      </c>
      <c r="N1637" s="17">
        <f>VLOOKUP(K1637,RPM!$A$2:$D$62,3,FALSE)</f>
        <v>13</v>
      </c>
      <c r="O1637" s="16">
        <f>VLOOKUP(K1637,RPM!$A$2:$D$62,4,FALSE)</f>
        <v>13.235857142857142</v>
      </c>
      <c r="P1637" s="17">
        <f t="shared" si="300"/>
        <v>9.8699786714285711</v>
      </c>
      <c r="Q1637" s="16" cm="1">
        <f t="array" ref="Q1637">_xlfn.XLOOKUP(O1637,BSFC!$A$2:$A$24,_xlfn.XLOOKUP(K1637,BSFC!$B$1:$O$1,BSFC!$B$2:$O$24,,-1),,-1)</f>
        <v>520</v>
      </c>
      <c r="R1637" s="17">
        <f t="shared" si="301"/>
        <v>1.425663585873016</v>
      </c>
      <c r="S1637" s="16">
        <f t="shared" si="302"/>
        <v>2.0443068048074323E-4</v>
      </c>
      <c r="T1637" s="17">
        <f t="shared" si="305"/>
        <v>0.10630395384998648</v>
      </c>
      <c r="U1637" s="16">
        <f t="shared" si="306"/>
        <v>205.34063872429155</v>
      </c>
      <c r="V1637" s="17">
        <f t="shared" si="307"/>
        <v>0.41877064046438378</v>
      </c>
      <c r="W1637" s="16">
        <f t="shared" si="303"/>
        <v>1507574.3056717818</v>
      </c>
      <c r="X1637">
        <f>('Hybrid Info'!$A$2-Track!P1637)*(L1637-L1636)*1000+X1636</f>
        <v>17722.454368680181</v>
      </c>
    </row>
    <row r="1638" spans="1:24">
      <c r="A1638" s="16">
        <f t="shared" si="304"/>
        <v>1637</v>
      </c>
      <c r="B1638" s="17">
        <f t="shared" si="299"/>
        <v>13.411199999999999</v>
      </c>
      <c r="C1638" s="16">
        <f>Specification!$G$30</f>
        <v>109.96225200000001</v>
      </c>
      <c r="D1638" s="17">
        <f>0.5*Specification!$K$4*Track!B1638^2*Specification!$K$3*Specification!$K$2</f>
        <v>93.159842569492653</v>
      </c>
      <c r="E1638" s="16">
        <v>0</v>
      </c>
      <c r="F1638" s="17">
        <f>Specification!$C$23*9.81*SIN((E1638*PI()/180))</f>
        <v>0</v>
      </c>
      <c r="G1638" s="18">
        <f>IF(J1638=1,VLOOKUP(K1638,RPM!$E$2:$H$62,3,FALSE)-F1638-E1638-D1638,IF(J1638=2,VLOOKUP(K1638,RPM!$H$2:$K$62,3,FALSE)-F1638-E1638-D1638,IF(J1638=3,VLOOKUP(K1638,RPM!$K$2:$N$62,3,FALSE)-F1638-E1638-D1638)))</f>
        <v>688.48526429214962</v>
      </c>
      <c r="H1638" s="19">
        <f>IF(J1638=1,Specification!$I$14,IF(J1638=2,Specification!$I$15,IF(J1638=3,Specification!$I$16)))</f>
        <v>582.50936296077191</v>
      </c>
      <c r="I1638" s="16">
        <f t="shared" si="309"/>
        <v>0</v>
      </c>
      <c r="J1638" s="17">
        <v>2</v>
      </c>
      <c r="K1638" s="16">
        <f>IF(J1638=1,VLOOKUP(B1638,RPM!$F$2:$H$62,3,TRUE),IF(J1638=2,VLOOKUP(B1638,RPM!$I$2:$K$62,3,TRUE),IF(J1638=3,VLOOKUP(B1638,RPM!$L$2:$N$62,3,TRUE))))</f>
        <v>7000</v>
      </c>
      <c r="L1638" s="17">
        <f t="shared" si="308"/>
        <v>126.33749738157863</v>
      </c>
      <c r="M1638" s="16">
        <f t="shared" si="298"/>
        <v>0</v>
      </c>
      <c r="N1638" s="17">
        <f>VLOOKUP(K1638,RPM!$A$2:$D$62,3,FALSE)</f>
        <v>13</v>
      </c>
      <c r="O1638" s="16">
        <f>VLOOKUP(K1638,RPM!$A$2:$D$62,4,FALSE)</f>
        <v>13.235857142857142</v>
      </c>
      <c r="P1638" s="17">
        <f t="shared" si="300"/>
        <v>9.8699786714285711</v>
      </c>
      <c r="Q1638" s="16" cm="1">
        <f t="array" ref="Q1638">_xlfn.XLOOKUP(O1638,BSFC!$A$2:$A$24,_xlfn.XLOOKUP(K1638,BSFC!$B$1:$O$1,BSFC!$B$2:$O$24,,-1),,-1)</f>
        <v>520</v>
      </c>
      <c r="R1638" s="17">
        <f t="shared" si="301"/>
        <v>1.425663585873016</v>
      </c>
      <c r="S1638" s="16">
        <f t="shared" si="302"/>
        <v>2.0443068048074323E-4</v>
      </c>
      <c r="T1638" s="17">
        <f t="shared" si="305"/>
        <v>0.10630395384998648</v>
      </c>
      <c r="U1638" s="16">
        <f t="shared" si="306"/>
        <v>205.44694267814154</v>
      </c>
      <c r="V1638" s="17">
        <f t="shared" si="307"/>
        <v>0.41897507114486454</v>
      </c>
      <c r="W1638" s="16">
        <f t="shared" si="303"/>
        <v>1508310.2561215125</v>
      </c>
      <c r="X1638">
        <f>('Hybrid Info'!$A$2-Track!P1638)*(L1638-L1637)*1000+X1637</f>
        <v>17890.260077666433</v>
      </c>
    </row>
    <row r="1639" spans="1:24">
      <c r="A1639" s="16">
        <f t="shared" si="304"/>
        <v>1638</v>
      </c>
      <c r="B1639" s="17">
        <f t="shared" si="299"/>
        <v>13.411199999999999</v>
      </c>
      <c r="C1639" s="16">
        <f>Specification!$G$30</f>
        <v>109.96225200000001</v>
      </c>
      <c r="D1639" s="17">
        <f>0.5*Specification!$K$4*Track!B1639^2*Specification!$K$3*Specification!$K$2</f>
        <v>93.159842569492653</v>
      </c>
      <c r="E1639" s="16">
        <v>0</v>
      </c>
      <c r="F1639" s="17">
        <f>Specification!$C$23*9.81*SIN((E1639*PI()/180))</f>
        <v>0</v>
      </c>
      <c r="G1639" s="18">
        <f>IF(J1639=1,VLOOKUP(K1639,RPM!$E$2:$H$62,3,FALSE)-F1639-E1639-D1639,IF(J1639=2,VLOOKUP(K1639,RPM!$H$2:$K$62,3,FALSE)-F1639-E1639-D1639,IF(J1639=3,VLOOKUP(K1639,RPM!$K$2:$N$62,3,FALSE)-F1639-E1639-D1639)))</f>
        <v>688.48526429214962</v>
      </c>
      <c r="H1639" s="19">
        <f>IF(J1639=1,Specification!$I$14,IF(J1639=2,Specification!$I$15,IF(J1639=3,Specification!$I$16)))</f>
        <v>582.50936296077191</v>
      </c>
      <c r="I1639" s="16">
        <f t="shared" si="309"/>
        <v>0</v>
      </c>
      <c r="J1639" s="17">
        <v>2</v>
      </c>
      <c r="K1639" s="16">
        <f>IF(J1639=1,VLOOKUP(B1639,RPM!$F$2:$H$62,3,TRUE),IF(J1639=2,VLOOKUP(B1639,RPM!$I$2:$K$62,3,TRUE),IF(J1639=3,VLOOKUP(B1639,RPM!$L$2:$N$62,3,TRUE))))</f>
        <v>7000</v>
      </c>
      <c r="L1639" s="17">
        <f t="shared" si="308"/>
        <v>126.41206192464711</v>
      </c>
      <c r="M1639" s="16">
        <f t="shared" si="298"/>
        <v>0</v>
      </c>
      <c r="N1639" s="17">
        <f>VLOOKUP(K1639,RPM!$A$2:$D$62,3,FALSE)</f>
        <v>13</v>
      </c>
      <c r="O1639" s="16">
        <f>VLOOKUP(K1639,RPM!$A$2:$D$62,4,FALSE)</f>
        <v>13.235857142857142</v>
      </c>
      <c r="P1639" s="17">
        <f t="shared" si="300"/>
        <v>9.8699786714285711</v>
      </c>
      <c r="Q1639" s="16" cm="1">
        <f t="array" ref="Q1639">_xlfn.XLOOKUP(O1639,BSFC!$A$2:$A$24,_xlfn.XLOOKUP(K1639,BSFC!$B$1:$O$1,BSFC!$B$2:$O$24,,-1),,-1)</f>
        <v>520</v>
      </c>
      <c r="R1639" s="17">
        <f t="shared" si="301"/>
        <v>1.425663585873016</v>
      </c>
      <c r="S1639" s="16">
        <f t="shared" si="302"/>
        <v>2.0443068048074323E-4</v>
      </c>
      <c r="T1639" s="17">
        <f t="shared" si="305"/>
        <v>0.10630395384998648</v>
      </c>
      <c r="U1639" s="16">
        <f t="shared" si="306"/>
        <v>205.55324663199153</v>
      </c>
      <c r="V1639" s="17">
        <f t="shared" si="307"/>
        <v>0.4191795018253453</v>
      </c>
      <c r="W1639" s="16">
        <f t="shared" si="303"/>
        <v>1509046.2065712432</v>
      </c>
      <c r="X1639">
        <f>('Hybrid Info'!$A$2-Track!P1639)*(L1639-L1638)*1000+X1638</f>
        <v>18058.065786652685</v>
      </c>
    </row>
    <row r="1640" spans="1:24">
      <c r="A1640" s="16">
        <f t="shared" si="304"/>
        <v>1639</v>
      </c>
      <c r="B1640" s="17">
        <f t="shared" si="299"/>
        <v>13.411199999999999</v>
      </c>
      <c r="C1640" s="16">
        <f>Specification!$G$30</f>
        <v>109.96225200000001</v>
      </c>
      <c r="D1640" s="17">
        <f>0.5*Specification!$K$4*Track!B1640^2*Specification!$K$3*Specification!$K$2</f>
        <v>93.159842569492653</v>
      </c>
      <c r="E1640" s="16">
        <v>0</v>
      </c>
      <c r="F1640" s="17">
        <f>Specification!$C$23*9.81*SIN((E1640*PI()/180))</f>
        <v>0</v>
      </c>
      <c r="G1640" s="18">
        <f>IF(J1640=1,VLOOKUP(K1640,RPM!$E$2:$H$62,3,FALSE)-F1640-E1640-D1640,IF(J1640=2,VLOOKUP(K1640,RPM!$H$2:$K$62,3,FALSE)-F1640-E1640-D1640,IF(J1640=3,VLOOKUP(K1640,RPM!$K$2:$N$62,3,FALSE)-F1640-E1640-D1640)))</f>
        <v>688.48526429214962</v>
      </c>
      <c r="H1640" s="19">
        <f>IF(J1640=1,Specification!$I$14,IF(J1640=2,Specification!$I$15,IF(J1640=3,Specification!$I$16)))</f>
        <v>582.50936296077191</v>
      </c>
      <c r="I1640" s="16">
        <f t="shared" si="309"/>
        <v>0</v>
      </c>
      <c r="J1640" s="17">
        <v>2</v>
      </c>
      <c r="K1640" s="16">
        <f>IF(J1640=1,VLOOKUP(B1640,RPM!$F$2:$H$62,3,TRUE),IF(J1640=2,VLOOKUP(B1640,RPM!$I$2:$K$62,3,TRUE),IF(J1640=3,VLOOKUP(B1640,RPM!$L$2:$N$62,3,TRUE))))</f>
        <v>7000</v>
      </c>
      <c r="L1640" s="17">
        <f t="shared" si="308"/>
        <v>126.48662646771558</v>
      </c>
      <c r="M1640" s="16">
        <f t="shared" si="298"/>
        <v>0</v>
      </c>
      <c r="N1640" s="17">
        <f>VLOOKUP(K1640,RPM!$A$2:$D$62,3,FALSE)</f>
        <v>13</v>
      </c>
      <c r="O1640" s="16">
        <f>VLOOKUP(K1640,RPM!$A$2:$D$62,4,FALSE)</f>
        <v>13.235857142857142</v>
      </c>
      <c r="P1640" s="17">
        <f t="shared" si="300"/>
        <v>9.8699786714285711</v>
      </c>
      <c r="Q1640" s="16" cm="1">
        <f t="array" ref="Q1640">_xlfn.XLOOKUP(O1640,BSFC!$A$2:$A$24,_xlfn.XLOOKUP(K1640,BSFC!$B$1:$O$1,BSFC!$B$2:$O$24,,-1),,-1)</f>
        <v>520</v>
      </c>
      <c r="R1640" s="17">
        <f t="shared" si="301"/>
        <v>1.425663585873016</v>
      </c>
      <c r="S1640" s="16">
        <f t="shared" si="302"/>
        <v>2.0443068048074323E-4</v>
      </c>
      <c r="T1640" s="17">
        <f t="shared" si="305"/>
        <v>0.10630395384998648</v>
      </c>
      <c r="U1640" s="16">
        <f t="shared" si="306"/>
        <v>205.65955058584152</v>
      </c>
      <c r="V1640" s="17">
        <f t="shared" si="307"/>
        <v>0.41938393250582606</v>
      </c>
      <c r="W1640" s="16">
        <f t="shared" si="303"/>
        <v>1509782.1570209737</v>
      </c>
      <c r="X1640">
        <f>('Hybrid Info'!$A$2-Track!P1640)*(L1640-L1639)*1000+X1639</f>
        <v>18225.871495638938</v>
      </c>
    </row>
    <row r="1641" spans="1:24">
      <c r="A1641" s="16">
        <f t="shared" si="304"/>
        <v>1640</v>
      </c>
      <c r="B1641" s="17">
        <f t="shared" si="299"/>
        <v>13.411199999999999</v>
      </c>
      <c r="C1641" s="16">
        <f>Specification!$G$30</f>
        <v>109.96225200000001</v>
      </c>
      <c r="D1641" s="17">
        <f>0.5*Specification!$K$4*Track!B1641^2*Specification!$K$3*Specification!$K$2</f>
        <v>93.159842569492653</v>
      </c>
      <c r="E1641" s="16">
        <v>0</v>
      </c>
      <c r="F1641" s="17">
        <f>Specification!$C$23*9.81*SIN((E1641*PI()/180))</f>
        <v>0</v>
      </c>
      <c r="G1641" s="18">
        <f>IF(J1641=1,VLOOKUP(K1641,RPM!$E$2:$H$62,3,FALSE)-F1641-E1641-D1641,IF(J1641=2,VLOOKUP(K1641,RPM!$H$2:$K$62,3,FALSE)-F1641-E1641-D1641,IF(J1641=3,VLOOKUP(K1641,RPM!$K$2:$N$62,3,FALSE)-F1641-E1641-D1641)))</f>
        <v>688.48526429214962</v>
      </c>
      <c r="H1641" s="19">
        <f>IF(J1641=1,Specification!$I$14,IF(J1641=2,Specification!$I$15,IF(J1641=3,Specification!$I$16)))</f>
        <v>582.50936296077191</v>
      </c>
      <c r="I1641" s="16">
        <f t="shared" si="309"/>
        <v>0</v>
      </c>
      <c r="J1641" s="17">
        <v>2</v>
      </c>
      <c r="K1641" s="16">
        <f>IF(J1641=1,VLOOKUP(B1641,RPM!$F$2:$H$62,3,TRUE),IF(J1641=2,VLOOKUP(B1641,RPM!$I$2:$K$62,3,TRUE),IF(J1641=3,VLOOKUP(B1641,RPM!$L$2:$N$62,3,TRUE))))</f>
        <v>7000</v>
      </c>
      <c r="L1641" s="17">
        <f t="shared" si="308"/>
        <v>126.56119101078406</v>
      </c>
      <c r="M1641" s="16">
        <f t="shared" si="298"/>
        <v>0</v>
      </c>
      <c r="N1641" s="17">
        <f>VLOOKUP(K1641,RPM!$A$2:$D$62,3,FALSE)</f>
        <v>13</v>
      </c>
      <c r="O1641" s="16">
        <f>VLOOKUP(K1641,RPM!$A$2:$D$62,4,FALSE)</f>
        <v>13.235857142857142</v>
      </c>
      <c r="P1641" s="17">
        <f t="shared" si="300"/>
        <v>9.8699786714285711</v>
      </c>
      <c r="Q1641" s="16" cm="1">
        <f t="array" ref="Q1641">_xlfn.XLOOKUP(O1641,BSFC!$A$2:$A$24,_xlfn.XLOOKUP(K1641,BSFC!$B$1:$O$1,BSFC!$B$2:$O$24,,-1),,-1)</f>
        <v>520</v>
      </c>
      <c r="R1641" s="17">
        <f t="shared" si="301"/>
        <v>1.425663585873016</v>
      </c>
      <c r="S1641" s="16">
        <f t="shared" si="302"/>
        <v>2.0443068048074323E-4</v>
      </c>
      <c r="T1641" s="17">
        <f t="shared" si="305"/>
        <v>0.10630395384998648</v>
      </c>
      <c r="U1641" s="16">
        <f t="shared" si="306"/>
        <v>205.7658545396915</v>
      </c>
      <c r="V1641" s="17">
        <f t="shared" si="307"/>
        <v>0.41958836318630682</v>
      </c>
      <c r="W1641" s="16">
        <f t="shared" si="303"/>
        <v>1510518.1074707045</v>
      </c>
      <c r="X1641">
        <f>('Hybrid Info'!$A$2-Track!P1641)*(L1641-L1640)*1000+X1640</f>
        <v>18393.67720462519</v>
      </c>
    </row>
    <row r="1642" spans="1:24">
      <c r="A1642" s="16">
        <f t="shared" si="304"/>
        <v>1641</v>
      </c>
      <c r="B1642" s="17">
        <f t="shared" si="299"/>
        <v>13.411199999999999</v>
      </c>
      <c r="C1642" s="16">
        <f>Specification!$G$30</f>
        <v>109.96225200000001</v>
      </c>
      <c r="D1642" s="17">
        <f>0.5*Specification!$K$4*Track!B1642^2*Specification!$K$3*Specification!$K$2</f>
        <v>93.159842569492653</v>
      </c>
      <c r="E1642" s="16">
        <v>0</v>
      </c>
      <c r="F1642" s="17">
        <f>Specification!$C$23*9.81*SIN((E1642*PI()/180))</f>
        <v>0</v>
      </c>
      <c r="G1642" s="18">
        <f>IF(J1642=1,VLOOKUP(K1642,RPM!$E$2:$H$62,3,FALSE)-F1642-E1642-D1642,IF(J1642=2,VLOOKUP(K1642,RPM!$H$2:$K$62,3,FALSE)-F1642-E1642-D1642,IF(J1642=3,VLOOKUP(K1642,RPM!$K$2:$N$62,3,FALSE)-F1642-E1642-D1642)))</f>
        <v>688.48526429214962</v>
      </c>
      <c r="H1642" s="19">
        <f>IF(J1642=1,Specification!$I$14,IF(J1642=2,Specification!$I$15,IF(J1642=3,Specification!$I$16)))</f>
        <v>582.50936296077191</v>
      </c>
      <c r="I1642" s="16">
        <f t="shared" si="309"/>
        <v>0</v>
      </c>
      <c r="J1642" s="17">
        <v>2</v>
      </c>
      <c r="K1642" s="16">
        <f>IF(J1642=1,VLOOKUP(B1642,RPM!$F$2:$H$62,3,TRUE),IF(J1642=2,VLOOKUP(B1642,RPM!$I$2:$K$62,3,TRUE),IF(J1642=3,VLOOKUP(B1642,RPM!$L$2:$N$62,3,TRUE))))</f>
        <v>7000</v>
      </c>
      <c r="L1642" s="17">
        <f t="shared" si="308"/>
        <v>126.63575555385253</v>
      </c>
      <c r="M1642" s="16">
        <f t="shared" si="298"/>
        <v>0</v>
      </c>
      <c r="N1642" s="17">
        <f>VLOOKUP(K1642,RPM!$A$2:$D$62,3,FALSE)</f>
        <v>13</v>
      </c>
      <c r="O1642" s="16">
        <f>VLOOKUP(K1642,RPM!$A$2:$D$62,4,FALSE)</f>
        <v>13.235857142857142</v>
      </c>
      <c r="P1642" s="17">
        <f t="shared" si="300"/>
        <v>9.8699786714285711</v>
      </c>
      <c r="Q1642" s="16" cm="1">
        <f t="array" ref="Q1642">_xlfn.XLOOKUP(O1642,BSFC!$A$2:$A$24,_xlfn.XLOOKUP(K1642,BSFC!$B$1:$O$1,BSFC!$B$2:$O$24,,-1),,-1)</f>
        <v>520</v>
      </c>
      <c r="R1642" s="17">
        <f t="shared" si="301"/>
        <v>1.425663585873016</v>
      </c>
      <c r="S1642" s="16">
        <f t="shared" si="302"/>
        <v>2.0443068048074323E-4</v>
      </c>
      <c r="T1642" s="17">
        <f t="shared" si="305"/>
        <v>0.10630395384998648</v>
      </c>
      <c r="U1642" s="16">
        <f t="shared" si="306"/>
        <v>205.87215849354149</v>
      </c>
      <c r="V1642" s="17">
        <f t="shared" si="307"/>
        <v>0.41979279386678758</v>
      </c>
      <c r="W1642" s="16">
        <f t="shared" si="303"/>
        <v>1511254.0579204352</v>
      </c>
      <c r="X1642">
        <f>('Hybrid Info'!$A$2-Track!P1642)*(L1642-L1641)*1000+X1641</f>
        <v>18561.482913611442</v>
      </c>
    </row>
    <row r="1643" spans="1:24">
      <c r="A1643" s="16">
        <f t="shared" si="304"/>
        <v>1642</v>
      </c>
      <c r="B1643" s="17">
        <f t="shared" si="299"/>
        <v>13.411199999999999</v>
      </c>
      <c r="C1643" s="16">
        <f>Specification!$G$30</f>
        <v>109.96225200000001</v>
      </c>
      <c r="D1643" s="17">
        <f>0.5*Specification!$K$4*Track!B1643^2*Specification!$K$3*Specification!$K$2</f>
        <v>93.159842569492653</v>
      </c>
      <c r="E1643" s="16">
        <v>0</v>
      </c>
      <c r="F1643" s="17">
        <f>Specification!$C$23*9.81*SIN((E1643*PI()/180))</f>
        <v>0</v>
      </c>
      <c r="G1643" s="18">
        <f>IF(J1643=1,VLOOKUP(K1643,RPM!$E$2:$H$62,3,FALSE)-F1643-E1643-D1643,IF(J1643=2,VLOOKUP(K1643,RPM!$H$2:$K$62,3,FALSE)-F1643-E1643-D1643,IF(J1643=3,VLOOKUP(K1643,RPM!$K$2:$N$62,3,FALSE)-F1643-E1643-D1643)))</f>
        <v>688.48526429214962</v>
      </c>
      <c r="H1643" s="19">
        <f>IF(J1643=1,Specification!$I$14,IF(J1643=2,Specification!$I$15,IF(J1643=3,Specification!$I$16)))</f>
        <v>582.50936296077191</v>
      </c>
      <c r="I1643" s="16">
        <f t="shared" si="309"/>
        <v>0</v>
      </c>
      <c r="J1643" s="17">
        <v>2</v>
      </c>
      <c r="K1643" s="16">
        <f>IF(J1643=1,VLOOKUP(B1643,RPM!$F$2:$H$62,3,TRUE),IF(J1643=2,VLOOKUP(B1643,RPM!$I$2:$K$62,3,TRUE),IF(J1643=3,VLOOKUP(B1643,RPM!$L$2:$N$62,3,TRUE))))</f>
        <v>7000</v>
      </c>
      <c r="L1643" s="17">
        <f t="shared" si="308"/>
        <v>126.71032009692101</v>
      </c>
      <c r="M1643" s="16">
        <f t="shared" si="298"/>
        <v>0</v>
      </c>
      <c r="N1643" s="17">
        <f>VLOOKUP(K1643,RPM!$A$2:$D$62,3,FALSE)</f>
        <v>13</v>
      </c>
      <c r="O1643" s="16">
        <f>VLOOKUP(K1643,RPM!$A$2:$D$62,4,FALSE)</f>
        <v>13.235857142857142</v>
      </c>
      <c r="P1643" s="17">
        <f t="shared" si="300"/>
        <v>9.8699786714285711</v>
      </c>
      <c r="Q1643" s="16" cm="1">
        <f t="array" ref="Q1643">_xlfn.XLOOKUP(O1643,BSFC!$A$2:$A$24,_xlfn.XLOOKUP(K1643,BSFC!$B$1:$O$1,BSFC!$B$2:$O$24,,-1),,-1)</f>
        <v>520</v>
      </c>
      <c r="R1643" s="17">
        <f t="shared" si="301"/>
        <v>1.425663585873016</v>
      </c>
      <c r="S1643" s="16">
        <f t="shared" si="302"/>
        <v>2.0443068048074323E-4</v>
      </c>
      <c r="T1643" s="17">
        <f t="shared" si="305"/>
        <v>0.10630395384998648</v>
      </c>
      <c r="U1643" s="16">
        <f t="shared" si="306"/>
        <v>205.97846244739148</v>
      </c>
      <c r="V1643" s="17">
        <f t="shared" si="307"/>
        <v>0.41999722454726834</v>
      </c>
      <c r="W1643" s="16">
        <f t="shared" si="303"/>
        <v>1511990.0083701659</v>
      </c>
      <c r="X1643">
        <f>('Hybrid Info'!$A$2-Track!P1643)*(L1643-L1642)*1000+X1642</f>
        <v>18729.288622597694</v>
      </c>
    </row>
    <row r="1644" spans="1:24">
      <c r="A1644" s="16">
        <f t="shared" si="304"/>
        <v>1643</v>
      </c>
      <c r="B1644" s="17">
        <f t="shared" si="299"/>
        <v>13.411199999999999</v>
      </c>
      <c r="C1644" s="16">
        <f>Specification!$G$30</f>
        <v>109.96225200000001</v>
      </c>
      <c r="D1644" s="17">
        <f>0.5*Specification!$K$4*Track!B1644^2*Specification!$K$3*Specification!$K$2</f>
        <v>93.159842569492653</v>
      </c>
      <c r="E1644" s="16">
        <v>0</v>
      </c>
      <c r="F1644" s="17">
        <f>Specification!$C$23*9.81*SIN((E1644*PI()/180))</f>
        <v>0</v>
      </c>
      <c r="G1644" s="18">
        <f>IF(J1644=1,VLOOKUP(K1644,RPM!$E$2:$H$62,3,FALSE)-F1644-E1644-D1644,IF(J1644=2,VLOOKUP(K1644,RPM!$H$2:$K$62,3,FALSE)-F1644-E1644-D1644,IF(J1644=3,VLOOKUP(K1644,RPM!$K$2:$N$62,3,FALSE)-F1644-E1644-D1644)))</f>
        <v>688.48526429214962</v>
      </c>
      <c r="H1644" s="19">
        <f>IF(J1644=1,Specification!$I$14,IF(J1644=2,Specification!$I$15,IF(J1644=3,Specification!$I$16)))</f>
        <v>582.50936296077191</v>
      </c>
      <c r="I1644" s="16">
        <f t="shared" si="309"/>
        <v>0</v>
      </c>
      <c r="J1644" s="17">
        <v>2</v>
      </c>
      <c r="K1644" s="16">
        <f>IF(J1644=1,VLOOKUP(B1644,RPM!$F$2:$H$62,3,TRUE),IF(J1644=2,VLOOKUP(B1644,RPM!$I$2:$K$62,3,TRUE),IF(J1644=3,VLOOKUP(B1644,RPM!$L$2:$N$62,3,TRUE))))</f>
        <v>7000</v>
      </c>
      <c r="L1644" s="17">
        <f t="shared" si="308"/>
        <v>126.78488463998949</v>
      </c>
      <c r="M1644" s="16">
        <f t="shared" si="298"/>
        <v>0</v>
      </c>
      <c r="N1644" s="17">
        <f>VLOOKUP(K1644,RPM!$A$2:$D$62,3,FALSE)</f>
        <v>13</v>
      </c>
      <c r="O1644" s="16">
        <f>VLOOKUP(K1644,RPM!$A$2:$D$62,4,FALSE)</f>
        <v>13.235857142857142</v>
      </c>
      <c r="P1644" s="17">
        <f t="shared" si="300"/>
        <v>9.8699786714285711</v>
      </c>
      <c r="Q1644" s="16" cm="1">
        <f t="array" ref="Q1644">_xlfn.XLOOKUP(O1644,BSFC!$A$2:$A$24,_xlfn.XLOOKUP(K1644,BSFC!$B$1:$O$1,BSFC!$B$2:$O$24,,-1),,-1)</f>
        <v>520</v>
      </c>
      <c r="R1644" s="17">
        <f t="shared" si="301"/>
        <v>1.425663585873016</v>
      </c>
      <c r="S1644" s="16">
        <f t="shared" si="302"/>
        <v>2.0443068048074323E-4</v>
      </c>
      <c r="T1644" s="17">
        <f t="shared" si="305"/>
        <v>0.10630395384998648</v>
      </c>
      <c r="U1644" s="16">
        <f t="shared" si="306"/>
        <v>206.08476640124147</v>
      </c>
      <c r="V1644" s="17">
        <f t="shared" si="307"/>
        <v>0.4202016552277491</v>
      </c>
      <c r="W1644" s="16">
        <f t="shared" si="303"/>
        <v>1512725.9588198967</v>
      </c>
      <c r="X1644">
        <f>('Hybrid Info'!$A$2-Track!P1644)*(L1644-L1643)*1000+X1643</f>
        <v>18897.094331583947</v>
      </c>
    </row>
    <row r="1645" spans="1:24">
      <c r="A1645" s="16">
        <f t="shared" si="304"/>
        <v>1644</v>
      </c>
      <c r="B1645" s="17">
        <f t="shared" si="299"/>
        <v>13.411199999999999</v>
      </c>
      <c r="C1645" s="16">
        <f>Specification!$G$30</f>
        <v>109.96225200000001</v>
      </c>
      <c r="D1645" s="17">
        <f>0.5*Specification!$K$4*Track!B1645^2*Specification!$K$3*Specification!$K$2</f>
        <v>93.159842569492653</v>
      </c>
      <c r="E1645" s="16">
        <v>1</v>
      </c>
      <c r="F1645" s="17">
        <f>Specification!$C$23*9.81*SIN((E1645*PI()/180))</f>
        <v>95.955295733149597</v>
      </c>
      <c r="G1645" s="18">
        <f>IF(J1645=1,VLOOKUP(K1645,RPM!$E$2:$H$62,3,FALSE)-F1645-E1645-D1645,IF(J1645=2,VLOOKUP(K1645,RPM!$H$2:$K$62,3,FALSE)-F1645-E1645-D1645,IF(J1645=3,VLOOKUP(K1645,RPM!$K$2:$N$62,3,FALSE)-F1645-E1645-D1645)))</f>
        <v>452.60688330512198</v>
      </c>
      <c r="H1645" s="19">
        <f>IF(J1645=1,Specification!$I$14,IF(J1645=2,Specification!$I$15,IF(J1645=3,Specification!$I$16)))</f>
        <v>578.93404261974786</v>
      </c>
      <c r="I1645" s="16">
        <f t="shared" si="309"/>
        <v>0</v>
      </c>
      <c r="J1645" s="17">
        <v>3</v>
      </c>
      <c r="K1645" s="16">
        <f>IF(J1645=1,VLOOKUP(B1645,RPM!$F$2:$H$62,3,TRUE),IF(J1645=2,VLOOKUP(B1645,RPM!$I$2:$K$62,3,TRUE),IF(J1645=3,VLOOKUP(B1645,RPM!$L$2:$N$62,3,TRUE))))</f>
        <v>4300</v>
      </c>
      <c r="L1645" s="17">
        <f t="shared" si="308"/>
        <v>126.85944918305796</v>
      </c>
      <c r="M1645" s="16">
        <f t="shared" si="298"/>
        <v>1.7455064928217585E-2</v>
      </c>
      <c r="N1645" s="17">
        <f>VLOOKUP(K1645,RPM!$A$2:$D$62,3,FALSE)</f>
        <v>11.4</v>
      </c>
      <c r="O1645" s="16">
        <f>VLOOKUP(K1645,RPM!$A$2:$D$62,4,FALSE)</f>
        <v>18.894837209302327</v>
      </c>
      <c r="P1645" s="17">
        <f t="shared" si="300"/>
        <v>14.089880106976747</v>
      </c>
      <c r="Q1645" s="16" cm="1">
        <f t="array" ref="Q1645">_xlfn.XLOOKUP(O1645,BSFC!$A$2:$A$24,_xlfn.XLOOKUP(K1645,BSFC!$B$1:$O$1,BSFC!$B$2:$O$24,,-1),,-1)</f>
        <v>480</v>
      </c>
      <c r="R1645" s="17">
        <f t="shared" si="301"/>
        <v>1.8786506809302328</v>
      </c>
      <c r="S1645" s="16">
        <f t="shared" si="302"/>
        <v>2.9183485335175871E-4</v>
      </c>
      <c r="T1645" s="17">
        <f t="shared" si="305"/>
        <v>0.14008072960884418</v>
      </c>
      <c r="U1645" s="16">
        <f t="shared" si="306"/>
        <v>206.22484713085032</v>
      </c>
      <c r="V1645" s="17">
        <f t="shared" si="307"/>
        <v>0.42049349008110087</v>
      </c>
      <c r="W1645" s="16">
        <f t="shared" si="303"/>
        <v>1513776.5642919634</v>
      </c>
      <c r="X1645">
        <f>('Hybrid Info'!$A$2-Track!P1645)*(L1645-L1644)*1000+X1644</f>
        <v>18750.245018234542</v>
      </c>
    </row>
    <row r="1646" spans="1:24">
      <c r="A1646" s="16">
        <f t="shared" si="304"/>
        <v>1645</v>
      </c>
      <c r="B1646" s="17">
        <f t="shared" si="299"/>
        <v>13.411199999999999</v>
      </c>
      <c r="C1646" s="16">
        <f>Specification!$G$30</f>
        <v>109.96225200000001</v>
      </c>
      <c r="D1646" s="17">
        <f>0.5*Specification!$K$4*Track!B1646^2*Specification!$K$3*Specification!$K$2</f>
        <v>93.159842569492653</v>
      </c>
      <c r="E1646" s="16">
        <v>2</v>
      </c>
      <c r="F1646" s="17">
        <f>Specification!$C$23*9.81*SIN((E1646*PI()/180))</f>
        <v>191.88136255367905</v>
      </c>
      <c r="G1646" s="18">
        <f>IF(J1646=1,VLOOKUP(K1646,RPM!$E$2:$H$62,3,FALSE)-F1646-E1646-D1646,IF(J1646=2,VLOOKUP(K1646,RPM!$H$2:$K$62,3,FALSE)-F1646-E1646-D1646,IF(J1646=3,VLOOKUP(K1646,RPM!$K$2:$N$62,3,FALSE)-F1646-E1646-D1646)))</f>
        <v>355.68081648459247</v>
      </c>
      <c r="H1646" s="19">
        <f>IF(J1646=1,Specification!$I$14,IF(J1646=2,Specification!$I$15,IF(J1646=3,Specification!$I$16)))</f>
        <v>578.93404261974786</v>
      </c>
      <c r="I1646" s="16">
        <f t="shared" si="309"/>
        <v>0</v>
      </c>
      <c r="J1646" s="17">
        <v>3</v>
      </c>
      <c r="K1646" s="16">
        <f>IF(J1646=1,VLOOKUP(B1646,RPM!$F$2:$H$62,3,TRUE),IF(J1646=2,VLOOKUP(B1646,RPM!$I$2:$K$62,3,TRUE),IF(J1646=3,VLOOKUP(B1646,RPM!$L$2:$N$62,3,TRUE))))</f>
        <v>4300</v>
      </c>
      <c r="L1646" s="17">
        <f t="shared" si="308"/>
        <v>126.93401372612644</v>
      </c>
      <c r="M1646" s="16">
        <f t="shared" ref="M1646:M1709" si="310">TAN(E1646*PI()/180)+M1645</f>
        <v>5.2375834419965316E-2</v>
      </c>
      <c r="N1646" s="17">
        <f>VLOOKUP(K1646,RPM!$A$2:$D$62,3,FALSE)</f>
        <v>11.4</v>
      </c>
      <c r="O1646" s="16">
        <f>VLOOKUP(K1646,RPM!$A$2:$D$62,4,FALSE)</f>
        <v>18.894837209302327</v>
      </c>
      <c r="P1646" s="17">
        <f t="shared" si="300"/>
        <v>14.089880106976747</v>
      </c>
      <c r="Q1646" s="16" cm="1">
        <f t="array" ref="Q1646">_xlfn.XLOOKUP(O1646,BSFC!$A$2:$A$24,_xlfn.XLOOKUP(K1646,BSFC!$B$1:$O$1,BSFC!$B$2:$O$24,,-1),,-1)</f>
        <v>480</v>
      </c>
      <c r="R1646" s="17">
        <f t="shared" si="301"/>
        <v>1.8786506809302328</v>
      </c>
      <c r="S1646" s="16">
        <f t="shared" si="302"/>
        <v>2.9183485335175871E-4</v>
      </c>
      <c r="T1646" s="17">
        <f t="shared" si="305"/>
        <v>0.14008072960884418</v>
      </c>
      <c r="U1646" s="16">
        <f t="shared" si="306"/>
        <v>206.36492786045918</v>
      </c>
      <c r="V1646" s="17">
        <f t="shared" si="307"/>
        <v>0.42078532493445264</v>
      </c>
      <c r="W1646" s="16">
        <f t="shared" si="303"/>
        <v>1514827.1697640296</v>
      </c>
      <c r="X1646">
        <f>('Hybrid Info'!$A$2-Track!P1646)*(L1646-L1645)*1000+X1645</f>
        <v>18603.395704885137</v>
      </c>
    </row>
    <row r="1647" spans="1:24">
      <c r="A1647" s="16">
        <f t="shared" si="304"/>
        <v>1646</v>
      </c>
      <c r="B1647" s="17">
        <f t="shared" si="299"/>
        <v>13.411199999999999</v>
      </c>
      <c r="C1647" s="16">
        <f>Specification!$G$30</f>
        <v>109.96225200000001</v>
      </c>
      <c r="D1647" s="17">
        <f>0.5*Specification!$K$4*Track!B1647^2*Specification!$K$3*Specification!$K$2</f>
        <v>93.159842569492653</v>
      </c>
      <c r="E1647" s="16">
        <v>3</v>
      </c>
      <c r="F1647" s="17">
        <f>Specification!$C$23*9.81*SIN((E1647*PI()/180))</f>
        <v>287.74898045237813</v>
      </c>
      <c r="G1647" s="18">
        <f>IF(J1647=1,VLOOKUP(K1647,RPM!$E$2:$H$62,3,FALSE)-F1647-E1647-D1647,IF(J1647=2,VLOOKUP(K1647,RPM!$H$2:$K$62,3,FALSE)-F1647-E1647-D1647,IF(J1647=3,VLOOKUP(K1647,RPM!$K$2:$N$62,3,FALSE)-F1647-E1647-D1647)))</f>
        <v>258.81319858589342</v>
      </c>
      <c r="H1647" s="19">
        <f>IF(J1647=1,Specification!$I$14,IF(J1647=2,Specification!$I$15,IF(J1647=3,Specification!$I$16)))</f>
        <v>578.93404261974786</v>
      </c>
      <c r="I1647" s="16">
        <f t="shared" si="309"/>
        <v>0</v>
      </c>
      <c r="J1647" s="17">
        <v>3</v>
      </c>
      <c r="K1647" s="16">
        <f>IF(J1647=1,VLOOKUP(B1647,RPM!$F$2:$H$62,3,TRUE),IF(J1647=2,VLOOKUP(B1647,RPM!$I$2:$K$62,3,TRUE),IF(J1647=3,VLOOKUP(B1647,RPM!$L$2:$N$62,3,TRUE))))</f>
        <v>4300</v>
      </c>
      <c r="L1647" s="17">
        <f t="shared" si="308"/>
        <v>127.00857826919491</v>
      </c>
      <c r="M1647" s="16">
        <f t="shared" si="310"/>
        <v>0.10478361370300651</v>
      </c>
      <c r="N1647" s="17">
        <f>VLOOKUP(K1647,RPM!$A$2:$D$62,3,FALSE)</f>
        <v>11.4</v>
      </c>
      <c r="O1647" s="16">
        <f>VLOOKUP(K1647,RPM!$A$2:$D$62,4,FALSE)</f>
        <v>18.894837209302327</v>
      </c>
      <c r="P1647" s="17">
        <f t="shared" si="300"/>
        <v>14.089880106976747</v>
      </c>
      <c r="Q1647" s="16" cm="1">
        <f t="array" ref="Q1647">_xlfn.XLOOKUP(O1647,BSFC!$A$2:$A$24,_xlfn.XLOOKUP(K1647,BSFC!$B$1:$O$1,BSFC!$B$2:$O$24,,-1),,-1)</f>
        <v>480</v>
      </c>
      <c r="R1647" s="17">
        <f t="shared" si="301"/>
        <v>1.8786506809302328</v>
      </c>
      <c r="S1647" s="16">
        <f t="shared" si="302"/>
        <v>2.9183485335175871E-4</v>
      </c>
      <c r="T1647" s="17">
        <f t="shared" si="305"/>
        <v>0.14008072960884418</v>
      </c>
      <c r="U1647" s="16">
        <f t="shared" si="306"/>
        <v>206.50500859006803</v>
      </c>
      <c r="V1647" s="17">
        <f t="shared" si="307"/>
        <v>0.42107715978780441</v>
      </c>
      <c r="W1647" s="16">
        <f t="shared" si="303"/>
        <v>1515877.775236096</v>
      </c>
      <c r="X1647">
        <f>('Hybrid Info'!$A$2-Track!P1647)*(L1647-L1646)*1000+X1646</f>
        <v>18456.546391535732</v>
      </c>
    </row>
    <row r="1648" spans="1:24">
      <c r="A1648" s="16">
        <f t="shared" si="304"/>
        <v>1647</v>
      </c>
      <c r="B1648" s="17">
        <f t="shared" si="299"/>
        <v>13.411199999999999</v>
      </c>
      <c r="C1648" s="16">
        <f>Specification!$G$30</f>
        <v>109.96225200000001</v>
      </c>
      <c r="D1648" s="17">
        <f>0.5*Specification!$K$4*Track!B1648^2*Specification!$K$3*Specification!$K$2</f>
        <v>93.159842569492653</v>
      </c>
      <c r="E1648" s="16">
        <v>4</v>
      </c>
      <c r="F1648" s="17">
        <f>Specification!$C$23*9.81*SIN((E1648*PI()/180))</f>
        <v>383.52894722414453</v>
      </c>
      <c r="G1648" s="18">
        <f>IF(J1648=1,VLOOKUP(K1648,RPM!$E$2:$H$62,3,FALSE)-F1648-E1648-D1648,IF(J1648=2,VLOOKUP(K1648,RPM!$H$2:$K$62,3,FALSE)-F1648-E1648-D1648,IF(J1648=3,VLOOKUP(K1648,RPM!$K$2:$N$62,3,FALSE)-F1648-E1648-D1648)))</f>
        <v>162.03323181412702</v>
      </c>
      <c r="H1648" s="19">
        <f>IF(J1648=1,Specification!$I$14,IF(J1648=2,Specification!$I$15,IF(J1648=3,Specification!$I$16)))</f>
        <v>578.93404261974786</v>
      </c>
      <c r="I1648" s="16">
        <f t="shared" si="309"/>
        <v>0</v>
      </c>
      <c r="J1648" s="17">
        <v>3</v>
      </c>
      <c r="K1648" s="16">
        <f>IF(J1648=1,VLOOKUP(B1648,RPM!$F$2:$H$62,3,TRUE),IF(J1648=2,VLOOKUP(B1648,RPM!$I$2:$K$62,3,TRUE),IF(J1648=3,VLOOKUP(B1648,RPM!$L$2:$N$62,3,TRUE))))</f>
        <v>4300</v>
      </c>
      <c r="L1648" s="17">
        <f t="shared" si="308"/>
        <v>127.08314281226339</v>
      </c>
      <c r="M1648" s="16">
        <f t="shared" si="310"/>
        <v>0.17471042564651693</v>
      </c>
      <c r="N1648" s="17">
        <f>VLOOKUP(K1648,RPM!$A$2:$D$62,3,FALSE)</f>
        <v>11.4</v>
      </c>
      <c r="O1648" s="16">
        <f>VLOOKUP(K1648,RPM!$A$2:$D$62,4,FALSE)</f>
        <v>18.894837209302327</v>
      </c>
      <c r="P1648" s="17">
        <f t="shared" si="300"/>
        <v>14.089880106976747</v>
      </c>
      <c r="Q1648" s="16" cm="1">
        <f t="array" ref="Q1648">_xlfn.XLOOKUP(O1648,BSFC!$A$2:$A$24,_xlfn.XLOOKUP(K1648,BSFC!$B$1:$O$1,BSFC!$B$2:$O$24,,-1),,-1)</f>
        <v>480</v>
      </c>
      <c r="R1648" s="17">
        <f t="shared" si="301"/>
        <v>1.8786506809302328</v>
      </c>
      <c r="S1648" s="16">
        <f t="shared" si="302"/>
        <v>2.9183485335175871E-4</v>
      </c>
      <c r="T1648" s="17">
        <f t="shared" si="305"/>
        <v>0.14008072960884418</v>
      </c>
      <c r="U1648" s="16">
        <f t="shared" si="306"/>
        <v>206.64508931967688</v>
      </c>
      <c r="V1648" s="17">
        <f t="shared" si="307"/>
        <v>0.42136899464115618</v>
      </c>
      <c r="W1648" s="16">
        <f t="shared" si="303"/>
        <v>1516928.3807081622</v>
      </c>
      <c r="X1648">
        <f>('Hybrid Info'!$A$2-Track!P1648)*(L1648-L1647)*1000+X1647</f>
        <v>18309.697078186327</v>
      </c>
    </row>
    <row r="1649" spans="1:24">
      <c r="A1649" s="16">
        <f t="shared" si="304"/>
        <v>1648</v>
      </c>
      <c r="B1649" s="17">
        <f t="shared" ref="B1649:B1709" si="311">IF(SQRT(B1648^2+2*I1648)&gt;13.4112,13.4112,SQRT(B1648^2+2*I1648))</f>
        <v>13.411199999999999</v>
      </c>
      <c r="C1649" s="16">
        <f>Specification!$G$30</f>
        <v>109.96225200000001</v>
      </c>
      <c r="D1649" s="17">
        <f>0.5*Specification!$K$4*Track!B1649^2*Specification!$K$3*Specification!$K$2</f>
        <v>93.159842569492653</v>
      </c>
      <c r="E1649" s="16">
        <v>5</v>
      </c>
      <c r="F1649" s="17">
        <f>Specification!$C$23*9.81*SIN((E1649*PI()/180))</f>
        <v>479.192087363258</v>
      </c>
      <c r="G1649" s="18">
        <f>IF(J1649=1,VLOOKUP(K1649,RPM!$E$2:$H$62,3,FALSE)-F1649-E1649-D1649,IF(J1649=2,VLOOKUP(K1649,RPM!$H$2:$K$62,3,FALSE)-F1649-E1649-D1649,IF(J1649=3,VLOOKUP(K1649,RPM!$K$2:$N$62,3,FALSE)-F1649-E1649-D1649)))</f>
        <v>65.370091675013541</v>
      </c>
      <c r="H1649" s="19">
        <f>IF(J1649=1,Specification!$I$14,IF(J1649=2,Specification!$I$15,IF(J1649=3,Specification!$I$16)))</f>
        <v>578.93404261974786</v>
      </c>
      <c r="I1649" s="16">
        <f t="shared" si="309"/>
        <v>0</v>
      </c>
      <c r="J1649" s="17">
        <v>3</v>
      </c>
      <c r="K1649" s="16">
        <f>IF(J1649=1,VLOOKUP(B1649,RPM!$F$2:$H$62,3,TRUE),IF(J1649=2,VLOOKUP(B1649,RPM!$I$2:$K$62,3,TRUE),IF(J1649=3,VLOOKUP(B1649,RPM!$L$2:$N$62,3,TRUE))))</f>
        <v>4300</v>
      </c>
      <c r="L1649" s="17">
        <f t="shared" si="308"/>
        <v>127.15770735533187</v>
      </c>
      <c r="M1649" s="16">
        <f t="shared" si="310"/>
        <v>0.26219908917244095</v>
      </c>
      <c r="N1649" s="17">
        <f>VLOOKUP(K1649,RPM!$A$2:$D$62,3,FALSE)</f>
        <v>11.4</v>
      </c>
      <c r="O1649" s="16">
        <f>VLOOKUP(K1649,RPM!$A$2:$D$62,4,FALSE)</f>
        <v>18.894837209302327</v>
      </c>
      <c r="P1649" s="17">
        <f t="shared" si="300"/>
        <v>14.089880106976747</v>
      </c>
      <c r="Q1649" s="16" cm="1">
        <f t="array" ref="Q1649">_xlfn.XLOOKUP(O1649,BSFC!$A$2:$A$24,_xlfn.XLOOKUP(K1649,BSFC!$B$1:$O$1,BSFC!$B$2:$O$24,,-1),,-1)</f>
        <v>480</v>
      </c>
      <c r="R1649" s="17">
        <f t="shared" si="301"/>
        <v>1.8786506809302328</v>
      </c>
      <c r="S1649" s="16">
        <f t="shared" si="302"/>
        <v>2.9183485335175871E-4</v>
      </c>
      <c r="T1649" s="17">
        <f t="shared" si="305"/>
        <v>0.14008072960884418</v>
      </c>
      <c r="U1649" s="16">
        <f t="shared" si="306"/>
        <v>206.78517004928574</v>
      </c>
      <c r="V1649" s="17">
        <f t="shared" si="307"/>
        <v>0.42166082949450795</v>
      </c>
      <c r="W1649" s="16">
        <f t="shared" si="303"/>
        <v>1517978.9861802286</v>
      </c>
      <c r="X1649">
        <f>('Hybrid Info'!$A$2-Track!P1649)*(L1649-L1648)*1000+X1648</f>
        <v>18162.847764836923</v>
      </c>
    </row>
    <row r="1650" spans="1:24">
      <c r="A1650" s="16">
        <f t="shared" si="304"/>
        <v>1649</v>
      </c>
      <c r="B1650" s="17">
        <f t="shared" si="311"/>
        <v>13.411199999999999</v>
      </c>
      <c r="C1650" s="16">
        <f>Specification!$G$30</f>
        <v>109.96225200000001</v>
      </c>
      <c r="D1650" s="17">
        <f>0.5*Specification!$K$4*Track!B1650^2*Specification!$K$3*Specification!$K$2</f>
        <v>93.159842569492653</v>
      </c>
      <c r="E1650" s="16">
        <v>6</v>
      </c>
      <c r="F1650" s="17">
        <f>Specification!$C$23*9.81*SIN((E1650*PI()/180))</f>
        <v>574.70926095052266</v>
      </c>
      <c r="G1650" s="18">
        <f>IF(J1650=1,VLOOKUP(K1650,RPM!$E$2:$H$62,3,FALSE)-F1650-E1650-D1650,IF(J1650=2,VLOOKUP(K1650,RPM!$H$2:$K$62,3,FALSE)-F1650-E1650-D1650,IF(J1650=3,VLOOKUP(K1650,RPM!$K$2:$N$62,3,FALSE)-F1650-E1650-D1650)))</f>
        <v>-31.147081912251124</v>
      </c>
      <c r="H1650" s="19">
        <f>IF(J1650=1,Specification!$I$14,IF(J1650=2,Specification!$I$15,IF(J1650=3,Specification!$I$16)))</f>
        <v>578.93404261974786</v>
      </c>
      <c r="I1650" s="16">
        <f t="shared" si="309"/>
        <v>0</v>
      </c>
      <c r="J1650" s="17">
        <v>3</v>
      </c>
      <c r="K1650" s="16">
        <f>IF(J1650=1,VLOOKUP(B1650,RPM!$F$2:$H$62,3,TRUE),IF(J1650=2,VLOOKUP(B1650,RPM!$I$2:$K$62,3,TRUE),IF(J1650=3,VLOOKUP(B1650,RPM!$L$2:$N$62,3,TRUE))))</f>
        <v>4300</v>
      </c>
      <c r="L1650" s="17">
        <f t="shared" si="308"/>
        <v>127.23227189840034</v>
      </c>
      <c r="M1650" s="16">
        <f t="shared" si="310"/>
        <v>0.36730332443811742</v>
      </c>
      <c r="N1650" s="17">
        <f>VLOOKUP(K1650,RPM!$A$2:$D$62,3,FALSE)</f>
        <v>11.4</v>
      </c>
      <c r="O1650" s="16">
        <f>VLOOKUP(K1650,RPM!$A$2:$D$62,4,FALSE)</f>
        <v>18.894837209302327</v>
      </c>
      <c r="P1650" s="17">
        <f t="shared" si="300"/>
        <v>14.089880106976747</v>
      </c>
      <c r="Q1650" s="16" cm="1">
        <f t="array" ref="Q1650">_xlfn.XLOOKUP(O1650,BSFC!$A$2:$A$24,_xlfn.XLOOKUP(K1650,BSFC!$B$1:$O$1,BSFC!$B$2:$O$24,,-1),,-1)</f>
        <v>480</v>
      </c>
      <c r="R1650" s="17">
        <f t="shared" si="301"/>
        <v>1.8786506809302328</v>
      </c>
      <c r="S1650" s="16">
        <f t="shared" si="302"/>
        <v>2.9183485335175871E-4</v>
      </c>
      <c r="T1650" s="17">
        <f t="shared" si="305"/>
        <v>0.14008072960884418</v>
      </c>
      <c r="U1650" s="16">
        <f t="shared" si="306"/>
        <v>206.92525077889459</v>
      </c>
      <c r="V1650" s="17">
        <f t="shared" si="307"/>
        <v>0.42195266434785972</v>
      </c>
      <c r="W1650" s="16">
        <f t="shared" si="303"/>
        <v>1519029.5916522949</v>
      </c>
      <c r="X1650">
        <f>('Hybrid Info'!$A$2-Track!P1650)*(L1650-L1649)*1000+X1649</f>
        <v>18015.998451487518</v>
      </c>
    </row>
    <row r="1651" spans="1:24">
      <c r="A1651" s="16">
        <f t="shared" si="304"/>
        <v>1650</v>
      </c>
      <c r="B1651" s="17">
        <f t="shared" si="311"/>
        <v>13.411199999999999</v>
      </c>
      <c r="C1651" s="16">
        <f>Specification!$G$30</f>
        <v>109.96225200000001</v>
      </c>
      <c r="D1651" s="17">
        <f>0.5*Specification!$K$4*Track!B1651^2*Specification!$K$3*Specification!$K$2</f>
        <v>93.159842569492653</v>
      </c>
      <c r="E1651" s="16">
        <v>7</v>
      </c>
      <c r="F1651" s="17">
        <f>Specification!$C$23*9.81*SIN((E1651*PI()/180))</f>
        <v>670.05137252956831</v>
      </c>
      <c r="G1651" s="18">
        <f>IF(J1651=1,VLOOKUP(K1651,RPM!$E$2:$H$62,3,FALSE)-F1651-E1651-D1651,IF(J1651=2,VLOOKUP(K1651,RPM!$H$2:$K$62,3,FALSE)-F1651-E1651-D1651,IF(J1651=3,VLOOKUP(K1651,RPM!$K$2:$N$62,3,FALSE)-F1651-E1651-D1651)))</f>
        <v>-127.48919349129677</v>
      </c>
      <c r="H1651" s="19">
        <f>IF(J1651=1,Specification!$I$14,IF(J1651=2,Specification!$I$15,IF(J1651=3,Specification!$I$16)))</f>
        <v>578.93404261974786</v>
      </c>
      <c r="I1651" s="16">
        <f t="shared" si="309"/>
        <v>0</v>
      </c>
      <c r="J1651" s="17">
        <v>3</v>
      </c>
      <c r="K1651" s="16">
        <f>IF(J1651=1,VLOOKUP(B1651,RPM!$F$2:$H$62,3,TRUE),IF(J1651=2,VLOOKUP(B1651,RPM!$I$2:$K$62,3,TRUE),IF(J1651=3,VLOOKUP(B1651,RPM!$L$2:$N$62,3,TRUE))))</f>
        <v>4300</v>
      </c>
      <c r="L1651" s="17">
        <f t="shared" si="308"/>
        <v>127.30683644146882</v>
      </c>
      <c r="M1651" s="16">
        <f t="shared" si="310"/>
        <v>0.49008788534102199</v>
      </c>
      <c r="N1651" s="17">
        <f>VLOOKUP(K1651,RPM!$A$2:$D$62,3,FALSE)</f>
        <v>11.4</v>
      </c>
      <c r="O1651" s="16">
        <f>VLOOKUP(K1651,RPM!$A$2:$D$62,4,FALSE)</f>
        <v>18.894837209302327</v>
      </c>
      <c r="P1651" s="17">
        <f t="shared" si="300"/>
        <v>14.089880106976747</v>
      </c>
      <c r="Q1651" s="16" cm="1">
        <f t="array" ref="Q1651">_xlfn.XLOOKUP(O1651,BSFC!$A$2:$A$24,_xlfn.XLOOKUP(K1651,BSFC!$B$1:$O$1,BSFC!$B$2:$O$24,,-1),,-1)</f>
        <v>480</v>
      </c>
      <c r="R1651" s="17">
        <f t="shared" si="301"/>
        <v>1.8786506809302328</v>
      </c>
      <c r="S1651" s="16">
        <f t="shared" si="302"/>
        <v>2.9183485335175871E-4</v>
      </c>
      <c r="T1651" s="17">
        <f t="shared" si="305"/>
        <v>0.14008072960884418</v>
      </c>
      <c r="U1651" s="16">
        <f t="shared" si="306"/>
        <v>207.06533150850345</v>
      </c>
      <c r="V1651" s="17">
        <f t="shared" si="307"/>
        <v>0.42224449920121149</v>
      </c>
      <c r="W1651" s="16">
        <f t="shared" si="303"/>
        <v>1520080.1971243615</v>
      </c>
      <c r="X1651">
        <f>('Hybrid Info'!$A$2-Track!P1651)*(L1651-L1650)*1000+X1650</f>
        <v>17869.149138138113</v>
      </c>
    </row>
    <row r="1652" spans="1:24">
      <c r="A1652" s="16">
        <f t="shared" si="304"/>
        <v>1651</v>
      </c>
      <c r="B1652" s="17">
        <f t="shared" si="311"/>
        <v>13.411199999999999</v>
      </c>
      <c r="C1652" s="16">
        <f>Specification!$G$30</f>
        <v>109.96225200000001</v>
      </c>
      <c r="D1652" s="17">
        <f>0.5*Specification!$K$4*Track!B1652^2*Specification!$K$3*Specification!$K$2</f>
        <v>93.159842569492653</v>
      </c>
      <c r="E1652" s="16">
        <v>8</v>
      </c>
      <c r="F1652" s="17">
        <f>Specification!$C$23*9.81*SIN((E1652*PI()/180))</f>
        <v>765.1893799696079</v>
      </c>
      <c r="G1652" s="18">
        <f>IF(J1652=1,VLOOKUP(K1652,RPM!$E$2:$H$62,3,FALSE)-F1652-E1652-D1652,IF(J1652=2,VLOOKUP(K1652,RPM!$H$2:$K$62,3,FALSE)-F1652-E1652-D1652,IF(J1652=3,VLOOKUP(K1652,RPM!$K$2:$N$62,3,FALSE)-F1652-E1652-D1652)))</f>
        <v>-223.62720093133635</v>
      </c>
      <c r="H1652" s="19">
        <f>IF(J1652=1,Specification!$I$14,IF(J1652=2,Specification!$I$15,IF(J1652=3,Specification!$I$16)))</f>
        <v>578.93404261974786</v>
      </c>
      <c r="I1652" s="16">
        <f t="shared" si="309"/>
        <v>0</v>
      </c>
      <c r="J1652" s="17">
        <v>3</v>
      </c>
      <c r="K1652" s="16">
        <f>IF(J1652=1,VLOOKUP(B1652,RPM!$F$2:$H$62,3,TRUE),IF(J1652=2,VLOOKUP(B1652,RPM!$I$2:$K$62,3,TRUE),IF(J1652=3,VLOOKUP(B1652,RPM!$L$2:$N$62,3,TRUE))))</f>
        <v>4300</v>
      </c>
      <c r="L1652" s="17">
        <f t="shared" si="308"/>
        <v>127.38140098453729</v>
      </c>
      <c r="M1652" s="16">
        <f t="shared" si="310"/>
        <v>0.63062872004341342</v>
      </c>
      <c r="N1652" s="17">
        <f>VLOOKUP(K1652,RPM!$A$2:$D$62,3,FALSE)</f>
        <v>11.4</v>
      </c>
      <c r="O1652" s="16">
        <f>VLOOKUP(K1652,RPM!$A$2:$D$62,4,FALSE)</f>
        <v>18.894837209302327</v>
      </c>
      <c r="P1652" s="17">
        <f t="shared" si="300"/>
        <v>14.089880106976747</v>
      </c>
      <c r="Q1652" s="16" cm="1">
        <f t="array" ref="Q1652">_xlfn.XLOOKUP(O1652,BSFC!$A$2:$A$24,_xlfn.XLOOKUP(K1652,BSFC!$B$1:$O$1,BSFC!$B$2:$O$24,,-1),,-1)</f>
        <v>480</v>
      </c>
      <c r="R1652" s="17">
        <f t="shared" si="301"/>
        <v>1.8786506809302328</v>
      </c>
      <c r="S1652" s="16">
        <f t="shared" si="302"/>
        <v>2.9183485335175871E-4</v>
      </c>
      <c r="T1652" s="17">
        <f t="shared" si="305"/>
        <v>0.14008072960884418</v>
      </c>
      <c r="U1652" s="16">
        <f t="shared" si="306"/>
        <v>207.2054122381123</v>
      </c>
      <c r="V1652" s="17">
        <f t="shared" si="307"/>
        <v>0.42253633405456326</v>
      </c>
      <c r="W1652" s="16">
        <f t="shared" si="303"/>
        <v>1521130.8025964277</v>
      </c>
      <c r="X1652">
        <f>('Hybrid Info'!$A$2-Track!P1652)*(L1652-L1651)*1000+X1651</f>
        <v>17722.299824788708</v>
      </c>
    </row>
    <row r="1653" spans="1:24">
      <c r="A1653" s="16">
        <f t="shared" si="304"/>
        <v>1652</v>
      </c>
      <c r="B1653" s="17">
        <f t="shared" si="311"/>
        <v>13.411199999999999</v>
      </c>
      <c r="C1653" s="16">
        <f>Specification!$G$30</f>
        <v>109.96225200000001</v>
      </c>
      <c r="D1653" s="17">
        <f>0.5*Specification!$K$4*Track!B1653^2*Specification!$K$3*Specification!$K$2</f>
        <v>93.159842569492653</v>
      </c>
      <c r="E1653" s="16">
        <v>8</v>
      </c>
      <c r="F1653" s="17">
        <f>Specification!$C$23*9.81*SIN((E1653*PI()/180))</f>
        <v>765.1893799696079</v>
      </c>
      <c r="G1653" s="18">
        <f>IF(J1653=1,VLOOKUP(K1653,RPM!$E$2:$H$62,3,FALSE)-F1653-E1653-D1653,IF(J1653=2,VLOOKUP(K1653,RPM!$H$2:$K$62,3,FALSE)-F1653-E1653-D1653,IF(J1653=3,VLOOKUP(K1653,RPM!$K$2:$N$62,3,FALSE)-F1653-E1653-D1653)))</f>
        <v>-223.62720093133635</v>
      </c>
      <c r="H1653" s="19">
        <f>IF(J1653=1,Specification!$I$14,IF(J1653=2,Specification!$I$15,IF(J1653=3,Specification!$I$16)))</f>
        <v>578.93404261974786</v>
      </c>
      <c r="I1653" s="16">
        <f t="shared" si="309"/>
        <v>0</v>
      </c>
      <c r="J1653" s="17">
        <v>3</v>
      </c>
      <c r="K1653" s="16">
        <f>IF(J1653=1,VLOOKUP(B1653,RPM!$F$2:$H$62,3,TRUE),IF(J1653=2,VLOOKUP(B1653,RPM!$I$2:$K$62,3,TRUE),IF(J1653=3,VLOOKUP(B1653,RPM!$L$2:$N$62,3,TRUE))))</f>
        <v>4300</v>
      </c>
      <c r="L1653" s="17">
        <f t="shared" si="308"/>
        <v>127.45596552760577</v>
      </c>
      <c r="M1653" s="16">
        <f t="shared" si="310"/>
        <v>0.77116955474580484</v>
      </c>
      <c r="N1653" s="17">
        <f>VLOOKUP(K1653,RPM!$A$2:$D$62,3,FALSE)</f>
        <v>11.4</v>
      </c>
      <c r="O1653" s="16">
        <f>VLOOKUP(K1653,RPM!$A$2:$D$62,4,FALSE)</f>
        <v>18.894837209302327</v>
      </c>
      <c r="P1653" s="17">
        <f t="shared" si="300"/>
        <v>14.089880106976747</v>
      </c>
      <c r="Q1653" s="16" cm="1">
        <f t="array" ref="Q1653">_xlfn.XLOOKUP(O1653,BSFC!$A$2:$A$24,_xlfn.XLOOKUP(K1653,BSFC!$B$1:$O$1,BSFC!$B$2:$O$24,,-1),,-1)</f>
        <v>480</v>
      </c>
      <c r="R1653" s="17">
        <f t="shared" si="301"/>
        <v>1.8786506809302328</v>
      </c>
      <c r="S1653" s="16">
        <f t="shared" si="302"/>
        <v>2.9183485335175871E-4</v>
      </c>
      <c r="T1653" s="17">
        <f t="shared" si="305"/>
        <v>0.14008072960884418</v>
      </c>
      <c r="U1653" s="16">
        <f t="shared" si="306"/>
        <v>207.34549296772116</v>
      </c>
      <c r="V1653" s="17">
        <f t="shared" si="307"/>
        <v>0.42282816890791503</v>
      </c>
      <c r="W1653" s="16">
        <f t="shared" si="303"/>
        <v>1522181.4080684942</v>
      </c>
      <c r="X1653">
        <f>('Hybrid Info'!$A$2-Track!P1653)*(L1653-L1652)*1000+X1652</f>
        <v>17575.450511439303</v>
      </c>
    </row>
    <row r="1654" spans="1:24">
      <c r="A1654" s="16">
        <f t="shared" si="304"/>
        <v>1653</v>
      </c>
      <c r="B1654" s="17">
        <f t="shared" si="311"/>
        <v>13.411199999999999</v>
      </c>
      <c r="C1654" s="16">
        <f>Specification!$G$30</f>
        <v>109.96225200000001</v>
      </c>
      <c r="D1654" s="17">
        <f>0.5*Specification!$K$4*Track!B1654^2*Specification!$K$3*Specification!$K$2</f>
        <v>93.159842569492653</v>
      </c>
      <c r="E1654" s="16">
        <v>8</v>
      </c>
      <c r="F1654" s="17">
        <f>Specification!$C$23*9.81*SIN((E1654*PI()/180))</f>
        <v>765.1893799696079</v>
      </c>
      <c r="G1654" s="18">
        <f>IF(J1654=1,VLOOKUP(K1654,RPM!$E$2:$H$62,3,FALSE)-F1654-E1654-D1654,IF(J1654=2,VLOOKUP(K1654,RPM!$H$2:$K$62,3,FALSE)-F1654-E1654-D1654,IF(J1654=3,VLOOKUP(K1654,RPM!$K$2:$N$62,3,FALSE)-F1654-E1654-D1654)))</f>
        <v>-223.62720093133635</v>
      </c>
      <c r="H1654" s="19">
        <f>IF(J1654=1,Specification!$I$14,IF(J1654=2,Specification!$I$15,IF(J1654=3,Specification!$I$16)))</f>
        <v>578.93404261974786</v>
      </c>
      <c r="I1654" s="16">
        <f t="shared" si="309"/>
        <v>0</v>
      </c>
      <c r="J1654" s="17">
        <v>3</v>
      </c>
      <c r="K1654" s="16">
        <f>IF(J1654=1,VLOOKUP(B1654,RPM!$F$2:$H$62,3,TRUE),IF(J1654=2,VLOOKUP(B1654,RPM!$I$2:$K$62,3,TRUE),IF(J1654=3,VLOOKUP(B1654,RPM!$L$2:$N$62,3,TRUE))))</f>
        <v>4300</v>
      </c>
      <c r="L1654" s="17">
        <f t="shared" si="308"/>
        <v>127.53053007067425</v>
      </c>
      <c r="M1654" s="16">
        <f t="shared" si="310"/>
        <v>0.91171038944819627</v>
      </c>
      <c r="N1654" s="17">
        <f>VLOOKUP(K1654,RPM!$A$2:$D$62,3,FALSE)</f>
        <v>11.4</v>
      </c>
      <c r="O1654" s="16">
        <f>VLOOKUP(K1654,RPM!$A$2:$D$62,4,FALSE)</f>
        <v>18.894837209302327</v>
      </c>
      <c r="P1654" s="17">
        <f t="shared" si="300"/>
        <v>14.089880106976747</v>
      </c>
      <c r="Q1654" s="16" cm="1">
        <f t="array" ref="Q1654">_xlfn.XLOOKUP(O1654,BSFC!$A$2:$A$24,_xlfn.XLOOKUP(K1654,BSFC!$B$1:$O$1,BSFC!$B$2:$O$24,,-1),,-1)</f>
        <v>480</v>
      </c>
      <c r="R1654" s="17">
        <f t="shared" si="301"/>
        <v>1.8786506809302328</v>
      </c>
      <c r="S1654" s="16">
        <f t="shared" si="302"/>
        <v>2.9183485335175871E-4</v>
      </c>
      <c r="T1654" s="17">
        <f t="shared" si="305"/>
        <v>0.14008072960884418</v>
      </c>
      <c r="U1654" s="16">
        <f t="shared" si="306"/>
        <v>207.48557369733001</v>
      </c>
      <c r="V1654" s="17">
        <f t="shared" si="307"/>
        <v>0.42312000376126679</v>
      </c>
      <c r="W1654" s="16">
        <f t="shared" si="303"/>
        <v>1523232.0135405604</v>
      </c>
      <c r="X1654">
        <f>('Hybrid Info'!$A$2-Track!P1654)*(L1654-L1653)*1000+X1653</f>
        <v>17428.601198089898</v>
      </c>
    </row>
    <row r="1655" spans="1:24">
      <c r="A1655" s="16">
        <f t="shared" si="304"/>
        <v>1654</v>
      </c>
      <c r="B1655" s="17">
        <f t="shared" si="311"/>
        <v>13.411199999999999</v>
      </c>
      <c r="C1655" s="16">
        <f>Specification!$G$30</f>
        <v>109.96225200000001</v>
      </c>
      <c r="D1655" s="17">
        <f>0.5*Specification!$K$4*Track!B1655^2*Specification!$K$3*Specification!$K$2</f>
        <v>93.159842569492653</v>
      </c>
      <c r="E1655" s="16">
        <v>8</v>
      </c>
      <c r="F1655" s="17">
        <f>Specification!$C$23*9.81*SIN((E1655*PI()/180))</f>
        <v>765.1893799696079</v>
      </c>
      <c r="G1655" s="18">
        <f>IF(J1655=1,VLOOKUP(K1655,RPM!$E$2:$H$62,3,FALSE)-F1655-E1655-D1655,IF(J1655=2,VLOOKUP(K1655,RPM!$H$2:$K$62,3,FALSE)-F1655-E1655-D1655,IF(J1655=3,VLOOKUP(K1655,RPM!$K$2:$N$62,3,FALSE)-F1655-E1655-D1655)))</f>
        <v>-223.62720093133635</v>
      </c>
      <c r="H1655" s="19">
        <f>IF(J1655=1,Specification!$I$14,IF(J1655=2,Specification!$I$15,IF(J1655=3,Specification!$I$16)))</f>
        <v>578.93404261974786</v>
      </c>
      <c r="I1655" s="16">
        <f t="shared" si="309"/>
        <v>0</v>
      </c>
      <c r="J1655" s="17">
        <v>3</v>
      </c>
      <c r="K1655" s="16">
        <f>IF(J1655=1,VLOOKUP(B1655,RPM!$F$2:$H$62,3,TRUE),IF(J1655=2,VLOOKUP(B1655,RPM!$I$2:$K$62,3,TRUE),IF(J1655=3,VLOOKUP(B1655,RPM!$L$2:$N$62,3,TRUE))))</f>
        <v>4300</v>
      </c>
      <c r="L1655" s="17">
        <f t="shared" si="308"/>
        <v>127.60509461374272</v>
      </c>
      <c r="M1655" s="16">
        <f t="shared" si="310"/>
        <v>1.0522512241505877</v>
      </c>
      <c r="N1655" s="17">
        <f>VLOOKUP(K1655,RPM!$A$2:$D$62,3,FALSE)</f>
        <v>11.4</v>
      </c>
      <c r="O1655" s="16">
        <f>VLOOKUP(K1655,RPM!$A$2:$D$62,4,FALSE)</f>
        <v>18.894837209302327</v>
      </c>
      <c r="P1655" s="17">
        <f t="shared" si="300"/>
        <v>14.089880106976747</v>
      </c>
      <c r="Q1655" s="16" cm="1">
        <f t="array" ref="Q1655">_xlfn.XLOOKUP(O1655,BSFC!$A$2:$A$24,_xlfn.XLOOKUP(K1655,BSFC!$B$1:$O$1,BSFC!$B$2:$O$24,,-1),,-1)</f>
        <v>480</v>
      </c>
      <c r="R1655" s="17">
        <f t="shared" si="301"/>
        <v>1.8786506809302328</v>
      </c>
      <c r="S1655" s="16">
        <f t="shared" si="302"/>
        <v>2.9183485335175871E-4</v>
      </c>
      <c r="T1655" s="17">
        <f t="shared" si="305"/>
        <v>0.14008072960884418</v>
      </c>
      <c r="U1655" s="16">
        <f t="shared" si="306"/>
        <v>207.62565442693887</v>
      </c>
      <c r="V1655" s="17">
        <f t="shared" si="307"/>
        <v>0.42341183861461856</v>
      </c>
      <c r="W1655" s="16">
        <f t="shared" si="303"/>
        <v>1524282.6190126268</v>
      </c>
      <c r="X1655">
        <f>('Hybrid Info'!$A$2-Track!P1655)*(L1655-L1654)*1000+X1654</f>
        <v>17281.751884740494</v>
      </c>
    </row>
    <row r="1656" spans="1:24">
      <c r="A1656" s="16">
        <f t="shared" si="304"/>
        <v>1655</v>
      </c>
      <c r="B1656" s="17">
        <f t="shared" si="311"/>
        <v>13.411199999999999</v>
      </c>
      <c r="C1656" s="16">
        <f>Specification!$G$30</f>
        <v>109.96225200000001</v>
      </c>
      <c r="D1656" s="17">
        <f>0.5*Specification!$K$4*Track!B1656^2*Specification!$K$3*Specification!$K$2</f>
        <v>93.159842569492653</v>
      </c>
      <c r="E1656" s="16">
        <v>8</v>
      </c>
      <c r="F1656" s="17">
        <f>Specification!$C$23*9.81*SIN((E1656*PI()/180))</f>
        <v>765.1893799696079</v>
      </c>
      <c r="G1656" s="18">
        <f>IF(J1656=1,VLOOKUP(K1656,RPM!$E$2:$H$62,3,FALSE)-F1656-E1656-D1656,IF(J1656=2,VLOOKUP(K1656,RPM!$H$2:$K$62,3,FALSE)-F1656-E1656-D1656,IF(J1656=3,VLOOKUP(K1656,RPM!$K$2:$N$62,3,FALSE)-F1656-E1656-D1656)))</f>
        <v>-223.62720093133635</v>
      </c>
      <c r="H1656" s="19">
        <f>IF(J1656=1,Specification!$I$14,IF(J1656=2,Specification!$I$15,IF(J1656=3,Specification!$I$16)))</f>
        <v>578.93404261974786</v>
      </c>
      <c r="I1656" s="16">
        <f t="shared" si="309"/>
        <v>0</v>
      </c>
      <c r="J1656" s="17">
        <v>3</v>
      </c>
      <c r="K1656" s="16">
        <f>IF(J1656=1,VLOOKUP(B1656,RPM!$F$2:$H$62,3,TRUE),IF(J1656=2,VLOOKUP(B1656,RPM!$I$2:$K$62,3,TRUE),IF(J1656=3,VLOOKUP(B1656,RPM!$L$2:$N$62,3,TRUE))))</f>
        <v>4300</v>
      </c>
      <c r="L1656" s="17">
        <f t="shared" si="308"/>
        <v>127.6796591568112</v>
      </c>
      <c r="M1656" s="16">
        <f t="shared" si="310"/>
        <v>1.1927920588529792</v>
      </c>
      <c r="N1656" s="17">
        <f>VLOOKUP(K1656,RPM!$A$2:$D$62,3,FALSE)</f>
        <v>11.4</v>
      </c>
      <c r="O1656" s="16">
        <f>VLOOKUP(K1656,RPM!$A$2:$D$62,4,FALSE)</f>
        <v>18.894837209302327</v>
      </c>
      <c r="P1656" s="17">
        <f t="shared" si="300"/>
        <v>14.089880106976747</v>
      </c>
      <c r="Q1656" s="16" cm="1">
        <f t="array" ref="Q1656">_xlfn.XLOOKUP(O1656,BSFC!$A$2:$A$24,_xlfn.XLOOKUP(K1656,BSFC!$B$1:$O$1,BSFC!$B$2:$O$24,,-1),,-1)</f>
        <v>480</v>
      </c>
      <c r="R1656" s="17">
        <f t="shared" si="301"/>
        <v>1.8786506809302328</v>
      </c>
      <c r="S1656" s="16">
        <f t="shared" si="302"/>
        <v>2.9183485335175871E-4</v>
      </c>
      <c r="T1656" s="17">
        <f t="shared" si="305"/>
        <v>0.14008072960884418</v>
      </c>
      <c r="U1656" s="16">
        <f t="shared" si="306"/>
        <v>207.76573515654772</v>
      </c>
      <c r="V1656" s="17">
        <f t="shared" si="307"/>
        <v>0.42370367346797033</v>
      </c>
      <c r="W1656" s="16">
        <f t="shared" si="303"/>
        <v>1525333.224484693</v>
      </c>
      <c r="X1656">
        <f>('Hybrid Info'!$A$2-Track!P1656)*(L1656-L1655)*1000+X1655</f>
        <v>17134.902571391089</v>
      </c>
    </row>
    <row r="1657" spans="1:24">
      <c r="A1657" s="16">
        <f t="shared" si="304"/>
        <v>1656</v>
      </c>
      <c r="B1657" s="17">
        <f t="shared" si="311"/>
        <v>13.411199999999999</v>
      </c>
      <c r="C1657" s="16">
        <f>Specification!$G$30</f>
        <v>109.96225200000001</v>
      </c>
      <c r="D1657" s="17">
        <f>0.5*Specification!$K$4*Track!B1657^2*Specification!$K$3*Specification!$K$2</f>
        <v>93.159842569492653</v>
      </c>
      <c r="E1657" s="16">
        <v>8</v>
      </c>
      <c r="F1657" s="17">
        <f>Specification!$C$23*9.81*SIN((E1657*PI()/180))</f>
        <v>765.1893799696079</v>
      </c>
      <c r="G1657" s="18">
        <f>IF(J1657=1,VLOOKUP(K1657,RPM!$E$2:$H$62,3,FALSE)-F1657-E1657-D1657,IF(J1657=2,VLOOKUP(K1657,RPM!$H$2:$K$62,3,FALSE)-F1657-E1657-D1657,IF(J1657=3,VLOOKUP(K1657,RPM!$K$2:$N$62,3,FALSE)-F1657-E1657-D1657)))</f>
        <v>-223.62720093133635</v>
      </c>
      <c r="H1657" s="19">
        <f>IF(J1657=1,Specification!$I$14,IF(J1657=2,Specification!$I$15,IF(J1657=3,Specification!$I$16)))</f>
        <v>578.93404261974786</v>
      </c>
      <c r="I1657" s="16">
        <f t="shared" si="309"/>
        <v>0</v>
      </c>
      <c r="J1657" s="17">
        <v>3</v>
      </c>
      <c r="K1657" s="16">
        <f>IF(J1657=1,VLOOKUP(B1657,RPM!$F$2:$H$62,3,TRUE),IF(J1657=2,VLOOKUP(B1657,RPM!$I$2:$K$62,3,TRUE),IF(J1657=3,VLOOKUP(B1657,RPM!$L$2:$N$62,3,TRUE))))</f>
        <v>4300</v>
      </c>
      <c r="L1657" s="17">
        <f t="shared" si="308"/>
        <v>127.75422369987967</v>
      </c>
      <c r="M1657" s="16">
        <f t="shared" si="310"/>
        <v>1.3333328935553708</v>
      </c>
      <c r="N1657" s="17">
        <f>VLOOKUP(K1657,RPM!$A$2:$D$62,3,FALSE)</f>
        <v>11.4</v>
      </c>
      <c r="O1657" s="16">
        <f>VLOOKUP(K1657,RPM!$A$2:$D$62,4,FALSE)</f>
        <v>18.894837209302327</v>
      </c>
      <c r="P1657" s="17">
        <f t="shared" si="300"/>
        <v>14.089880106976747</v>
      </c>
      <c r="Q1657" s="16" cm="1">
        <f t="array" ref="Q1657">_xlfn.XLOOKUP(O1657,BSFC!$A$2:$A$24,_xlfn.XLOOKUP(K1657,BSFC!$B$1:$O$1,BSFC!$B$2:$O$24,,-1),,-1)</f>
        <v>480</v>
      </c>
      <c r="R1657" s="17">
        <f t="shared" si="301"/>
        <v>1.8786506809302328</v>
      </c>
      <c r="S1657" s="16">
        <f t="shared" si="302"/>
        <v>2.9183485335175871E-4</v>
      </c>
      <c r="T1657" s="17">
        <f t="shared" si="305"/>
        <v>0.14008072960884418</v>
      </c>
      <c r="U1657" s="16">
        <f t="shared" si="306"/>
        <v>207.90581588615657</v>
      </c>
      <c r="V1657" s="17">
        <f t="shared" si="307"/>
        <v>0.4239955083213221</v>
      </c>
      <c r="W1657" s="16">
        <f t="shared" si="303"/>
        <v>1526383.8299567597</v>
      </c>
      <c r="X1657">
        <f>('Hybrid Info'!$A$2-Track!P1657)*(L1657-L1656)*1000+X1656</f>
        <v>16988.053258041684</v>
      </c>
    </row>
    <row r="1658" spans="1:24">
      <c r="A1658" s="16">
        <f t="shared" si="304"/>
        <v>1657</v>
      </c>
      <c r="B1658" s="17">
        <f t="shared" si="311"/>
        <v>13.411199999999999</v>
      </c>
      <c r="C1658" s="16">
        <f>Specification!$G$30</f>
        <v>109.96225200000001</v>
      </c>
      <c r="D1658" s="17">
        <f>0.5*Specification!$K$4*Track!B1658^2*Specification!$K$3*Specification!$K$2</f>
        <v>93.159842569492653</v>
      </c>
      <c r="E1658" s="16">
        <v>8</v>
      </c>
      <c r="F1658" s="17">
        <f>Specification!$C$23*9.81*SIN((E1658*PI()/180))</f>
        <v>765.1893799696079</v>
      </c>
      <c r="G1658" s="18">
        <f>IF(J1658=1,VLOOKUP(K1658,RPM!$E$2:$H$62,3,FALSE)-F1658-E1658-D1658,IF(J1658=2,VLOOKUP(K1658,RPM!$H$2:$K$62,3,FALSE)-F1658-E1658-D1658,IF(J1658=3,VLOOKUP(K1658,RPM!$K$2:$N$62,3,FALSE)-F1658-E1658-D1658)))</f>
        <v>-223.62720093133635</v>
      </c>
      <c r="H1658" s="19">
        <f>IF(J1658=1,Specification!$I$14,IF(J1658=2,Specification!$I$15,IF(J1658=3,Specification!$I$16)))</f>
        <v>578.93404261974786</v>
      </c>
      <c r="I1658" s="16">
        <f t="shared" si="309"/>
        <v>0</v>
      </c>
      <c r="J1658" s="17">
        <v>3</v>
      </c>
      <c r="K1658" s="16">
        <f>IF(J1658=1,VLOOKUP(B1658,RPM!$F$2:$H$62,3,TRUE),IF(J1658=2,VLOOKUP(B1658,RPM!$I$2:$K$62,3,TRUE),IF(J1658=3,VLOOKUP(B1658,RPM!$L$2:$N$62,3,TRUE))))</f>
        <v>4300</v>
      </c>
      <c r="L1658" s="17">
        <f t="shared" si="308"/>
        <v>127.82878824294815</v>
      </c>
      <c r="M1658" s="16">
        <f t="shared" si="310"/>
        <v>1.4738737282577623</v>
      </c>
      <c r="N1658" s="17">
        <f>VLOOKUP(K1658,RPM!$A$2:$D$62,3,FALSE)</f>
        <v>11.4</v>
      </c>
      <c r="O1658" s="16">
        <f>VLOOKUP(K1658,RPM!$A$2:$D$62,4,FALSE)</f>
        <v>18.894837209302327</v>
      </c>
      <c r="P1658" s="17">
        <f t="shared" si="300"/>
        <v>14.089880106976747</v>
      </c>
      <c r="Q1658" s="16" cm="1">
        <f t="array" ref="Q1658">_xlfn.XLOOKUP(O1658,BSFC!$A$2:$A$24,_xlfn.XLOOKUP(K1658,BSFC!$B$1:$O$1,BSFC!$B$2:$O$24,,-1),,-1)</f>
        <v>480</v>
      </c>
      <c r="R1658" s="17">
        <f t="shared" si="301"/>
        <v>1.8786506809302328</v>
      </c>
      <c r="S1658" s="16">
        <f t="shared" si="302"/>
        <v>2.9183485335175871E-4</v>
      </c>
      <c r="T1658" s="17">
        <f t="shared" si="305"/>
        <v>0.14008072960884418</v>
      </c>
      <c r="U1658" s="16">
        <f t="shared" si="306"/>
        <v>208.04589661576543</v>
      </c>
      <c r="V1658" s="17">
        <f t="shared" si="307"/>
        <v>0.42428734317467387</v>
      </c>
      <c r="W1658" s="16">
        <f t="shared" si="303"/>
        <v>1527434.4354288259</v>
      </c>
      <c r="X1658">
        <f>('Hybrid Info'!$A$2-Track!P1658)*(L1658-L1657)*1000+X1657</f>
        <v>16841.203944692279</v>
      </c>
    </row>
    <row r="1659" spans="1:24">
      <c r="A1659" s="16">
        <f t="shared" si="304"/>
        <v>1658</v>
      </c>
      <c r="B1659" s="17">
        <f t="shared" si="311"/>
        <v>13.411199999999999</v>
      </c>
      <c r="C1659" s="16">
        <f>Specification!$G$30</f>
        <v>109.96225200000001</v>
      </c>
      <c r="D1659" s="17">
        <f>0.5*Specification!$K$4*Track!B1659^2*Specification!$K$3*Specification!$K$2</f>
        <v>93.159842569492653</v>
      </c>
      <c r="E1659" s="16">
        <v>8</v>
      </c>
      <c r="F1659" s="17">
        <f>Specification!$C$23*9.81*SIN((E1659*PI()/180))</f>
        <v>765.1893799696079</v>
      </c>
      <c r="G1659" s="18">
        <f>IF(J1659=1,VLOOKUP(K1659,RPM!$E$2:$H$62,3,FALSE)-F1659-E1659-D1659,IF(J1659=2,VLOOKUP(K1659,RPM!$H$2:$K$62,3,FALSE)-F1659-E1659-D1659,IF(J1659=3,VLOOKUP(K1659,RPM!$K$2:$N$62,3,FALSE)-F1659-E1659-D1659)))</f>
        <v>-223.62720093133635</v>
      </c>
      <c r="H1659" s="19">
        <f>IF(J1659=1,Specification!$I$14,IF(J1659=2,Specification!$I$15,IF(J1659=3,Specification!$I$16)))</f>
        <v>578.93404261974786</v>
      </c>
      <c r="I1659" s="16">
        <f t="shared" si="309"/>
        <v>0</v>
      </c>
      <c r="J1659" s="17">
        <v>3</v>
      </c>
      <c r="K1659" s="16">
        <f>IF(J1659=1,VLOOKUP(B1659,RPM!$F$2:$H$62,3,TRUE),IF(J1659=2,VLOOKUP(B1659,RPM!$I$2:$K$62,3,TRUE),IF(J1659=3,VLOOKUP(B1659,RPM!$L$2:$N$62,3,TRUE))))</f>
        <v>4300</v>
      </c>
      <c r="L1659" s="17">
        <f t="shared" si="308"/>
        <v>127.90335278601663</v>
      </c>
      <c r="M1659" s="16">
        <f t="shared" si="310"/>
        <v>1.6144145629601538</v>
      </c>
      <c r="N1659" s="17">
        <f>VLOOKUP(K1659,RPM!$A$2:$D$62,3,FALSE)</f>
        <v>11.4</v>
      </c>
      <c r="O1659" s="16">
        <f>VLOOKUP(K1659,RPM!$A$2:$D$62,4,FALSE)</f>
        <v>18.894837209302327</v>
      </c>
      <c r="P1659" s="17">
        <f t="shared" si="300"/>
        <v>14.089880106976747</v>
      </c>
      <c r="Q1659" s="16" cm="1">
        <f t="array" ref="Q1659">_xlfn.XLOOKUP(O1659,BSFC!$A$2:$A$24,_xlfn.XLOOKUP(K1659,BSFC!$B$1:$O$1,BSFC!$B$2:$O$24,,-1),,-1)</f>
        <v>480</v>
      </c>
      <c r="R1659" s="17">
        <f t="shared" si="301"/>
        <v>1.8786506809302328</v>
      </c>
      <c r="S1659" s="16">
        <f t="shared" si="302"/>
        <v>2.9183485335175871E-4</v>
      </c>
      <c r="T1659" s="17">
        <f t="shared" si="305"/>
        <v>0.14008072960884418</v>
      </c>
      <c r="U1659" s="16">
        <f t="shared" si="306"/>
        <v>208.18597734537428</v>
      </c>
      <c r="V1659" s="17">
        <f t="shared" si="307"/>
        <v>0.42457917802802564</v>
      </c>
      <c r="W1659" s="16">
        <f t="shared" si="303"/>
        <v>1528485.0409008923</v>
      </c>
      <c r="X1659">
        <f>('Hybrid Info'!$A$2-Track!P1659)*(L1659-L1658)*1000+X1658</f>
        <v>16694.354631342874</v>
      </c>
    </row>
    <row r="1660" spans="1:24">
      <c r="A1660" s="16">
        <f t="shared" si="304"/>
        <v>1659</v>
      </c>
      <c r="B1660" s="17">
        <f t="shared" si="311"/>
        <v>13.411199999999999</v>
      </c>
      <c r="C1660" s="16">
        <f>Specification!$G$30</f>
        <v>109.96225200000001</v>
      </c>
      <c r="D1660" s="17">
        <f>0.5*Specification!$K$4*Track!B1660^2*Specification!$K$3*Specification!$K$2</f>
        <v>93.159842569492653</v>
      </c>
      <c r="E1660" s="16">
        <v>8</v>
      </c>
      <c r="F1660" s="17">
        <f>Specification!$C$23*9.81*SIN((E1660*PI()/180))</f>
        <v>765.1893799696079</v>
      </c>
      <c r="G1660" s="18">
        <f>IF(J1660=1,VLOOKUP(K1660,RPM!$E$2:$H$62,3,FALSE)-F1660-E1660-D1660,IF(J1660=2,VLOOKUP(K1660,RPM!$H$2:$K$62,3,FALSE)-F1660-E1660-D1660,IF(J1660=3,VLOOKUP(K1660,RPM!$K$2:$N$62,3,FALSE)-F1660-E1660-D1660)))</f>
        <v>-223.62720093133635</v>
      </c>
      <c r="H1660" s="19">
        <f>IF(J1660=1,Specification!$I$14,IF(J1660=2,Specification!$I$15,IF(J1660=3,Specification!$I$16)))</f>
        <v>578.93404261974786</v>
      </c>
      <c r="I1660" s="16">
        <f t="shared" si="309"/>
        <v>0</v>
      </c>
      <c r="J1660" s="17">
        <v>3</v>
      </c>
      <c r="K1660" s="16">
        <f>IF(J1660=1,VLOOKUP(B1660,RPM!$F$2:$H$62,3,TRUE),IF(J1660=2,VLOOKUP(B1660,RPM!$I$2:$K$62,3,TRUE),IF(J1660=3,VLOOKUP(B1660,RPM!$L$2:$N$62,3,TRUE))))</f>
        <v>4300</v>
      </c>
      <c r="L1660" s="17">
        <f t="shared" si="308"/>
        <v>127.9779173290851</v>
      </c>
      <c r="M1660" s="16">
        <f t="shared" si="310"/>
        <v>1.7549553976625454</v>
      </c>
      <c r="N1660" s="17">
        <f>VLOOKUP(K1660,RPM!$A$2:$D$62,3,FALSE)</f>
        <v>11.4</v>
      </c>
      <c r="O1660" s="16">
        <f>VLOOKUP(K1660,RPM!$A$2:$D$62,4,FALSE)</f>
        <v>18.894837209302327</v>
      </c>
      <c r="P1660" s="17">
        <f t="shared" si="300"/>
        <v>14.089880106976747</v>
      </c>
      <c r="Q1660" s="16" cm="1">
        <f t="array" ref="Q1660">_xlfn.XLOOKUP(O1660,BSFC!$A$2:$A$24,_xlfn.XLOOKUP(K1660,BSFC!$B$1:$O$1,BSFC!$B$2:$O$24,,-1),,-1)</f>
        <v>480</v>
      </c>
      <c r="R1660" s="17">
        <f t="shared" si="301"/>
        <v>1.8786506809302328</v>
      </c>
      <c r="S1660" s="16">
        <f t="shared" si="302"/>
        <v>2.9183485335175871E-4</v>
      </c>
      <c r="T1660" s="17">
        <f t="shared" si="305"/>
        <v>0.14008072960884418</v>
      </c>
      <c r="U1660" s="16">
        <f t="shared" si="306"/>
        <v>208.32605807498314</v>
      </c>
      <c r="V1660" s="17">
        <f t="shared" si="307"/>
        <v>0.42487101288137741</v>
      </c>
      <c r="W1660" s="16">
        <f t="shared" si="303"/>
        <v>1529535.6463729586</v>
      </c>
      <c r="X1660">
        <f>('Hybrid Info'!$A$2-Track!P1660)*(L1660-L1659)*1000+X1659</f>
        <v>16547.505317993469</v>
      </c>
    </row>
    <row r="1661" spans="1:24">
      <c r="A1661" s="16">
        <f t="shared" si="304"/>
        <v>1660</v>
      </c>
      <c r="B1661" s="17">
        <f t="shared" si="311"/>
        <v>13.411199999999999</v>
      </c>
      <c r="C1661" s="16">
        <f>Specification!$G$30</f>
        <v>109.96225200000001</v>
      </c>
      <c r="D1661" s="17">
        <f>0.5*Specification!$K$4*Track!B1661^2*Specification!$K$3*Specification!$K$2</f>
        <v>93.159842569492653</v>
      </c>
      <c r="E1661" s="16">
        <v>8</v>
      </c>
      <c r="F1661" s="17">
        <f>Specification!$C$23*9.81*SIN((E1661*PI()/180))</f>
        <v>765.1893799696079</v>
      </c>
      <c r="G1661" s="18">
        <f>IF(J1661=1,VLOOKUP(K1661,RPM!$E$2:$H$62,3,FALSE)-F1661-E1661-D1661,IF(J1661=2,VLOOKUP(K1661,RPM!$H$2:$K$62,3,FALSE)-F1661-E1661-D1661,IF(J1661=3,VLOOKUP(K1661,RPM!$K$2:$N$62,3,FALSE)-F1661-E1661-D1661)))</f>
        <v>-223.62720093133635</v>
      </c>
      <c r="H1661" s="19">
        <f>IF(J1661=1,Specification!$I$14,IF(J1661=2,Specification!$I$15,IF(J1661=3,Specification!$I$16)))</f>
        <v>578.93404261974786</v>
      </c>
      <c r="I1661" s="16">
        <f t="shared" si="309"/>
        <v>0</v>
      </c>
      <c r="J1661" s="17">
        <v>3</v>
      </c>
      <c r="K1661" s="16">
        <f>IF(J1661=1,VLOOKUP(B1661,RPM!$F$2:$H$62,3,TRUE),IF(J1661=2,VLOOKUP(B1661,RPM!$I$2:$K$62,3,TRUE),IF(J1661=3,VLOOKUP(B1661,RPM!$L$2:$N$62,3,TRUE))))</f>
        <v>4300</v>
      </c>
      <c r="L1661" s="17">
        <f t="shared" si="308"/>
        <v>128.05248187215358</v>
      </c>
      <c r="M1661" s="16">
        <f t="shared" si="310"/>
        <v>1.8954962323649369</v>
      </c>
      <c r="N1661" s="17">
        <f>VLOOKUP(K1661,RPM!$A$2:$D$62,3,FALSE)</f>
        <v>11.4</v>
      </c>
      <c r="O1661" s="16">
        <f>VLOOKUP(K1661,RPM!$A$2:$D$62,4,FALSE)</f>
        <v>18.894837209302327</v>
      </c>
      <c r="P1661" s="17">
        <f t="shared" si="300"/>
        <v>14.089880106976747</v>
      </c>
      <c r="Q1661" s="16" cm="1">
        <f t="array" ref="Q1661">_xlfn.XLOOKUP(O1661,BSFC!$A$2:$A$24,_xlfn.XLOOKUP(K1661,BSFC!$B$1:$O$1,BSFC!$B$2:$O$24,,-1),,-1)</f>
        <v>480</v>
      </c>
      <c r="R1661" s="17">
        <f t="shared" si="301"/>
        <v>1.8786506809302328</v>
      </c>
      <c r="S1661" s="16">
        <f t="shared" si="302"/>
        <v>2.9183485335175871E-4</v>
      </c>
      <c r="T1661" s="17">
        <f t="shared" si="305"/>
        <v>0.14008072960884418</v>
      </c>
      <c r="U1661" s="16">
        <f t="shared" si="306"/>
        <v>208.46613880459199</v>
      </c>
      <c r="V1661" s="17">
        <f t="shared" si="307"/>
        <v>0.42516284773472918</v>
      </c>
      <c r="W1661" s="16">
        <f t="shared" si="303"/>
        <v>1530586.251845025</v>
      </c>
      <c r="X1661">
        <f>('Hybrid Info'!$A$2-Track!P1661)*(L1661-L1660)*1000+X1660</f>
        <v>16400.656004644065</v>
      </c>
    </row>
    <row r="1662" spans="1:24">
      <c r="A1662" s="16">
        <f t="shared" si="304"/>
        <v>1661</v>
      </c>
      <c r="B1662" s="17">
        <f t="shared" si="311"/>
        <v>13.411199999999999</v>
      </c>
      <c r="C1662" s="16">
        <f>Specification!$G$30</f>
        <v>109.96225200000001</v>
      </c>
      <c r="D1662" s="17">
        <f>0.5*Specification!$K$4*Track!B1662^2*Specification!$K$3*Specification!$K$2</f>
        <v>93.159842569492653</v>
      </c>
      <c r="E1662" s="16">
        <v>8</v>
      </c>
      <c r="F1662" s="17">
        <f>Specification!$C$23*9.81*SIN((E1662*PI()/180))</f>
        <v>765.1893799696079</v>
      </c>
      <c r="G1662" s="18">
        <f>IF(J1662=1,VLOOKUP(K1662,RPM!$E$2:$H$62,3,FALSE)-F1662-E1662-D1662,IF(J1662=2,VLOOKUP(K1662,RPM!$H$2:$K$62,3,FALSE)-F1662-E1662-D1662,IF(J1662=3,VLOOKUP(K1662,RPM!$K$2:$N$62,3,FALSE)-F1662-E1662-D1662)))</f>
        <v>-223.62720093133635</v>
      </c>
      <c r="H1662" s="19">
        <f>IF(J1662=1,Specification!$I$14,IF(J1662=2,Specification!$I$15,IF(J1662=3,Specification!$I$16)))</f>
        <v>578.93404261974786</v>
      </c>
      <c r="I1662" s="16">
        <f t="shared" si="309"/>
        <v>0</v>
      </c>
      <c r="J1662" s="17">
        <v>3</v>
      </c>
      <c r="K1662" s="16">
        <f>IF(J1662=1,VLOOKUP(B1662,RPM!$F$2:$H$62,3,TRUE),IF(J1662=2,VLOOKUP(B1662,RPM!$I$2:$K$62,3,TRUE),IF(J1662=3,VLOOKUP(B1662,RPM!$L$2:$N$62,3,TRUE))))</f>
        <v>4300</v>
      </c>
      <c r="L1662" s="17">
        <f t="shared" si="308"/>
        <v>128.12704641522205</v>
      </c>
      <c r="M1662" s="16">
        <f t="shared" si="310"/>
        <v>2.0360370670673285</v>
      </c>
      <c r="N1662" s="17">
        <f>VLOOKUP(K1662,RPM!$A$2:$D$62,3,FALSE)</f>
        <v>11.4</v>
      </c>
      <c r="O1662" s="16">
        <f>VLOOKUP(K1662,RPM!$A$2:$D$62,4,FALSE)</f>
        <v>18.894837209302327</v>
      </c>
      <c r="P1662" s="17">
        <f t="shared" si="300"/>
        <v>14.089880106976747</v>
      </c>
      <c r="Q1662" s="16" cm="1">
        <f t="array" ref="Q1662">_xlfn.XLOOKUP(O1662,BSFC!$A$2:$A$24,_xlfn.XLOOKUP(K1662,BSFC!$B$1:$O$1,BSFC!$B$2:$O$24,,-1),,-1)</f>
        <v>480</v>
      </c>
      <c r="R1662" s="17">
        <f t="shared" si="301"/>
        <v>1.8786506809302328</v>
      </c>
      <c r="S1662" s="16">
        <f t="shared" si="302"/>
        <v>2.9183485335175871E-4</v>
      </c>
      <c r="T1662" s="17">
        <f t="shared" si="305"/>
        <v>0.14008072960884418</v>
      </c>
      <c r="U1662" s="16">
        <f t="shared" si="306"/>
        <v>208.60621953420085</v>
      </c>
      <c r="V1662" s="17">
        <f t="shared" si="307"/>
        <v>0.42545468258808095</v>
      </c>
      <c r="W1662" s="16">
        <f t="shared" si="303"/>
        <v>1531636.8573170914</v>
      </c>
      <c r="X1662">
        <f>('Hybrid Info'!$A$2-Track!P1662)*(L1662-L1661)*1000+X1661</f>
        <v>16253.806691294662</v>
      </c>
    </row>
    <row r="1663" spans="1:24">
      <c r="A1663" s="16">
        <f t="shared" si="304"/>
        <v>1662</v>
      </c>
      <c r="B1663" s="17">
        <f t="shared" si="311"/>
        <v>13.411199999999999</v>
      </c>
      <c r="C1663" s="16">
        <f>Specification!$G$30</f>
        <v>109.96225200000001</v>
      </c>
      <c r="D1663" s="17">
        <f>0.5*Specification!$K$4*Track!B1663^2*Specification!$K$3*Specification!$K$2</f>
        <v>93.159842569492653</v>
      </c>
      <c r="E1663" s="16">
        <v>7</v>
      </c>
      <c r="F1663" s="17">
        <f>Specification!$C$23*9.81*SIN((E1663*PI()/180))</f>
        <v>670.05137252956831</v>
      </c>
      <c r="G1663" s="18">
        <f>IF(J1663=1,VLOOKUP(K1663,RPM!$E$2:$H$62,3,FALSE)-F1663-E1663-D1663,IF(J1663=2,VLOOKUP(K1663,RPM!$H$2:$K$62,3,FALSE)-F1663-E1663-D1663,IF(J1663=3,VLOOKUP(K1663,RPM!$K$2:$N$62,3,FALSE)-F1663-E1663-D1663)))</f>
        <v>-127.48919349129677</v>
      </c>
      <c r="H1663" s="19">
        <f>IF(J1663=1,Specification!$I$14,IF(J1663=2,Specification!$I$15,IF(J1663=3,Specification!$I$16)))</f>
        <v>578.93404261974786</v>
      </c>
      <c r="I1663" s="16">
        <f t="shared" si="309"/>
        <v>0</v>
      </c>
      <c r="J1663" s="17">
        <v>3</v>
      </c>
      <c r="K1663" s="16">
        <f>IF(J1663=1,VLOOKUP(B1663,RPM!$F$2:$H$62,3,TRUE),IF(J1663=2,VLOOKUP(B1663,RPM!$I$2:$K$62,3,TRUE),IF(J1663=3,VLOOKUP(B1663,RPM!$L$2:$N$62,3,TRUE))))</f>
        <v>4300</v>
      </c>
      <c r="L1663" s="17">
        <f t="shared" si="308"/>
        <v>128.20161095829053</v>
      </c>
      <c r="M1663" s="16">
        <f t="shared" si="310"/>
        <v>2.1588216279702332</v>
      </c>
      <c r="N1663" s="17">
        <f>VLOOKUP(K1663,RPM!$A$2:$D$62,3,FALSE)</f>
        <v>11.4</v>
      </c>
      <c r="O1663" s="16">
        <f>VLOOKUP(K1663,RPM!$A$2:$D$62,4,FALSE)</f>
        <v>18.894837209302327</v>
      </c>
      <c r="P1663" s="17">
        <f t="shared" si="300"/>
        <v>14.089880106976747</v>
      </c>
      <c r="Q1663" s="16" cm="1">
        <f t="array" ref="Q1663">_xlfn.XLOOKUP(O1663,BSFC!$A$2:$A$24,_xlfn.XLOOKUP(K1663,BSFC!$B$1:$O$1,BSFC!$B$2:$O$24,,-1),,-1)</f>
        <v>480</v>
      </c>
      <c r="R1663" s="17">
        <f t="shared" si="301"/>
        <v>1.8786506809302328</v>
      </c>
      <c r="S1663" s="16">
        <f t="shared" si="302"/>
        <v>2.9183485335175871E-4</v>
      </c>
      <c r="T1663" s="17">
        <f t="shared" si="305"/>
        <v>0.14008072960884418</v>
      </c>
      <c r="U1663" s="16">
        <f t="shared" si="306"/>
        <v>208.7463002638097</v>
      </c>
      <c r="V1663" s="17">
        <f t="shared" si="307"/>
        <v>0.42574651744143271</v>
      </c>
      <c r="W1663" s="16">
        <f t="shared" si="303"/>
        <v>1532687.4627891579</v>
      </c>
      <c r="X1663">
        <f>('Hybrid Info'!$A$2-Track!P1663)*(L1663-L1662)*1000+X1662</f>
        <v>16106.957377945258</v>
      </c>
    </row>
    <row r="1664" spans="1:24">
      <c r="A1664" s="16">
        <f t="shared" si="304"/>
        <v>1663</v>
      </c>
      <c r="B1664" s="17">
        <f t="shared" si="311"/>
        <v>13.411199999999999</v>
      </c>
      <c r="C1664" s="16">
        <f>Specification!$G$30</f>
        <v>109.96225200000001</v>
      </c>
      <c r="D1664" s="17">
        <f>0.5*Specification!$K$4*Track!B1664^2*Specification!$K$3*Specification!$K$2</f>
        <v>93.159842569492653</v>
      </c>
      <c r="E1664" s="16">
        <v>6</v>
      </c>
      <c r="F1664" s="17">
        <f>Specification!$C$23*9.81*SIN((E1664*PI()/180))</f>
        <v>574.70926095052266</v>
      </c>
      <c r="G1664" s="18">
        <f>IF(J1664=1,VLOOKUP(K1664,RPM!$E$2:$H$62,3,FALSE)-F1664-E1664-D1664,IF(J1664=2,VLOOKUP(K1664,RPM!$H$2:$K$62,3,FALSE)-F1664-E1664-D1664,IF(J1664=3,VLOOKUP(K1664,RPM!$K$2:$N$62,3,FALSE)-F1664-E1664-D1664)))</f>
        <v>-31.147081912251124</v>
      </c>
      <c r="H1664" s="19">
        <f>IF(J1664=1,Specification!$I$14,IF(J1664=2,Specification!$I$15,IF(J1664=3,Specification!$I$16)))</f>
        <v>578.93404261974786</v>
      </c>
      <c r="I1664" s="16">
        <f t="shared" si="309"/>
        <v>0</v>
      </c>
      <c r="J1664" s="17">
        <v>3</v>
      </c>
      <c r="K1664" s="16">
        <f>IF(J1664=1,VLOOKUP(B1664,RPM!$F$2:$H$62,3,TRUE),IF(J1664=2,VLOOKUP(B1664,RPM!$I$2:$K$62,3,TRUE),IF(J1664=3,VLOOKUP(B1664,RPM!$L$2:$N$62,3,TRUE))))</f>
        <v>4300</v>
      </c>
      <c r="L1664" s="17">
        <f t="shared" si="308"/>
        <v>128.27617550135901</v>
      </c>
      <c r="M1664" s="16">
        <f t="shared" si="310"/>
        <v>2.2639258632359098</v>
      </c>
      <c r="N1664" s="17">
        <f>VLOOKUP(K1664,RPM!$A$2:$D$62,3,FALSE)</f>
        <v>11.4</v>
      </c>
      <c r="O1664" s="16">
        <f>VLOOKUP(K1664,RPM!$A$2:$D$62,4,FALSE)</f>
        <v>18.894837209302327</v>
      </c>
      <c r="P1664" s="17">
        <f t="shared" si="300"/>
        <v>14.089880106976747</v>
      </c>
      <c r="Q1664" s="16" cm="1">
        <f t="array" ref="Q1664">_xlfn.XLOOKUP(O1664,BSFC!$A$2:$A$24,_xlfn.XLOOKUP(K1664,BSFC!$B$1:$O$1,BSFC!$B$2:$O$24,,-1),,-1)</f>
        <v>480</v>
      </c>
      <c r="R1664" s="17">
        <f t="shared" si="301"/>
        <v>1.8786506809302328</v>
      </c>
      <c r="S1664" s="16">
        <f t="shared" si="302"/>
        <v>2.9183485335175871E-4</v>
      </c>
      <c r="T1664" s="17">
        <f t="shared" si="305"/>
        <v>0.14008072960884418</v>
      </c>
      <c r="U1664" s="16">
        <f t="shared" si="306"/>
        <v>208.88638099341856</v>
      </c>
      <c r="V1664" s="17">
        <f t="shared" si="307"/>
        <v>0.42603835229478448</v>
      </c>
      <c r="W1664" s="16">
        <f t="shared" si="303"/>
        <v>1533738.0682612241</v>
      </c>
      <c r="X1664">
        <f>('Hybrid Info'!$A$2-Track!P1664)*(L1664-L1663)*1000+X1663</f>
        <v>15960.108064595855</v>
      </c>
    </row>
    <row r="1665" spans="1:24">
      <c r="A1665" s="16">
        <f t="shared" si="304"/>
        <v>1664</v>
      </c>
      <c r="B1665" s="17">
        <f t="shared" si="311"/>
        <v>13.411199999999999</v>
      </c>
      <c r="C1665" s="16">
        <f>Specification!$G$30</f>
        <v>109.96225200000001</v>
      </c>
      <c r="D1665" s="17">
        <f>0.5*Specification!$K$4*Track!B1665^2*Specification!$K$3*Specification!$K$2</f>
        <v>93.159842569492653</v>
      </c>
      <c r="E1665" s="16">
        <v>5</v>
      </c>
      <c r="F1665" s="17">
        <f>Specification!$C$23*9.81*SIN((E1665*PI()/180))</f>
        <v>479.192087363258</v>
      </c>
      <c r="G1665" s="18">
        <f>IF(J1665=1,VLOOKUP(K1665,RPM!$E$2:$H$62,3,FALSE)-F1665-E1665-D1665,IF(J1665=2,VLOOKUP(K1665,RPM!$H$2:$K$62,3,FALSE)-F1665-E1665-D1665,IF(J1665=3,VLOOKUP(K1665,RPM!$K$2:$N$62,3,FALSE)-F1665-E1665-D1665)))</f>
        <v>65.370091675013541</v>
      </c>
      <c r="H1665" s="19">
        <f>IF(J1665=1,Specification!$I$14,IF(J1665=2,Specification!$I$15,IF(J1665=3,Specification!$I$16)))</f>
        <v>578.93404261974786</v>
      </c>
      <c r="I1665" s="16">
        <f t="shared" si="309"/>
        <v>0</v>
      </c>
      <c r="J1665" s="17">
        <v>3</v>
      </c>
      <c r="K1665" s="16">
        <f>IF(J1665=1,VLOOKUP(B1665,RPM!$F$2:$H$62,3,TRUE),IF(J1665=2,VLOOKUP(B1665,RPM!$I$2:$K$62,3,TRUE),IF(J1665=3,VLOOKUP(B1665,RPM!$L$2:$N$62,3,TRUE))))</f>
        <v>4300</v>
      </c>
      <c r="L1665" s="17">
        <f t="shared" si="308"/>
        <v>128.35074004442748</v>
      </c>
      <c r="M1665" s="16">
        <f t="shared" si="310"/>
        <v>2.3514145267618338</v>
      </c>
      <c r="N1665" s="17">
        <f>VLOOKUP(K1665,RPM!$A$2:$D$62,3,FALSE)</f>
        <v>11.4</v>
      </c>
      <c r="O1665" s="16">
        <f>VLOOKUP(K1665,RPM!$A$2:$D$62,4,FALSE)</f>
        <v>18.894837209302327</v>
      </c>
      <c r="P1665" s="17">
        <f t="shared" si="300"/>
        <v>14.089880106976747</v>
      </c>
      <c r="Q1665" s="16" cm="1">
        <f t="array" ref="Q1665">_xlfn.XLOOKUP(O1665,BSFC!$A$2:$A$24,_xlfn.XLOOKUP(K1665,BSFC!$B$1:$O$1,BSFC!$B$2:$O$24,,-1),,-1)</f>
        <v>480</v>
      </c>
      <c r="R1665" s="17">
        <f t="shared" si="301"/>
        <v>1.8786506809302328</v>
      </c>
      <c r="S1665" s="16">
        <f t="shared" si="302"/>
        <v>2.9183485335175871E-4</v>
      </c>
      <c r="T1665" s="17">
        <f t="shared" si="305"/>
        <v>0.14008072960884418</v>
      </c>
      <c r="U1665" s="16">
        <f t="shared" si="306"/>
        <v>209.02646172302741</v>
      </c>
      <c r="V1665" s="17">
        <f t="shared" si="307"/>
        <v>0.42633018714813625</v>
      </c>
      <c r="W1665" s="16">
        <f t="shared" si="303"/>
        <v>1534788.6737332905</v>
      </c>
      <c r="X1665">
        <f>('Hybrid Info'!$A$2-Track!P1665)*(L1665-L1664)*1000+X1664</f>
        <v>15813.258751246452</v>
      </c>
    </row>
    <row r="1666" spans="1:24">
      <c r="A1666" s="16">
        <f t="shared" si="304"/>
        <v>1665</v>
      </c>
      <c r="B1666" s="17">
        <f t="shared" si="311"/>
        <v>13.411199999999999</v>
      </c>
      <c r="C1666" s="16">
        <f>Specification!$G$30</f>
        <v>109.96225200000001</v>
      </c>
      <c r="D1666" s="17">
        <f>0.5*Specification!$K$4*Track!B1666^2*Specification!$K$3*Specification!$K$2</f>
        <v>93.159842569492653</v>
      </c>
      <c r="E1666" s="16">
        <v>4</v>
      </c>
      <c r="F1666" s="17">
        <f>Specification!$C$23*9.81*SIN((E1666*PI()/180))</f>
        <v>383.52894722414453</v>
      </c>
      <c r="G1666" s="18">
        <f>IF(J1666=1,VLOOKUP(K1666,RPM!$E$2:$H$62,3,FALSE)-F1666-E1666-D1666,IF(J1666=2,VLOOKUP(K1666,RPM!$H$2:$K$62,3,FALSE)-F1666-E1666-D1666,IF(J1666=3,VLOOKUP(K1666,RPM!$K$2:$N$62,3,FALSE)-F1666-E1666-D1666)))</f>
        <v>162.03323181412702</v>
      </c>
      <c r="H1666" s="19">
        <f>IF(J1666=1,Specification!$I$14,IF(J1666=2,Specification!$I$15,IF(J1666=3,Specification!$I$16)))</f>
        <v>578.93404261974786</v>
      </c>
      <c r="I1666" s="16">
        <f t="shared" si="309"/>
        <v>0</v>
      </c>
      <c r="J1666" s="17">
        <v>3</v>
      </c>
      <c r="K1666" s="16">
        <f>IF(J1666=1,VLOOKUP(B1666,RPM!$F$2:$H$62,3,TRUE),IF(J1666=2,VLOOKUP(B1666,RPM!$I$2:$K$62,3,TRUE),IF(J1666=3,VLOOKUP(B1666,RPM!$L$2:$N$62,3,TRUE))))</f>
        <v>4300</v>
      </c>
      <c r="L1666" s="17">
        <f t="shared" si="308"/>
        <v>128.42530458749596</v>
      </c>
      <c r="M1666" s="16">
        <f t="shared" si="310"/>
        <v>2.4213413387053442</v>
      </c>
      <c r="N1666" s="17">
        <f>VLOOKUP(K1666,RPM!$A$2:$D$62,3,FALSE)</f>
        <v>11.4</v>
      </c>
      <c r="O1666" s="16">
        <f>VLOOKUP(K1666,RPM!$A$2:$D$62,4,FALSE)</f>
        <v>18.894837209302327</v>
      </c>
      <c r="P1666" s="17">
        <f t="shared" ref="P1666:P1709" si="312">O1666*0.7457</f>
        <v>14.089880106976747</v>
      </c>
      <c r="Q1666" s="16" cm="1">
        <f t="array" ref="Q1666">_xlfn.XLOOKUP(O1666,BSFC!$A$2:$A$24,_xlfn.XLOOKUP(K1666,BSFC!$B$1:$O$1,BSFC!$B$2:$O$24,,-1),,-1)</f>
        <v>480</v>
      </c>
      <c r="R1666" s="17">
        <f t="shared" ref="R1666:R1709" si="313">Q1666*P1666/3600</f>
        <v>1.8786506809302328</v>
      </c>
      <c r="S1666" s="16">
        <f t="shared" si="302"/>
        <v>2.9183485335175871E-4</v>
      </c>
      <c r="T1666" s="17">
        <f t="shared" si="305"/>
        <v>0.14008072960884418</v>
      </c>
      <c r="U1666" s="16">
        <f t="shared" si="306"/>
        <v>209.16654245263626</v>
      </c>
      <c r="V1666" s="17">
        <f t="shared" si="307"/>
        <v>0.42662202200148802</v>
      </c>
      <c r="W1666" s="16">
        <f t="shared" si="303"/>
        <v>1535839.2792053567</v>
      </c>
      <c r="X1666">
        <f>('Hybrid Info'!$A$2-Track!P1666)*(L1666-L1665)*1000+X1665</f>
        <v>15666.409437897049</v>
      </c>
    </row>
    <row r="1667" spans="1:24">
      <c r="A1667" s="16">
        <f t="shared" si="304"/>
        <v>1666</v>
      </c>
      <c r="B1667" s="17">
        <f t="shared" si="311"/>
        <v>13.411199999999999</v>
      </c>
      <c r="C1667" s="16">
        <f>Specification!$G$30</f>
        <v>109.96225200000001</v>
      </c>
      <c r="D1667" s="17">
        <f>0.5*Specification!$K$4*Track!B1667^2*Specification!$K$3*Specification!$K$2</f>
        <v>93.159842569492653</v>
      </c>
      <c r="E1667" s="16">
        <v>3</v>
      </c>
      <c r="F1667" s="17">
        <f>Specification!$C$23*9.81*SIN((E1667*PI()/180))</f>
        <v>287.74898045237813</v>
      </c>
      <c r="G1667" s="18">
        <f>IF(J1667=1,VLOOKUP(K1667,RPM!$E$2:$H$62,3,FALSE)-F1667-E1667-D1667,IF(J1667=2,VLOOKUP(K1667,RPM!$H$2:$K$62,3,FALSE)-F1667-E1667-D1667,IF(J1667=3,VLOOKUP(K1667,RPM!$K$2:$N$62,3,FALSE)-F1667-E1667-D1667)))</f>
        <v>258.81319858589342</v>
      </c>
      <c r="H1667" s="19">
        <f>IF(J1667=1,Specification!$I$14,IF(J1667=2,Specification!$I$15,IF(J1667=3,Specification!$I$16)))</f>
        <v>578.93404261974786</v>
      </c>
      <c r="I1667" s="16">
        <f t="shared" si="309"/>
        <v>0</v>
      </c>
      <c r="J1667" s="17">
        <v>3</v>
      </c>
      <c r="K1667" s="16">
        <f>IF(J1667=1,VLOOKUP(B1667,RPM!$F$2:$H$62,3,TRUE),IF(J1667=2,VLOOKUP(B1667,RPM!$I$2:$K$62,3,TRUE),IF(J1667=3,VLOOKUP(B1667,RPM!$L$2:$N$62,3,TRUE))))</f>
        <v>4300</v>
      </c>
      <c r="L1667" s="17">
        <f t="shared" si="308"/>
        <v>128.49986913056443</v>
      </c>
      <c r="M1667" s="16">
        <f t="shared" si="310"/>
        <v>2.4737491179883855</v>
      </c>
      <c r="N1667" s="17">
        <f>VLOOKUP(K1667,RPM!$A$2:$D$62,3,FALSE)</f>
        <v>11.4</v>
      </c>
      <c r="O1667" s="16">
        <f>VLOOKUP(K1667,RPM!$A$2:$D$62,4,FALSE)</f>
        <v>18.894837209302327</v>
      </c>
      <c r="P1667" s="17">
        <f t="shared" si="312"/>
        <v>14.089880106976747</v>
      </c>
      <c r="Q1667" s="16" cm="1">
        <f t="array" ref="Q1667">_xlfn.XLOOKUP(O1667,BSFC!$A$2:$A$24,_xlfn.XLOOKUP(K1667,BSFC!$B$1:$O$1,BSFC!$B$2:$O$24,,-1),,-1)</f>
        <v>480</v>
      </c>
      <c r="R1667" s="17">
        <f t="shared" si="313"/>
        <v>1.8786506809302328</v>
      </c>
      <c r="S1667" s="16">
        <f t="shared" ref="S1667:S1709" si="314">(L1667-L1666)/3600*P1667</f>
        <v>2.9183485335175871E-4</v>
      </c>
      <c r="T1667" s="17">
        <f t="shared" si="305"/>
        <v>0.14008072960884418</v>
      </c>
      <c r="U1667" s="16">
        <f t="shared" si="306"/>
        <v>209.30662318224512</v>
      </c>
      <c r="V1667" s="17">
        <f t="shared" si="307"/>
        <v>0.42691385685483979</v>
      </c>
      <c r="W1667" s="16">
        <f t="shared" ref="W1667:W1709" si="315">V1667*1000*3600</f>
        <v>1536889.8846774232</v>
      </c>
      <c r="X1667">
        <f>('Hybrid Info'!$A$2-Track!P1667)*(L1667-L1666)*1000+X1666</f>
        <v>15519.560124547646</v>
      </c>
    </row>
    <row r="1668" spans="1:24">
      <c r="A1668" s="16">
        <f t="shared" ref="A1668:A1709" si="316">A1667+1</f>
        <v>1667</v>
      </c>
      <c r="B1668" s="17">
        <f t="shared" si="311"/>
        <v>13.411199999999999</v>
      </c>
      <c r="C1668" s="16">
        <f>Specification!$G$30</f>
        <v>109.96225200000001</v>
      </c>
      <c r="D1668" s="17">
        <f>0.5*Specification!$K$4*Track!B1668^2*Specification!$K$3*Specification!$K$2</f>
        <v>93.159842569492653</v>
      </c>
      <c r="E1668" s="16">
        <v>2</v>
      </c>
      <c r="F1668" s="17">
        <f>Specification!$C$23*9.81*SIN((E1668*PI()/180))</f>
        <v>191.88136255367905</v>
      </c>
      <c r="G1668" s="18">
        <f>IF(J1668=1,VLOOKUP(K1668,RPM!$E$2:$H$62,3,FALSE)-F1668-E1668-D1668,IF(J1668=2,VLOOKUP(K1668,RPM!$H$2:$K$62,3,FALSE)-F1668-E1668-D1668,IF(J1668=3,VLOOKUP(K1668,RPM!$K$2:$N$62,3,FALSE)-F1668-E1668-D1668)))</f>
        <v>355.68081648459247</v>
      </c>
      <c r="H1668" s="19">
        <f>IF(J1668=1,Specification!$I$14,IF(J1668=2,Specification!$I$15,IF(J1668=3,Specification!$I$16)))</f>
        <v>578.93404261974786</v>
      </c>
      <c r="I1668" s="16">
        <f t="shared" si="309"/>
        <v>0</v>
      </c>
      <c r="J1668" s="17">
        <v>3</v>
      </c>
      <c r="K1668" s="16">
        <f>IF(J1668=1,VLOOKUP(B1668,RPM!$F$2:$H$62,3,TRUE),IF(J1668=2,VLOOKUP(B1668,RPM!$I$2:$K$62,3,TRUE),IF(J1668=3,VLOOKUP(B1668,RPM!$L$2:$N$62,3,TRUE))))</f>
        <v>4300</v>
      </c>
      <c r="L1668" s="17">
        <f t="shared" si="308"/>
        <v>128.57443367363291</v>
      </c>
      <c r="M1668" s="16">
        <f t="shared" si="310"/>
        <v>2.5086698874801332</v>
      </c>
      <c r="N1668" s="17">
        <f>VLOOKUP(K1668,RPM!$A$2:$D$62,3,FALSE)</f>
        <v>11.4</v>
      </c>
      <c r="O1668" s="16">
        <f>VLOOKUP(K1668,RPM!$A$2:$D$62,4,FALSE)</f>
        <v>18.894837209302327</v>
      </c>
      <c r="P1668" s="17">
        <f t="shared" si="312"/>
        <v>14.089880106976747</v>
      </c>
      <c r="Q1668" s="16" cm="1">
        <f t="array" ref="Q1668">_xlfn.XLOOKUP(O1668,BSFC!$A$2:$A$24,_xlfn.XLOOKUP(K1668,BSFC!$B$1:$O$1,BSFC!$B$2:$O$24,,-1),,-1)</f>
        <v>480</v>
      </c>
      <c r="R1668" s="17">
        <f t="shared" si="313"/>
        <v>1.8786506809302328</v>
      </c>
      <c r="S1668" s="16">
        <f t="shared" si="314"/>
        <v>2.9183485335175871E-4</v>
      </c>
      <c r="T1668" s="17">
        <f t="shared" ref="T1668:T1709" si="317">S1668*Q1668</f>
        <v>0.14008072960884418</v>
      </c>
      <c r="U1668" s="16">
        <f t="shared" ref="U1668:U1709" si="318">U1667+T1668</f>
        <v>209.44670391185397</v>
      </c>
      <c r="V1668" s="17">
        <f t="shared" si="307"/>
        <v>0.42720569170819156</v>
      </c>
      <c r="W1668" s="16">
        <f t="shared" si="315"/>
        <v>1537940.4901494896</v>
      </c>
      <c r="X1668">
        <f>('Hybrid Info'!$A$2-Track!P1668)*(L1668-L1667)*1000+X1667</f>
        <v>15372.710811198243</v>
      </c>
    </row>
    <row r="1669" spans="1:24">
      <c r="A1669" s="16">
        <f t="shared" si="316"/>
        <v>1668</v>
      </c>
      <c r="B1669" s="17">
        <f t="shared" si="311"/>
        <v>13.411199999999999</v>
      </c>
      <c r="C1669" s="16">
        <f>Specification!$G$30</f>
        <v>109.96225200000001</v>
      </c>
      <c r="D1669" s="17">
        <f>0.5*Specification!$K$4*Track!B1669^2*Specification!$K$3*Specification!$K$2</f>
        <v>93.159842569492653</v>
      </c>
      <c r="E1669" s="16">
        <v>1</v>
      </c>
      <c r="F1669" s="17">
        <f>Specification!$C$23*9.81*SIN((E1669*PI()/180))</f>
        <v>95.955295733149597</v>
      </c>
      <c r="G1669" s="18">
        <f>IF(J1669=1,VLOOKUP(K1669,RPM!$E$2:$H$62,3,FALSE)-F1669-E1669-D1669,IF(J1669=2,VLOOKUP(K1669,RPM!$H$2:$K$62,3,FALSE)-F1669-E1669-D1669,IF(J1669=3,VLOOKUP(K1669,RPM!$K$2:$N$62,3,FALSE)-F1669-E1669-D1669)))</f>
        <v>452.60688330512198</v>
      </c>
      <c r="H1669" s="19">
        <f>IF(J1669=1,Specification!$I$14,IF(J1669=2,Specification!$I$15,IF(J1669=3,Specification!$I$16)))</f>
        <v>578.93404261974786</v>
      </c>
      <c r="I1669" s="16">
        <f t="shared" si="309"/>
        <v>0</v>
      </c>
      <c r="J1669" s="17">
        <v>3</v>
      </c>
      <c r="K1669" s="16">
        <f>IF(J1669=1,VLOOKUP(B1669,RPM!$F$2:$H$62,3,TRUE),IF(J1669=2,VLOOKUP(B1669,RPM!$I$2:$K$62,3,TRUE),IF(J1669=3,VLOOKUP(B1669,RPM!$L$2:$N$62,3,TRUE))))</f>
        <v>4300</v>
      </c>
      <c r="L1669" s="17">
        <f t="shared" si="308"/>
        <v>128.64899821670139</v>
      </c>
      <c r="M1669" s="16">
        <f t="shared" si="310"/>
        <v>2.5261249524083507</v>
      </c>
      <c r="N1669" s="17">
        <f>VLOOKUP(K1669,RPM!$A$2:$D$62,3,FALSE)</f>
        <v>11.4</v>
      </c>
      <c r="O1669" s="16">
        <f>VLOOKUP(K1669,RPM!$A$2:$D$62,4,FALSE)</f>
        <v>18.894837209302327</v>
      </c>
      <c r="P1669" s="17">
        <f t="shared" si="312"/>
        <v>14.089880106976747</v>
      </c>
      <c r="Q1669" s="16" cm="1">
        <f t="array" ref="Q1669">_xlfn.XLOOKUP(O1669,BSFC!$A$2:$A$24,_xlfn.XLOOKUP(K1669,BSFC!$B$1:$O$1,BSFC!$B$2:$O$24,,-1),,-1)</f>
        <v>480</v>
      </c>
      <c r="R1669" s="17">
        <f t="shared" si="313"/>
        <v>1.8786506809302328</v>
      </c>
      <c r="S1669" s="16">
        <f t="shared" si="314"/>
        <v>2.9183485335175871E-4</v>
      </c>
      <c r="T1669" s="17">
        <f t="shared" si="317"/>
        <v>0.14008072960884418</v>
      </c>
      <c r="U1669" s="16">
        <f t="shared" si="318"/>
        <v>209.58678464146283</v>
      </c>
      <c r="V1669" s="17">
        <f t="shared" ref="V1669:V1709" si="319">V1668+S1669</f>
        <v>0.42749752656154333</v>
      </c>
      <c r="W1669" s="16">
        <f t="shared" si="315"/>
        <v>1538991.095621556</v>
      </c>
      <c r="X1669">
        <f>('Hybrid Info'!$A$2-Track!P1669)*(L1669-L1668)*1000+X1668</f>
        <v>15225.86149784884</v>
      </c>
    </row>
    <row r="1670" spans="1:24">
      <c r="A1670" s="16">
        <f t="shared" si="316"/>
        <v>1669</v>
      </c>
      <c r="B1670" s="17">
        <f t="shared" si="311"/>
        <v>13.411199999999999</v>
      </c>
      <c r="C1670" s="16">
        <f>Specification!$G$30</f>
        <v>109.96225200000001</v>
      </c>
      <c r="D1670" s="17">
        <f>0.5*Specification!$K$4*Track!B1670^2*Specification!$K$3*Specification!$K$2</f>
        <v>93.159842569492653</v>
      </c>
      <c r="E1670" s="16">
        <v>0</v>
      </c>
      <c r="F1670" s="17">
        <f>Specification!$C$23*9.81*SIN((E1670*PI()/180))</f>
        <v>0</v>
      </c>
      <c r="G1670" s="18">
        <f>IF(J1670=1,VLOOKUP(K1670,RPM!$E$2:$H$62,3,FALSE)-F1670-E1670-D1670,IF(J1670=2,VLOOKUP(K1670,RPM!$H$2:$K$62,3,FALSE)-F1670-E1670-D1670,IF(J1670=3,VLOOKUP(K1670,RPM!$K$2:$N$62,3,FALSE)-F1670-E1670-D1670)))</f>
        <v>549.56217903827155</v>
      </c>
      <c r="H1670" s="19">
        <f>IF(J1670=1,Specification!$I$14,IF(J1670=2,Specification!$I$15,IF(J1670=3,Specification!$I$16)))</f>
        <v>578.93404261974786</v>
      </c>
      <c r="I1670" s="16">
        <f t="shared" si="309"/>
        <v>0</v>
      </c>
      <c r="J1670" s="17">
        <v>3</v>
      </c>
      <c r="K1670" s="16">
        <f>IF(J1670=1,VLOOKUP(B1670,RPM!$F$2:$H$62,3,TRUE),IF(J1670=2,VLOOKUP(B1670,RPM!$I$2:$K$62,3,TRUE),IF(J1670=3,VLOOKUP(B1670,RPM!$L$2:$N$62,3,TRUE))))</f>
        <v>4300</v>
      </c>
      <c r="L1670" s="17">
        <f t="shared" si="308"/>
        <v>128.72356275976986</v>
      </c>
      <c r="M1670" s="16">
        <f t="shared" si="310"/>
        <v>2.5261249524083507</v>
      </c>
      <c r="N1670" s="17">
        <f>VLOOKUP(K1670,RPM!$A$2:$D$62,3,FALSE)</f>
        <v>11.4</v>
      </c>
      <c r="O1670" s="16">
        <f>VLOOKUP(K1670,RPM!$A$2:$D$62,4,FALSE)</f>
        <v>18.894837209302327</v>
      </c>
      <c r="P1670" s="17">
        <f t="shared" si="312"/>
        <v>14.089880106976747</v>
      </c>
      <c r="Q1670" s="16" cm="1">
        <f t="array" ref="Q1670">_xlfn.XLOOKUP(O1670,BSFC!$A$2:$A$24,_xlfn.XLOOKUP(K1670,BSFC!$B$1:$O$1,BSFC!$B$2:$O$24,,-1),,-1)</f>
        <v>480</v>
      </c>
      <c r="R1670" s="17">
        <f t="shared" si="313"/>
        <v>1.8786506809302328</v>
      </c>
      <c r="S1670" s="16">
        <f t="shared" si="314"/>
        <v>2.9183485335175871E-4</v>
      </c>
      <c r="T1670" s="17">
        <f t="shared" si="317"/>
        <v>0.14008072960884418</v>
      </c>
      <c r="U1670" s="16">
        <f t="shared" si="318"/>
        <v>209.72686537107168</v>
      </c>
      <c r="V1670" s="17">
        <f t="shared" si="319"/>
        <v>0.4277893614148951</v>
      </c>
      <c r="W1670" s="16">
        <f t="shared" si="315"/>
        <v>1540041.7010936223</v>
      </c>
      <c r="X1670">
        <f>('Hybrid Info'!$A$2-Track!P1670)*(L1670-L1669)*1000+X1669</f>
        <v>15079.012184499437</v>
      </c>
    </row>
    <row r="1671" spans="1:24">
      <c r="A1671" s="16">
        <f t="shared" si="316"/>
        <v>1670</v>
      </c>
      <c r="B1671" s="17">
        <f t="shared" si="311"/>
        <v>13.411199999999999</v>
      </c>
      <c r="C1671" s="16">
        <f>Specification!$G$30</f>
        <v>109.96225200000001</v>
      </c>
      <c r="D1671" s="17">
        <f>0.5*Specification!$K$4*Track!B1671^2*Specification!$K$3*Specification!$K$2</f>
        <v>93.159842569492653</v>
      </c>
      <c r="E1671" s="16">
        <v>0</v>
      </c>
      <c r="F1671" s="17">
        <f>Specification!$C$23*9.81*SIN((E1671*PI()/180))</f>
        <v>0</v>
      </c>
      <c r="G1671" s="18">
        <f>IF(J1671=1,VLOOKUP(K1671,RPM!$E$2:$H$62,3,FALSE)-F1671-E1671-D1671,IF(J1671=2,VLOOKUP(K1671,RPM!$H$2:$K$62,3,FALSE)-F1671-E1671-D1671,IF(J1671=3,VLOOKUP(K1671,RPM!$K$2:$N$62,3,FALSE)-F1671-E1671-D1671)))</f>
        <v>549.56217903827155</v>
      </c>
      <c r="H1671" s="19">
        <f>IF(J1671=1,Specification!$I$14,IF(J1671=2,Specification!$I$15,IF(J1671=3,Specification!$I$16)))</f>
        <v>578.93404261974786</v>
      </c>
      <c r="I1671" s="16">
        <f t="shared" si="309"/>
        <v>0</v>
      </c>
      <c r="J1671" s="17">
        <v>3</v>
      </c>
      <c r="K1671" s="16">
        <f>IF(J1671=1,VLOOKUP(B1671,RPM!$F$2:$H$62,3,TRUE),IF(J1671=2,VLOOKUP(B1671,RPM!$I$2:$K$62,3,TRUE),IF(J1671=3,VLOOKUP(B1671,RPM!$L$2:$N$62,3,TRUE))))</f>
        <v>4300</v>
      </c>
      <c r="L1671" s="17">
        <f t="shared" si="308"/>
        <v>128.79812730283834</v>
      </c>
      <c r="M1671" s="16">
        <f t="shared" si="310"/>
        <v>2.5261249524083507</v>
      </c>
      <c r="N1671" s="17">
        <f>VLOOKUP(K1671,RPM!$A$2:$D$62,3,FALSE)</f>
        <v>11.4</v>
      </c>
      <c r="O1671" s="16">
        <f>VLOOKUP(K1671,RPM!$A$2:$D$62,4,FALSE)</f>
        <v>18.894837209302327</v>
      </c>
      <c r="P1671" s="17">
        <f t="shared" si="312"/>
        <v>14.089880106976747</v>
      </c>
      <c r="Q1671" s="16" cm="1">
        <f t="array" ref="Q1671">_xlfn.XLOOKUP(O1671,BSFC!$A$2:$A$24,_xlfn.XLOOKUP(K1671,BSFC!$B$1:$O$1,BSFC!$B$2:$O$24,,-1),,-1)</f>
        <v>480</v>
      </c>
      <c r="R1671" s="17">
        <f t="shared" si="313"/>
        <v>1.8786506809302328</v>
      </c>
      <c r="S1671" s="16">
        <f t="shared" si="314"/>
        <v>2.9183485335175871E-4</v>
      </c>
      <c r="T1671" s="17">
        <f t="shared" si="317"/>
        <v>0.14008072960884418</v>
      </c>
      <c r="U1671" s="16">
        <f t="shared" si="318"/>
        <v>209.86694610068054</v>
      </c>
      <c r="V1671" s="17">
        <f t="shared" si="319"/>
        <v>0.42808119626824687</v>
      </c>
      <c r="W1671" s="16">
        <f t="shared" si="315"/>
        <v>1541092.3065656887</v>
      </c>
      <c r="X1671">
        <f>('Hybrid Info'!$A$2-Track!P1671)*(L1671-L1670)*1000+X1670</f>
        <v>14932.162871150034</v>
      </c>
    </row>
    <row r="1672" spans="1:24">
      <c r="A1672" s="16">
        <f t="shared" si="316"/>
        <v>1671</v>
      </c>
      <c r="B1672" s="17">
        <f t="shared" si="311"/>
        <v>13.411199999999999</v>
      </c>
      <c r="C1672" s="16">
        <f>Specification!$G$30</f>
        <v>109.96225200000001</v>
      </c>
      <c r="D1672" s="17">
        <f>0.5*Specification!$K$4*Track!B1672^2*Specification!$K$3*Specification!$K$2</f>
        <v>93.159842569492653</v>
      </c>
      <c r="E1672" s="16">
        <v>0</v>
      </c>
      <c r="F1672" s="17">
        <f>Specification!$C$23*9.81*SIN((E1672*PI()/180))</f>
        <v>0</v>
      </c>
      <c r="G1672" s="18">
        <f>IF(J1672=1,VLOOKUP(K1672,RPM!$E$2:$H$62,3,FALSE)-F1672-E1672-D1672,IF(J1672=2,VLOOKUP(K1672,RPM!$H$2:$K$62,3,FALSE)-F1672-E1672-D1672,IF(J1672=3,VLOOKUP(K1672,RPM!$K$2:$N$62,3,FALSE)-F1672-E1672-D1672)))</f>
        <v>549.56217903827155</v>
      </c>
      <c r="H1672" s="19">
        <f>IF(J1672=1,Specification!$I$14,IF(J1672=2,Specification!$I$15,IF(J1672=3,Specification!$I$16)))</f>
        <v>578.93404261974786</v>
      </c>
      <c r="I1672" s="16">
        <f t="shared" si="309"/>
        <v>0</v>
      </c>
      <c r="J1672" s="17">
        <v>3</v>
      </c>
      <c r="K1672" s="16">
        <f>IF(J1672=1,VLOOKUP(B1672,RPM!$F$2:$H$62,3,TRUE),IF(J1672=2,VLOOKUP(B1672,RPM!$I$2:$K$62,3,TRUE),IF(J1672=3,VLOOKUP(B1672,RPM!$L$2:$N$62,3,TRUE))))</f>
        <v>4300</v>
      </c>
      <c r="L1672" s="17">
        <f t="shared" si="308"/>
        <v>128.87269184590681</v>
      </c>
      <c r="M1672" s="16">
        <f t="shared" si="310"/>
        <v>2.5261249524083507</v>
      </c>
      <c r="N1672" s="17">
        <f>VLOOKUP(K1672,RPM!$A$2:$D$62,3,FALSE)</f>
        <v>11.4</v>
      </c>
      <c r="O1672" s="16">
        <f>VLOOKUP(K1672,RPM!$A$2:$D$62,4,FALSE)</f>
        <v>18.894837209302327</v>
      </c>
      <c r="P1672" s="17">
        <f t="shared" si="312"/>
        <v>14.089880106976747</v>
      </c>
      <c r="Q1672" s="16" cm="1">
        <f t="array" ref="Q1672">_xlfn.XLOOKUP(O1672,BSFC!$A$2:$A$24,_xlfn.XLOOKUP(K1672,BSFC!$B$1:$O$1,BSFC!$B$2:$O$24,,-1),,-1)</f>
        <v>480</v>
      </c>
      <c r="R1672" s="17">
        <f t="shared" si="313"/>
        <v>1.8786506809302328</v>
      </c>
      <c r="S1672" s="16">
        <f t="shared" si="314"/>
        <v>2.9183485335175871E-4</v>
      </c>
      <c r="T1672" s="17">
        <f t="shared" si="317"/>
        <v>0.14008072960884418</v>
      </c>
      <c r="U1672" s="16">
        <f t="shared" si="318"/>
        <v>210.00702683028939</v>
      </c>
      <c r="V1672" s="17">
        <f t="shared" si="319"/>
        <v>0.42837303112159864</v>
      </c>
      <c r="W1672" s="16">
        <f t="shared" si="315"/>
        <v>1542142.9120377549</v>
      </c>
      <c r="X1672">
        <f>('Hybrid Info'!$A$2-Track!P1672)*(L1672-L1671)*1000+X1671</f>
        <v>14785.313557800631</v>
      </c>
    </row>
    <row r="1673" spans="1:24">
      <c r="A1673" s="16">
        <f t="shared" si="316"/>
        <v>1672</v>
      </c>
      <c r="B1673" s="17">
        <f t="shared" si="311"/>
        <v>13.411199999999999</v>
      </c>
      <c r="C1673" s="16">
        <f>Specification!$G$30</f>
        <v>109.96225200000001</v>
      </c>
      <c r="D1673" s="17">
        <f>0.5*Specification!$K$4*Track!B1673^2*Specification!$K$3*Specification!$K$2</f>
        <v>93.159842569492653</v>
      </c>
      <c r="E1673" s="16">
        <v>0</v>
      </c>
      <c r="F1673" s="17">
        <f>Specification!$C$23*9.81*SIN((E1673*PI()/180))</f>
        <v>0</v>
      </c>
      <c r="G1673" s="18">
        <f>IF(J1673=1,VLOOKUP(K1673,RPM!$E$2:$H$62,3,FALSE)-F1673-E1673-D1673,IF(J1673=2,VLOOKUP(K1673,RPM!$H$2:$K$62,3,FALSE)-F1673-E1673-D1673,IF(J1673=3,VLOOKUP(K1673,RPM!$K$2:$N$62,3,FALSE)-F1673-E1673-D1673)))</f>
        <v>549.56217903827155</v>
      </c>
      <c r="H1673" s="19">
        <f>IF(J1673=1,Specification!$I$14,IF(J1673=2,Specification!$I$15,IF(J1673=3,Specification!$I$16)))</f>
        <v>578.93404261974786</v>
      </c>
      <c r="I1673" s="16">
        <f t="shared" si="309"/>
        <v>0</v>
      </c>
      <c r="J1673" s="17">
        <v>3</v>
      </c>
      <c r="K1673" s="16">
        <f>IF(J1673=1,VLOOKUP(B1673,RPM!$F$2:$H$62,3,TRUE),IF(J1673=2,VLOOKUP(B1673,RPM!$I$2:$K$62,3,TRUE),IF(J1673=3,VLOOKUP(B1673,RPM!$L$2:$N$62,3,TRUE))))</f>
        <v>4300</v>
      </c>
      <c r="L1673" s="17">
        <f t="shared" si="308"/>
        <v>128.94725638897529</v>
      </c>
      <c r="M1673" s="16">
        <f t="shared" si="310"/>
        <v>2.5261249524083507</v>
      </c>
      <c r="N1673" s="17">
        <f>VLOOKUP(K1673,RPM!$A$2:$D$62,3,FALSE)</f>
        <v>11.4</v>
      </c>
      <c r="O1673" s="16">
        <f>VLOOKUP(K1673,RPM!$A$2:$D$62,4,FALSE)</f>
        <v>18.894837209302327</v>
      </c>
      <c r="P1673" s="17">
        <f t="shared" si="312"/>
        <v>14.089880106976747</v>
      </c>
      <c r="Q1673" s="16" cm="1">
        <f t="array" ref="Q1673">_xlfn.XLOOKUP(O1673,BSFC!$A$2:$A$24,_xlfn.XLOOKUP(K1673,BSFC!$B$1:$O$1,BSFC!$B$2:$O$24,,-1),,-1)</f>
        <v>480</v>
      </c>
      <c r="R1673" s="17">
        <f t="shared" si="313"/>
        <v>1.8786506809302328</v>
      </c>
      <c r="S1673" s="16">
        <f t="shared" si="314"/>
        <v>2.9183485335175871E-4</v>
      </c>
      <c r="T1673" s="17">
        <f t="shared" si="317"/>
        <v>0.14008072960884418</v>
      </c>
      <c r="U1673" s="16">
        <f t="shared" si="318"/>
        <v>210.14710755989825</v>
      </c>
      <c r="V1673" s="17">
        <f t="shared" si="319"/>
        <v>0.4286648659749504</v>
      </c>
      <c r="W1673" s="16">
        <f t="shared" si="315"/>
        <v>1543193.5175098216</v>
      </c>
      <c r="X1673">
        <f>('Hybrid Info'!$A$2-Track!P1673)*(L1673-L1672)*1000+X1672</f>
        <v>14638.464244451228</v>
      </c>
    </row>
    <row r="1674" spans="1:24">
      <c r="A1674" s="16">
        <f t="shared" si="316"/>
        <v>1673</v>
      </c>
      <c r="B1674" s="17">
        <f t="shared" si="311"/>
        <v>13.411199999999999</v>
      </c>
      <c r="C1674" s="16">
        <f>Specification!$G$30</f>
        <v>109.96225200000001</v>
      </c>
      <c r="D1674" s="17">
        <f>0.5*Specification!$K$4*Track!B1674^2*Specification!$K$3*Specification!$K$2</f>
        <v>93.159842569492653</v>
      </c>
      <c r="E1674" s="16">
        <v>-1</v>
      </c>
      <c r="F1674" s="17">
        <f>Specification!$C$23*9.81*SIN((E1674*PI()/180))</f>
        <v>-95.955295733149597</v>
      </c>
      <c r="G1674" s="18">
        <f>IF(J1674=1,VLOOKUP(K1674,RPM!$E$2:$H$62,3,FALSE)-F1674-E1674-D1674,IF(J1674=2,VLOOKUP(K1674,RPM!$H$2:$K$62,3,FALSE)-F1674-E1674-D1674,IF(J1674=3,VLOOKUP(K1674,RPM!$K$2:$N$62,3,FALSE)-F1674-E1674-D1674)))</f>
        <v>646.51747477142112</v>
      </c>
      <c r="H1674" s="19">
        <f>IF(J1674=1,Specification!$I$14,IF(J1674=2,Specification!$I$15,IF(J1674=3,Specification!$I$16)))</f>
        <v>578.93404261974786</v>
      </c>
      <c r="I1674" s="16">
        <f t="shared" si="309"/>
        <v>0</v>
      </c>
      <c r="J1674" s="17">
        <v>3</v>
      </c>
      <c r="K1674" s="16">
        <f>IF(J1674=1,VLOOKUP(B1674,RPM!$F$2:$H$62,3,TRUE),IF(J1674=2,VLOOKUP(B1674,RPM!$I$2:$K$62,3,TRUE),IF(J1674=3,VLOOKUP(B1674,RPM!$L$2:$N$62,3,TRUE))))</f>
        <v>4300</v>
      </c>
      <c r="L1674" s="17">
        <f t="shared" si="308"/>
        <v>129.02182093204377</v>
      </c>
      <c r="M1674" s="16">
        <f t="shared" si="310"/>
        <v>2.5086698874801332</v>
      </c>
      <c r="N1674" s="17">
        <f>VLOOKUP(K1674,RPM!$A$2:$D$62,3,FALSE)</f>
        <v>11.4</v>
      </c>
      <c r="O1674" s="16">
        <f>VLOOKUP(K1674,RPM!$A$2:$D$62,4,FALSE)</f>
        <v>18.894837209302327</v>
      </c>
      <c r="P1674" s="17">
        <f t="shared" si="312"/>
        <v>14.089880106976747</v>
      </c>
      <c r="Q1674" s="16" cm="1">
        <f t="array" ref="Q1674">_xlfn.XLOOKUP(O1674,BSFC!$A$2:$A$24,_xlfn.XLOOKUP(K1674,BSFC!$B$1:$O$1,BSFC!$B$2:$O$24,,-1),,-1)</f>
        <v>480</v>
      </c>
      <c r="R1674" s="17">
        <f t="shared" si="313"/>
        <v>1.8786506809302328</v>
      </c>
      <c r="S1674" s="16">
        <f t="shared" si="314"/>
        <v>2.9183485335175871E-4</v>
      </c>
      <c r="T1674" s="17">
        <f t="shared" si="317"/>
        <v>0.14008072960884418</v>
      </c>
      <c r="U1674" s="16">
        <f t="shared" si="318"/>
        <v>210.2871882895071</v>
      </c>
      <c r="V1674" s="17">
        <f t="shared" si="319"/>
        <v>0.42895670082830217</v>
      </c>
      <c r="W1674" s="16">
        <f t="shared" si="315"/>
        <v>1544244.1229818878</v>
      </c>
      <c r="X1674">
        <f>('Hybrid Info'!$A$2-Track!P1674)*(L1674-L1673)*1000+X1673</f>
        <v>14491.614931101825</v>
      </c>
    </row>
    <row r="1675" spans="1:24">
      <c r="A1675" s="16">
        <f t="shared" si="316"/>
        <v>1674</v>
      </c>
      <c r="B1675" s="17">
        <f t="shared" si="311"/>
        <v>13.411199999999999</v>
      </c>
      <c r="C1675" s="16">
        <f>Specification!$G$30</f>
        <v>109.96225200000001</v>
      </c>
      <c r="D1675" s="17">
        <f>0.5*Specification!$K$4*Track!B1675^2*Specification!$K$3*Specification!$K$2</f>
        <v>93.159842569492653</v>
      </c>
      <c r="E1675" s="16">
        <v>-2</v>
      </c>
      <c r="F1675" s="17">
        <f>Specification!$C$23*9.81*SIN((E1675*PI()/180))</f>
        <v>-191.88136255367905</v>
      </c>
      <c r="G1675" s="18">
        <f>IF(J1675=1,VLOOKUP(K1675,RPM!$E$2:$H$62,3,FALSE)-F1675-E1675-D1675,IF(J1675=2,VLOOKUP(K1675,RPM!$H$2:$K$62,3,FALSE)-F1675-E1675-D1675,IF(J1675=3,VLOOKUP(K1675,RPM!$K$2:$N$62,3,FALSE)-F1675-E1675-D1675)))</f>
        <v>743.44354159195063</v>
      </c>
      <c r="H1675" s="19">
        <f>IF(J1675=1,Specification!$I$14,IF(J1675=2,Specification!$I$15,IF(J1675=3,Specification!$I$16)))</f>
        <v>578.93404261974786</v>
      </c>
      <c r="I1675" s="16">
        <f t="shared" si="309"/>
        <v>0</v>
      </c>
      <c r="J1675" s="17">
        <v>3</v>
      </c>
      <c r="K1675" s="16">
        <f>IF(J1675=1,VLOOKUP(B1675,RPM!$F$2:$H$62,3,TRUE),IF(J1675=2,VLOOKUP(B1675,RPM!$I$2:$K$62,3,TRUE),IF(J1675=3,VLOOKUP(B1675,RPM!$L$2:$N$62,3,TRUE))))</f>
        <v>4300</v>
      </c>
      <c r="L1675" s="17">
        <f t="shared" si="308"/>
        <v>129.09638547511224</v>
      </c>
      <c r="M1675" s="16">
        <f t="shared" si="310"/>
        <v>2.4737491179883855</v>
      </c>
      <c r="N1675" s="17">
        <f>VLOOKUP(K1675,RPM!$A$2:$D$62,3,FALSE)</f>
        <v>11.4</v>
      </c>
      <c r="O1675" s="16">
        <f>VLOOKUP(K1675,RPM!$A$2:$D$62,4,FALSE)</f>
        <v>18.894837209302327</v>
      </c>
      <c r="P1675" s="17">
        <f t="shared" si="312"/>
        <v>14.089880106976747</v>
      </c>
      <c r="Q1675" s="16" cm="1">
        <f t="array" ref="Q1675">_xlfn.XLOOKUP(O1675,BSFC!$A$2:$A$24,_xlfn.XLOOKUP(K1675,BSFC!$B$1:$O$1,BSFC!$B$2:$O$24,,-1),,-1)</f>
        <v>480</v>
      </c>
      <c r="R1675" s="17">
        <f t="shared" si="313"/>
        <v>1.8786506809302328</v>
      </c>
      <c r="S1675" s="16">
        <f t="shared" si="314"/>
        <v>2.9183485335175871E-4</v>
      </c>
      <c r="T1675" s="17">
        <f t="shared" si="317"/>
        <v>0.14008072960884418</v>
      </c>
      <c r="U1675" s="16">
        <f t="shared" si="318"/>
        <v>210.42726901911595</v>
      </c>
      <c r="V1675" s="17">
        <f t="shared" si="319"/>
        <v>0.42924853568165394</v>
      </c>
      <c r="W1675" s="16">
        <f t="shared" si="315"/>
        <v>1545294.7284539542</v>
      </c>
      <c r="X1675">
        <f>('Hybrid Info'!$A$2-Track!P1675)*(L1675-L1674)*1000+X1674</f>
        <v>14344.765617752422</v>
      </c>
    </row>
    <row r="1676" spans="1:24">
      <c r="A1676" s="16">
        <f t="shared" si="316"/>
        <v>1675</v>
      </c>
      <c r="B1676" s="17">
        <f t="shared" si="311"/>
        <v>13.411199999999999</v>
      </c>
      <c r="C1676" s="16">
        <f>Specification!$G$30</f>
        <v>109.96225200000001</v>
      </c>
      <c r="D1676" s="17">
        <f>0.5*Specification!$K$4*Track!B1676^2*Specification!$K$3*Specification!$K$2</f>
        <v>93.159842569492653</v>
      </c>
      <c r="E1676" s="16">
        <v>-3</v>
      </c>
      <c r="F1676" s="17">
        <f>Specification!$C$23*9.81*SIN((E1676*PI()/180))</f>
        <v>-287.74898045237813</v>
      </c>
      <c r="G1676" s="18">
        <f>IF(J1676=1,VLOOKUP(K1676,RPM!$E$2:$H$62,3,FALSE)-F1676-E1676-D1676,IF(J1676=2,VLOOKUP(K1676,RPM!$H$2:$K$62,3,FALSE)-F1676-E1676-D1676,IF(J1676=3,VLOOKUP(K1676,RPM!$K$2:$N$62,3,FALSE)-F1676-E1676-D1676)))</f>
        <v>840.31115949064974</v>
      </c>
      <c r="H1676" s="19">
        <f>IF(J1676=1,Specification!$I$14,IF(J1676=2,Specification!$I$15,IF(J1676=3,Specification!$I$16)))</f>
        <v>578.93404261974786</v>
      </c>
      <c r="I1676" s="16">
        <f t="shared" si="309"/>
        <v>0</v>
      </c>
      <c r="J1676" s="17">
        <v>3</v>
      </c>
      <c r="K1676" s="16">
        <f>IF(J1676=1,VLOOKUP(B1676,RPM!$F$2:$H$62,3,TRUE),IF(J1676=2,VLOOKUP(B1676,RPM!$I$2:$K$62,3,TRUE),IF(J1676=3,VLOOKUP(B1676,RPM!$L$2:$N$62,3,TRUE))))</f>
        <v>4300</v>
      </c>
      <c r="L1676" s="17">
        <f t="shared" si="308"/>
        <v>129.17095001818072</v>
      </c>
      <c r="M1676" s="16">
        <f t="shared" si="310"/>
        <v>2.4213413387053442</v>
      </c>
      <c r="N1676" s="17">
        <f>VLOOKUP(K1676,RPM!$A$2:$D$62,3,FALSE)</f>
        <v>11.4</v>
      </c>
      <c r="O1676" s="16">
        <f>VLOOKUP(K1676,RPM!$A$2:$D$62,4,FALSE)</f>
        <v>18.894837209302327</v>
      </c>
      <c r="P1676" s="17">
        <f t="shared" si="312"/>
        <v>14.089880106976747</v>
      </c>
      <c r="Q1676" s="16" cm="1">
        <f t="array" ref="Q1676">_xlfn.XLOOKUP(O1676,BSFC!$A$2:$A$24,_xlfn.XLOOKUP(K1676,BSFC!$B$1:$O$1,BSFC!$B$2:$O$24,,-1),,-1)</f>
        <v>480</v>
      </c>
      <c r="R1676" s="17">
        <f t="shared" si="313"/>
        <v>1.8786506809302328</v>
      </c>
      <c r="S1676" s="16">
        <f t="shared" si="314"/>
        <v>2.9183485335175871E-4</v>
      </c>
      <c r="T1676" s="17">
        <f t="shared" si="317"/>
        <v>0.14008072960884418</v>
      </c>
      <c r="U1676" s="16">
        <f t="shared" si="318"/>
        <v>210.56734974872481</v>
      </c>
      <c r="V1676" s="17">
        <f t="shared" si="319"/>
        <v>0.42954037053500571</v>
      </c>
      <c r="W1676" s="16">
        <f t="shared" si="315"/>
        <v>1546345.3339260207</v>
      </c>
      <c r="X1676">
        <f>('Hybrid Info'!$A$2-Track!P1676)*(L1676-L1675)*1000+X1675</f>
        <v>14197.916304403019</v>
      </c>
    </row>
    <row r="1677" spans="1:24">
      <c r="A1677" s="16">
        <f t="shared" si="316"/>
        <v>1676</v>
      </c>
      <c r="B1677" s="17">
        <f t="shared" si="311"/>
        <v>13.411199999999999</v>
      </c>
      <c r="C1677" s="16">
        <f>Specification!$G$30</f>
        <v>109.96225200000001</v>
      </c>
      <c r="D1677" s="17">
        <f>0.5*Specification!$K$4*Track!B1677^2*Specification!$K$3*Specification!$K$2</f>
        <v>93.159842569492653</v>
      </c>
      <c r="E1677" s="16">
        <v>-4</v>
      </c>
      <c r="F1677" s="17">
        <f>Specification!$C$23*9.81*SIN((E1677*PI()/180))</f>
        <v>-383.52894722414453</v>
      </c>
      <c r="G1677" s="18">
        <f>IF(J1677=1,VLOOKUP(K1677,RPM!$E$2:$H$62,3,FALSE)-F1677-E1677-D1677,IF(J1677=2,VLOOKUP(K1677,RPM!$H$2:$K$62,3,FALSE)-F1677-E1677-D1677,IF(J1677=3,VLOOKUP(K1677,RPM!$K$2:$N$62,3,FALSE)-F1677-E1677-D1677)))</f>
        <v>937.09112626241608</v>
      </c>
      <c r="H1677" s="19">
        <f>IF(J1677=1,Specification!$I$14,IF(J1677=2,Specification!$I$15,IF(J1677=3,Specification!$I$16)))</f>
        <v>578.93404261974786</v>
      </c>
      <c r="I1677" s="16">
        <f t="shared" si="309"/>
        <v>0</v>
      </c>
      <c r="J1677" s="17">
        <v>3</v>
      </c>
      <c r="K1677" s="16">
        <f>IF(J1677=1,VLOOKUP(B1677,RPM!$F$2:$H$62,3,TRUE),IF(J1677=2,VLOOKUP(B1677,RPM!$I$2:$K$62,3,TRUE),IF(J1677=3,VLOOKUP(B1677,RPM!$L$2:$N$62,3,TRUE))))</f>
        <v>4300</v>
      </c>
      <c r="L1677" s="17">
        <f t="shared" ref="L1677:L1709" si="320">IF(I1677=0,ABS(1/B1677)+L1676,IF(ABS(B1678-B1677)=0,1/B1677+L1676,ABS((B1678-B1677)/I1677)+L1676))</f>
        <v>129.24551456124919</v>
      </c>
      <c r="M1677" s="16">
        <f t="shared" si="310"/>
        <v>2.3514145267618338</v>
      </c>
      <c r="N1677" s="17">
        <f>VLOOKUP(K1677,RPM!$A$2:$D$62,3,FALSE)</f>
        <v>11.4</v>
      </c>
      <c r="O1677" s="16">
        <f>VLOOKUP(K1677,RPM!$A$2:$D$62,4,FALSE)</f>
        <v>18.894837209302327</v>
      </c>
      <c r="P1677" s="17">
        <f t="shared" si="312"/>
        <v>14.089880106976747</v>
      </c>
      <c r="Q1677" s="16" cm="1">
        <f t="array" ref="Q1677">_xlfn.XLOOKUP(O1677,BSFC!$A$2:$A$24,_xlfn.XLOOKUP(K1677,BSFC!$B$1:$O$1,BSFC!$B$2:$O$24,,-1),,-1)</f>
        <v>480</v>
      </c>
      <c r="R1677" s="17">
        <f t="shared" si="313"/>
        <v>1.8786506809302328</v>
      </c>
      <c r="S1677" s="16">
        <f t="shared" si="314"/>
        <v>2.9183485335175871E-4</v>
      </c>
      <c r="T1677" s="17">
        <f t="shared" si="317"/>
        <v>0.14008072960884418</v>
      </c>
      <c r="U1677" s="16">
        <f t="shared" si="318"/>
        <v>210.70743047833366</v>
      </c>
      <c r="V1677" s="17">
        <f t="shared" si="319"/>
        <v>0.42983220538835748</v>
      </c>
      <c r="W1677" s="16">
        <f t="shared" si="315"/>
        <v>1547395.9393980869</v>
      </c>
      <c r="X1677">
        <f>('Hybrid Info'!$A$2-Track!P1677)*(L1677-L1676)*1000+X1676</f>
        <v>14051.066991053616</v>
      </c>
    </row>
    <row r="1678" spans="1:24">
      <c r="A1678" s="16">
        <f t="shared" si="316"/>
        <v>1677</v>
      </c>
      <c r="B1678" s="17">
        <f t="shared" si="311"/>
        <v>13.411199999999999</v>
      </c>
      <c r="C1678" s="16">
        <f>Specification!$G$30</f>
        <v>109.96225200000001</v>
      </c>
      <c r="D1678" s="17">
        <f>0.5*Specification!$K$4*Track!B1678^2*Specification!$K$3*Specification!$K$2</f>
        <v>93.159842569492653</v>
      </c>
      <c r="E1678" s="16">
        <v>-5</v>
      </c>
      <c r="F1678" s="17">
        <f>Specification!$C$23*9.81*SIN((E1678*PI()/180))</f>
        <v>-479.192087363258</v>
      </c>
      <c r="G1678" s="18">
        <f>IF(J1678=1,VLOOKUP(K1678,RPM!$E$2:$H$62,3,FALSE)-F1678-E1678-D1678,IF(J1678=2,VLOOKUP(K1678,RPM!$H$2:$K$62,3,FALSE)-F1678-E1678-D1678,IF(J1678=3,VLOOKUP(K1678,RPM!$K$2:$N$62,3,FALSE)-F1678-E1678-D1678)))</f>
        <v>1033.7542664015295</v>
      </c>
      <c r="H1678" s="19">
        <f>IF(J1678=1,Specification!$I$14,IF(J1678=2,Specification!$I$15,IF(J1678=3,Specification!$I$16)))</f>
        <v>578.93404261974786</v>
      </c>
      <c r="I1678" s="16">
        <f t="shared" si="309"/>
        <v>0</v>
      </c>
      <c r="J1678" s="17">
        <v>3</v>
      </c>
      <c r="K1678" s="16">
        <f>IF(J1678=1,VLOOKUP(B1678,RPM!$F$2:$H$62,3,TRUE),IF(J1678=2,VLOOKUP(B1678,RPM!$I$2:$K$62,3,TRUE),IF(J1678=3,VLOOKUP(B1678,RPM!$L$2:$N$62,3,TRUE))))</f>
        <v>4300</v>
      </c>
      <c r="L1678" s="17">
        <f t="shared" si="320"/>
        <v>129.32007910431767</v>
      </c>
      <c r="M1678" s="16">
        <f t="shared" si="310"/>
        <v>2.2639258632359098</v>
      </c>
      <c r="N1678" s="17">
        <f>VLOOKUP(K1678,RPM!$A$2:$D$62,3,FALSE)</f>
        <v>11.4</v>
      </c>
      <c r="O1678" s="16">
        <f>VLOOKUP(K1678,RPM!$A$2:$D$62,4,FALSE)</f>
        <v>18.894837209302327</v>
      </c>
      <c r="P1678" s="17">
        <f t="shared" si="312"/>
        <v>14.089880106976747</v>
      </c>
      <c r="Q1678" s="16" cm="1">
        <f t="array" ref="Q1678">_xlfn.XLOOKUP(O1678,BSFC!$A$2:$A$24,_xlfn.XLOOKUP(K1678,BSFC!$B$1:$O$1,BSFC!$B$2:$O$24,,-1),,-1)</f>
        <v>480</v>
      </c>
      <c r="R1678" s="17">
        <f t="shared" si="313"/>
        <v>1.8786506809302328</v>
      </c>
      <c r="S1678" s="16">
        <f t="shared" si="314"/>
        <v>2.9183485335175871E-4</v>
      </c>
      <c r="T1678" s="17">
        <f t="shared" si="317"/>
        <v>0.14008072960884418</v>
      </c>
      <c r="U1678" s="16">
        <f t="shared" si="318"/>
        <v>210.84751120794252</v>
      </c>
      <c r="V1678" s="17">
        <f t="shared" si="319"/>
        <v>0.43012404024170925</v>
      </c>
      <c r="W1678" s="16">
        <f t="shared" si="315"/>
        <v>1548446.5448701533</v>
      </c>
      <c r="X1678">
        <f>('Hybrid Info'!$A$2-Track!P1678)*(L1678-L1677)*1000+X1677</f>
        <v>13904.217677704213</v>
      </c>
    </row>
    <row r="1679" spans="1:24">
      <c r="A1679" s="16">
        <f t="shared" si="316"/>
        <v>1678</v>
      </c>
      <c r="B1679" s="17">
        <f t="shared" si="311"/>
        <v>13.411199999999999</v>
      </c>
      <c r="C1679" s="16">
        <f>Specification!$G$30</f>
        <v>109.96225200000001</v>
      </c>
      <c r="D1679" s="17">
        <f>0.5*Specification!$K$4*Track!B1679^2*Specification!$K$3*Specification!$K$2</f>
        <v>93.159842569492653</v>
      </c>
      <c r="E1679" s="16">
        <v>-6</v>
      </c>
      <c r="F1679" s="17">
        <f>Specification!$C$23*9.81*SIN((E1679*PI()/180))</f>
        <v>-574.70926095052266</v>
      </c>
      <c r="G1679" s="18">
        <f>IF(J1679=1,VLOOKUP(K1679,RPM!$E$2:$H$62,3,FALSE)-F1679-E1679-D1679,IF(J1679=2,VLOOKUP(K1679,RPM!$H$2:$K$62,3,FALSE)-F1679-E1679-D1679,IF(J1679=3,VLOOKUP(K1679,RPM!$K$2:$N$62,3,FALSE)-F1679-E1679-D1679)))</f>
        <v>1130.2714399887943</v>
      </c>
      <c r="H1679" s="19">
        <f>IF(J1679=1,Specification!$I$14,IF(J1679=2,Specification!$I$15,IF(J1679=3,Specification!$I$16)))</f>
        <v>578.93404261974786</v>
      </c>
      <c r="I1679" s="16">
        <f t="shared" si="309"/>
        <v>0</v>
      </c>
      <c r="J1679" s="17">
        <v>3</v>
      </c>
      <c r="K1679" s="16">
        <f>IF(J1679=1,VLOOKUP(B1679,RPM!$F$2:$H$62,3,TRUE),IF(J1679=2,VLOOKUP(B1679,RPM!$I$2:$K$62,3,TRUE),IF(J1679=3,VLOOKUP(B1679,RPM!$L$2:$N$62,3,TRUE))))</f>
        <v>4300</v>
      </c>
      <c r="L1679" s="17">
        <f t="shared" si="320"/>
        <v>129.39464364738615</v>
      </c>
      <c r="M1679" s="16">
        <f t="shared" si="310"/>
        <v>2.1588216279702332</v>
      </c>
      <c r="N1679" s="17">
        <f>VLOOKUP(K1679,RPM!$A$2:$D$62,3,FALSE)</f>
        <v>11.4</v>
      </c>
      <c r="O1679" s="16">
        <f>VLOOKUP(K1679,RPM!$A$2:$D$62,4,FALSE)</f>
        <v>18.894837209302327</v>
      </c>
      <c r="P1679" s="17">
        <f t="shared" si="312"/>
        <v>14.089880106976747</v>
      </c>
      <c r="Q1679" s="16" cm="1">
        <f t="array" ref="Q1679">_xlfn.XLOOKUP(O1679,BSFC!$A$2:$A$24,_xlfn.XLOOKUP(K1679,BSFC!$B$1:$O$1,BSFC!$B$2:$O$24,,-1),,-1)</f>
        <v>480</v>
      </c>
      <c r="R1679" s="17">
        <f t="shared" si="313"/>
        <v>1.8786506809302328</v>
      </c>
      <c r="S1679" s="16">
        <f t="shared" si="314"/>
        <v>2.9183485335175871E-4</v>
      </c>
      <c r="T1679" s="17">
        <f t="shared" si="317"/>
        <v>0.14008072960884418</v>
      </c>
      <c r="U1679" s="16">
        <f t="shared" si="318"/>
        <v>210.98759193755137</v>
      </c>
      <c r="V1679" s="17">
        <f t="shared" si="319"/>
        <v>0.43041587509506102</v>
      </c>
      <c r="W1679" s="16">
        <f t="shared" si="315"/>
        <v>1549497.1503422197</v>
      </c>
      <c r="X1679">
        <f>('Hybrid Info'!$A$2-Track!P1679)*(L1679-L1678)*1000+X1678</f>
        <v>13757.36836435481</v>
      </c>
    </row>
    <row r="1680" spans="1:24">
      <c r="A1680" s="16">
        <f t="shared" si="316"/>
        <v>1679</v>
      </c>
      <c r="B1680" s="17">
        <f t="shared" si="311"/>
        <v>13.411199999999999</v>
      </c>
      <c r="C1680" s="16">
        <f>Specification!$G$30</f>
        <v>109.96225200000001</v>
      </c>
      <c r="D1680" s="17">
        <f>0.5*Specification!$K$4*Track!B1680^2*Specification!$K$3*Specification!$K$2</f>
        <v>93.159842569492653</v>
      </c>
      <c r="E1680" s="16">
        <v>-7</v>
      </c>
      <c r="F1680" s="17">
        <f>Specification!$C$23*9.81*SIN((E1680*PI()/180))</f>
        <v>-670.05137252956831</v>
      </c>
      <c r="G1680" s="18">
        <f>IF(J1680=1,VLOOKUP(K1680,RPM!$E$2:$H$62,3,FALSE)-F1680-E1680-D1680,IF(J1680=2,VLOOKUP(K1680,RPM!$H$2:$K$62,3,FALSE)-F1680-E1680-D1680,IF(J1680=3,VLOOKUP(K1680,RPM!$K$2:$N$62,3,FALSE)-F1680-E1680-D1680)))</f>
        <v>1226.61355156784</v>
      </c>
      <c r="H1680" s="19">
        <f>IF(J1680=1,Specification!$I$14,IF(J1680=2,Specification!$I$15,IF(J1680=3,Specification!$I$16)))</f>
        <v>578.93404261974786</v>
      </c>
      <c r="I1680" s="16">
        <f t="shared" si="309"/>
        <v>0</v>
      </c>
      <c r="J1680" s="17">
        <v>3</v>
      </c>
      <c r="K1680" s="16">
        <f>IF(J1680=1,VLOOKUP(B1680,RPM!$F$2:$H$62,3,TRUE),IF(J1680=2,VLOOKUP(B1680,RPM!$I$2:$K$62,3,TRUE),IF(J1680=3,VLOOKUP(B1680,RPM!$L$2:$N$62,3,TRUE))))</f>
        <v>4300</v>
      </c>
      <c r="L1680" s="17">
        <f t="shared" si="320"/>
        <v>129.46920819045462</v>
      </c>
      <c r="M1680" s="16">
        <f t="shared" si="310"/>
        <v>2.0360370670673285</v>
      </c>
      <c r="N1680" s="17">
        <f>VLOOKUP(K1680,RPM!$A$2:$D$62,3,FALSE)</f>
        <v>11.4</v>
      </c>
      <c r="O1680" s="16">
        <f>VLOOKUP(K1680,RPM!$A$2:$D$62,4,FALSE)</f>
        <v>18.894837209302327</v>
      </c>
      <c r="P1680" s="17">
        <f t="shared" si="312"/>
        <v>14.089880106976747</v>
      </c>
      <c r="Q1680" s="16" cm="1">
        <f t="array" ref="Q1680">_xlfn.XLOOKUP(O1680,BSFC!$A$2:$A$24,_xlfn.XLOOKUP(K1680,BSFC!$B$1:$O$1,BSFC!$B$2:$O$24,,-1),,-1)</f>
        <v>480</v>
      </c>
      <c r="R1680" s="17">
        <f t="shared" si="313"/>
        <v>1.8786506809302328</v>
      </c>
      <c r="S1680" s="16">
        <f t="shared" si="314"/>
        <v>2.9183485335175871E-4</v>
      </c>
      <c r="T1680" s="17">
        <f t="shared" si="317"/>
        <v>0.14008072960884418</v>
      </c>
      <c r="U1680" s="16">
        <f t="shared" si="318"/>
        <v>211.12767266716023</v>
      </c>
      <c r="V1680" s="17">
        <f t="shared" si="319"/>
        <v>0.43070770994841279</v>
      </c>
      <c r="W1680" s="16">
        <f t="shared" si="315"/>
        <v>1550547.7558142862</v>
      </c>
      <c r="X1680">
        <f>('Hybrid Info'!$A$2-Track!P1680)*(L1680-L1679)*1000+X1679</f>
        <v>13610.519051005407</v>
      </c>
    </row>
    <row r="1681" spans="1:24">
      <c r="A1681" s="16">
        <f t="shared" si="316"/>
        <v>1680</v>
      </c>
      <c r="B1681" s="17">
        <f t="shared" si="311"/>
        <v>13.411199999999999</v>
      </c>
      <c r="C1681" s="16">
        <f>Specification!$G$30</f>
        <v>109.96225200000001</v>
      </c>
      <c r="D1681" s="17">
        <f>0.5*Specification!$K$4*Track!B1681^2*Specification!$K$3*Specification!$K$2</f>
        <v>93.159842569492653</v>
      </c>
      <c r="E1681" s="16">
        <v>-8</v>
      </c>
      <c r="F1681" s="17">
        <f>Specification!$C$23*9.81*SIN((E1681*PI()/180))</f>
        <v>-765.1893799696079</v>
      </c>
      <c r="G1681" s="18">
        <f>IF(J1681=1,VLOOKUP(K1681,RPM!$E$2:$H$62,3,FALSE)-F1681-E1681-D1681,IF(J1681=2,VLOOKUP(K1681,RPM!$H$2:$K$62,3,FALSE)-F1681-E1681-D1681,IF(J1681=3,VLOOKUP(K1681,RPM!$K$2:$N$62,3,FALSE)-F1681-E1681-D1681)))</f>
        <v>1322.7515590078795</v>
      </c>
      <c r="H1681" s="19">
        <f>IF(J1681=1,Specification!$I$14,IF(J1681=2,Specification!$I$15,IF(J1681=3,Specification!$I$16)))</f>
        <v>578.93404261974786</v>
      </c>
      <c r="I1681" s="16">
        <f t="shared" si="309"/>
        <v>0</v>
      </c>
      <c r="J1681" s="17">
        <v>3</v>
      </c>
      <c r="K1681" s="16">
        <f>IF(J1681=1,VLOOKUP(B1681,RPM!$F$2:$H$62,3,TRUE),IF(J1681=2,VLOOKUP(B1681,RPM!$I$2:$K$62,3,TRUE),IF(J1681=3,VLOOKUP(B1681,RPM!$L$2:$N$62,3,TRUE))))</f>
        <v>4300</v>
      </c>
      <c r="L1681" s="17">
        <f t="shared" si="320"/>
        <v>129.5437727335231</v>
      </c>
      <c r="M1681" s="16">
        <f t="shared" si="310"/>
        <v>1.8954962323649369</v>
      </c>
      <c r="N1681" s="17">
        <f>VLOOKUP(K1681,RPM!$A$2:$D$62,3,FALSE)</f>
        <v>11.4</v>
      </c>
      <c r="O1681" s="16">
        <f>VLOOKUP(K1681,RPM!$A$2:$D$62,4,FALSE)</f>
        <v>18.894837209302327</v>
      </c>
      <c r="P1681" s="17">
        <f t="shared" si="312"/>
        <v>14.089880106976747</v>
      </c>
      <c r="Q1681" s="16" cm="1">
        <f t="array" ref="Q1681">_xlfn.XLOOKUP(O1681,BSFC!$A$2:$A$24,_xlfn.XLOOKUP(K1681,BSFC!$B$1:$O$1,BSFC!$B$2:$O$24,,-1),,-1)</f>
        <v>480</v>
      </c>
      <c r="R1681" s="17">
        <f t="shared" si="313"/>
        <v>1.8786506809302328</v>
      </c>
      <c r="S1681" s="16">
        <f t="shared" si="314"/>
        <v>2.9183485335175871E-4</v>
      </c>
      <c r="T1681" s="17">
        <f t="shared" si="317"/>
        <v>0.14008072960884418</v>
      </c>
      <c r="U1681" s="16">
        <f t="shared" si="318"/>
        <v>211.26775339676908</v>
      </c>
      <c r="V1681" s="17">
        <f t="shared" si="319"/>
        <v>0.43099954480176456</v>
      </c>
      <c r="W1681" s="16">
        <f t="shared" si="315"/>
        <v>1551598.3612863524</v>
      </c>
      <c r="X1681">
        <f>('Hybrid Info'!$A$2-Track!P1681)*(L1681-L1680)*1000+X1680</f>
        <v>13463.669737656004</v>
      </c>
    </row>
    <row r="1682" spans="1:24">
      <c r="A1682" s="16">
        <f t="shared" si="316"/>
        <v>1681</v>
      </c>
      <c r="B1682" s="17">
        <f t="shared" si="311"/>
        <v>13.411199999999999</v>
      </c>
      <c r="C1682" s="16">
        <f>Specification!$G$30</f>
        <v>109.96225200000001</v>
      </c>
      <c r="D1682" s="17">
        <f>0.5*Specification!$K$4*Track!B1682^2*Specification!$K$3*Specification!$K$2</f>
        <v>93.159842569492653</v>
      </c>
      <c r="E1682" s="16">
        <v>-8</v>
      </c>
      <c r="F1682" s="17">
        <f>Specification!$C$23*9.81*SIN((E1682*PI()/180))</f>
        <v>-765.1893799696079</v>
      </c>
      <c r="G1682" s="18">
        <f>IF(J1682=1,VLOOKUP(K1682,RPM!$E$2:$H$62,3,FALSE)-F1682-E1682-D1682,IF(J1682=2,VLOOKUP(K1682,RPM!$H$2:$K$62,3,FALSE)-F1682-E1682-D1682,IF(J1682=3,VLOOKUP(K1682,RPM!$K$2:$N$62,3,FALSE)-F1682-E1682-D1682)))</f>
        <v>1322.7515590078795</v>
      </c>
      <c r="H1682" s="19">
        <f>IF(J1682=1,Specification!$I$14,IF(J1682=2,Specification!$I$15,IF(J1682=3,Specification!$I$16)))</f>
        <v>578.93404261974786</v>
      </c>
      <c r="I1682" s="16">
        <f t="shared" si="309"/>
        <v>0</v>
      </c>
      <c r="J1682" s="17">
        <v>3</v>
      </c>
      <c r="K1682" s="16">
        <f>IF(J1682=1,VLOOKUP(B1682,RPM!$F$2:$H$62,3,TRUE),IF(J1682=2,VLOOKUP(B1682,RPM!$I$2:$K$62,3,TRUE),IF(J1682=3,VLOOKUP(B1682,RPM!$L$2:$N$62,3,TRUE))))</f>
        <v>4300</v>
      </c>
      <c r="L1682" s="17">
        <f t="shared" si="320"/>
        <v>129.61833727659157</v>
      </c>
      <c r="M1682" s="16">
        <f t="shared" si="310"/>
        <v>1.7549553976625454</v>
      </c>
      <c r="N1682" s="17">
        <f>VLOOKUP(K1682,RPM!$A$2:$D$62,3,FALSE)</f>
        <v>11.4</v>
      </c>
      <c r="O1682" s="16">
        <f>VLOOKUP(K1682,RPM!$A$2:$D$62,4,FALSE)</f>
        <v>18.894837209302327</v>
      </c>
      <c r="P1682" s="17">
        <f t="shared" si="312"/>
        <v>14.089880106976747</v>
      </c>
      <c r="Q1682" s="16" cm="1">
        <f t="array" ref="Q1682">_xlfn.XLOOKUP(O1682,BSFC!$A$2:$A$24,_xlfn.XLOOKUP(K1682,BSFC!$B$1:$O$1,BSFC!$B$2:$O$24,,-1),,-1)</f>
        <v>480</v>
      </c>
      <c r="R1682" s="17">
        <f t="shared" si="313"/>
        <v>1.8786506809302328</v>
      </c>
      <c r="S1682" s="16">
        <f t="shared" si="314"/>
        <v>2.9183485335175871E-4</v>
      </c>
      <c r="T1682" s="17">
        <f t="shared" si="317"/>
        <v>0.14008072960884418</v>
      </c>
      <c r="U1682" s="16">
        <f t="shared" si="318"/>
        <v>211.40783412637794</v>
      </c>
      <c r="V1682" s="17">
        <f t="shared" si="319"/>
        <v>0.43129137965511632</v>
      </c>
      <c r="W1682" s="16">
        <f t="shared" si="315"/>
        <v>1552648.9667584188</v>
      </c>
      <c r="X1682">
        <f>('Hybrid Info'!$A$2-Track!P1682)*(L1682-L1681)*1000+X1681</f>
        <v>13316.820424306601</v>
      </c>
    </row>
    <row r="1683" spans="1:24">
      <c r="A1683" s="16">
        <f t="shared" si="316"/>
        <v>1682</v>
      </c>
      <c r="B1683" s="17">
        <f t="shared" si="311"/>
        <v>13.411199999999999</v>
      </c>
      <c r="C1683" s="16">
        <f>Specification!$G$30</f>
        <v>109.96225200000001</v>
      </c>
      <c r="D1683" s="17">
        <f>0.5*Specification!$K$4*Track!B1683^2*Specification!$K$3*Specification!$K$2</f>
        <v>93.159842569492653</v>
      </c>
      <c r="E1683" s="16">
        <v>-8</v>
      </c>
      <c r="F1683" s="17">
        <f>Specification!$C$23*9.81*SIN((E1683*PI()/180))</f>
        <v>-765.1893799696079</v>
      </c>
      <c r="G1683" s="18">
        <f>IF(J1683=1,VLOOKUP(K1683,RPM!$E$2:$H$62,3,FALSE)-F1683-E1683-D1683,IF(J1683=2,VLOOKUP(K1683,RPM!$H$2:$K$62,3,FALSE)-F1683-E1683-D1683,IF(J1683=3,VLOOKUP(K1683,RPM!$K$2:$N$62,3,FALSE)-F1683-E1683-D1683)))</f>
        <v>1322.7515590078795</v>
      </c>
      <c r="H1683" s="19">
        <f>IF(J1683=1,Specification!$I$14,IF(J1683=2,Specification!$I$15,IF(J1683=3,Specification!$I$16)))</f>
        <v>578.93404261974786</v>
      </c>
      <c r="I1683" s="16">
        <f t="shared" si="309"/>
        <v>0</v>
      </c>
      <c r="J1683" s="17">
        <v>3</v>
      </c>
      <c r="K1683" s="16">
        <f>IF(J1683=1,VLOOKUP(B1683,RPM!$F$2:$H$62,3,TRUE),IF(J1683=2,VLOOKUP(B1683,RPM!$I$2:$K$62,3,TRUE),IF(J1683=3,VLOOKUP(B1683,RPM!$L$2:$N$62,3,TRUE))))</f>
        <v>4300</v>
      </c>
      <c r="L1683" s="17">
        <f t="shared" si="320"/>
        <v>129.69290181966005</v>
      </c>
      <c r="M1683" s="16">
        <f t="shared" si="310"/>
        <v>1.6144145629601538</v>
      </c>
      <c r="N1683" s="17">
        <f>VLOOKUP(K1683,RPM!$A$2:$D$62,3,FALSE)</f>
        <v>11.4</v>
      </c>
      <c r="O1683" s="16">
        <f>VLOOKUP(K1683,RPM!$A$2:$D$62,4,FALSE)</f>
        <v>18.894837209302327</v>
      </c>
      <c r="P1683" s="17">
        <f t="shared" si="312"/>
        <v>14.089880106976747</v>
      </c>
      <c r="Q1683" s="16" cm="1">
        <f t="array" ref="Q1683">_xlfn.XLOOKUP(O1683,BSFC!$A$2:$A$24,_xlfn.XLOOKUP(K1683,BSFC!$B$1:$O$1,BSFC!$B$2:$O$24,,-1),,-1)</f>
        <v>480</v>
      </c>
      <c r="R1683" s="17">
        <f t="shared" si="313"/>
        <v>1.8786506809302328</v>
      </c>
      <c r="S1683" s="16">
        <f t="shared" si="314"/>
        <v>2.9183485335175871E-4</v>
      </c>
      <c r="T1683" s="17">
        <f t="shared" si="317"/>
        <v>0.14008072960884418</v>
      </c>
      <c r="U1683" s="16">
        <f t="shared" si="318"/>
        <v>211.54791485598679</v>
      </c>
      <c r="V1683" s="17">
        <f t="shared" si="319"/>
        <v>0.43158321450846809</v>
      </c>
      <c r="W1683" s="16">
        <f t="shared" si="315"/>
        <v>1553699.572230485</v>
      </c>
      <c r="X1683">
        <f>('Hybrid Info'!$A$2-Track!P1683)*(L1683-L1682)*1000+X1682</f>
        <v>13169.971110957198</v>
      </c>
    </row>
    <row r="1684" spans="1:24">
      <c r="A1684" s="16">
        <f t="shared" si="316"/>
        <v>1683</v>
      </c>
      <c r="B1684" s="17">
        <f t="shared" si="311"/>
        <v>13.411199999999999</v>
      </c>
      <c r="C1684" s="16">
        <f>Specification!$G$30</f>
        <v>109.96225200000001</v>
      </c>
      <c r="D1684" s="17">
        <f>0.5*Specification!$K$4*Track!B1684^2*Specification!$K$3*Specification!$K$2</f>
        <v>93.159842569492653</v>
      </c>
      <c r="E1684" s="16">
        <v>-8</v>
      </c>
      <c r="F1684" s="17">
        <f>Specification!$C$23*9.81*SIN((E1684*PI()/180))</f>
        <v>-765.1893799696079</v>
      </c>
      <c r="G1684" s="18">
        <f>IF(J1684=1,VLOOKUP(K1684,RPM!$E$2:$H$62,3,FALSE)-F1684-E1684-D1684,IF(J1684=2,VLOOKUP(K1684,RPM!$H$2:$K$62,3,FALSE)-F1684-E1684-D1684,IF(J1684=3,VLOOKUP(K1684,RPM!$K$2:$N$62,3,FALSE)-F1684-E1684-D1684)))</f>
        <v>1322.7515590078795</v>
      </c>
      <c r="H1684" s="19">
        <f>IF(J1684=1,Specification!$I$14,IF(J1684=2,Specification!$I$15,IF(J1684=3,Specification!$I$16)))</f>
        <v>578.93404261974786</v>
      </c>
      <c r="I1684" s="16">
        <f t="shared" si="309"/>
        <v>0</v>
      </c>
      <c r="J1684" s="17">
        <v>3</v>
      </c>
      <c r="K1684" s="16">
        <f>IF(J1684=1,VLOOKUP(B1684,RPM!$F$2:$H$62,3,TRUE),IF(J1684=2,VLOOKUP(B1684,RPM!$I$2:$K$62,3,TRUE),IF(J1684=3,VLOOKUP(B1684,RPM!$L$2:$N$62,3,TRUE))))</f>
        <v>4300</v>
      </c>
      <c r="L1684" s="17">
        <f t="shared" si="320"/>
        <v>129.76746636272853</v>
      </c>
      <c r="M1684" s="16">
        <f t="shared" si="310"/>
        <v>1.4738737282577623</v>
      </c>
      <c r="N1684" s="17">
        <f>VLOOKUP(K1684,RPM!$A$2:$D$62,3,FALSE)</f>
        <v>11.4</v>
      </c>
      <c r="O1684" s="16">
        <f>VLOOKUP(K1684,RPM!$A$2:$D$62,4,FALSE)</f>
        <v>18.894837209302327</v>
      </c>
      <c r="P1684" s="17">
        <f t="shared" si="312"/>
        <v>14.089880106976747</v>
      </c>
      <c r="Q1684" s="16" cm="1">
        <f t="array" ref="Q1684">_xlfn.XLOOKUP(O1684,BSFC!$A$2:$A$24,_xlfn.XLOOKUP(K1684,BSFC!$B$1:$O$1,BSFC!$B$2:$O$24,,-1),,-1)</f>
        <v>480</v>
      </c>
      <c r="R1684" s="17">
        <f t="shared" si="313"/>
        <v>1.8786506809302328</v>
      </c>
      <c r="S1684" s="16">
        <f t="shared" si="314"/>
        <v>2.9183485335175871E-4</v>
      </c>
      <c r="T1684" s="17">
        <f t="shared" si="317"/>
        <v>0.14008072960884418</v>
      </c>
      <c r="U1684" s="16">
        <f t="shared" si="318"/>
        <v>211.68799558559564</v>
      </c>
      <c r="V1684" s="17">
        <f t="shared" si="319"/>
        <v>0.43187504936181986</v>
      </c>
      <c r="W1684" s="16">
        <f t="shared" si="315"/>
        <v>1554750.1777025517</v>
      </c>
      <c r="X1684">
        <f>('Hybrid Info'!$A$2-Track!P1684)*(L1684-L1683)*1000+X1683</f>
        <v>13023.121797607795</v>
      </c>
    </row>
    <row r="1685" spans="1:24">
      <c r="A1685" s="16">
        <f t="shared" si="316"/>
        <v>1684</v>
      </c>
      <c r="B1685" s="17">
        <f t="shared" si="311"/>
        <v>13.411199999999999</v>
      </c>
      <c r="C1685" s="16">
        <f>Specification!$G$30</f>
        <v>109.96225200000001</v>
      </c>
      <c r="D1685" s="17">
        <f>0.5*Specification!$K$4*Track!B1685^2*Specification!$K$3*Specification!$K$2</f>
        <v>93.159842569492653</v>
      </c>
      <c r="E1685" s="16">
        <v>-8</v>
      </c>
      <c r="F1685" s="17">
        <f>Specification!$C$23*9.81*SIN((E1685*PI()/180))</f>
        <v>-765.1893799696079</v>
      </c>
      <c r="G1685" s="18">
        <f>IF(J1685=1,VLOOKUP(K1685,RPM!$E$2:$H$62,3,FALSE)-F1685-E1685-D1685,IF(J1685=2,VLOOKUP(K1685,RPM!$H$2:$K$62,3,FALSE)-F1685-E1685-D1685,IF(J1685=3,VLOOKUP(K1685,RPM!$K$2:$N$62,3,FALSE)-F1685-E1685-D1685)))</f>
        <v>1322.7515590078795</v>
      </c>
      <c r="H1685" s="19">
        <f>IF(J1685=1,Specification!$I$14,IF(J1685=2,Specification!$I$15,IF(J1685=3,Specification!$I$16)))</f>
        <v>578.93404261974786</v>
      </c>
      <c r="I1685" s="16">
        <f t="shared" si="309"/>
        <v>0</v>
      </c>
      <c r="J1685" s="17">
        <v>3</v>
      </c>
      <c r="K1685" s="16">
        <f>IF(J1685=1,VLOOKUP(B1685,RPM!$F$2:$H$62,3,TRUE),IF(J1685=2,VLOOKUP(B1685,RPM!$I$2:$K$62,3,TRUE),IF(J1685=3,VLOOKUP(B1685,RPM!$L$2:$N$62,3,TRUE))))</f>
        <v>4300</v>
      </c>
      <c r="L1685" s="17">
        <f t="shared" si="320"/>
        <v>129.842030905797</v>
      </c>
      <c r="M1685" s="16">
        <f t="shared" si="310"/>
        <v>1.3333328935553708</v>
      </c>
      <c r="N1685" s="17">
        <f>VLOOKUP(K1685,RPM!$A$2:$D$62,3,FALSE)</f>
        <v>11.4</v>
      </c>
      <c r="O1685" s="16">
        <f>VLOOKUP(K1685,RPM!$A$2:$D$62,4,FALSE)</f>
        <v>18.894837209302327</v>
      </c>
      <c r="P1685" s="17">
        <f t="shared" si="312"/>
        <v>14.089880106976747</v>
      </c>
      <c r="Q1685" s="16" cm="1">
        <f t="array" ref="Q1685">_xlfn.XLOOKUP(O1685,BSFC!$A$2:$A$24,_xlfn.XLOOKUP(K1685,BSFC!$B$1:$O$1,BSFC!$B$2:$O$24,,-1),,-1)</f>
        <v>480</v>
      </c>
      <c r="R1685" s="17">
        <f t="shared" si="313"/>
        <v>1.8786506809302328</v>
      </c>
      <c r="S1685" s="16">
        <f t="shared" si="314"/>
        <v>2.9183485335175871E-4</v>
      </c>
      <c r="T1685" s="17">
        <f t="shared" si="317"/>
        <v>0.14008072960884418</v>
      </c>
      <c r="U1685" s="16">
        <f t="shared" si="318"/>
        <v>211.8280763152045</v>
      </c>
      <c r="V1685" s="17">
        <f t="shared" si="319"/>
        <v>0.43216688421517163</v>
      </c>
      <c r="W1685" s="16">
        <f t="shared" si="315"/>
        <v>1555800.7831746179</v>
      </c>
      <c r="X1685">
        <f>('Hybrid Info'!$A$2-Track!P1685)*(L1685-L1684)*1000+X1684</f>
        <v>12876.272484258392</v>
      </c>
    </row>
    <row r="1686" spans="1:24">
      <c r="A1686" s="16">
        <f t="shared" si="316"/>
        <v>1685</v>
      </c>
      <c r="B1686" s="17">
        <f t="shared" si="311"/>
        <v>13.411199999999999</v>
      </c>
      <c r="C1686" s="16">
        <f>Specification!$G$30</f>
        <v>109.96225200000001</v>
      </c>
      <c r="D1686" s="17">
        <f>0.5*Specification!$K$4*Track!B1686^2*Specification!$K$3*Specification!$K$2</f>
        <v>93.159842569492653</v>
      </c>
      <c r="E1686" s="16">
        <v>-8</v>
      </c>
      <c r="F1686" s="17">
        <f>Specification!$C$23*9.81*SIN((E1686*PI()/180))</f>
        <v>-765.1893799696079</v>
      </c>
      <c r="G1686" s="18">
        <f>IF(J1686=1,VLOOKUP(K1686,RPM!$E$2:$H$62,3,FALSE)-F1686-E1686-D1686,IF(J1686=2,VLOOKUP(K1686,RPM!$H$2:$K$62,3,FALSE)-F1686-E1686-D1686,IF(J1686=3,VLOOKUP(K1686,RPM!$K$2:$N$62,3,FALSE)-F1686-E1686-D1686)))</f>
        <v>1322.7515590078795</v>
      </c>
      <c r="H1686" s="19">
        <f>IF(J1686=1,Specification!$I$14,IF(J1686=2,Specification!$I$15,IF(J1686=3,Specification!$I$16)))</f>
        <v>578.93404261974786</v>
      </c>
      <c r="I1686" s="16">
        <f t="shared" si="309"/>
        <v>0</v>
      </c>
      <c r="J1686" s="17">
        <v>3</v>
      </c>
      <c r="K1686" s="16">
        <f>IF(J1686=1,VLOOKUP(B1686,RPM!$F$2:$H$62,3,TRUE),IF(J1686=2,VLOOKUP(B1686,RPM!$I$2:$K$62,3,TRUE),IF(J1686=3,VLOOKUP(B1686,RPM!$L$2:$N$62,3,TRUE))))</f>
        <v>4300</v>
      </c>
      <c r="L1686" s="17">
        <f t="shared" si="320"/>
        <v>129.91659544886548</v>
      </c>
      <c r="M1686" s="16">
        <f t="shared" si="310"/>
        <v>1.1927920588529792</v>
      </c>
      <c r="N1686" s="17">
        <f>VLOOKUP(K1686,RPM!$A$2:$D$62,3,FALSE)</f>
        <v>11.4</v>
      </c>
      <c r="O1686" s="16">
        <f>VLOOKUP(K1686,RPM!$A$2:$D$62,4,FALSE)</f>
        <v>18.894837209302327</v>
      </c>
      <c r="P1686" s="17">
        <f t="shared" si="312"/>
        <v>14.089880106976747</v>
      </c>
      <c r="Q1686" s="16" cm="1">
        <f t="array" ref="Q1686">_xlfn.XLOOKUP(O1686,BSFC!$A$2:$A$24,_xlfn.XLOOKUP(K1686,BSFC!$B$1:$O$1,BSFC!$B$2:$O$24,,-1),,-1)</f>
        <v>480</v>
      </c>
      <c r="R1686" s="17">
        <f t="shared" si="313"/>
        <v>1.8786506809302328</v>
      </c>
      <c r="S1686" s="16">
        <f t="shared" si="314"/>
        <v>2.9183485335175871E-4</v>
      </c>
      <c r="T1686" s="17">
        <f t="shared" si="317"/>
        <v>0.14008072960884418</v>
      </c>
      <c r="U1686" s="16">
        <f t="shared" si="318"/>
        <v>211.96815704481335</v>
      </c>
      <c r="V1686" s="17">
        <f t="shared" si="319"/>
        <v>0.4324587190685234</v>
      </c>
      <c r="W1686" s="16">
        <f t="shared" si="315"/>
        <v>1556851.3886466844</v>
      </c>
      <c r="X1686">
        <f>('Hybrid Info'!$A$2-Track!P1686)*(L1686-L1685)*1000+X1685</f>
        <v>12729.423170908989</v>
      </c>
    </row>
    <row r="1687" spans="1:24">
      <c r="A1687" s="16">
        <f t="shared" si="316"/>
        <v>1686</v>
      </c>
      <c r="B1687" s="17">
        <f t="shared" si="311"/>
        <v>13.411199999999999</v>
      </c>
      <c r="C1687" s="16">
        <f>Specification!$G$30</f>
        <v>109.96225200000001</v>
      </c>
      <c r="D1687" s="17">
        <f>0.5*Specification!$K$4*Track!B1687^2*Specification!$K$3*Specification!$K$2</f>
        <v>93.159842569492653</v>
      </c>
      <c r="E1687" s="16">
        <v>-8</v>
      </c>
      <c r="F1687" s="17">
        <f>Specification!$C$23*9.81*SIN((E1687*PI()/180))</f>
        <v>-765.1893799696079</v>
      </c>
      <c r="G1687" s="18">
        <f>IF(J1687=1,VLOOKUP(K1687,RPM!$E$2:$H$62,3,FALSE)-F1687-E1687-D1687,IF(J1687=2,VLOOKUP(K1687,RPM!$H$2:$K$62,3,FALSE)-F1687-E1687-D1687,IF(J1687=3,VLOOKUP(K1687,RPM!$K$2:$N$62,3,FALSE)-F1687-E1687-D1687)))</f>
        <v>1322.7515590078795</v>
      </c>
      <c r="H1687" s="19">
        <f>IF(J1687=1,Specification!$I$14,IF(J1687=2,Specification!$I$15,IF(J1687=3,Specification!$I$16)))</f>
        <v>578.93404261974786</v>
      </c>
      <c r="I1687" s="16">
        <f t="shared" si="309"/>
        <v>0</v>
      </c>
      <c r="J1687" s="17">
        <v>3</v>
      </c>
      <c r="K1687" s="16">
        <f>IF(J1687=1,VLOOKUP(B1687,RPM!$F$2:$H$62,3,TRUE),IF(J1687=2,VLOOKUP(B1687,RPM!$I$2:$K$62,3,TRUE),IF(J1687=3,VLOOKUP(B1687,RPM!$L$2:$N$62,3,TRUE))))</f>
        <v>4300</v>
      </c>
      <c r="L1687" s="17">
        <f t="shared" si="320"/>
        <v>129.99115999193396</v>
      </c>
      <c r="M1687" s="16">
        <f t="shared" si="310"/>
        <v>1.0522512241505877</v>
      </c>
      <c r="N1687" s="17">
        <f>VLOOKUP(K1687,RPM!$A$2:$D$62,3,FALSE)</f>
        <v>11.4</v>
      </c>
      <c r="O1687" s="16">
        <f>VLOOKUP(K1687,RPM!$A$2:$D$62,4,FALSE)</f>
        <v>18.894837209302327</v>
      </c>
      <c r="P1687" s="17">
        <f t="shared" si="312"/>
        <v>14.089880106976747</v>
      </c>
      <c r="Q1687" s="16" cm="1">
        <f t="array" ref="Q1687">_xlfn.XLOOKUP(O1687,BSFC!$A$2:$A$24,_xlfn.XLOOKUP(K1687,BSFC!$B$1:$O$1,BSFC!$B$2:$O$24,,-1),,-1)</f>
        <v>480</v>
      </c>
      <c r="R1687" s="17">
        <f t="shared" si="313"/>
        <v>1.8786506809302328</v>
      </c>
      <c r="S1687" s="16">
        <f t="shared" si="314"/>
        <v>2.9183485335175871E-4</v>
      </c>
      <c r="T1687" s="17">
        <f t="shared" si="317"/>
        <v>0.14008072960884418</v>
      </c>
      <c r="U1687" s="16">
        <f t="shared" si="318"/>
        <v>212.10823777442221</v>
      </c>
      <c r="V1687" s="17">
        <f t="shared" si="319"/>
        <v>0.43275055392187517</v>
      </c>
      <c r="W1687" s="16">
        <f t="shared" si="315"/>
        <v>1557901.9941187506</v>
      </c>
      <c r="X1687">
        <f>('Hybrid Info'!$A$2-Track!P1687)*(L1687-L1686)*1000+X1686</f>
        <v>12582.573857559586</v>
      </c>
    </row>
    <row r="1688" spans="1:24">
      <c r="A1688" s="16">
        <f t="shared" si="316"/>
        <v>1687</v>
      </c>
      <c r="B1688" s="17">
        <f t="shared" si="311"/>
        <v>13.411199999999999</v>
      </c>
      <c r="C1688" s="16">
        <f>Specification!$G$30</f>
        <v>109.96225200000001</v>
      </c>
      <c r="D1688" s="17">
        <f>0.5*Specification!$K$4*Track!B1688^2*Specification!$K$3*Specification!$K$2</f>
        <v>93.159842569492653</v>
      </c>
      <c r="E1688" s="16">
        <v>-8</v>
      </c>
      <c r="F1688" s="17">
        <f>Specification!$C$23*9.81*SIN((E1688*PI()/180))</f>
        <v>-765.1893799696079</v>
      </c>
      <c r="G1688" s="18">
        <f>IF(J1688=1,VLOOKUP(K1688,RPM!$E$2:$H$62,3,FALSE)-F1688-E1688-D1688,IF(J1688=2,VLOOKUP(K1688,RPM!$H$2:$K$62,3,FALSE)-F1688-E1688-D1688,IF(J1688=3,VLOOKUP(K1688,RPM!$K$2:$N$62,3,FALSE)-F1688-E1688-D1688)))</f>
        <v>1322.7515590078795</v>
      </c>
      <c r="H1688" s="19">
        <f>IF(J1688=1,Specification!$I$14,IF(J1688=2,Specification!$I$15,IF(J1688=3,Specification!$I$16)))</f>
        <v>578.93404261974786</v>
      </c>
      <c r="I1688" s="16">
        <f t="shared" si="309"/>
        <v>0</v>
      </c>
      <c r="J1688" s="17">
        <v>3</v>
      </c>
      <c r="K1688" s="16">
        <f>IF(J1688=1,VLOOKUP(B1688,RPM!$F$2:$H$62,3,TRUE),IF(J1688=2,VLOOKUP(B1688,RPM!$I$2:$K$62,3,TRUE),IF(J1688=3,VLOOKUP(B1688,RPM!$L$2:$N$62,3,TRUE))))</f>
        <v>4300</v>
      </c>
      <c r="L1688" s="17">
        <f t="shared" si="320"/>
        <v>130.06572453500243</v>
      </c>
      <c r="M1688" s="16">
        <f t="shared" si="310"/>
        <v>0.91171038944819627</v>
      </c>
      <c r="N1688" s="17">
        <f>VLOOKUP(K1688,RPM!$A$2:$D$62,3,FALSE)</f>
        <v>11.4</v>
      </c>
      <c r="O1688" s="16">
        <f>VLOOKUP(K1688,RPM!$A$2:$D$62,4,FALSE)</f>
        <v>18.894837209302327</v>
      </c>
      <c r="P1688" s="17">
        <f t="shared" si="312"/>
        <v>14.089880106976747</v>
      </c>
      <c r="Q1688" s="16" cm="1">
        <f t="array" ref="Q1688">_xlfn.XLOOKUP(O1688,BSFC!$A$2:$A$24,_xlfn.XLOOKUP(K1688,BSFC!$B$1:$O$1,BSFC!$B$2:$O$24,,-1),,-1)</f>
        <v>480</v>
      </c>
      <c r="R1688" s="17">
        <f t="shared" si="313"/>
        <v>1.8786506809302328</v>
      </c>
      <c r="S1688" s="16">
        <f t="shared" si="314"/>
        <v>2.9183485335175871E-4</v>
      </c>
      <c r="T1688" s="17">
        <f t="shared" si="317"/>
        <v>0.14008072960884418</v>
      </c>
      <c r="U1688" s="16">
        <f t="shared" si="318"/>
        <v>212.24831850403106</v>
      </c>
      <c r="V1688" s="17">
        <f t="shared" si="319"/>
        <v>0.43304238877522694</v>
      </c>
      <c r="W1688" s="16">
        <f t="shared" si="315"/>
        <v>1558952.599590817</v>
      </c>
      <c r="X1688">
        <f>('Hybrid Info'!$A$2-Track!P1688)*(L1688-L1687)*1000+X1687</f>
        <v>12435.724544210183</v>
      </c>
    </row>
    <row r="1689" spans="1:24">
      <c r="A1689" s="16">
        <f t="shared" si="316"/>
        <v>1688</v>
      </c>
      <c r="B1689" s="17">
        <f t="shared" si="311"/>
        <v>13.411199999999999</v>
      </c>
      <c r="C1689" s="16">
        <f>Specification!$G$30</f>
        <v>109.96225200000001</v>
      </c>
      <c r="D1689" s="17">
        <f>0.5*Specification!$K$4*Track!B1689^2*Specification!$K$3*Specification!$K$2</f>
        <v>93.159842569492653</v>
      </c>
      <c r="E1689" s="16">
        <v>-8</v>
      </c>
      <c r="F1689" s="17">
        <f>Specification!$C$23*9.81*SIN((E1689*PI()/180))</f>
        <v>-765.1893799696079</v>
      </c>
      <c r="G1689" s="18">
        <f>IF(J1689=1,VLOOKUP(K1689,RPM!$E$2:$H$62,3,FALSE)-F1689-E1689-D1689,IF(J1689=2,VLOOKUP(K1689,RPM!$H$2:$K$62,3,FALSE)-F1689-E1689-D1689,IF(J1689=3,VLOOKUP(K1689,RPM!$K$2:$N$62,3,FALSE)-F1689-E1689-D1689)))</f>
        <v>1322.7515590078795</v>
      </c>
      <c r="H1689" s="19">
        <f>IF(J1689=1,Specification!$I$14,IF(J1689=2,Specification!$I$15,IF(J1689=3,Specification!$I$16)))</f>
        <v>578.93404261974786</v>
      </c>
      <c r="I1689" s="16">
        <f t="shared" si="309"/>
        <v>0</v>
      </c>
      <c r="J1689" s="17">
        <v>3</v>
      </c>
      <c r="K1689" s="16">
        <f>IF(J1689=1,VLOOKUP(B1689,RPM!$F$2:$H$62,3,TRUE),IF(J1689=2,VLOOKUP(B1689,RPM!$I$2:$K$62,3,TRUE),IF(J1689=3,VLOOKUP(B1689,RPM!$L$2:$N$62,3,TRUE))))</f>
        <v>4300</v>
      </c>
      <c r="L1689" s="17">
        <f t="shared" si="320"/>
        <v>130.14028907807091</v>
      </c>
      <c r="M1689" s="16">
        <f t="shared" si="310"/>
        <v>0.77116955474580484</v>
      </c>
      <c r="N1689" s="17">
        <f>VLOOKUP(K1689,RPM!$A$2:$D$62,3,FALSE)</f>
        <v>11.4</v>
      </c>
      <c r="O1689" s="16">
        <f>VLOOKUP(K1689,RPM!$A$2:$D$62,4,FALSE)</f>
        <v>18.894837209302327</v>
      </c>
      <c r="P1689" s="17">
        <f t="shared" si="312"/>
        <v>14.089880106976747</v>
      </c>
      <c r="Q1689" s="16" cm="1">
        <f t="array" ref="Q1689">_xlfn.XLOOKUP(O1689,BSFC!$A$2:$A$24,_xlfn.XLOOKUP(K1689,BSFC!$B$1:$O$1,BSFC!$B$2:$O$24,,-1),,-1)</f>
        <v>480</v>
      </c>
      <c r="R1689" s="17">
        <f t="shared" si="313"/>
        <v>1.8786506809302328</v>
      </c>
      <c r="S1689" s="16">
        <f t="shared" si="314"/>
        <v>2.9183485335175871E-4</v>
      </c>
      <c r="T1689" s="17">
        <f t="shared" si="317"/>
        <v>0.14008072960884418</v>
      </c>
      <c r="U1689" s="16">
        <f t="shared" si="318"/>
        <v>212.38839923363992</v>
      </c>
      <c r="V1689" s="17">
        <f t="shared" si="319"/>
        <v>0.43333422362857871</v>
      </c>
      <c r="W1689" s="16">
        <f t="shared" si="315"/>
        <v>1560003.2050628832</v>
      </c>
      <c r="X1689">
        <f>('Hybrid Info'!$A$2-Track!P1689)*(L1689-L1688)*1000+X1688</f>
        <v>12288.87523086078</v>
      </c>
    </row>
    <row r="1690" spans="1:24">
      <c r="A1690" s="16">
        <f t="shared" si="316"/>
        <v>1689</v>
      </c>
      <c r="B1690" s="17">
        <f t="shared" si="311"/>
        <v>13.411199999999999</v>
      </c>
      <c r="C1690" s="16">
        <f>Specification!$G$30</f>
        <v>109.96225200000001</v>
      </c>
      <c r="D1690" s="17">
        <f>0.5*Specification!$K$4*Track!B1690^2*Specification!$K$3*Specification!$K$2</f>
        <v>93.159842569492653</v>
      </c>
      <c r="E1690" s="16">
        <v>-8</v>
      </c>
      <c r="F1690" s="17">
        <f>Specification!$C$23*9.81*SIN((E1690*PI()/180))</f>
        <v>-765.1893799696079</v>
      </c>
      <c r="G1690" s="18">
        <f>IF(J1690=1,VLOOKUP(K1690,RPM!$E$2:$H$62,3,FALSE)-F1690-E1690-D1690,IF(J1690=2,VLOOKUP(K1690,RPM!$H$2:$K$62,3,FALSE)-F1690-E1690-D1690,IF(J1690=3,VLOOKUP(K1690,RPM!$K$2:$N$62,3,FALSE)-F1690-E1690-D1690)))</f>
        <v>1322.7515590078795</v>
      </c>
      <c r="H1690" s="19">
        <f>IF(J1690=1,Specification!$I$14,IF(J1690=2,Specification!$I$15,IF(J1690=3,Specification!$I$16)))</f>
        <v>578.93404261974786</v>
      </c>
      <c r="I1690" s="16">
        <f t="shared" si="309"/>
        <v>0</v>
      </c>
      <c r="J1690" s="17">
        <v>3</v>
      </c>
      <c r="K1690" s="16">
        <f>IF(J1690=1,VLOOKUP(B1690,RPM!$F$2:$H$62,3,TRUE),IF(J1690=2,VLOOKUP(B1690,RPM!$I$2:$K$62,3,TRUE),IF(J1690=3,VLOOKUP(B1690,RPM!$L$2:$N$62,3,TRUE))))</f>
        <v>4300</v>
      </c>
      <c r="L1690" s="17">
        <f t="shared" si="320"/>
        <v>130.21485362113938</v>
      </c>
      <c r="M1690" s="16">
        <f t="shared" si="310"/>
        <v>0.63062872004341342</v>
      </c>
      <c r="N1690" s="17">
        <f>VLOOKUP(K1690,RPM!$A$2:$D$62,3,FALSE)</f>
        <v>11.4</v>
      </c>
      <c r="O1690" s="16">
        <f>VLOOKUP(K1690,RPM!$A$2:$D$62,4,FALSE)</f>
        <v>18.894837209302327</v>
      </c>
      <c r="P1690" s="17">
        <f t="shared" si="312"/>
        <v>14.089880106976747</v>
      </c>
      <c r="Q1690" s="16" cm="1">
        <f t="array" ref="Q1690">_xlfn.XLOOKUP(O1690,BSFC!$A$2:$A$24,_xlfn.XLOOKUP(K1690,BSFC!$B$1:$O$1,BSFC!$B$2:$O$24,,-1),,-1)</f>
        <v>480</v>
      </c>
      <c r="R1690" s="17">
        <f t="shared" si="313"/>
        <v>1.8786506809302328</v>
      </c>
      <c r="S1690" s="16">
        <f t="shared" si="314"/>
        <v>2.9183485335175871E-4</v>
      </c>
      <c r="T1690" s="17">
        <f t="shared" si="317"/>
        <v>0.14008072960884418</v>
      </c>
      <c r="U1690" s="16">
        <f t="shared" si="318"/>
        <v>212.52847996324877</v>
      </c>
      <c r="V1690" s="17">
        <f t="shared" si="319"/>
        <v>0.43362605848193048</v>
      </c>
      <c r="W1690" s="16">
        <f t="shared" si="315"/>
        <v>1561053.8105349499</v>
      </c>
      <c r="X1690">
        <f>('Hybrid Info'!$A$2-Track!P1690)*(L1690-L1689)*1000+X1689</f>
        <v>12142.025917511377</v>
      </c>
    </row>
    <row r="1691" spans="1:24">
      <c r="A1691" s="16">
        <f t="shared" si="316"/>
        <v>1690</v>
      </c>
      <c r="B1691" s="17">
        <f t="shared" si="311"/>
        <v>13.411199999999999</v>
      </c>
      <c r="C1691" s="16">
        <f>Specification!$G$30</f>
        <v>109.96225200000001</v>
      </c>
      <c r="D1691" s="17">
        <f>0.5*Specification!$K$4*Track!B1691^2*Specification!$K$3*Specification!$K$2</f>
        <v>93.159842569492653</v>
      </c>
      <c r="E1691" s="16">
        <v>-8</v>
      </c>
      <c r="F1691" s="17">
        <f>Specification!$C$23*9.81*SIN((E1691*PI()/180))</f>
        <v>-765.1893799696079</v>
      </c>
      <c r="G1691" s="18">
        <f>IF(J1691=1,VLOOKUP(K1691,RPM!$E$2:$H$62,3,FALSE)-F1691-E1691-D1691,IF(J1691=2,VLOOKUP(K1691,RPM!$H$2:$K$62,3,FALSE)-F1691-E1691-D1691,IF(J1691=3,VLOOKUP(K1691,RPM!$K$2:$N$62,3,FALSE)-F1691-E1691-D1691)))</f>
        <v>1322.7515590078795</v>
      </c>
      <c r="H1691" s="19">
        <f>IF(J1691=1,Specification!$I$14,IF(J1691=2,Specification!$I$15,IF(J1691=3,Specification!$I$16)))</f>
        <v>578.93404261974786</v>
      </c>
      <c r="I1691" s="16">
        <f t="shared" si="309"/>
        <v>0</v>
      </c>
      <c r="J1691" s="17">
        <v>3</v>
      </c>
      <c r="K1691" s="16">
        <f>IF(J1691=1,VLOOKUP(B1691,RPM!$F$2:$H$62,3,TRUE),IF(J1691=2,VLOOKUP(B1691,RPM!$I$2:$K$62,3,TRUE),IF(J1691=3,VLOOKUP(B1691,RPM!$L$2:$N$62,3,TRUE))))</f>
        <v>4300</v>
      </c>
      <c r="L1691" s="17">
        <f t="shared" si="320"/>
        <v>130.28941816420786</v>
      </c>
      <c r="M1691" s="16">
        <f t="shared" si="310"/>
        <v>0.49008788534102199</v>
      </c>
      <c r="N1691" s="17">
        <f>VLOOKUP(K1691,RPM!$A$2:$D$62,3,FALSE)</f>
        <v>11.4</v>
      </c>
      <c r="O1691" s="16">
        <f>VLOOKUP(K1691,RPM!$A$2:$D$62,4,FALSE)</f>
        <v>18.894837209302327</v>
      </c>
      <c r="P1691" s="17">
        <f t="shared" si="312"/>
        <v>14.089880106976747</v>
      </c>
      <c r="Q1691" s="16" cm="1">
        <f t="array" ref="Q1691">_xlfn.XLOOKUP(O1691,BSFC!$A$2:$A$24,_xlfn.XLOOKUP(K1691,BSFC!$B$1:$O$1,BSFC!$B$2:$O$24,,-1),,-1)</f>
        <v>480</v>
      </c>
      <c r="R1691" s="17">
        <f t="shared" si="313"/>
        <v>1.8786506809302328</v>
      </c>
      <c r="S1691" s="16">
        <f t="shared" si="314"/>
        <v>2.9183485335175871E-4</v>
      </c>
      <c r="T1691" s="17">
        <f t="shared" si="317"/>
        <v>0.14008072960884418</v>
      </c>
      <c r="U1691" s="16">
        <f t="shared" si="318"/>
        <v>212.66856069285762</v>
      </c>
      <c r="V1691" s="17">
        <f t="shared" si="319"/>
        <v>0.43391789333528225</v>
      </c>
      <c r="W1691" s="16">
        <f t="shared" si="315"/>
        <v>1562104.4160070161</v>
      </c>
      <c r="X1691">
        <f>('Hybrid Info'!$A$2-Track!P1691)*(L1691-L1690)*1000+X1690</f>
        <v>11995.176604161974</v>
      </c>
    </row>
    <row r="1692" spans="1:24">
      <c r="A1692" s="16">
        <f t="shared" si="316"/>
        <v>1691</v>
      </c>
      <c r="B1692" s="17">
        <f t="shared" si="311"/>
        <v>13.411199999999999</v>
      </c>
      <c r="C1692" s="16">
        <f>Specification!$G$30</f>
        <v>109.96225200000001</v>
      </c>
      <c r="D1692" s="17">
        <f>0.5*Specification!$K$4*Track!B1692^2*Specification!$K$3*Specification!$K$2</f>
        <v>93.159842569492653</v>
      </c>
      <c r="E1692" s="16">
        <v>-7</v>
      </c>
      <c r="F1692" s="17">
        <f>Specification!$C$23*9.81*SIN((E1692*PI()/180))</f>
        <v>-670.05137252956831</v>
      </c>
      <c r="G1692" s="18">
        <f>IF(J1692=1,VLOOKUP(K1692,RPM!$E$2:$H$62,3,FALSE)-F1692-E1692-D1692,IF(J1692=2,VLOOKUP(K1692,RPM!$H$2:$K$62,3,FALSE)-F1692-E1692-D1692,IF(J1692=3,VLOOKUP(K1692,RPM!$K$2:$N$62,3,FALSE)-F1692-E1692-D1692)))</f>
        <v>1226.61355156784</v>
      </c>
      <c r="H1692" s="19">
        <f>IF(J1692=1,Specification!$I$14,IF(J1692=2,Specification!$I$15,IF(J1692=3,Specification!$I$16)))</f>
        <v>578.93404261974786</v>
      </c>
      <c r="I1692" s="16">
        <f t="shared" si="309"/>
        <v>0</v>
      </c>
      <c r="J1692" s="17">
        <v>3</v>
      </c>
      <c r="K1692" s="16">
        <f>IF(J1692=1,VLOOKUP(B1692,RPM!$F$2:$H$62,3,TRUE),IF(J1692=2,VLOOKUP(B1692,RPM!$I$2:$K$62,3,TRUE),IF(J1692=3,VLOOKUP(B1692,RPM!$L$2:$N$62,3,TRUE))))</f>
        <v>4300</v>
      </c>
      <c r="L1692" s="17">
        <f t="shared" si="320"/>
        <v>130.36398270727634</v>
      </c>
      <c r="M1692" s="16">
        <f t="shared" si="310"/>
        <v>0.36730332443811742</v>
      </c>
      <c r="N1692" s="17">
        <f>VLOOKUP(K1692,RPM!$A$2:$D$62,3,FALSE)</f>
        <v>11.4</v>
      </c>
      <c r="O1692" s="16">
        <f>VLOOKUP(K1692,RPM!$A$2:$D$62,4,FALSE)</f>
        <v>18.894837209302327</v>
      </c>
      <c r="P1692" s="17">
        <f t="shared" si="312"/>
        <v>14.089880106976747</v>
      </c>
      <c r="Q1692" s="16" cm="1">
        <f t="array" ref="Q1692">_xlfn.XLOOKUP(O1692,BSFC!$A$2:$A$24,_xlfn.XLOOKUP(K1692,BSFC!$B$1:$O$1,BSFC!$B$2:$O$24,,-1),,-1)</f>
        <v>480</v>
      </c>
      <c r="R1692" s="17">
        <f t="shared" si="313"/>
        <v>1.8786506809302328</v>
      </c>
      <c r="S1692" s="16">
        <f>(L1692-L1691)/3600*P1692</f>
        <v>2.9183485335175871E-4</v>
      </c>
      <c r="T1692" s="17">
        <f>S1692*Q1692</f>
        <v>0.14008072960884418</v>
      </c>
      <c r="U1692" s="16">
        <f t="shared" si="318"/>
        <v>212.80864142246648</v>
      </c>
      <c r="V1692" s="17">
        <f t="shared" si="319"/>
        <v>0.43420972818863401</v>
      </c>
      <c r="W1692" s="16">
        <f t="shared" si="315"/>
        <v>1563155.0214790825</v>
      </c>
      <c r="X1692">
        <f>('Hybrid Info'!$A$2-Track!P1692)*(L1692-L1691)*1000+X1691</f>
        <v>11848.327290812571</v>
      </c>
    </row>
    <row r="1693" spans="1:24">
      <c r="A1693" s="16">
        <f t="shared" si="316"/>
        <v>1692</v>
      </c>
      <c r="B1693" s="17">
        <f t="shared" si="311"/>
        <v>13.411199999999999</v>
      </c>
      <c r="C1693" s="16">
        <f>Specification!$G$30</f>
        <v>109.96225200000001</v>
      </c>
      <c r="D1693" s="17">
        <f>0.5*Specification!$K$4*Track!B1693^2*Specification!$K$3*Specification!$K$2</f>
        <v>93.159842569492653</v>
      </c>
      <c r="E1693" s="16">
        <v>-6</v>
      </c>
      <c r="F1693" s="17">
        <f>Specification!$C$23*9.81*SIN((E1693*PI()/180))</f>
        <v>-574.70926095052266</v>
      </c>
      <c r="G1693" s="18">
        <f>IF(J1693=1,VLOOKUP(K1693,RPM!$E$2:$H$62,3,FALSE)-F1693-E1693-D1693,IF(J1693=2,VLOOKUP(K1693,RPM!$H$2:$K$62,3,FALSE)-F1693-E1693-D1693,IF(J1693=3,VLOOKUP(K1693,RPM!$K$2:$N$62,3,FALSE)-F1693-E1693-D1693)))</f>
        <v>1130.2714399887943</v>
      </c>
      <c r="H1693" s="19">
        <f>IF(J1693=1,Specification!$I$14,IF(J1693=2,Specification!$I$15,IF(J1693=3,Specification!$I$16)))</f>
        <v>578.93404261974786</v>
      </c>
      <c r="I1693" s="16">
        <f t="shared" si="309"/>
        <v>0</v>
      </c>
      <c r="J1693" s="17">
        <v>3</v>
      </c>
      <c r="K1693" s="16">
        <f>IF(J1693=1,VLOOKUP(B1693,RPM!$F$2:$H$62,3,TRUE),IF(J1693=2,VLOOKUP(B1693,RPM!$I$2:$K$62,3,TRUE),IF(J1693=3,VLOOKUP(B1693,RPM!$L$2:$N$62,3,TRUE))))</f>
        <v>4300</v>
      </c>
      <c r="L1693" s="17">
        <f t="shared" si="320"/>
        <v>130.43854725034481</v>
      </c>
      <c r="M1693" s="16">
        <f t="shared" si="310"/>
        <v>0.26219908917244095</v>
      </c>
      <c r="N1693" s="17">
        <f>VLOOKUP(K1693,RPM!$A$2:$D$62,3,FALSE)</f>
        <v>11.4</v>
      </c>
      <c r="O1693" s="16">
        <f>VLOOKUP(K1693,RPM!$A$2:$D$62,4,FALSE)</f>
        <v>18.894837209302327</v>
      </c>
      <c r="P1693" s="17">
        <f t="shared" si="312"/>
        <v>14.089880106976747</v>
      </c>
      <c r="Q1693" s="16" cm="1">
        <f t="array" ref="Q1693">_xlfn.XLOOKUP(O1693,BSFC!$A$2:$A$24,_xlfn.XLOOKUP(K1693,BSFC!$B$1:$O$1,BSFC!$B$2:$O$24,,-1),,-1)</f>
        <v>480</v>
      </c>
      <c r="R1693" s="17">
        <f t="shared" si="313"/>
        <v>1.8786506809302328</v>
      </c>
      <c r="S1693" s="16">
        <f t="shared" si="314"/>
        <v>2.9183485335175871E-4</v>
      </c>
      <c r="T1693" s="17">
        <f t="shared" si="317"/>
        <v>0.14008072960884418</v>
      </c>
      <c r="U1693" s="16">
        <f t="shared" si="318"/>
        <v>212.94872215207533</v>
      </c>
      <c r="V1693" s="17">
        <f t="shared" si="319"/>
        <v>0.43450156304198578</v>
      </c>
      <c r="W1693" s="16">
        <f t="shared" si="315"/>
        <v>1564205.6269511487</v>
      </c>
      <c r="X1693">
        <f>('Hybrid Info'!$A$2-Track!P1693)*(L1693-L1692)*1000+X1692</f>
        <v>11701.477977463168</v>
      </c>
    </row>
    <row r="1694" spans="1:24">
      <c r="A1694" s="16">
        <f t="shared" si="316"/>
        <v>1693</v>
      </c>
      <c r="B1694" s="17">
        <f t="shared" si="311"/>
        <v>13.411199999999999</v>
      </c>
      <c r="C1694" s="16">
        <f>Specification!$G$30</f>
        <v>109.96225200000001</v>
      </c>
      <c r="D1694" s="17">
        <f>0.5*Specification!$K$4*Track!B1694^2*Specification!$K$3*Specification!$K$2</f>
        <v>93.159842569492653</v>
      </c>
      <c r="E1694" s="16">
        <v>-5</v>
      </c>
      <c r="F1694" s="17">
        <f>Specification!$C$23*9.81*SIN((E1694*PI()/180))</f>
        <v>-479.192087363258</v>
      </c>
      <c r="G1694" s="18">
        <f>IF(J1694=1,VLOOKUP(K1694,RPM!$E$2:$H$62,3,FALSE)-F1694-E1694-D1694,IF(J1694=2,VLOOKUP(K1694,RPM!$H$2:$K$62,3,FALSE)-F1694-E1694-D1694,IF(J1694=3,VLOOKUP(K1694,RPM!$K$2:$N$62,3,FALSE)-F1694-E1694-D1694)))</f>
        <v>1033.7542664015295</v>
      </c>
      <c r="H1694" s="19">
        <f>IF(J1694=1,Specification!$I$14,IF(J1694=2,Specification!$I$15,IF(J1694=3,Specification!$I$16)))</f>
        <v>578.93404261974786</v>
      </c>
      <c r="I1694" s="16">
        <f t="shared" si="309"/>
        <v>0</v>
      </c>
      <c r="J1694" s="17">
        <v>3</v>
      </c>
      <c r="K1694" s="16">
        <f>IF(J1694=1,VLOOKUP(B1694,RPM!$F$2:$H$62,3,TRUE),IF(J1694=2,VLOOKUP(B1694,RPM!$I$2:$K$62,3,TRUE),IF(J1694=3,VLOOKUP(B1694,RPM!$L$2:$N$62,3,TRUE))))</f>
        <v>4300</v>
      </c>
      <c r="L1694" s="17">
        <f t="shared" si="320"/>
        <v>130.51311179341329</v>
      </c>
      <c r="M1694" s="16">
        <f t="shared" si="310"/>
        <v>0.17471042564651695</v>
      </c>
      <c r="N1694" s="17">
        <f>VLOOKUP(K1694,RPM!$A$2:$D$62,3,FALSE)</f>
        <v>11.4</v>
      </c>
      <c r="O1694" s="16">
        <f>VLOOKUP(K1694,RPM!$A$2:$D$62,4,FALSE)</f>
        <v>18.894837209302327</v>
      </c>
      <c r="P1694" s="17">
        <f t="shared" si="312"/>
        <v>14.089880106976747</v>
      </c>
      <c r="Q1694" s="16" cm="1">
        <f t="array" ref="Q1694">_xlfn.XLOOKUP(O1694,BSFC!$A$2:$A$24,_xlfn.XLOOKUP(K1694,BSFC!$B$1:$O$1,BSFC!$B$2:$O$24,,-1),,-1)</f>
        <v>480</v>
      </c>
      <c r="R1694" s="17">
        <f>Q1694*P1694/3600</f>
        <v>1.8786506809302328</v>
      </c>
      <c r="S1694" s="16">
        <f t="shared" si="314"/>
        <v>2.9183485335175871E-4</v>
      </c>
      <c r="T1694" s="17">
        <f t="shared" si="317"/>
        <v>0.14008072960884418</v>
      </c>
      <c r="U1694" s="16">
        <f t="shared" si="318"/>
        <v>213.08880288168419</v>
      </c>
      <c r="V1694" s="17">
        <f t="shared" si="319"/>
        <v>0.43479339789533755</v>
      </c>
      <c r="W1694" s="16">
        <f t="shared" si="315"/>
        <v>1565256.2324232152</v>
      </c>
      <c r="X1694">
        <f>('Hybrid Info'!$A$2-Track!P1694)*(L1694-L1693)*1000+X1693</f>
        <v>11554.628664113765</v>
      </c>
    </row>
    <row r="1695" spans="1:24">
      <c r="A1695" s="16">
        <f t="shared" si="316"/>
        <v>1694</v>
      </c>
      <c r="B1695" s="17">
        <f t="shared" si="311"/>
        <v>13.411199999999999</v>
      </c>
      <c r="C1695" s="16">
        <f>Specification!$G$30</f>
        <v>109.96225200000001</v>
      </c>
      <c r="D1695" s="17">
        <f>0.5*Specification!$K$4*Track!B1695^2*Specification!$K$3*Specification!$K$2</f>
        <v>93.159842569492653</v>
      </c>
      <c r="E1695" s="16">
        <v>-4</v>
      </c>
      <c r="F1695" s="17">
        <f>Specification!$C$23*9.81*SIN((E1695*PI()/180))</f>
        <v>-383.52894722414453</v>
      </c>
      <c r="G1695" s="18">
        <f>IF(J1695=1,VLOOKUP(K1695,RPM!$E$2:$H$62,3,FALSE)-F1695-E1695-D1695,IF(J1695=2,VLOOKUP(K1695,RPM!$H$2:$K$62,3,FALSE)-F1695-E1695-D1695,IF(J1695=3,VLOOKUP(K1695,RPM!$K$2:$N$62,3,FALSE)-F1695-E1695-D1695)))</f>
        <v>937.09112626241608</v>
      </c>
      <c r="H1695" s="19">
        <f>IF(J1695=1,Specification!$I$14,IF(J1695=2,Specification!$I$15,IF(J1695=3,Specification!$I$16)))</f>
        <v>578.93404261974786</v>
      </c>
      <c r="I1695" s="16">
        <f t="shared" si="309"/>
        <v>0</v>
      </c>
      <c r="J1695" s="17">
        <v>3</v>
      </c>
      <c r="K1695" s="16">
        <f>IF(J1695=1,VLOOKUP(B1695,RPM!$F$2:$H$62,3,TRUE),IF(J1695=2,VLOOKUP(B1695,RPM!$I$2:$K$62,3,TRUE),IF(J1695=3,VLOOKUP(B1695,RPM!$L$2:$N$62,3,TRUE))))</f>
        <v>4300</v>
      </c>
      <c r="L1695" s="17">
        <f t="shared" si="320"/>
        <v>130.58767633648176</v>
      </c>
      <c r="M1695" s="16">
        <f t="shared" si="310"/>
        <v>0.10478361370300654</v>
      </c>
      <c r="N1695" s="17">
        <f>VLOOKUP(K1695,RPM!$A$2:$D$62,3,FALSE)</f>
        <v>11.4</v>
      </c>
      <c r="O1695" s="16">
        <f>VLOOKUP(K1695,RPM!$A$2:$D$62,4,FALSE)</f>
        <v>18.894837209302327</v>
      </c>
      <c r="P1695" s="17">
        <f t="shared" si="312"/>
        <v>14.089880106976747</v>
      </c>
      <c r="Q1695" s="16" cm="1">
        <f t="array" ref="Q1695">_xlfn.XLOOKUP(O1695,BSFC!$A$2:$A$24,_xlfn.XLOOKUP(K1695,BSFC!$B$1:$O$1,BSFC!$B$2:$O$24,,-1),,-1)</f>
        <v>480</v>
      </c>
      <c r="R1695" s="17">
        <f>Q1695*P1695/3600</f>
        <v>1.8786506809302328</v>
      </c>
      <c r="S1695" s="16">
        <f t="shared" si="314"/>
        <v>2.9183485335175871E-4</v>
      </c>
      <c r="T1695" s="17">
        <f t="shared" si="317"/>
        <v>0.14008072960884418</v>
      </c>
      <c r="U1695" s="16">
        <f t="shared" si="318"/>
        <v>213.22888361129304</v>
      </c>
      <c r="V1695" s="17">
        <f t="shared" si="319"/>
        <v>0.43508523274868932</v>
      </c>
      <c r="W1695" s="16">
        <f t="shared" si="315"/>
        <v>1566306.8378952814</v>
      </c>
      <c r="X1695">
        <f>('Hybrid Info'!$A$2-Track!P1695)*(L1695-L1694)*1000+X1694</f>
        <v>11407.779350764362</v>
      </c>
    </row>
    <row r="1696" spans="1:24">
      <c r="A1696" s="16">
        <f t="shared" si="316"/>
        <v>1695</v>
      </c>
      <c r="B1696" s="17">
        <f t="shared" si="311"/>
        <v>13.411199999999999</v>
      </c>
      <c r="C1696" s="16">
        <f>Specification!$G$30</f>
        <v>109.96225200000001</v>
      </c>
      <c r="D1696" s="17">
        <f>0.5*Specification!$K$4*Track!B1696^2*Specification!$K$3*Specification!$K$2</f>
        <v>93.159842569492653</v>
      </c>
      <c r="E1696" s="16">
        <v>-3</v>
      </c>
      <c r="F1696" s="17">
        <f>Specification!$C$23*9.81*SIN((E1696*PI()/180))</f>
        <v>-287.74898045237813</v>
      </c>
      <c r="G1696" s="18">
        <f>IF(J1696=1,VLOOKUP(K1696,RPM!$E$2:$H$62,3,FALSE)-F1696-E1696-D1696,IF(J1696=2,VLOOKUP(K1696,RPM!$H$2:$K$62,3,FALSE)-F1696-E1696-D1696,IF(J1696=3,VLOOKUP(K1696,RPM!$K$2:$N$62,3,FALSE)-F1696-E1696-D1696)))</f>
        <v>840.31115949064974</v>
      </c>
      <c r="H1696" s="19">
        <f>IF(J1696=1,Specification!$I$14,IF(J1696=2,Specification!$I$15,IF(J1696=3,Specification!$I$16)))</f>
        <v>578.93404261974786</v>
      </c>
      <c r="I1696" s="16">
        <f t="shared" si="309"/>
        <v>0</v>
      </c>
      <c r="J1696" s="17">
        <v>3</v>
      </c>
      <c r="K1696" s="16">
        <f>IF(J1696=1,VLOOKUP(B1696,RPM!$F$2:$H$62,3,TRUE),IF(J1696=2,VLOOKUP(B1696,RPM!$I$2:$K$62,3,TRUE),IF(J1696=3,VLOOKUP(B1696,RPM!$L$2:$N$62,3,TRUE))))</f>
        <v>4300</v>
      </c>
      <c r="L1696" s="17">
        <f t="shared" si="320"/>
        <v>130.66224087955024</v>
      </c>
      <c r="M1696" s="16">
        <f t="shared" si="310"/>
        <v>5.2375834419965343E-2</v>
      </c>
      <c r="N1696" s="17">
        <f>VLOOKUP(K1696,RPM!$A$2:$D$62,3,FALSE)</f>
        <v>11.4</v>
      </c>
      <c r="O1696" s="16">
        <f>VLOOKUP(K1696,RPM!$A$2:$D$62,4,FALSE)</f>
        <v>18.894837209302327</v>
      </c>
      <c r="P1696" s="17">
        <f t="shared" si="312"/>
        <v>14.089880106976747</v>
      </c>
      <c r="Q1696" s="16" cm="1">
        <f t="array" ref="Q1696">_xlfn.XLOOKUP(O1696,BSFC!$A$2:$A$24,_xlfn.XLOOKUP(K1696,BSFC!$B$1:$O$1,BSFC!$B$2:$O$24,,-1),,-1)</f>
        <v>480</v>
      </c>
      <c r="R1696" s="17">
        <f t="shared" si="313"/>
        <v>1.8786506809302328</v>
      </c>
      <c r="S1696" s="16">
        <f t="shared" si="314"/>
        <v>2.9183485335175871E-4</v>
      </c>
      <c r="T1696" s="17">
        <f t="shared" si="317"/>
        <v>0.14008072960884418</v>
      </c>
      <c r="U1696" s="16">
        <f t="shared" si="318"/>
        <v>213.3689643409019</v>
      </c>
      <c r="V1696" s="17">
        <f t="shared" si="319"/>
        <v>0.43537706760204109</v>
      </c>
      <c r="W1696" s="16">
        <f t="shared" si="315"/>
        <v>1567357.4433673481</v>
      </c>
      <c r="X1696">
        <f>('Hybrid Info'!$A$2-Track!P1696)*(L1696-L1695)*1000+X1695</f>
        <v>11260.930037414959</v>
      </c>
    </row>
    <row r="1697" spans="1:24">
      <c r="A1697" s="16">
        <f t="shared" si="316"/>
        <v>1696</v>
      </c>
      <c r="B1697" s="17">
        <f t="shared" si="311"/>
        <v>13.411199999999999</v>
      </c>
      <c r="C1697" s="16">
        <f>Specification!$G$30</f>
        <v>109.96225200000001</v>
      </c>
      <c r="D1697" s="17">
        <f>0.5*Specification!$K$4*Track!B1697^2*Specification!$K$3*Specification!$K$2</f>
        <v>93.159842569492653</v>
      </c>
      <c r="E1697" s="16">
        <v>-2</v>
      </c>
      <c r="F1697" s="17">
        <f>Specification!$C$23*9.81*SIN((E1697*PI()/180))</f>
        <v>-191.88136255367905</v>
      </c>
      <c r="G1697" s="18">
        <f>IF(J1697=1,VLOOKUP(K1697,RPM!$E$2:$H$62,3,FALSE)-F1697-E1697-D1697,IF(J1697=2,VLOOKUP(K1697,RPM!$H$2:$K$62,3,FALSE)-F1697-E1697-D1697,IF(J1697=3,VLOOKUP(K1697,RPM!$K$2:$N$62,3,FALSE)-F1697-E1697-D1697)))</f>
        <v>743.44354159195063</v>
      </c>
      <c r="H1697" s="19">
        <f>IF(J1697=1,Specification!$I$14,IF(J1697=2,Specification!$I$15,IF(J1697=3,Specification!$I$16)))</f>
        <v>578.93404261974786</v>
      </c>
      <c r="I1697" s="16">
        <f t="shared" si="309"/>
        <v>0</v>
      </c>
      <c r="J1697" s="17">
        <v>3</v>
      </c>
      <c r="K1697" s="16">
        <f>IF(J1697=1,VLOOKUP(B1697,RPM!$F$2:$H$62,3,TRUE),IF(J1697=2,VLOOKUP(B1697,RPM!$I$2:$K$62,3,TRUE),IF(J1697=3,VLOOKUP(B1697,RPM!$L$2:$N$62,3,TRUE))))</f>
        <v>4300</v>
      </c>
      <c r="L1697" s="17">
        <f t="shared" si="320"/>
        <v>130.73680542261872</v>
      </c>
      <c r="M1697" s="16">
        <f t="shared" si="310"/>
        <v>1.7455064928217613E-2</v>
      </c>
      <c r="N1697" s="17">
        <f>VLOOKUP(K1697,RPM!$A$2:$D$62,3,FALSE)</f>
        <v>11.4</v>
      </c>
      <c r="O1697" s="16">
        <f>VLOOKUP(K1697,RPM!$A$2:$D$62,4,FALSE)</f>
        <v>18.894837209302327</v>
      </c>
      <c r="P1697" s="17">
        <f t="shared" si="312"/>
        <v>14.089880106976747</v>
      </c>
      <c r="Q1697" s="16" cm="1">
        <f t="array" ref="Q1697">_xlfn.XLOOKUP(O1697,BSFC!$A$2:$A$24,_xlfn.XLOOKUP(K1697,BSFC!$B$1:$O$1,BSFC!$B$2:$O$24,,-1),,-1)</f>
        <v>480</v>
      </c>
      <c r="R1697" s="17">
        <f t="shared" si="313"/>
        <v>1.8786506809302328</v>
      </c>
      <c r="S1697" s="16">
        <f t="shared" si="314"/>
        <v>2.9183485335175871E-4</v>
      </c>
      <c r="T1697" s="17">
        <f t="shared" si="317"/>
        <v>0.14008072960884418</v>
      </c>
      <c r="U1697" s="16">
        <f t="shared" si="318"/>
        <v>213.50904507051075</v>
      </c>
      <c r="V1697" s="17">
        <f t="shared" si="319"/>
        <v>0.43566890245539286</v>
      </c>
      <c r="W1697" s="16">
        <f t="shared" si="315"/>
        <v>1568408.0488394143</v>
      </c>
      <c r="X1697">
        <f>('Hybrid Info'!$A$2-Track!P1697)*(L1697-L1696)*1000+X1696</f>
        <v>11114.080724065556</v>
      </c>
    </row>
    <row r="1698" spans="1:24">
      <c r="A1698" s="16">
        <f t="shared" si="316"/>
        <v>1697</v>
      </c>
      <c r="B1698" s="17">
        <f t="shared" si="311"/>
        <v>13.411199999999999</v>
      </c>
      <c r="C1698" s="16">
        <f>Specification!$G$30</f>
        <v>109.96225200000001</v>
      </c>
      <c r="D1698" s="17">
        <f>0.5*Specification!$K$4*Track!B1698^2*Specification!$K$3*Specification!$K$2</f>
        <v>93.159842569492653</v>
      </c>
      <c r="E1698" s="16">
        <v>-1</v>
      </c>
      <c r="F1698" s="17">
        <f>Specification!$C$23*9.81*SIN((E1698*PI()/180))</f>
        <v>-95.955295733149597</v>
      </c>
      <c r="G1698" s="18">
        <f>IF(J1698=1,VLOOKUP(K1698,RPM!$E$2:$H$62,3,FALSE)-F1698-E1698-D1698,IF(J1698=2,VLOOKUP(K1698,RPM!$H$2:$K$62,3,FALSE)-F1698-E1698-D1698,IF(J1698=3,VLOOKUP(K1698,RPM!$K$2:$N$62,3,FALSE)-F1698-E1698-D1698)))</f>
        <v>646.51747477142112</v>
      </c>
      <c r="H1698" s="19">
        <f>IF(J1698=1,Specification!$I$14,IF(J1698=2,Specification!$I$15,IF(J1698=3,Specification!$I$16)))</f>
        <v>578.93404261974786</v>
      </c>
      <c r="I1698" s="16">
        <f t="shared" si="309"/>
        <v>0</v>
      </c>
      <c r="J1698" s="17">
        <v>3</v>
      </c>
      <c r="K1698" s="16">
        <f>IF(J1698=1,VLOOKUP(B1698,RPM!$F$2:$H$62,3,TRUE),IF(J1698=2,VLOOKUP(B1698,RPM!$I$2:$K$62,3,TRUE),IF(J1698=3,VLOOKUP(B1698,RPM!$L$2:$N$62,3,TRUE))))</f>
        <v>4300</v>
      </c>
      <c r="L1698" s="17">
        <f t="shared" si="320"/>
        <v>130.81136996568719</v>
      </c>
      <c r="M1698" s="16">
        <v>0</v>
      </c>
      <c r="N1698" s="17">
        <f>VLOOKUP(K1698,RPM!$A$2:$D$62,3,FALSE)</f>
        <v>11.4</v>
      </c>
      <c r="O1698" s="16">
        <f>VLOOKUP(K1698,RPM!$A$2:$D$62,4,FALSE)</f>
        <v>18.894837209302327</v>
      </c>
      <c r="P1698" s="17">
        <f t="shared" si="312"/>
        <v>14.089880106976747</v>
      </c>
      <c r="Q1698" s="16" cm="1">
        <f t="array" ref="Q1698">_xlfn.XLOOKUP(O1698,BSFC!$A$2:$A$24,_xlfn.XLOOKUP(K1698,BSFC!$B$1:$O$1,BSFC!$B$2:$O$24,,-1),,-1)</f>
        <v>480</v>
      </c>
      <c r="R1698" s="17">
        <f t="shared" si="313"/>
        <v>1.8786506809302328</v>
      </c>
      <c r="S1698" s="16">
        <f t="shared" si="314"/>
        <v>2.9183485335175871E-4</v>
      </c>
      <c r="T1698" s="17">
        <f t="shared" si="317"/>
        <v>0.14008072960884418</v>
      </c>
      <c r="U1698" s="16">
        <f t="shared" si="318"/>
        <v>213.64912580011961</v>
      </c>
      <c r="V1698" s="17">
        <f t="shared" si="319"/>
        <v>0.43596073730874463</v>
      </c>
      <c r="W1698" s="16">
        <f t="shared" si="315"/>
        <v>1569458.6543114807</v>
      </c>
      <c r="X1698">
        <f>('Hybrid Info'!$A$2-Track!P1698)*(L1698-L1697)*1000+X1697</f>
        <v>10967.231410716153</v>
      </c>
    </row>
    <row r="1699" spans="1:24">
      <c r="A1699" s="16">
        <f t="shared" si="316"/>
        <v>1698</v>
      </c>
      <c r="B1699" s="17">
        <f t="shared" si="311"/>
        <v>13.411199999999999</v>
      </c>
      <c r="C1699" s="16">
        <f>Specification!$G$30</f>
        <v>109.96225200000001</v>
      </c>
      <c r="D1699" s="17">
        <f>0.5*Specification!$K$4*Track!B1699^2*Specification!$K$3*Specification!$K$2</f>
        <v>93.159842569492653</v>
      </c>
      <c r="E1699" s="16">
        <v>0</v>
      </c>
      <c r="F1699" s="17">
        <f>Specification!$C$23*9.81*SIN((E1699*PI()/180))</f>
        <v>0</v>
      </c>
      <c r="G1699" s="18">
        <f>IF(J1699=1,VLOOKUP(K1699,RPM!$E$2:$H$62,3,FALSE)-F1699-E1699-D1699,IF(J1699=2,VLOOKUP(K1699,RPM!$H$2:$K$62,3,FALSE)-F1699-E1699-D1699,IF(J1699=3,VLOOKUP(K1699,RPM!$K$2:$N$62,3,FALSE)-F1699-E1699-D1699)))</f>
        <v>549.56217903827155</v>
      </c>
      <c r="H1699" s="19">
        <f>IF(J1699=1,Specification!$I$14,IF(J1699=2,Specification!$I$15,IF(J1699=3,Specification!$I$16)))</f>
        <v>578.93404261974786</v>
      </c>
      <c r="I1699" s="16">
        <f t="shared" si="309"/>
        <v>0</v>
      </c>
      <c r="J1699" s="17">
        <v>3</v>
      </c>
      <c r="K1699" s="16">
        <f>IF(J1699=1,VLOOKUP(B1699,RPM!$F$2:$H$62,3,TRUE),IF(J1699=2,VLOOKUP(B1699,RPM!$I$2:$K$62,3,TRUE),IF(J1699=3,VLOOKUP(B1699,RPM!$L$2:$N$62,3,TRUE))))</f>
        <v>4300</v>
      </c>
      <c r="L1699" s="17">
        <f t="shared" si="320"/>
        <v>130.88593450875567</v>
      </c>
      <c r="M1699" s="16">
        <f t="shared" si="310"/>
        <v>0</v>
      </c>
      <c r="N1699" s="17">
        <f>VLOOKUP(K1699,RPM!$A$2:$D$62,3,FALSE)</f>
        <v>11.4</v>
      </c>
      <c r="O1699" s="16">
        <f>VLOOKUP(K1699,RPM!$A$2:$D$62,4,FALSE)</f>
        <v>18.894837209302327</v>
      </c>
      <c r="P1699" s="17">
        <f t="shared" si="312"/>
        <v>14.089880106976747</v>
      </c>
      <c r="Q1699" s="16" cm="1">
        <f t="array" ref="Q1699">_xlfn.XLOOKUP(O1699,BSFC!$A$2:$A$24,_xlfn.XLOOKUP(K1699,BSFC!$B$1:$O$1,BSFC!$B$2:$O$24,,-1),,-1)</f>
        <v>480</v>
      </c>
      <c r="R1699" s="17">
        <f t="shared" si="313"/>
        <v>1.8786506809302328</v>
      </c>
      <c r="S1699" s="16">
        <f t="shared" si="314"/>
        <v>2.9183485335175871E-4</v>
      </c>
      <c r="T1699" s="17">
        <f t="shared" si="317"/>
        <v>0.14008072960884418</v>
      </c>
      <c r="U1699" s="16">
        <f t="shared" si="318"/>
        <v>213.78920652972846</v>
      </c>
      <c r="V1699" s="17">
        <f t="shared" si="319"/>
        <v>0.4362525721620964</v>
      </c>
      <c r="W1699" s="16">
        <f t="shared" si="315"/>
        <v>1570509.2597835469</v>
      </c>
      <c r="X1699">
        <f>('Hybrid Info'!$A$2-Track!P1699)*(L1699-L1698)*1000+X1698</f>
        <v>10820.38209736675</v>
      </c>
    </row>
    <row r="1700" spans="1:24">
      <c r="A1700" s="16">
        <f t="shared" si="316"/>
        <v>1699</v>
      </c>
      <c r="B1700" s="17">
        <f t="shared" si="311"/>
        <v>13.411199999999999</v>
      </c>
      <c r="C1700" s="16">
        <f>Specification!$G$30</f>
        <v>109.96225200000001</v>
      </c>
      <c r="D1700" s="17">
        <f>0.5*Specification!$K$4*Track!B1700^2*Specification!$K$3*Specification!$K$2</f>
        <v>93.159842569492653</v>
      </c>
      <c r="E1700" s="16">
        <v>0</v>
      </c>
      <c r="F1700" s="17">
        <f>Specification!$C$23*9.81*SIN((E1700*PI()/180))</f>
        <v>0</v>
      </c>
      <c r="G1700" s="18">
        <f>IF(J1700=1,VLOOKUP(K1700,RPM!$E$2:$H$62,3,FALSE)-F1700-E1700-D1700,IF(J1700=2,VLOOKUP(K1700,RPM!$H$2:$K$62,3,FALSE)-F1700-E1700-D1700,IF(J1700=3,VLOOKUP(K1700,RPM!$K$2:$N$62,3,FALSE)-F1700-E1700-D1700)))</f>
        <v>549.56217903827155</v>
      </c>
      <c r="H1700" s="19">
        <f>IF(J1700=1,Specification!$I$14,IF(J1700=2,Specification!$I$15,IF(J1700=3,Specification!$I$16)))</f>
        <v>578.93404261974786</v>
      </c>
      <c r="I1700" s="16">
        <f t="shared" ref="I1700:I1709" si="321">IF(B1700=13.4112,0,G1700/H1700)</f>
        <v>0</v>
      </c>
      <c r="J1700" s="17">
        <v>3</v>
      </c>
      <c r="K1700" s="16">
        <f>IF(J1700=1,VLOOKUP(B1700,RPM!$F$2:$H$62,3,TRUE),IF(J1700=2,VLOOKUP(B1700,RPM!$I$2:$K$62,3,TRUE),IF(J1700=3,VLOOKUP(B1700,RPM!$L$2:$N$62,3,TRUE))))</f>
        <v>4300</v>
      </c>
      <c r="L1700" s="17">
        <f t="shared" si="320"/>
        <v>130.96049905182414</v>
      </c>
      <c r="M1700" s="16">
        <f t="shared" si="310"/>
        <v>0</v>
      </c>
      <c r="N1700" s="17">
        <f>VLOOKUP(K1700,RPM!$A$2:$D$62,3,FALSE)</f>
        <v>11.4</v>
      </c>
      <c r="O1700" s="16">
        <f>VLOOKUP(K1700,RPM!$A$2:$D$62,4,FALSE)</f>
        <v>18.894837209302327</v>
      </c>
      <c r="P1700" s="17">
        <f t="shared" si="312"/>
        <v>14.089880106976747</v>
      </c>
      <c r="Q1700" s="16" cm="1">
        <f t="array" ref="Q1700">_xlfn.XLOOKUP(O1700,BSFC!$A$2:$A$24,_xlfn.XLOOKUP(K1700,BSFC!$B$1:$O$1,BSFC!$B$2:$O$24,,-1),,-1)</f>
        <v>480</v>
      </c>
      <c r="R1700" s="17">
        <f t="shared" si="313"/>
        <v>1.8786506809302328</v>
      </c>
      <c r="S1700" s="16">
        <f t="shared" si="314"/>
        <v>2.9183485335175871E-4</v>
      </c>
      <c r="T1700" s="17">
        <f t="shared" si="317"/>
        <v>0.14008072960884418</v>
      </c>
      <c r="U1700" s="16">
        <f t="shared" si="318"/>
        <v>213.92928725933731</v>
      </c>
      <c r="V1700" s="17">
        <f t="shared" si="319"/>
        <v>0.43654440701544817</v>
      </c>
      <c r="W1700" s="16">
        <f t="shared" si="315"/>
        <v>1571559.8652556133</v>
      </c>
      <c r="X1700">
        <f>('Hybrid Info'!$A$2-Track!P1700)*(L1700-L1699)*1000+X1699</f>
        <v>10673.532784017347</v>
      </c>
    </row>
    <row r="1701" spans="1:24">
      <c r="A1701" s="16">
        <f t="shared" si="316"/>
        <v>1700</v>
      </c>
      <c r="B1701" s="17">
        <f t="shared" si="311"/>
        <v>13.411199999999999</v>
      </c>
      <c r="C1701" s="16">
        <f>Specification!$G$30</f>
        <v>109.96225200000001</v>
      </c>
      <c r="D1701" s="17">
        <f>0.5*Specification!$K$4*Track!B1701^2*Specification!$K$3*Specification!$K$2</f>
        <v>93.159842569492653</v>
      </c>
      <c r="E1701" s="16">
        <v>0</v>
      </c>
      <c r="F1701" s="17">
        <f>Specification!$C$23*9.81*SIN((E1701*PI()/180))</f>
        <v>0</v>
      </c>
      <c r="G1701" s="18">
        <f>IF(J1701=1,VLOOKUP(K1701,RPM!$E$2:$H$62,3,FALSE)-F1701-E1701-D1701,IF(J1701=2,VLOOKUP(K1701,RPM!$H$2:$K$62,3,FALSE)-F1701-E1701-D1701,IF(J1701=3,VLOOKUP(K1701,RPM!$K$2:$N$62,3,FALSE)-F1701-E1701-D1701)))</f>
        <v>549.56217903827155</v>
      </c>
      <c r="H1701" s="19">
        <f>IF(J1701=1,Specification!$I$14,IF(J1701=2,Specification!$I$15,IF(J1701=3,Specification!$I$16)))</f>
        <v>578.93404261974786</v>
      </c>
      <c r="I1701" s="16">
        <f t="shared" si="321"/>
        <v>0</v>
      </c>
      <c r="J1701" s="17">
        <v>3</v>
      </c>
      <c r="K1701" s="16">
        <f>IF(J1701=1,VLOOKUP(B1701,RPM!$F$2:$H$62,3,TRUE),IF(J1701=2,VLOOKUP(B1701,RPM!$I$2:$K$62,3,TRUE),IF(J1701=3,VLOOKUP(B1701,RPM!$L$2:$N$62,3,TRUE))))</f>
        <v>4300</v>
      </c>
      <c r="L1701" s="17">
        <f t="shared" si="320"/>
        <v>131.03506359489262</v>
      </c>
      <c r="M1701" s="16">
        <f t="shared" si="310"/>
        <v>0</v>
      </c>
      <c r="N1701" s="17">
        <f>VLOOKUP(K1701,RPM!$A$2:$D$62,3,FALSE)</f>
        <v>11.4</v>
      </c>
      <c r="O1701" s="16">
        <f>VLOOKUP(K1701,RPM!$A$2:$D$62,4,FALSE)</f>
        <v>18.894837209302327</v>
      </c>
      <c r="P1701" s="17">
        <f t="shared" si="312"/>
        <v>14.089880106976747</v>
      </c>
      <c r="Q1701" s="16" cm="1">
        <f t="array" ref="Q1701">_xlfn.XLOOKUP(O1701,BSFC!$A$2:$A$24,_xlfn.XLOOKUP(K1701,BSFC!$B$1:$O$1,BSFC!$B$2:$O$24,,-1),,-1)</f>
        <v>480</v>
      </c>
      <c r="R1701" s="17">
        <f t="shared" si="313"/>
        <v>1.8786506809302328</v>
      </c>
      <c r="S1701" s="16">
        <f t="shared" si="314"/>
        <v>2.9183485335175871E-4</v>
      </c>
      <c r="T1701" s="17">
        <f t="shared" si="317"/>
        <v>0.14008072960884418</v>
      </c>
      <c r="U1701" s="16">
        <f t="shared" si="318"/>
        <v>214.06936798894617</v>
      </c>
      <c r="V1701" s="17">
        <f t="shared" si="319"/>
        <v>0.43683624186879993</v>
      </c>
      <c r="W1701" s="16">
        <f t="shared" si="315"/>
        <v>1572610.4707276798</v>
      </c>
      <c r="X1701">
        <f>('Hybrid Info'!$A$2-Track!P1701)*(L1701-L1700)*1000+X1700</f>
        <v>10526.683470667944</v>
      </c>
    </row>
    <row r="1702" spans="1:24">
      <c r="A1702" s="16">
        <f t="shared" si="316"/>
        <v>1701</v>
      </c>
      <c r="B1702" s="17">
        <f t="shared" si="311"/>
        <v>13.411199999999999</v>
      </c>
      <c r="C1702" s="16">
        <f>Specification!$G$30</f>
        <v>109.96225200000001</v>
      </c>
      <c r="D1702" s="17">
        <f>0.5*Specification!$K$4*Track!B1702^2*Specification!$K$3*Specification!$K$2</f>
        <v>93.159842569492653</v>
      </c>
      <c r="E1702" s="16">
        <v>0</v>
      </c>
      <c r="F1702" s="17">
        <f>Specification!$C$23*9.81*SIN((E1702*PI()/180))</f>
        <v>0</v>
      </c>
      <c r="G1702" s="18">
        <f>IF(J1702=1,VLOOKUP(K1702,RPM!$E$2:$H$62,3,FALSE)-F1702-E1702-D1702,IF(J1702=2,VLOOKUP(K1702,RPM!$H$2:$K$62,3,FALSE)-F1702-E1702-D1702,IF(J1702=3,VLOOKUP(K1702,RPM!$K$2:$N$62,3,FALSE)-F1702-E1702-D1702)))</f>
        <v>549.56217903827155</v>
      </c>
      <c r="H1702" s="19">
        <f>IF(J1702=1,Specification!$I$14,IF(J1702=2,Specification!$I$15,IF(J1702=3,Specification!$I$16)))</f>
        <v>578.93404261974786</v>
      </c>
      <c r="I1702" s="16">
        <f t="shared" si="321"/>
        <v>0</v>
      </c>
      <c r="J1702" s="17">
        <v>3</v>
      </c>
      <c r="K1702" s="16">
        <f>IF(J1702=1,VLOOKUP(B1702,RPM!$F$2:$H$62,3,TRUE),IF(J1702=2,VLOOKUP(B1702,RPM!$I$2:$K$62,3,TRUE),IF(J1702=3,VLOOKUP(B1702,RPM!$L$2:$N$62,3,TRUE))))</f>
        <v>4300</v>
      </c>
      <c r="L1702" s="17">
        <f t="shared" si="320"/>
        <v>131.1096281379611</v>
      </c>
      <c r="M1702" s="16">
        <f t="shared" si="310"/>
        <v>0</v>
      </c>
      <c r="N1702" s="17">
        <f>VLOOKUP(K1702,RPM!$A$2:$D$62,3,FALSE)</f>
        <v>11.4</v>
      </c>
      <c r="O1702" s="16">
        <f>VLOOKUP(K1702,RPM!$A$2:$D$62,4,FALSE)</f>
        <v>18.894837209302327</v>
      </c>
      <c r="P1702" s="17">
        <f t="shared" si="312"/>
        <v>14.089880106976747</v>
      </c>
      <c r="Q1702" s="16" cm="1">
        <f t="array" ref="Q1702">_xlfn.XLOOKUP(O1702,BSFC!$A$2:$A$24,_xlfn.XLOOKUP(K1702,BSFC!$B$1:$O$1,BSFC!$B$2:$O$24,,-1),,-1)</f>
        <v>480</v>
      </c>
      <c r="R1702" s="17">
        <f t="shared" si="313"/>
        <v>1.8786506809302328</v>
      </c>
      <c r="S1702" s="16">
        <f t="shared" si="314"/>
        <v>2.9183485335175871E-4</v>
      </c>
      <c r="T1702" s="17">
        <f t="shared" si="317"/>
        <v>0.14008072960884418</v>
      </c>
      <c r="U1702" s="16">
        <f t="shared" si="318"/>
        <v>214.20944871855502</v>
      </c>
      <c r="V1702" s="17">
        <f t="shared" si="319"/>
        <v>0.4371280767221517</v>
      </c>
      <c r="W1702" s="16">
        <f t="shared" si="315"/>
        <v>1573661.0761997462</v>
      </c>
      <c r="X1702">
        <f>('Hybrid Info'!$A$2-Track!P1702)*(L1702-L1701)*1000+X1701</f>
        <v>10379.834157318541</v>
      </c>
    </row>
    <row r="1703" spans="1:24">
      <c r="A1703" s="16">
        <f t="shared" si="316"/>
        <v>1702</v>
      </c>
      <c r="B1703" s="17">
        <f t="shared" si="311"/>
        <v>13.411199999999999</v>
      </c>
      <c r="C1703" s="16">
        <f>Specification!$G$30</f>
        <v>109.96225200000001</v>
      </c>
      <c r="D1703" s="17">
        <f>0.5*Specification!$K$4*Track!B1703^2*Specification!$K$3*Specification!$K$2</f>
        <v>93.159842569492653</v>
      </c>
      <c r="E1703" s="16">
        <v>0</v>
      </c>
      <c r="F1703" s="17">
        <f>Specification!$C$23*9.81*SIN((E1703*PI()/180))</f>
        <v>0</v>
      </c>
      <c r="G1703" s="18">
        <f>IF(J1703=1,VLOOKUP(K1703,RPM!$E$2:$H$62,3,FALSE)-F1703-E1703-D1703,IF(J1703=2,VLOOKUP(K1703,RPM!$H$2:$K$62,3,FALSE)-F1703-E1703-D1703,IF(J1703=3,VLOOKUP(K1703,RPM!$K$2:$N$62,3,FALSE)-F1703-E1703-D1703)))</f>
        <v>549.56217903827155</v>
      </c>
      <c r="H1703" s="19">
        <f>IF(J1703=1,Specification!$I$14,IF(J1703=2,Specification!$I$15,IF(J1703=3,Specification!$I$16)))</f>
        <v>578.93404261974786</v>
      </c>
      <c r="I1703" s="16">
        <f t="shared" si="321"/>
        <v>0</v>
      </c>
      <c r="J1703" s="17">
        <v>3</v>
      </c>
      <c r="K1703" s="16">
        <f>IF(J1703=1,VLOOKUP(B1703,RPM!$F$2:$H$62,3,TRUE),IF(J1703=2,VLOOKUP(B1703,RPM!$I$2:$K$62,3,TRUE),IF(J1703=3,VLOOKUP(B1703,RPM!$L$2:$N$62,3,TRUE))))</f>
        <v>4300</v>
      </c>
      <c r="L1703" s="17">
        <f t="shared" si="320"/>
        <v>131.18419268102957</v>
      </c>
      <c r="M1703" s="16">
        <f t="shared" si="310"/>
        <v>0</v>
      </c>
      <c r="N1703" s="17">
        <f>VLOOKUP(K1703,RPM!$A$2:$D$62,3,FALSE)</f>
        <v>11.4</v>
      </c>
      <c r="O1703" s="16">
        <f>VLOOKUP(K1703,RPM!$A$2:$D$62,4,FALSE)</f>
        <v>18.894837209302327</v>
      </c>
      <c r="P1703" s="17">
        <f t="shared" si="312"/>
        <v>14.089880106976747</v>
      </c>
      <c r="Q1703" s="16" cm="1">
        <f t="array" ref="Q1703">_xlfn.XLOOKUP(O1703,BSFC!$A$2:$A$24,_xlfn.XLOOKUP(K1703,BSFC!$B$1:$O$1,BSFC!$B$2:$O$24,,-1),,-1)</f>
        <v>480</v>
      </c>
      <c r="R1703" s="17">
        <f t="shared" si="313"/>
        <v>1.8786506809302328</v>
      </c>
      <c r="S1703" s="16">
        <f t="shared" si="314"/>
        <v>2.9183485335175871E-4</v>
      </c>
      <c r="T1703" s="17">
        <f t="shared" si="317"/>
        <v>0.14008072960884418</v>
      </c>
      <c r="U1703" s="16">
        <f t="shared" si="318"/>
        <v>214.34952944816388</v>
      </c>
      <c r="V1703" s="17">
        <f t="shared" si="319"/>
        <v>0.43741991157550347</v>
      </c>
      <c r="W1703" s="16">
        <f t="shared" si="315"/>
        <v>1574711.6816718124</v>
      </c>
      <c r="X1703">
        <f>('Hybrid Info'!$A$2-Track!P1703)*(L1703-L1702)*1000+X1702</f>
        <v>10232.984843969138</v>
      </c>
    </row>
    <row r="1704" spans="1:24">
      <c r="A1704" s="16">
        <f t="shared" si="316"/>
        <v>1703</v>
      </c>
      <c r="B1704" s="17">
        <f t="shared" si="311"/>
        <v>13.411199999999999</v>
      </c>
      <c r="C1704" s="16">
        <f>Specification!$G$30</f>
        <v>109.96225200000001</v>
      </c>
      <c r="D1704" s="17">
        <f>0.5*Specification!$K$4*Track!B1704^2*Specification!$K$3*Specification!$K$2</f>
        <v>93.159842569492653</v>
      </c>
      <c r="E1704" s="16">
        <v>0</v>
      </c>
      <c r="F1704" s="17">
        <f>Specification!$C$23*9.81*SIN((E1704*PI()/180))</f>
        <v>0</v>
      </c>
      <c r="G1704" s="18">
        <f>IF(J1704=1,VLOOKUP(K1704,RPM!$E$2:$H$62,3,FALSE)-F1704-E1704-D1704,IF(J1704=2,VLOOKUP(K1704,RPM!$H$2:$K$62,3,FALSE)-F1704-E1704-D1704,IF(J1704=3,VLOOKUP(K1704,RPM!$K$2:$N$62,3,FALSE)-F1704-E1704-D1704)))</f>
        <v>549.56217903827155</v>
      </c>
      <c r="H1704" s="19">
        <f>IF(J1704=1,Specification!$I$14,IF(J1704=2,Specification!$I$15,IF(J1704=3,Specification!$I$16)))</f>
        <v>578.93404261974786</v>
      </c>
      <c r="I1704" s="16">
        <f t="shared" si="321"/>
        <v>0</v>
      </c>
      <c r="J1704" s="17">
        <v>3</v>
      </c>
      <c r="K1704" s="16">
        <f>IF(J1704=1,VLOOKUP(B1704,RPM!$F$2:$H$62,3,TRUE),IF(J1704=2,VLOOKUP(B1704,RPM!$I$2:$K$62,3,TRUE),IF(J1704=3,VLOOKUP(B1704,RPM!$L$2:$N$62,3,TRUE))))</f>
        <v>4300</v>
      </c>
      <c r="L1704" s="17">
        <f t="shared" si="320"/>
        <v>131.25875722409805</v>
      </c>
      <c r="M1704" s="16">
        <f t="shared" si="310"/>
        <v>0</v>
      </c>
      <c r="N1704" s="17">
        <f>VLOOKUP(K1704,RPM!$A$2:$D$62,3,FALSE)</f>
        <v>11.4</v>
      </c>
      <c r="O1704" s="16">
        <f>VLOOKUP(K1704,RPM!$A$2:$D$62,4,FALSE)</f>
        <v>18.894837209302327</v>
      </c>
      <c r="P1704" s="17">
        <f t="shared" si="312"/>
        <v>14.089880106976747</v>
      </c>
      <c r="Q1704" s="16" cm="1">
        <f t="array" ref="Q1704">_xlfn.XLOOKUP(O1704,BSFC!$A$2:$A$24,_xlfn.XLOOKUP(K1704,BSFC!$B$1:$O$1,BSFC!$B$2:$O$24,,-1),,-1)</f>
        <v>480</v>
      </c>
      <c r="R1704" s="17">
        <f t="shared" si="313"/>
        <v>1.8786506809302328</v>
      </c>
      <c r="S1704" s="16">
        <f t="shared" si="314"/>
        <v>2.9183485335175871E-4</v>
      </c>
      <c r="T1704" s="17">
        <f t="shared" si="317"/>
        <v>0.14008072960884418</v>
      </c>
      <c r="U1704" s="16">
        <f t="shared" si="318"/>
        <v>214.48961017777273</v>
      </c>
      <c r="V1704" s="17">
        <f t="shared" si="319"/>
        <v>0.43771174642885524</v>
      </c>
      <c r="W1704" s="16">
        <f t="shared" si="315"/>
        <v>1575762.2871438789</v>
      </c>
      <c r="X1704">
        <f>('Hybrid Info'!$A$2-Track!P1704)*(L1704-L1703)*1000+X1703</f>
        <v>10086.135530619735</v>
      </c>
    </row>
    <row r="1705" spans="1:24">
      <c r="A1705" s="16">
        <f t="shared" si="316"/>
        <v>1704</v>
      </c>
      <c r="B1705" s="17">
        <f t="shared" si="311"/>
        <v>13.411199999999999</v>
      </c>
      <c r="C1705" s="16">
        <f>Specification!$G$30</f>
        <v>109.96225200000001</v>
      </c>
      <c r="D1705" s="17">
        <f>0.5*Specification!$K$4*Track!B1705^2*Specification!$K$3*Specification!$K$2</f>
        <v>93.159842569492653</v>
      </c>
      <c r="E1705" s="16">
        <v>0</v>
      </c>
      <c r="F1705" s="17">
        <f>Specification!$C$23*9.81*SIN((E1705*PI()/180))</f>
        <v>0</v>
      </c>
      <c r="G1705" s="18">
        <f>IF(J1705=1,VLOOKUP(K1705,RPM!$E$2:$H$62,3,FALSE)-F1705-E1705-D1705,IF(J1705=2,VLOOKUP(K1705,RPM!$H$2:$K$62,3,FALSE)-F1705-E1705-D1705,IF(J1705=3,VLOOKUP(K1705,RPM!$K$2:$N$62,3,FALSE)-F1705-E1705-D1705)))</f>
        <v>549.56217903827155</v>
      </c>
      <c r="H1705" s="19">
        <f>IF(J1705=1,Specification!$I$14,IF(J1705=2,Specification!$I$15,IF(J1705=3,Specification!$I$16)))</f>
        <v>578.93404261974786</v>
      </c>
      <c r="I1705" s="16">
        <f t="shared" si="321"/>
        <v>0</v>
      </c>
      <c r="J1705" s="17">
        <v>3</v>
      </c>
      <c r="K1705" s="16">
        <f>IF(J1705=1,VLOOKUP(B1705,RPM!$F$2:$H$62,3,TRUE),IF(J1705=2,VLOOKUP(B1705,RPM!$I$2:$K$62,3,TRUE),IF(J1705=3,VLOOKUP(B1705,RPM!$L$2:$N$62,3,TRUE))))</f>
        <v>4300</v>
      </c>
      <c r="L1705" s="17">
        <f t="shared" si="320"/>
        <v>131.33332176716652</v>
      </c>
      <c r="M1705" s="16">
        <f t="shared" si="310"/>
        <v>0</v>
      </c>
      <c r="N1705" s="17">
        <f>VLOOKUP(K1705,RPM!$A$2:$D$62,3,FALSE)</f>
        <v>11.4</v>
      </c>
      <c r="O1705" s="16">
        <f>VLOOKUP(K1705,RPM!$A$2:$D$62,4,FALSE)</f>
        <v>18.894837209302327</v>
      </c>
      <c r="P1705" s="17">
        <f t="shared" si="312"/>
        <v>14.089880106976747</v>
      </c>
      <c r="Q1705" s="16" cm="1">
        <f t="array" ref="Q1705">_xlfn.XLOOKUP(O1705,BSFC!$A$2:$A$24,_xlfn.XLOOKUP(K1705,BSFC!$B$1:$O$1,BSFC!$B$2:$O$24,,-1),,-1)</f>
        <v>480</v>
      </c>
      <c r="R1705" s="17">
        <f t="shared" si="313"/>
        <v>1.8786506809302328</v>
      </c>
      <c r="S1705" s="16">
        <f t="shared" si="314"/>
        <v>2.9183485335175871E-4</v>
      </c>
      <c r="T1705" s="17">
        <f t="shared" si="317"/>
        <v>0.14008072960884418</v>
      </c>
      <c r="U1705" s="16">
        <f t="shared" si="318"/>
        <v>214.62969090738159</v>
      </c>
      <c r="V1705" s="17">
        <f t="shared" si="319"/>
        <v>0.43800358128220701</v>
      </c>
      <c r="W1705" s="16">
        <f t="shared" si="315"/>
        <v>1576812.8926159451</v>
      </c>
      <c r="X1705">
        <f>('Hybrid Info'!$A$2-Track!P1705)*(L1705-L1704)*1000+X1704</f>
        <v>9939.2862172703317</v>
      </c>
    </row>
    <row r="1706" spans="1:24">
      <c r="A1706" s="16">
        <f t="shared" si="316"/>
        <v>1705</v>
      </c>
      <c r="B1706" s="17">
        <f t="shared" si="311"/>
        <v>13.411199999999999</v>
      </c>
      <c r="C1706" s="16">
        <f>Specification!$G$30</f>
        <v>109.96225200000001</v>
      </c>
      <c r="D1706" s="17">
        <f>0.5*Specification!$K$4*Track!B1706^2*Specification!$K$3*Specification!$K$2</f>
        <v>93.159842569492653</v>
      </c>
      <c r="E1706" s="16">
        <v>0</v>
      </c>
      <c r="F1706" s="17">
        <f>Specification!$C$23*9.81*SIN((E1706*PI()/180))</f>
        <v>0</v>
      </c>
      <c r="G1706" s="18">
        <f>IF(J1706=1,VLOOKUP(K1706,RPM!$E$2:$H$62,3,FALSE)-F1706-E1706-D1706,IF(J1706=2,VLOOKUP(K1706,RPM!$H$2:$K$62,3,FALSE)-F1706-E1706-D1706,IF(J1706=3,VLOOKUP(K1706,RPM!$K$2:$N$62,3,FALSE)-F1706-E1706-D1706)))</f>
        <v>549.56217903827155</v>
      </c>
      <c r="H1706" s="19">
        <f>IF(J1706=1,Specification!$I$14,IF(J1706=2,Specification!$I$15,IF(J1706=3,Specification!$I$16)))</f>
        <v>578.93404261974786</v>
      </c>
      <c r="I1706" s="16">
        <f t="shared" si="321"/>
        <v>0</v>
      </c>
      <c r="J1706" s="17">
        <v>3</v>
      </c>
      <c r="K1706" s="16">
        <f>IF(J1706=1,VLOOKUP(B1706,RPM!$F$2:$H$62,3,TRUE),IF(J1706=2,VLOOKUP(B1706,RPM!$I$2:$K$62,3,TRUE),IF(J1706=3,VLOOKUP(B1706,RPM!$L$2:$N$62,3,TRUE))))</f>
        <v>4300</v>
      </c>
      <c r="L1706" s="17">
        <f t="shared" si="320"/>
        <v>131.407886310235</v>
      </c>
      <c r="M1706" s="16">
        <f t="shared" si="310"/>
        <v>0</v>
      </c>
      <c r="N1706" s="17">
        <f>VLOOKUP(K1706,RPM!$A$2:$D$62,3,FALSE)</f>
        <v>11.4</v>
      </c>
      <c r="O1706" s="16">
        <f>VLOOKUP(K1706,RPM!$A$2:$D$62,4,FALSE)</f>
        <v>18.894837209302327</v>
      </c>
      <c r="P1706" s="17">
        <f t="shared" si="312"/>
        <v>14.089880106976747</v>
      </c>
      <c r="Q1706" s="16" cm="1">
        <f t="array" ref="Q1706">_xlfn.XLOOKUP(O1706,BSFC!$A$2:$A$24,_xlfn.XLOOKUP(K1706,BSFC!$B$1:$O$1,BSFC!$B$2:$O$24,,-1),,-1)</f>
        <v>480</v>
      </c>
      <c r="R1706" s="17">
        <f t="shared" si="313"/>
        <v>1.8786506809302328</v>
      </c>
      <c r="S1706" s="16">
        <f t="shared" si="314"/>
        <v>2.9183485335175871E-4</v>
      </c>
      <c r="T1706" s="17">
        <f t="shared" si="317"/>
        <v>0.14008072960884418</v>
      </c>
      <c r="U1706" s="16">
        <f t="shared" si="318"/>
        <v>214.76977163699044</v>
      </c>
      <c r="V1706" s="17">
        <f t="shared" si="319"/>
        <v>0.43829541613555878</v>
      </c>
      <c r="W1706" s="16">
        <f t="shared" si="315"/>
        <v>1577863.4980880115</v>
      </c>
      <c r="X1706">
        <f>('Hybrid Info'!$A$2-Track!P1706)*(L1706-L1705)*1000+X1705</f>
        <v>9792.4369039209287</v>
      </c>
    </row>
    <row r="1707" spans="1:24">
      <c r="A1707" s="16">
        <f t="shared" si="316"/>
        <v>1706</v>
      </c>
      <c r="B1707" s="17">
        <f t="shared" si="311"/>
        <v>13.411199999999999</v>
      </c>
      <c r="C1707" s="16">
        <f>Specification!$G$30</f>
        <v>109.96225200000001</v>
      </c>
      <c r="D1707" s="17">
        <f>0.5*Specification!$K$4*Track!B1707^2*Specification!$K$3*Specification!$K$2</f>
        <v>93.159842569492653</v>
      </c>
      <c r="E1707" s="16">
        <v>0</v>
      </c>
      <c r="F1707" s="17">
        <f>Specification!$C$23*9.81*SIN((E1707*PI()/180))</f>
        <v>0</v>
      </c>
      <c r="G1707" s="18">
        <f>IF(J1707=1,VLOOKUP(K1707,RPM!$E$2:$H$62,3,FALSE)-F1707-E1707-D1707,IF(J1707=2,VLOOKUP(K1707,RPM!$H$2:$K$62,3,FALSE)-F1707-E1707-D1707,IF(J1707=3,VLOOKUP(K1707,RPM!$K$2:$N$62,3,FALSE)-F1707-E1707-D1707)))</f>
        <v>549.56217903827155</v>
      </c>
      <c r="H1707" s="19">
        <f>IF(J1707=1,Specification!$I$14,IF(J1707=2,Specification!$I$15,IF(J1707=3,Specification!$I$16)))</f>
        <v>578.93404261974786</v>
      </c>
      <c r="I1707" s="16">
        <f t="shared" si="321"/>
        <v>0</v>
      </c>
      <c r="J1707" s="17">
        <v>3</v>
      </c>
      <c r="K1707" s="16">
        <f>IF(J1707=1,VLOOKUP(B1707,RPM!$F$2:$H$62,3,TRUE),IF(J1707=2,VLOOKUP(B1707,RPM!$I$2:$K$62,3,TRUE),IF(J1707=3,VLOOKUP(B1707,RPM!$L$2:$N$62,3,TRUE))))</f>
        <v>4300</v>
      </c>
      <c r="L1707" s="17">
        <f t="shared" si="320"/>
        <v>131.48245085330348</v>
      </c>
      <c r="M1707" s="16">
        <f t="shared" si="310"/>
        <v>0</v>
      </c>
      <c r="N1707" s="17">
        <f>VLOOKUP(K1707,RPM!$A$2:$D$62,3,FALSE)</f>
        <v>11.4</v>
      </c>
      <c r="O1707" s="16">
        <f>VLOOKUP(K1707,RPM!$A$2:$D$62,4,FALSE)</f>
        <v>18.894837209302327</v>
      </c>
      <c r="P1707" s="17">
        <f t="shared" si="312"/>
        <v>14.089880106976747</v>
      </c>
      <c r="Q1707" s="16" cm="1">
        <f t="array" ref="Q1707">_xlfn.XLOOKUP(O1707,BSFC!$A$2:$A$24,_xlfn.XLOOKUP(K1707,BSFC!$B$1:$O$1,BSFC!$B$2:$O$24,,-1),,-1)</f>
        <v>480</v>
      </c>
      <c r="R1707" s="17">
        <f t="shared" si="313"/>
        <v>1.8786506809302328</v>
      </c>
      <c r="S1707" s="16">
        <f t="shared" si="314"/>
        <v>2.9183485335175871E-4</v>
      </c>
      <c r="T1707" s="17">
        <f t="shared" si="317"/>
        <v>0.14008072960884418</v>
      </c>
      <c r="U1707" s="16">
        <f t="shared" si="318"/>
        <v>214.9098523665993</v>
      </c>
      <c r="V1707" s="17">
        <f t="shared" si="319"/>
        <v>0.43858725098891055</v>
      </c>
      <c r="W1707" s="16">
        <f t="shared" si="315"/>
        <v>1578914.103560078</v>
      </c>
      <c r="X1707">
        <f>('Hybrid Info'!$A$2-Track!P1707)*(L1707-L1706)*1000+X1706</f>
        <v>9645.5875905715257</v>
      </c>
    </row>
    <row r="1708" spans="1:24">
      <c r="A1708" s="16">
        <f t="shared" si="316"/>
        <v>1707</v>
      </c>
      <c r="B1708" s="17">
        <f t="shared" si="311"/>
        <v>13.411199999999999</v>
      </c>
      <c r="C1708" s="16">
        <f>Specification!$G$30</f>
        <v>109.96225200000001</v>
      </c>
      <c r="D1708" s="17">
        <f>0.5*Specification!$K$4*Track!B1708^2*Specification!$K$3*Specification!$K$2</f>
        <v>93.159842569492653</v>
      </c>
      <c r="E1708" s="16">
        <v>0</v>
      </c>
      <c r="F1708" s="17">
        <f>Specification!$C$23*9.81*SIN((E1708*PI()/180))</f>
        <v>0</v>
      </c>
      <c r="G1708" s="18">
        <f>IF(J1708=1,VLOOKUP(K1708,RPM!$E$2:$H$62,3,FALSE)-F1708-E1708-D1708,IF(J1708=2,VLOOKUP(K1708,RPM!$H$2:$K$62,3,FALSE)-F1708-E1708-D1708,IF(J1708=3,VLOOKUP(K1708,RPM!$K$2:$N$62,3,FALSE)-F1708-E1708-D1708)))</f>
        <v>549.56217903827155</v>
      </c>
      <c r="H1708" s="19">
        <f>IF(J1708=1,Specification!$I$14,IF(J1708=2,Specification!$I$15,IF(J1708=3,Specification!$I$16)))</f>
        <v>578.93404261974786</v>
      </c>
      <c r="I1708" s="16">
        <f t="shared" si="321"/>
        <v>0</v>
      </c>
      <c r="J1708" s="17">
        <v>3</v>
      </c>
      <c r="K1708" s="16">
        <f>IF(J1708=1,VLOOKUP(B1708,RPM!$F$2:$H$62,3,TRUE),IF(J1708=2,VLOOKUP(B1708,RPM!$I$2:$K$62,3,TRUE),IF(J1708=3,VLOOKUP(B1708,RPM!$L$2:$N$62,3,TRUE))))</f>
        <v>4300</v>
      </c>
      <c r="L1708" s="17">
        <f t="shared" si="320"/>
        <v>131.55701539637195</v>
      </c>
      <c r="M1708" s="16">
        <f t="shared" si="310"/>
        <v>0</v>
      </c>
      <c r="N1708" s="17">
        <f>VLOOKUP(K1708,RPM!$A$2:$D$62,3,FALSE)</f>
        <v>11.4</v>
      </c>
      <c r="O1708" s="16">
        <f>VLOOKUP(K1708,RPM!$A$2:$D$62,4,FALSE)</f>
        <v>18.894837209302327</v>
      </c>
      <c r="P1708" s="17">
        <f t="shared" si="312"/>
        <v>14.089880106976747</v>
      </c>
      <c r="Q1708" s="16" cm="1">
        <f t="array" ref="Q1708">_xlfn.XLOOKUP(O1708,BSFC!$A$2:$A$24,_xlfn.XLOOKUP(K1708,BSFC!$B$1:$O$1,BSFC!$B$2:$O$24,,-1),,-1)</f>
        <v>480</v>
      </c>
      <c r="R1708" s="17">
        <f t="shared" si="313"/>
        <v>1.8786506809302328</v>
      </c>
      <c r="S1708" s="16">
        <f t="shared" si="314"/>
        <v>2.9183485335175871E-4</v>
      </c>
      <c r="T1708" s="17">
        <f t="shared" si="317"/>
        <v>0.14008072960884418</v>
      </c>
      <c r="U1708" s="16">
        <f t="shared" si="318"/>
        <v>215.04993309620815</v>
      </c>
      <c r="V1708" s="17">
        <f t="shared" si="319"/>
        <v>0.43887908584226232</v>
      </c>
      <c r="W1708" s="16">
        <f t="shared" si="315"/>
        <v>1579964.7090321444</v>
      </c>
      <c r="X1708">
        <f>('Hybrid Info'!$A$2-Track!P1708)*(L1708-L1707)*1000+X1707</f>
        <v>9498.7382772221226</v>
      </c>
    </row>
    <row r="1709" spans="1:24">
      <c r="A1709" s="16">
        <f t="shared" si="316"/>
        <v>1708</v>
      </c>
      <c r="B1709" s="17">
        <f t="shared" si="311"/>
        <v>13.411199999999999</v>
      </c>
      <c r="C1709" s="16">
        <f>Specification!$G$30</f>
        <v>109.96225200000001</v>
      </c>
      <c r="D1709" s="17">
        <f>0.5*Specification!$K$4*Track!B1709^2*Specification!$K$3*Specification!$K$2</f>
        <v>93.159842569492653</v>
      </c>
      <c r="E1709" s="16">
        <v>0</v>
      </c>
      <c r="F1709" s="17">
        <f>Specification!$C$23*9.81*SIN((E1709*PI()/180))</f>
        <v>0</v>
      </c>
      <c r="G1709" s="18">
        <f>IF(J1709=1,VLOOKUP(K1709,RPM!$E$2:$H$62,3,FALSE)-F1709-E1709-D1709,IF(J1709=2,VLOOKUP(K1709,RPM!$H$2:$K$62,3,FALSE)-F1709-E1709-D1709,IF(J1709=3,VLOOKUP(K1709,RPM!$K$2:$N$62,3,FALSE)-F1709-E1709-D1709)))</f>
        <v>549.56217903827155</v>
      </c>
      <c r="H1709" s="19">
        <f>IF(J1709=1,Specification!$I$14,IF(J1709=2,Specification!$I$15,IF(J1709=3,Specification!$I$16)))</f>
        <v>578.93404261974786</v>
      </c>
      <c r="I1709" s="16">
        <f t="shared" si="321"/>
        <v>0</v>
      </c>
      <c r="J1709" s="17">
        <v>3</v>
      </c>
      <c r="K1709" s="16">
        <f>IF(J1709=1,VLOOKUP(B1709,RPM!$F$2:$H$62,3,TRUE),IF(J1709=2,VLOOKUP(B1709,RPM!$I$2:$K$62,3,TRUE),IF(J1709=3,VLOOKUP(B1709,RPM!$L$2:$N$62,3,TRUE))))</f>
        <v>4300</v>
      </c>
      <c r="L1709" s="17">
        <f t="shared" si="320"/>
        <v>131.63157993944043</v>
      </c>
      <c r="M1709" s="16">
        <f t="shared" si="310"/>
        <v>0</v>
      </c>
      <c r="N1709" s="17">
        <f>VLOOKUP(K1709,RPM!$A$2:$D$62,3,FALSE)</f>
        <v>11.4</v>
      </c>
      <c r="O1709" s="16">
        <f>VLOOKUP(K1709,RPM!$A$2:$D$62,4,FALSE)</f>
        <v>18.894837209302327</v>
      </c>
      <c r="P1709" s="17">
        <f t="shared" si="312"/>
        <v>14.089880106976747</v>
      </c>
      <c r="Q1709" s="16" cm="1">
        <f t="array" ref="Q1709">_xlfn.XLOOKUP(O1709,BSFC!$A$2:$A$24,_xlfn.XLOOKUP(K1709,BSFC!$B$1:$O$1,BSFC!$B$2:$O$24,,-1),,-1)</f>
        <v>480</v>
      </c>
      <c r="R1709" s="17">
        <f t="shared" si="313"/>
        <v>1.8786506809302328</v>
      </c>
      <c r="S1709" s="16">
        <f t="shared" si="314"/>
        <v>2.9183485335175871E-4</v>
      </c>
      <c r="T1709" s="17">
        <f t="shared" si="317"/>
        <v>0.14008072960884418</v>
      </c>
      <c r="U1709" s="16">
        <f t="shared" si="318"/>
        <v>215.190013825817</v>
      </c>
      <c r="V1709" s="17">
        <f t="shared" si="319"/>
        <v>0.43917092069561409</v>
      </c>
      <c r="W1709" s="16">
        <f t="shared" si="315"/>
        <v>1581015.3145042106</v>
      </c>
      <c r="X1709">
        <f>('Hybrid Info'!$A$2-Track!P1709)*(L1709-L1708)*1000+X1708</f>
        <v>9351.8889638727196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7483-4BEF-49A4-9B94-65EC50560C1B}">
  <dimension ref="A1:O24"/>
  <sheetViews>
    <sheetView workbookViewId="0">
      <selection activeCell="L8" sqref="L8"/>
    </sheetView>
  </sheetViews>
  <sheetFormatPr defaultRowHeight="14.5"/>
  <sheetData>
    <row r="1" spans="1:15">
      <c r="A1" s="6" t="s">
        <v>108</v>
      </c>
      <c r="B1" s="22">
        <v>500</v>
      </c>
      <c r="C1" s="22">
        <v>1000</v>
      </c>
      <c r="D1" s="22">
        <v>1500</v>
      </c>
      <c r="E1" s="22">
        <v>2000</v>
      </c>
      <c r="F1" s="22">
        <v>2500</v>
      </c>
      <c r="G1" s="22">
        <v>3000</v>
      </c>
      <c r="H1" s="22">
        <v>3500</v>
      </c>
      <c r="I1" s="22">
        <v>4000</v>
      </c>
      <c r="J1" s="22">
        <v>4500</v>
      </c>
      <c r="K1" s="22">
        <v>5000</v>
      </c>
      <c r="L1" s="22">
        <v>5500</v>
      </c>
      <c r="M1" s="22">
        <v>6000</v>
      </c>
      <c r="N1" s="22">
        <v>6500</v>
      </c>
      <c r="O1" s="21">
        <v>7000</v>
      </c>
    </row>
    <row r="2" spans="1:15">
      <c r="A2" s="7">
        <v>22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8">
        <v>0</v>
      </c>
      <c r="H2" s="8">
        <v>0</v>
      </c>
      <c r="I2" s="8">
        <v>0</v>
      </c>
      <c r="J2" s="8">
        <v>0</v>
      </c>
      <c r="K2" s="8">
        <v>0</v>
      </c>
      <c r="L2" s="8">
        <v>450</v>
      </c>
      <c r="M2" s="8">
        <v>0</v>
      </c>
      <c r="N2" s="8">
        <v>0</v>
      </c>
      <c r="O2" s="9">
        <v>0</v>
      </c>
    </row>
    <row r="3" spans="1:15">
      <c r="A3" s="10">
        <v>21</v>
      </c>
      <c r="B3" s="11">
        <v>0</v>
      </c>
      <c r="C3" s="11">
        <v>0</v>
      </c>
      <c r="D3" s="11">
        <v>0</v>
      </c>
      <c r="E3" s="11">
        <v>0</v>
      </c>
      <c r="F3" s="11">
        <v>0</v>
      </c>
      <c r="G3" s="11">
        <v>0</v>
      </c>
      <c r="H3" s="11">
        <v>0</v>
      </c>
      <c r="I3" s="11">
        <v>0</v>
      </c>
      <c r="J3" s="11">
        <v>0</v>
      </c>
      <c r="K3" s="11">
        <v>470</v>
      </c>
      <c r="L3" s="11">
        <v>435</v>
      </c>
      <c r="M3" s="11">
        <v>0</v>
      </c>
      <c r="N3" s="11">
        <v>0</v>
      </c>
      <c r="O3" s="12">
        <v>0</v>
      </c>
    </row>
    <row r="4" spans="1:15">
      <c r="A4" s="7">
        <v>20</v>
      </c>
      <c r="B4" s="8">
        <v>0</v>
      </c>
      <c r="C4" s="8"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480</v>
      </c>
      <c r="K4" s="8">
        <v>460</v>
      </c>
      <c r="L4" s="8">
        <v>410</v>
      </c>
      <c r="M4" s="8">
        <v>470</v>
      </c>
      <c r="N4" s="8">
        <v>0</v>
      </c>
      <c r="O4" s="9">
        <v>0</v>
      </c>
    </row>
    <row r="5" spans="1:15">
      <c r="A5" s="10">
        <v>19</v>
      </c>
      <c r="B5" s="11">
        <v>0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475</v>
      </c>
      <c r="K5" s="11">
        <v>440</v>
      </c>
      <c r="L5" s="11">
        <v>390</v>
      </c>
      <c r="M5" s="11">
        <v>455</v>
      </c>
      <c r="N5" s="11">
        <v>505</v>
      </c>
      <c r="O5" s="12">
        <v>0</v>
      </c>
    </row>
    <row r="6" spans="1:15">
      <c r="A6" s="7">
        <v>18</v>
      </c>
      <c r="B6" s="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490</v>
      </c>
      <c r="I6" s="8">
        <v>480</v>
      </c>
      <c r="J6" s="8">
        <v>465</v>
      </c>
      <c r="K6" s="8">
        <v>430</v>
      </c>
      <c r="L6" s="8">
        <v>370</v>
      </c>
      <c r="M6" s="8">
        <v>440</v>
      </c>
      <c r="N6" s="8">
        <v>490</v>
      </c>
      <c r="O6" s="9">
        <v>555</v>
      </c>
    </row>
    <row r="7" spans="1:15">
      <c r="A7" s="10">
        <v>17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495</v>
      </c>
      <c r="I7" s="11">
        <v>485</v>
      </c>
      <c r="J7" s="11">
        <v>450</v>
      </c>
      <c r="K7" s="11">
        <v>395</v>
      </c>
      <c r="L7" s="11">
        <v>360</v>
      </c>
      <c r="M7" s="11">
        <v>405</v>
      </c>
      <c r="N7" s="11">
        <v>485</v>
      </c>
      <c r="O7" s="12">
        <v>540</v>
      </c>
    </row>
    <row r="8" spans="1:15">
      <c r="A8" s="7">
        <v>16</v>
      </c>
      <c r="B8" s="8">
        <v>0</v>
      </c>
      <c r="C8" s="8">
        <v>0</v>
      </c>
      <c r="D8" s="8">
        <v>0</v>
      </c>
      <c r="E8" s="8">
        <v>0</v>
      </c>
      <c r="F8" s="8">
        <v>510</v>
      </c>
      <c r="G8" s="8">
        <v>500</v>
      </c>
      <c r="H8" s="8">
        <v>500</v>
      </c>
      <c r="I8" s="8">
        <v>490</v>
      </c>
      <c r="J8" s="8">
        <v>445</v>
      </c>
      <c r="K8" s="8">
        <v>370</v>
      </c>
      <c r="L8" s="8">
        <v>350</v>
      </c>
      <c r="M8" s="8">
        <v>365</v>
      </c>
      <c r="N8" s="8">
        <v>480</v>
      </c>
      <c r="O8" s="9">
        <v>530</v>
      </c>
    </row>
    <row r="9" spans="1:15">
      <c r="A9" s="10">
        <v>15</v>
      </c>
      <c r="B9" s="11">
        <v>0</v>
      </c>
      <c r="C9" s="11">
        <v>0</v>
      </c>
      <c r="D9" s="11">
        <v>0</v>
      </c>
      <c r="E9" s="11">
        <v>0</v>
      </c>
      <c r="F9" s="11">
        <v>515</v>
      </c>
      <c r="G9" s="11">
        <v>505</v>
      </c>
      <c r="H9" s="11">
        <v>490</v>
      </c>
      <c r="I9" s="11">
        <v>490</v>
      </c>
      <c r="J9" s="11">
        <v>440</v>
      </c>
      <c r="K9" s="11">
        <v>350</v>
      </c>
      <c r="L9" s="11">
        <v>325</v>
      </c>
      <c r="M9" s="11">
        <v>335</v>
      </c>
      <c r="N9" s="11">
        <v>440</v>
      </c>
      <c r="O9" s="12">
        <v>480</v>
      </c>
    </row>
    <row r="10" spans="1:15">
      <c r="A10" s="7">
        <v>14</v>
      </c>
      <c r="B10" s="8">
        <v>0</v>
      </c>
      <c r="C10" s="8">
        <v>0</v>
      </c>
      <c r="D10" s="8">
        <v>0</v>
      </c>
      <c r="E10" s="8">
        <v>562.08051900000009</v>
      </c>
      <c r="F10" s="8">
        <v>520</v>
      </c>
      <c r="G10" s="8">
        <v>510</v>
      </c>
      <c r="H10" s="8">
        <v>480</v>
      </c>
      <c r="I10" s="8">
        <v>475</v>
      </c>
      <c r="J10" s="8">
        <v>405</v>
      </c>
      <c r="K10" s="8">
        <v>330</v>
      </c>
      <c r="L10" s="8">
        <v>305</v>
      </c>
      <c r="M10" s="8">
        <v>330</v>
      </c>
      <c r="N10" s="8">
        <v>425</v>
      </c>
      <c r="O10" s="9">
        <v>475</v>
      </c>
    </row>
    <row r="11" spans="1:15">
      <c r="A11" s="10">
        <v>13</v>
      </c>
      <c r="B11" s="11">
        <v>0</v>
      </c>
      <c r="C11" s="11">
        <v>0</v>
      </c>
      <c r="D11" s="11">
        <v>0</v>
      </c>
      <c r="E11" s="11">
        <v>575.53873650000003</v>
      </c>
      <c r="F11" s="11">
        <v>540</v>
      </c>
      <c r="G11" s="11">
        <v>515</v>
      </c>
      <c r="H11" s="11">
        <v>470</v>
      </c>
      <c r="I11" s="11">
        <v>455</v>
      </c>
      <c r="J11" s="11">
        <v>380</v>
      </c>
      <c r="K11" s="11">
        <v>310</v>
      </c>
      <c r="L11" s="11">
        <v>280</v>
      </c>
      <c r="M11" s="11">
        <v>320</v>
      </c>
      <c r="N11" s="11">
        <v>450</v>
      </c>
      <c r="O11" s="12">
        <v>520</v>
      </c>
    </row>
    <row r="12" spans="1:15">
      <c r="A12" s="7">
        <v>12</v>
      </c>
      <c r="B12" s="8">
        <v>0</v>
      </c>
      <c r="C12" s="8">
        <v>0</v>
      </c>
      <c r="D12" s="8">
        <v>0</v>
      </c>
      <c r="E12" s="8">
        <v>590.99203800000009</v>
      </c>
      <c r="F12" s="8">
        <v>555</v>
      </c>
      <c r="G12" s="8">
        <v>520</v>
      </c>
      <c r="H12" s="8">
        <v>490</v>
      </c>
      <c r="I12" s="8">
        <v>460</v>
      </c>
      <c r="J12" s="8">
        <v>430</v>
      </c>
      <c r="K12" s="8">
        <v>290</v>
      </c>
      <c r="L12" s="8">
        <v>305</v>
      </c>
      <c r="M12" s="8">
        <v>320</v>
      </c>
      <c r="N12" s="8">
        <v>475</v>
      </c>
      <c r="O12" s="9">
        <v>535</v>
      </c>
    </row>
    <row r="13" spans="1:15">
      <c r="A13" s="10">
        <v>11</v>
      </c>
      <c r="B13" s="11">
        <v>0</v>
      </c>
      <c r="C13" s="11">
        <v>0</v>
      </c>
      <c r="D13" s="11">
        <v>0</v>
      </c>
      <c r="E13" s="11">
        <v>601.42151160000014</v>
      </c>
      <c r="F13" s="11">
        <v>575</v>
      </c>
      <c r="G13" s="11">
        <v>550</v>
      </c>
      <c r="H13" s="11">
        <v>510</v>
      </c>
      <c r="I13" s="11">
        <v>470</v>
      </c>
      <c r="J13" s="11">
        <v>435</v>
      </c>
      <c r="K13" s="11">
        <v>350</v>
      </c>
      <c r="L13" s="11">
        <v>340</v>
      </c>
      <c r="M13" s="11">
        <v>315</v>
      </c>
      <c r="N13" s="11">
        <v>500</v>
      </c>
      <c r="O13" s="12">
        <v>540</v>
      </c>
    </row>
    <row r="14" spans="1:15">
      <c r="A14" s="7">
        <v>10</v>
      </c>
      <c r="B14" s="8">
        <v>0</v>
      </c>
      <c r="C14" s="8">
        <v>0</v>
      </c>
      <c r="D14" s="8">
        <v>600</v>
      </c>
      <c r="E14" s="8">
        <v>609.6615525000002</v>
      </c>
      <c r="F14" s="8">
        <v>590</v>
      </c>
      <c r="G14" s="8">
        <v>580</v>
      </c>
      <c r="H14" s="8">
        <v>520</v>
      </c>
      <c r="I14" s="8">
        <v>495</v>
      </c>
      <c r="J14" s="8">
        <v>470</v>
      </c>
      <c r="K14" s="8">
        <v>370</v>
      </c>
      <c r="L14" s="8">
        <v>360</v>
      </c>
      <c r="M14" s="8">
        <v>310</v>
      </c>
      <c r="N14" s="8">
        <v>505</v>
      </c>
      <c r="O14" s="9">
        <v>535</v>
      </c>
    </row>
    <row r="15" spans="1:15">
      <c r="A15" s="10">
        <v>9</v>
      </c>
      <c r="B15" s="11">
        <v>0</v>
      </c>
      <c r="C15" s="11">
        <v>0</v>
      </c>
      <c r="D15" s="11">
        <v>610</v>
      </c>
      <c r="E15" s="11">
        <v>619.68856949999997</v>
      </c>
      <c r="F15" s="11">
        <v>605</v>
      </c>
      <c r="G15" s="11">
        <v>590</v>
      </c>
      <c r="H15" s="11">
        <v>575</v>
      </c>
      <c r="I15" s="11">
        <v>530</v>
      </c>
      <c r="J15" s="11">
        <v>490</v>
      </c>
      <c r="K15" s="11">
        <v>395</v>
      </c>
      <c r="L15" s="11">
        <v>400</v>
      </c>
      <c r="M15" s="11">
        <v>420</v>
      </c>
      <c r="N15" s="11">
        <v>510</v>
      </c>
      <c r="O15" s="12">
        <v>550</v>
      </c>
    </row>
    <row r="16" spans="1:15">
      <c r="A16" s="7">
        <v>8</v>
      </c>
      <c r="B16" s="8">
        <v>0</v>
      </c>
      <c r="C16" s="8">
        <v>0</v>
      </c>
      <c r="D16" s="8">
        <v>625</v>
      </c>
      <c r="E16" s="8">
        <v>648.48829500000011</v>
      </c>
      <c r="F16" s="8">
        <v>625</v>
      </c>
      <c r="G16" s="8">
        <v>600</v>
      </c>
      <c r="H16" s="8">
        <v>580</v>
      </c>
      <c r="I16" s="8">
        <v>535</v>
      </c>
      <c r="J16" s="8">
        <v>495</v>
      </c>
      <c r="K16" s="8">
        <v>415</v>
      </c>
      <c r="L16" s="8">
        <v>430</v>
      </c>
      <c r="M16" s="8">
        <v>495</v>
      </c>
      <c r="N16" s="8">
        <v>560</v>
      </c>
      <c r="O16" s="9">
        <v>630</v>
      </c>
    </row>
    <row r="17" spans="1:15">
      <c r="A17" s="10">
        <v>7</v>
      </c>
      <c r="B17" s="11">
        <v>0</v>
      </c>
      <c r="C17" s="11">
        <v>0</v>
      </c>
      <c r="D17" s="11">
        <v>640</v>
      </c>
      <c r="E17" s="11">
        <v>687.57302250000009</v>
      </c>
      <c r="F17" s="11">
        <v>660</v>
      </c>
      <c r="G17" s="11">
        <v>625</v>
      </c>
      <c r="H17" s="11">
        <v>616</v>
      </c>
      <c r="I17" s="11">
        <v>580</v>
      </c>
      <c r="J17" s="11">
        <v>525</v>
      </c>
      <c r="K17" s="11">
        <v>460</v>
      </c>
      <c r="L17" s="11">
        <v>460</v>
      </c>
      <c r="M17" s="11">
        <v>540</v>
      </c>
      <c r="N17" s="11">
        <v>595</v>
      </c>
      <c r="O17" s="12">
        <v>665</v>
      </c>
    </row>
    <row r="18" spans="1:15">
      <c r="A18" s="7">
        <v>6</v>
      </c>
      <c r="B18" s="8">
        <v>0</v>
      </c>
      <c r="C18" s="8">
        <v>610</v>
      </c>
      <c r="D18" s="8">
        <v>680</v>
      </c>
      <c r="E18" s="8">
        <v>630</v>
      </c>
      <c r="F18" s="8">
        <v>680</v>
      </c>
      <c r="G18" s="8">
        <v>635</v>
      </c>
      <c r="H18" s="8">
        <v>650</v>
      </c>
      <c r="I18" s="8">
        <v>600</v>
      </c>
      <c r="J18" s="8">
        <v>560</v>
      </c>
      <c r="K18" s="8">
        <v>500</v>
      </c>
      <c r="L18" s="8">
        <v>490</v>
      </c>
      <c r="M18" s="8">
        <v>590</v>
      </c>
      <c r="N18" s="8">
        <v>605</v>
      </c>
      <c r="O18" s="9">
        <v>675</v>
      </c>
    </row>
    <row r="19" spans="1:15">
      <c r="A19" s="10">
        <v>5</v>
      </c>
      <c r="B19" s="11">
        <v>0</v>
      </c>
      <c r="C19" s="11">
        <v>680</v>
      </c>
      <c r="D19" s="11">
        <v>690</v>
      </c>
      <c r="E19" s="11">
        <v>745</v>
      </c>
      <c r="F19" s="11">
        <v>725</v>
      </c>
      <c r="G19" s="11">
        <v>705</v>
      </c>
      <c r="H19" s="11">
        <v>690</v>
      </c>
      <c r="I19" s="11">
        <v>650</v>
      </c>
      <c r="J19" s="11">
        <v>620</v>
      </c>
      <c r="K19" s="11">
        <v>590</v>
      </c>
      <c r="L19" s="11">
        <v>570</v>
      </c>
      <c r="M19" s="11">
        <v>625</v>
      </c>
      <c r="N19" s="11">
        <v>670</v>
      </c>
      <c r="O19" s="12">
        <v>730</v>
      </c>
    </row>
    <row r="20" spans="1:15">
      <c r="A20" s="7">
        <v>4</v>
      </c>
      <c r="B20" s="8">
        <v>670</v>
      </c>
      <c r="C20" s="8">
        <v>710</v>
      </c>
      <c r="D20" s="8">
        <v>710</v>
      </c>
      <c r="E20" s="8">
        <v>775</v>
      </c>
      <c r="F20" s="8">
        <v>775</v>
      </c>
      <c r="G20" s="8">
        <v>755</v>
      </c>
      <c r="H20" s="8">
        <v>720</v>
      </c>
      <c r="I20" s="8">
        <v>700</v>
      </c>
      <c r="J20" s="8">
        <v>680</v>
      </c>
      <c r="K20" s="8">
        <v>660</v>
      </c>
      <c r="L20" s="8">
        <v>650</v>
      </c>
      <c r="M20" s="8">
        <v>695</v>
      </c>
      <c r="N20" s="8">
        <v>735</v>
      </c>
      <c r="O20" s="9">
        <v>780</v>
      </c>
    </row>
    <row r="21" spans="1:15">
      <c r="A21" s="10">
        <v>3</v>
      </c>
      <c r="B21" s="11">
        <v>870</v>
      </c>
      <c r="C21" s="11">
        <v>850</v>
      </c>
      <c r="D21" s="11">
        <v>840</v>
      </c>
      <c r="E21" s="11">
        <v>800</v>
      </c>
      <c r="F21" s="11">
        <v>825</v>
      </c>
      <c r="G21" s="11">
        <v>805</v>
      </c>
      <c r="H21" s="11">
        <v>757</v>
      </c>
      <c r="I21" s="11">
        <v>745</v>
      </c>
      <c r="J21" s="11">
        <v>740</v>
      </c>
      <c r="K21" s="11">
        <v>730</v>
      </c>
      <c r="L21" s="11">
        <v>752</v>
      </c>
      <c r="M21" s="11">
        <v>760</v>
      </c>
      <c r="N21" s="11">
        <v>780</v>
      </c>
      <c r="O21" s="12">
        <v>810</v>
      </c>
    </row>
    <row r="22" spans="1:15">
      <c r="A22" s="7">
        <v>2</v>
      </c>
      <c r="B22" s="8">
        <v>1080</v>
      </c>
      <c r="C22" s="8">
        <v>995</v>
      </c>
      <c r="D22" s="8">
        <v>910</v>
      </c>
      <c r="E22" s="8">
        <v>900</v>
      </c>
      <c r="F22" s="8">
        <v>875</v>
      </c>
      <c r="G22" s="8">
        <v>855</v>
      </c>
      <c r="H22" s="8">
        <v>830</v>
      </c>
      <c r="I22" s="8">
        <v>845</v>
      </c>
      <c r="J22" s="8">
        <v>830</v>
      </c>
      <c r="K22" s="8">
        <v>810</v>
      </c>
      <c r="L22" s="8">
        <v>790</v>
      </c>
      <c r="M22" s="8">
        <v>810</v>
      </c>
      <c r="N22" s="8">
        <v>820</v>
      </c>
      <c r="O22" s="9">
        <v>840</v>
      </c>
    </row>
    <row r="23" spans="1:15">
      <c r="A23" s="10">
        <v>1</v>
      </c>
      <c r="B23" s="11">
        <v>1210</v>
      </c>
      <c r="C23" s="11">
        <v>1140</v>
      </c>
      <c r="D23" s="11">
        <v>1070</v>
      </c>
      <c r="E23" s="11">
        <v>995</v>
      </c>
      <c r="F23" s="11">
        <v>980</v>
      </c>
      <c r="G23" s="11">
        <v>965</v>
      </c>
      <c r="H23" s="11">
        <v>950</v>
      </c>
      <c r="I23" s="11">
        <v>945</v>
      </c>
      <c r="J23" s="11">
        <v>920</v>
      </c>
      <c r="K23" s="11">
        <v>890</v>
      </c>
      <c r="L23" s="11">
        <v>860</v>
      </c>
      <c r="M23" s="11">
        <v>860</v>
      </c>
      <c r="N23" s="11">
        <v>850</v>
      </c>
      <c r="O23" s="12">
        <v>845</v>
      </c>
    </row>
    <row r="24" spans="1:15">
      <c r="A24" s="13">
        <v>0</v>
      </c>
      <c r="B24" s="14">
        <v>1490</v>
      </c>
      <c r="C24" s="14">
        <v>1400</v>
      </c>
      <c r="D24" s="14">
        <v>1320</v>
      </c>
      <c r="E24" s="14">
        <v>1240</v>
      </c>
      <c r="F24" s="14">
        <v>1160</v>
      </c>
      <c r="G24" s="14">
        <v>1110</v>
      </c>
      <c r="H24" s="14">
        <v>1070</v>
      </c>
      <c r="I24" s="14">
        <v>1025</v>
      </c>
      <c r="J24" s="14">
        <v>990</v>
      </c>
      <c r="K24" s="14">
        <v>950</v>
      </c>
      <c r="L24" s="14">
        <v>910</v>
      </c>
      <c r="M24" s="14">
        <v>905</v>
      </c>
      <c r="N24" s="14">
        <v>880</v>
      </c>
      <c r="O24" s="15">
        <v>870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D347F-FDBC-45D3-9EF5-1A058D60ED97}">
  <dimension ref="A1:O11"/>
  <sheetViews>
    <sheetView tabSelected="1" workbookViewId="0">
      <selection activeCell="D4" sqref="D4"/>
    </sheetView>
  </sheetViews>
  <sheetFormatPr defaultRowHeight="14.5"/>
  <cols>
    <col min="1" max="1" width="18.81640625" bestFit="1" customWidth="1"/>
    <col min="2" max="2" width="20.26953125" bestFit="1" customWidth="1"/>
    <col min="3" max="3" width="15.7265625" bestFit="1" customWidth="1"/>
    <col min="4" max="4" width="32.81640625" bestFit="1" customWidth="1"/>
    <col min="5" max="5" width="22" bestFit="1" customWidth="1"/>
    <col min="6" max="6" width="25.81640625" bestFit="1" customWidth="1"/>
    <col min="7" max="7" width="6.453125" bestFit="1" customWidth="1"/>
    <col min="8" max="8" width="23.26953125" bestFit="1" customWidth="1"/>
    <col min="9" max="9" width="24.81640625" bestFit="1" customWidth="1"/>
    <col min="11" max="11" width="31.7265625" bestFit="1" customWidth="1"/>
    <col min="12" max="12" width="15.453125" bestFit="1" customWidth="1"/>
    <col min="13" max="13" width="15.1796875" bestFit="1" customWidth="1"/>
    <col min="14" max="14" width="15.81640625" bestFit="1" customWidth="1"/>
    <col min="15" max="15" width="17.81640625" bestFit="1" customWidth="1"/>
  </cols>
  <sheetData>
    <row r="1" spans="1:15">
      <c r="A1" s="27" t="s">
        <v>116</v>
      </c>
      <c r="B1" s="27" t="s">
        <v>117</v>
      </c>
      <c r="C1" s="27" t="s">
        <v>115</v>
      </c>
      <c r="D1" s="27" t="s">
        <v>119</v>
      </c>
      <c r="E1" s="27" t="s">
        <v>118</v>
      </c>
      <c r="F1" s="27" t="s">
        <v>143</v>
      </c>
      <c r="G1" s="27" t="s">
        <v>140</v>
      </c>
      <c r="H1" s="27" t="s">
        <v>139</v>
      </c>
      <c r="I1" s="27" t="s">
        <v>127</v>
      </c>
      <c r="J1" s="27" t="s">
        <v>108</v>
      </c>
      <c r="K1" s="27" t="s">
        <v>126</v>
      </c>
      <c r="L1" s="27" t="s">
        <v>123</v>
      </c>
      <c r="M1" s="27" t="s">
        <v>122</v>
      </c>
      <c r="N1" s="27" t="s">
        <v>121</v>
      </c>
      <c r="O1" s="27" t="s">
        <v>124</v>
      </c>
    </row>
    <row r="2" spans="1:15">
      <c r="A2">
        <f>AVERAGE(Track!P2:P1709)</f>
        <v>12.12045459578512</v>
      </c>
      <c r="B2">
        <f>SUM(Track!O2:O1709)/1708</f>
        <v>16.253794549799164</v>
      </c>
      <c r="C2">
        <f>MAX(Track!P2:P1709)</f>
        <v>16.407631676727274</v>
      </c>
      <c r="D2">
        <f>C2-A2</f>
        <v>4.2871770809421541</v>
      </c>
      <c r="E2">
        <f>Track!W1709</f>
        <v>1581015.3145042106</v>
      </c>
      <c r="F2">
        <f>Track!W578-Track!W522-A2*1000*(Track!L547-Track!L521)</f>
        <v>30213.592616845242</v>
      </c>
      <c r="G2">
        <f>F2/3600000</f>
        <v>8.3926646157903451E-3</v>
      </c>
      <c r="H2">
        <f>(Track!B289^2-Track!B296^2)*0.5*Specification!C23</f>
        <v>9501.9724799999694</v>
      </c>
      <c r="I2">
        <f>Specification!C23*9.81*Track!M549</f>
        <v>13888.919430010754</v>
      </c>
      <c r="J2">
        <f>BSFC!L8</f>
        <v>350</v>
      </c>
      <c r="K2">
        <f>I2*'Track Design'!F16+H2*'Track Design'!H16</f>
        <v>158621.21784008588</v>
      </c>
      <c r="L2">
        <f>K2/E2*100</f>
        <v>10.032870420981835</v>
      </c>
      <c r="M2">
        <f>Track!L1709*'Hybrid Info'!A2/3600*J2</f>
        <v>155.11169605822403</v>
      </c>
      <c r="N2">
        <f>Track!U1709</f>
        <v>215.190013825817</v>
      </c>
      <c r="O2">
        <f>100-M2/N2*100</f>
        <v>27.918729451926453</v>
      </c>
    </row>
    <row r="3" spans="1:15">
      <c r="A3" s="27" t="s">
        <v>142</v>
      </c>
      <c r="B3" s="27" t="s">
        <v>145</v>
      </c>
      <c r="C3" s="27" t="s">
        <v>153</v>
      </c>
    </row>
    <row r="4" spans="1:15">
      <c r="A4">
        <f>MEDIAN(Track!P2:P1709)</f>
        <v>11.723390955882353</v>
      </c>
      <c r="B4">
        <f>MIN(Track!X2:X1709)</f>
        <v>-51726.452773185709</v>
      </c>
      <c r="C4">
        <f>MAX(Track!O2:O1709)</f>
        <v>22.00299272727273</v>
      </c>
    </row>
    <row r="6" spans="1:15">
      <c r="B6" s="27" t="s">
        <v>128</v>
      </c>
      <c r="C6" s="27" t="s">
        <v>129</v>
      </c>
      <c r="D6" s="27" t="s">
        <v>130</v>
      </c>
      <c r="E6" s="27" t="s">
        <v>131</v>
      </c>
      <c r="F6" s="27" t="s">
        <v>132</v>
      </c>
      <c r="G6" s="27" t="s">
        <v>141</v>
      </c>
    </row>
    <row r="7" spans="1:15">
      <c r="A7" s="27" t="s">
        <v>133</v>
      </c>
      <c r="B7" t="s">
        <v>136</v>
      </c>
      <c r="C7" t="s">
        <v>149</v>
      </c>
      <c r="D7" t="s">
        <v>146</v>
      </c>
      <c r="F7" t="s">
        <v>148</v>
      </c>
    </row>
    <row r="8" spans="1:15">
      <c r="A8" s="27" t="s">
        <v>134</v>
      </c>
      <c r="B8" s="23">
        <v>0</v>
      </c>
      <c r="F8">
        <f>985.89*2</f>
        <v>1971.78</v>
      </c>
      <c r="G8" s="23">
        <f>SUM(B8:F8)</f>
        <v>1971.78</v>
      </c>
    </row>
    <row r="9" spans="1:15">
      <c r="A9" s="27" t="s">
        <v>135</v>
      </c>
      <c r="B9" t="s">
        <v>137</v>
      </c>
      <c r="C9">
        <v>0.92</v>
      </c>
      <c r="D9">
        <v>0.9</v>
      </c>
      <c r="E9">
        <v>0.95</v>
      </c>
      <c r="F9">
        <v>0.95</v>
      </c>
      <c r="G9">
        <f>F9*E9*D9*C9</f>
        <v>0.7472700000000001</v>
      </c>
      <c r="H9">
        <f>1/G9</f>
        <v>1.3382043973396496</v>
      </c>
    </row>
    <row r="10" spans="1:15">
      <c r="A10" s="27" t="s">
        <v>138</v>
      </c>
      <c r="B10" t="s">
        <v>147</v>
      </c>
    </row>
    <row r="11" spans="1:15">
      <c r="A11" s="27" t="s">
        <v>150</v>
      </c>
      <c r="C11" t="s">
        <v>151</v>
      </c>
      <c r="E11" t="s">
        <v>152</v>
      </c>
      <c r="F11" t="s">
        <v>151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016134-FD58-4BBC-B106-91A0E0723E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Specification</vt:lpstr>
      <vt:lpstr>RPM</vt:lpstr>
      <vt:lpstr>Track Design</vt:lpstr>
      <vt:lpstr>Track</vt:lpstr>
      <vt:lpstr>BSFC</vt:lpstr>
      <vt:lpstr>Hybrid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Shade Hanbei</dc:creator>
  <cp:lastModifiedBy>Kyle Turner</cp:lastModifiedBy>
  <dcterms:created xsi:type="dcterms:W3CDTF">2021-11-25T12:58:37Z</dcterms:created>
  <dcterms:modified xsi:type="dcterms:W3CDTF">2022-04-04T10:41:08Z</dcterms:modified>
</cp:coreProperties>
</file>