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359" documentId="8_{07B5229A-CFDC-4CFA-A06E-9EF1D9B43BD8}" xr6:coauthVersionLast="47" xr6:coauthVersionMax="47" xr10:uidLastSave="{6E2EE49C-8A70-4759-AD65-65B21288EBBD}"/>
  <bookViews>
    <workbookView xWindow="0" yWindow="0" windowWidth="28800" windowHeight="15600" tabRatio="840" firstSheet="3" activeTab="1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5" i="61" l="1"/>
  <c r="L22" i="61"/>
  <c r="L26" i="61"/>
  <c r="L24" i="61" a="1"/>
  <c r="L24" i="61" s="1"/>
  <c r="L23" i="61"/>
  <c r="F22" i="61"/>
  <c r="F23" i="61"/>
  <c r="F24" i="61"/>
  <c r="F25" i="61"/>
  <c r="F26" i="61"/>
  <c r="F27" i="61"/>
  <c r="F28" i="61"/>
  <c r="F29" i="61"/>
  <c r="F30" i="61"/>
  <c r="F31" i="61"/>
  <c r="F32" i="61"/>
  <c r="F21" i="61"/>
  <c r="E22" i="61"/>
  <c r="E23" i="61"/>
  <c r="E24" i="61"/>
  <c r="E25" i="61"/>
  <c r="E26" i="61"/>
  <c r="E27" i="61"/>
  <c r="E28" i="61"/>
  <c r="E29" i="61"/>
  <c r="E30" i="61"/>
  <c r="E31" i="61"/>
  <c r="E32" i="61"/>
  <c r="E21" i="61"/>
  <c r="D22" i="61" a="1"/>
  <c r="D22" i="61" s="1"/>
  <c r="D23" i="61" a="1"/>
  <c r="D23" i="61"/>
  <c r="D24" i="61" a="1"/>
  <c r="D24" i="61"/>
  <c r="D25" i="61" a="1"/>
  <c r="D25" i="61" s="1"/>
  <c r="D26" i="61" a="1"/>
  <c r="D26" i="61"/>
  <c r="D27" i="61" a="1"/>
  <c r="D27" i="61"/>
  <c r="D28" i="61" a="1"/>
  <c r="D28" i="61" s="1"/>
  <c r="D29" i="61" a="1"/>
  <c r="D29" i="61" s="1"/>
  <c r="D30" i="61" a="1"/>
  <c r="D30" i="61" s="1"/>
  <c r="D31" i="61" a="1"/>
  <c r="D31" i="61" s="1"/>
  <c r="D32" i="61" a="1"/>
  <c r="D32" i="61" s="1"/>
  <c r="D21" i="61" a="1"/>
  <c r="D21" i="61" s="1"/>
  <c r="C22" i="61"/>
  <c r="C23" i="61"/>
  <c r="C24" i="61"/>
  <c r="C25" i="61"/>
  <c r="C26" i="61"/>
  <c r="C27" i="61"/>
  <c r="C28" i="61"/>
  <c r="C29" i="61"/>
  <c r="C30" i="61"/>
  <c r="C31" i="61"/>
  <c r="C32" i="61"/>
  <c r="C21" i="61"/>
  <c r="B32" i="61"/>
  <c r="B31" i="61"/>
  <c r="B30" i="61"/>
  <c r="B29" i="61"/>
  <c r="B28" i="61"/>
  <c r="B22" i="61"/>
  <c r="B23" i="61"/>
  <c r="B24" i="61"/>
  <c r="B25" i="61"/>
  <c r="B26" i="61"/>
  <c r="B27" i="61"/>
  <c r="B21" i="61"/>
  <c r="N27" i="52"/>
  <c r="N26" i="52"/>
  <c r="N25" i="52" a="1"/>
  <c r="N25" i="52" s="1"/>
  <c r="N24" i="52"/>
  <c r="N23" i="52"/>
  <c r="C25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22" i="52"/>
  <c r="E23" i="52"/>
  <c r="E24" i="52"/>
  <c r="E25" i="52"/>
  <c r="E26" i="52"/>
  <c r="E27" i="52"/>
  <c r="E28" i="52"/>
  <c r="E29" i="52"/>
  <c r="E30" i="52"/>
  <c r="E31" i="52"/>
  <c r="E32" i="52"/>
  <c r="E33" i="52"/>
  <c r="E34" i="52"/>
  <c r="E22" i="52"/>
  <c r="D24" i="52" a="1"/>
  <c r="D24" i="52"/>
  <c r="D23" i="52" a="1"/>
  <c r="D23" i="52" s="1"/>
  <c r="D25" i="52" a="1"/>
  <c r="D25" i="52"/>
  <c r="D26" i="52" a="1"/>
  <c r="D26" i="52" s="1"/>
  <c r="D27" i="52" a="1"/>
  <c r="D27" i="52"/>
  <c r="D28" i="52" a="1"/>
  <c r="D28" i="52" s="1"/>
  <c r="D29" i="52" a="1"/>
  <c r="D29" i="52"/>
  <c r="D30" i="52" a="1"/>
  <c r="D30" i="52" s="1"/>
  <c r="D31" i="52" a="1"/>
  <c r="D31" i="52" s="1"/>
  <c r="D32" i="52" a="1"/>
  <c r="D32" i="52" s="1"/>
  <c r="D33" i="52" a="1"/>
  <c r="D33" i="52" s="1"/>
  <c r="D34" i="52" a="1"/>
  <c r="D34" i="52" s="1"/>
  <c r="D22" i="52" a="1"/>
  <c r="D22" i="52" s="1"/>
  <c r="C23" i="52"/>
  <c r="C24" i="52"/>
  <c r="C26" i="52"/>
  <c r="C27" i="52"/>
  <c r="C28" i="52"/>
  <c r="C29" i="52"/>
  <c r="C30" i="52"/>
  <c r="C31" i="52"/>
  <c r="C32" i="52"/>
  <c r="C33" i="52"/>
  <c r="C34" i="52"/>
  <c r="C22" i="52"/>
  <c r="B31" i="52"/>
  <c r="B32" i="52"/>
  <c r="B33" i="52"/>
  <c r="B34" i="52"/>
  <c r="B23" i="52"/>
  <c r="B24" i="52"/>
  <c r="B25" i="52"/>
  <c r="B26" i="52"/>
  <c r="B27" i="52"/>
  <c r="B28" i="52"/>
  <c r="B29" i="52"/>
  <c r="B30" i="52"/>
  <c r="B22" i="52"/>
  <c r="C37" i="46"/>
  <c r="D37" i="46"/>
  <c r="E37" i="46"/>
  <c r="F37" i="46"/>
  <c r="G37" i="46"/>
  <c r="H37" i="46"/>
  <c r="I37" i="46"/>
  <c r="J37" i="46"/>
  <c r="K37" i="46"/>
  <c r="L37" i="46"/>
  <c r="M37" i="46"/>
  <c r="N37" i="46"/>
  <c r="O37" i="46"/>
  <c r="P37" i="46"/>
  <c r="C36" i="46"/>
  <c r="D36" i="46"/>
  <c r="E36" i="46"/>
  <c r="F36" i="46"/>
  <c r="G36" i="46"/>
  <c r="H36" i="46"/>
  <c r="I36" i="46"/>
  <c r="J36" i="46"/>
  <c r="K36" i="46"/>
  <c r="L36" i="46"/>
  <c r="M36" i="46"/>
  <c r="N36" i="46"/>
  <c r="O36" i="46"/>
  <c r="P36" i="46"/>
  <c r="C35" i="46" a="1"/>
  <c r="C35" i="46" s="1"/>
  <c r="D35" i="46" a="1"/>
  <c r="D35" i="46" s="1"/>
  <c r="E35" i="46" a="1"/>
  <c r="E35" i="46" s="1"/>
  <c r="F35" i="46" a="1"/>
  <c r="F35" i="46" s="1"/>
  <c r="G35" i="46" a="1"/>
  <c r="G35" i="46" s="1"/>
  <c r="H35" i="46" a="1"/>
  <c r="H35" i="46" s="1"/>
  <c r="I35" i="46" a="1"/>
  <c r="I35" i="46" s="1"/>
  <c r="J35" i="46" a="1"/>
  <c r="J35" i="46"/>
  <c r="K35" i="46" a="1"/>
  <c r="K35" i="46" s="1"/>
  <c r="L35" i="46" a="1"/>
  <c r="L35" i="46" s="1"/>
  <c r="M35" i="46" a="1"/>
  <c r="M35" i="46" s="1"/>
  <c r="N35" i="46" a="1"/>
  <c r="N35" i="46" s="1"/>
  <c r="O35" i="46" a="1"/>
  <c r="O35" i="46" s="1"/>
  <c r="P35" i="46" a="1"/>
  <c r="P35" i="46" s="1"/>
  <c r="C34" i="46"/>
  <c r="D34" i="46"/>
  <c r="E34" i="46"/>
  <c r="F34" i="46"/>
  <c r="G34" i="46"/>
  <c r="H34" i="46"/>
  <c r="I34" i="46"/>
  <c r="J34" i="46"/>
  <c r="K34" i="46"/>
  <c r="L34" i="46"/>
  <c r="M34" i="46"/>
  <c r="N34" i="46"/>
  <c r="O34" i="46"/>
  <c r="P34" i="46"/>
  <c r="C33" i="46"/>
  <c r="D33" i="46"/>
  <c r="E33" i="46"/>
  <c r="F33" i="46"/>
  <c r="G33" i="46"/>
  <c r="H33" i="46"/>
  <c r="I33" i="46"/>
  <c r="J33" i="46"/>
  <c r="K33" i="46"/>
  <c r="L33" i="46"/>
  <c r="M33" i="46"/>
  <c r="N33" i="46"/>
  <c r="O33" i="46"/>
  <c r="P33" i="46"/>
  <c r="B37" i="46"/>
  <c r="B36" i="46"/>
  <c r="B35" i="46" a="1"/>
  <c r="B35" i="46" s="1"/>
  <c r="B34" i="46"/>
  <c r="B33" i="46"/>
  <c r="C35" i="44"/>
  <c r="D35" i="44"/>
  <c r="E35" i="44"/>
  <c r="F35" i="44"/>
  <c r="G35" i="44"/>
  <c r="H35" i="44"/>
  <c r="I35" i="44"/>
  <c r="J35" i="44"/>
  <c r="K35" i="44"/>
  <c r="L35" i="44"/>
  <c r="M35" i="44"/>
  <c r="N35" i="44"/>
  <c r="O35" i="44"/>
  <c r="B35" i="44"/>
  <c r="C34" i="44"/>
  <c r="D34" i="44"/>
  <c r="E34" i="44"/>
  <c r="F34" i="44"/>
  <c r="G34" i="44"/>
  <c r="H34" i="44"/>
  <c r="I34" i="44"/>
  <c r="J34" i="44"/>
  <c r="K34" i="44"/>
  <c r="L34" i="44"/>
  <c r="M34" i="44"/>
  <c r="N34" i="44"/>
  <c r="O34" i="44"/>
  <c r="B34" i="44"/>
  <c r="C31" i="44"/>
  <c r="D31" i="44"/>
  <c r="E31" i="44"/>
  <c r="F31" i="44"/>
  <c r="G31" i="44"/>
  <c r="H31" i="44"/>
  <c r="I31" i="44"/>
  <c r="J31" i="44"/>
  <c r="K31" i="44"/>
  <c r="L31" i="44"/>
  <c r="M31" i="44"/>
  <c r="N31" i="44"/>
  <c r="O31" i="44"/>
  <c r="B31" i="44"/>
  <c r="C33" i="44" a="1"/>
  <c r="C33" i="44" s="1"/>
  <c r="D33" i="44" a="1"/>
  <c r="D33" i="44" s="1"/>
  <c r="E33" i="44" a="1"/>
  <c r="E33" i="44" s="1"/>
  <c r="F33" i="44" a="1"/>
  <c r="F33" i="44" s="1"/>
  <c r="G33" i="44" a="1"/>
  <c r="G33" i="44" s="1"/>
  <c r="H33" i="44" a="1"/>
  <c r="H33" i="44" s="1"/>
  <c r="I33" i="44" a="1"/>
  <c r="I33" i="44" s="1"/>
  <c r="J33" i="44" a="1"/>
  <c r="J33" i="44" s="1"/>
  <c r="K33" i="44" a="1"/>
  <c r="K33" i="44" s="1"/>
  <c r="L33" i="44" a="1"/>
  <c r="L33" i="44" s="1"/>
  <c r="M33" i="44" a="1"/>
  <c r="M33" i="44" s="1"/>
  <c r="N33" i="44" a="1"/>
  <c r="N33" i="44" s="1"/>
  <c r="O33" i="44" a="1"/>
  <c r="O33" i="44" s="1"/>
  <c r="B33" i="44" a="1"/>
  <c r="B33" i="44" s="1"/>
  <c r="C32" i="44"/>
  <c r="D32" i="44"/>
  <c r="E32" i="44"/>
  <c r="F32" i="44"/>
  <c r="G32" i="44"/>
  <c r="H32" i="44"/>
  <c r="I32" i="44"/>
  <c r="J32" i="44"/>
  <c r="K32" i="44"/>
  <c r="L32" i="44"/>
  <c r="M32" i="44"/>
  <c r="N32" i="44"/>
  <c r="O32" i="44"/>
  <c r="B32" i="4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<sst xmlns="http://schemas.openxmlformats.org/spreadsheetml/2006/main" count="169" uniqueCount="117">
  <si>
    <t>Value of construction output by type of work: New Work for Public Sector, Great Britain, Current Prices</t>
  </si>
  <si>
    <t>£ million</t>
  </si>
  <si>
    <t>Time period</t>
  </si>
  <si>
    <t>Total public new housing</t>
  </si>
  <si>
    <t>Total public infrastructure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</si>
  <si>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</si>
  <si>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</si>
  <si>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</si>
  <si>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</si>
  <si>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</si>
  <si>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</si>
  <si>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</si>
  <si>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</si>
  <si>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</si>
  <si>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</si>
  <si>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</si>
  <si>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All Public Sector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</si>
  <si>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</si>
  <si>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mean </t>
  </si>
  <si>
    <t>mode</t>
  </si>
  <si>
    <t xml:space="preserve">range </t>
  </si>
  <si>
    <t xml:space="preserve">median </t>
  </si>
  <si>
    <t>standard deviation</t>
  </si>
  <si>
    <t>Value of construction output by type of work: New Work for Private Sector, Great Britain, Current Prices</t>
  </si>
  <si>
    <t>Total private new housing</t>
  </si>
  <si>
    <t>Total private Infrastructure</t>
  </si>
  <si>
    <t>Private industrial: factories</t>
  </si>
  <si>
    <t>Private industrial: warehouses</t>
  </si>
  <si>
    <t>Private industrial: oil, steel &amp; coal</t>
  </si>
  <si>
    <t>All private industrial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</si>
  <si>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</si>
  <si>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</si>
  <si>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</si>
  <si>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</si>
  <si>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</si>
  <si>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</si>
  <si>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</si>
  <si>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>All private commercial</t>
  </si>
  <si>
    <t>All Private Sector</t>
  </si>
  <si>
    <t>median</t>
  </si>
  <si>
    <t xml:space="preserve">standard deviation </t>
  </si>
  <si>
    <t xml:space="preserve"> Construction firms:  Number of Firms, by size of Firm, Great Britain    </t>
  </si>
  <si>
    <t xml:space="preserve">Size of Firm 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</si>
  <si>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</si>
  <si>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</si>
  <si>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</si>
  <si>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</si>
  <si>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</si>
  <si>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</si>
  <si>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</si>
  <si>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</si>
  <si>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</si>
  <si>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</si>
  <si>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</si>
  <si>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</si>
  <si>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</si>
  <si>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</si>
  <si>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</si>
  <si>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</si>
  <si>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</si>
  <si>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</si>
  <si>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</si>
  <si>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</si>
  <si>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</si>
  <si>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</si>
  <si>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</si>
  <si>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</si>
  <si>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</si>
  <si>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</si>
  <si>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</si>
  <si>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</si>
  <si>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</si>
  <si>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</si>
  <si>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</si>
  <si>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</si>
  <si>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</si>
  <si>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</si>
  <si>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</si>
  <si>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</si>
  <si>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</si>
  <si>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</si>
  <si>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</si>
  <si>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</si>
  <si>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</si>
  <si>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mean</t>
  </si>
  <si>
    <t>range</t>
  </si>
  <si>
    <t xml:space="preserve">all firms </t>
  </si>
  <si>
    <t xml:space="preserve">mode </t>
  </si>
  <si>
    <t xml:space="preserve">Construction firms:  Number of Firms, By turnover size band, Great Britain       </t>
  </si>
  <si>
    <t>Size of firm (by turnover size band)</t>
  </si>
  <si>
    <t xml:space="preserve">2009 </t>
  </si>
  <si>
    <t xml:space="preserve">2010 </t>
  </si>
  <si>
    <t xml:space="preserve">2011 </t>
  </si>
  <si>
    <t xml:space="preserve">2012 </t>
  </si>
  <si>
    <t xml:space="preserve">2013 </t>
  </si>
  <si>
    <t xml:space="preserve">2014 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</si>
  <si>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</si>
  <si>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</si>
  <si>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</si>
  <si>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</si>
  <si>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</si>
  <si>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</si>
  <si>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 xml:space="preserve">2021 </t>
  </si>
  <si>
    <t xml:space="preserve">2022 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</si>
  <si>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</si>
  <si>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</si>
  <si>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</si>
  <si>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</si>
  <si>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</si>
  <si>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</si>
  <si>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</si>
  <si>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</si>
  <si>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</si>
  <si>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</si>
  <si>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</si>
  <si>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</si>
  <si>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All firms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</si>
</sst>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General_)"/>
  </numFmts>
  <fonts count="3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  <font>
      <b/>
      <sz val="11"/>
      <color theme="1"/>
      <name val="Arial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5" fontId="5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164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164" fontId="29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37">
    <xf numFmtId="0" fontId="0" fillId="0" borderId="0" xfId="0"/>
    <xf numFmtId="165" fontId="1" fillId="0" borderId="0" xfId="0" applyNumberFormat="1" applyFont="1" applyAlignment="1">
      <alignment horizontal="left" vertical="center" wrapText="1"/>
    </xf>
    <xf numFmtId="165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5" fontId="8" fillId="0" borderId="6" xfId="11" applyFont="1" applyBorder="1" applyAlignment="1">
      <alignment horizontal="left" wrapText="1"/>
    </xf>
    <xf numFmtId="165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3" fontId="0" fillId="0" borderId="0" xfId="0" applyNumberFormat="1"/>
    <xf numFmtId="0" fontId="36" fillId="0" borderId="3" xfId="0" applyFont="1" applyBorder="1" applyAlignment="1">
      <alignment horizontal="right"/>
    </xf>
    <xf numFmtId="3" fontId="36" fillId="0" borderId="19" xfId="0" applyNumberFormat="1" applyFont="1" applyBorder="1" applyAlignment="1">
      <alignment horizontal="right"/>
    </xf>
    <xf numFmtId="3" fontId="36" fillId="0" borderId="4" xfId="0" applyNumberFormat="1" applyFont="1" applyBorder="1" applyAlignment="1">
      <alignment horizontal="right"/>
    </xf>
    <xf numFmtId="3" fontId="34" fillId="0" borderId="20" xfId="0" applyNumberFormat="1" applyFont="1" applyBorder="1" applyAlignment="1">
      <alignment horizontal="right"/>
    </xf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6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6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private housing and infrastructure over the years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v>Years</c:v>
          </c:tx>
          <c:spPr>
            <a:solidFill>
              <a:srgbClr val="637CEF"/>
            </a:solidFill>
            <a:ln>
              <a:noFill/>
            </a:ln>
            <a:effectLst/>
          </c:spPr>
          <c:invertIfNegative val="0"/>
          <c:val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5C5-4D71-A1D7-B0F9F0B0B72A}"/>
            </c:ext>
          </c:extLst>
        </c:ser>
        <c:ser>
          <c:idx val="1"/>
          <c:order val="1"/>
          <c:tx>
            <c:v>total private housing </c:v>
          </c:tx>
          <c:spPr>
            <a:solidFill>
              <a:srgbClr val="E3008C"/>
            </a:solidFill>
            <a:ln>
              <a:noFill/>
            </a:ln>
            <a:effectLst/>
          </c:spPr>
          <c:invertIfNegative val="0"/>
          <c:val>
            <c:numRef>
              <c:f>'Private Sector Value'!$B$5:$B$30</c:f>
              <c:numCache>
                <c:formatCode>#,##0</c:formatCode>
                <c:ptCount val="26"/>
                <c:pt idx="0">
                  <c:v>8146</c:v>
                </c:pt>
                <c:pt idx="1">
                  <c:v>8079</c:v>
                </c:pt>
                <c:pt idx="2">
                  <c:v>9475</c:v>
                </c:pt>
                <c:pt idx="3">
                  <c:v>9639</c:v>
                </c:pt>
                <c:pt idx="4">
                  <c:v>11453</c:v>
                </c:pt>
                <c:pt idx="5">
                  <c:v>15017</c:v>
                </c:pt>
                <c:pt idx="6">
                  <c:v>18977</c:v>
                </c:pt>
                <c:pt idx="7">
                  <c:v>20715</c:v>
                </c:pt>
                <c:pt idx="8">
                  <c:v>21765</c:v>
                </c:pt>
                <c:pt idx="9">
                  <c:v>22146</c:v>
                </c:pt>
                <c:pt idx="10">
                  <c:v>18138</c:v>
                </c:pt>
                <c:pt idx="11">
                  <c:v>12592</c:v>
                </c:pt>
                <c:pt idx="12">
                  <c:v>14839</c:v>
                </c:pt>
                <c:pt idx="13">
                  <c:v>16334</c:v>
                </c:pt>
                <c:pt idx="14">
                  <c:v>16066</c:v>
                </c:pt>
                <c:pt idx="15">
                  <c:v>18088</c:v>
                </c:pt>
                <c:pt idx="16">
                  <c:v>23717</c:v>
                </c:pt>
                <c:pt idx="17">
                  <c:v>26261</c:v>
                </c:pt>
                <c:pt idx="18">
                  <c:v>30573</c:v>
                </c:pt>
                <c:pt idx="19">
                  <c:v>34406</c:v>
                </c:pt>
                <c:pt idx="20">
                  <c:v>37669</c:v>
                </c:pt>
                <c:pt idx="21">
                  <c:v>40668</c:v>
                </c:pt>
                <c:pt idx="22">
                  <c:v>33319</c:v>
                </c:pt>
                <c:pt idx="23">
                  <c:v>41031</c:v>
                </c:pt>
                <c:pt idx="24">
                  <c:v>50479</c:v>
                </c:pt>
                <c:pt idx="25">
                  <c:v>46255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5C5-4D71-A1D7-B0F9F0B0B72A}"/>
            </c:ext>
          </c:extLst>
        </c:ser>
        <c:ser>
          <c:idx val="2"/>
          <c:order val="2"/>
          <c:tx>
            <c:v>total private infrastructure </c:v>
          </c:tx>
          <c:spPr>
            <a:solidFill>
              <a:srgbClr val="2AA0A4"/>
            </a:solidFill>
            <a:ln>
              <a:noFill/>
            </a:ln>
            <a:effectLst/>
          </c:spPr>
          <c:invertIfNegative val="0"/>
          <c:val>
            <c:numRef>
              <c:f>'Private Sector Value'!$C$5:$C$30</c:f>
              <c:numCache>
                <c:formatCode>#,##0</c:formatCode>
                <c:ptCount val="26"/>
                <c:pt idx="0">
                  <c:v>4924</c:v>
                </c:pt>
                <c:pt idx="1">
                  <c:v>4807</c:v>
                </c:pt>
                <c:pt idx="2">
                  <c:v>5305</c:v>
                </c:pt>
                <c:pt idx="3">
                  <c:v>5782</c:v>
                </c:pt>
                <c:pt idx="4">
                  <c:v>6034</c:v>
                </c:pt>
                <c:pt idx="5">
                  <c:v>5395</c:v>
                </c:pt>
                <c:pt idx="6">
                  <c:v>5099</c:v>
                </c:pt>
                <c:pt idx="7">
                  <c:v>5160</c:v>
                </c:pt>
                <c:pt idx="8">
                  <c:v>5305</c:v>
                </c:pt>
                <c:pt idx="9">
                  <c:v>5582</c:v>
                </c:pt>
                <c:pt idx="10">
                  <c:v>6322</c:v>
                </c:pt>
                <c:pt idx="11">
                  <c:v>6448</c:v>
                </c:pt>
                <c:pt idx="12">
                  <c:v>8535</c:v>
                </c:pt>
                <c:pt idx="13">
                  <c:v>9710</c:v>
                </c:pt>
                <c:pt idx="14">
                  <c:v>9567</c:v>
                </c:pt>
                <c:pt idx="15">
                  <c:v>8896</c:v>
                </c:pt>
                <c:pt idx="16">
                  <c:v>9377</c:v>
                </c:pt>
                <c:pt idx="17">
                  <c:v>10979</c:v>
                </c:pt>
                <c:pt idx="18">
                  <c:v>10517</c:v>
                </c:pt>
                <c:pt idx="19">
                  <c:v>12331</c:v>
                </c:pt>
                <c:pt idx="20">
                  <c:v>11139</c:v>
                </c:pt>
                <c:pt idx="21">
                  <c:v>11937</c:v>
                </c:pt>
                <c:pt idx="22">
                  <c:v>10839</c:v>
                </c:pt>
                <c:pt idx="23">
                  <c:v>13836</c:v>
                </c:pt>
                <c:pt idx="24">
                  <c:v>14072</c:v>
                </c:pt>
                <c:pt idx="25">
                  <c:v>16643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5C5-4D71-A1D7-B0F9F0B0B7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12356360"/>
        <c:axId val="1397710856"/>
      </c:barChart>
      <c:catAx>
        <c:axId val="1312356360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7710856"/>
        <c:crosses val="autoZero"/>
        <c:auto val="1"/>
        <c:lblAlgn val="ctr"/>
        <c:lblOffset val="100"/>
        <c:noMultiLvlLbl val="0"/>
      </c:catAx>
      <c:valAx>
        <c:axId val="1397710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2356360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9471999686216058"/>
          <c:y val="0.93296668685645068"/>
          <c:w val="0.2167866563379453"/>
          <c:h val="4.94508955611317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number of firms over years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637CEF"/>
            </a:solidFill>
            <a:ln>
              <a:noFill/>
            </a:ln>
            <a:effectLst/>
          </c:spPr>
          <c:invertIfNegative val="0"/>
          <c:cat>
            <c:strRef>
              <c:f>'Firm Size'!$W$97:$AW$97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2023</c:v>
                </c:pt>
              </c:strCache>
            </c:strRef>
          </c:cat>
          <c:val>
            <c:numRef>
              <c:f>'Firm Size'!$W$98:$AW$98</c:f>
              <c:numCache>
                <c:formatCode>#,##0</c:formatCode>
                <c:ptCount val="27"/>
                <c:pt idx="0">
                  <c:v>160148</c:v>
                </c:pt>
                <c:pt idx="1">
                  <c:v>163236</c:v>
                </c:pt>
                <c:pt idx="2">
                  <c:v>165561</c:v>
                </c:pt>
                <c:pt idx="3">
                  <c:v>163426</c:v>
                </c:pt>
                <c:pt idx="4">
                  <c:v>168123</c:v>
                </c:pt>
                <c:pt idx="5">
                  <c:v>166181</c:v>
                </c:pt>
                <c:pt idx="6">
                  <c:v>171092</c:v>
                </c:pt>
                <c:pt idx="7">
                  <c:v>176403</c:v>
                </c:pt>
                <c:pt idx="8">
                  <c:v>182644</c:v>
                </c:pt>
                <c:pt idx="9">
                  <c:v>186107</c:v>
                </c:pt>
                <c:pt idx="10">
                  <c:v>192199</c:v>
                </c:pt>
                <c:pt idx="11">
                  <c:v>202407</c:v>
                </c:pt>
                <c:pt idx="12">
                  <c:v>194025</c:v>
                </c:pt>
                <c:pt idx="13">
                  <c:v>256441</c:v>
                </c:pt>
                <c:pt idx="14">
                  <c:v>253121</c:v>
                </c:pt>
                <c:pt idx="15">
                  <c:v>247105</c:v>
                </c:pt>
                <c:pt idx="16">
                  <c:v>250964</c:v>
                </c:pt>
                <c:pt idx="17">
                  <c:v>251647</c:v>
                </c:pt>
                <c:pt idx="18">
                  <c:v>273775</c:v>
                </c:pt>
                <c:pt idx="19">
                  <c:v>296093</c:v>
                </c:pt>
                <c:pt idx="20">
                  <c:v>314590</c:v>
                </c:pt>
                <c:pt idx="21">
                  <c:v>325736</c:v>
                </c:pt>
                <c:pt idx="22">
                  <c:v>335731</c:v>
                </c:pt>
                <c:pt idx="23">
                  <c:v>342456</c:v>
                </c:pt>
                <c:pt idx="24">
                  <c:v>353365</c:v>
                </c:pt>
                <c:pt idx="25">
                  <c:v>374332</c:v>
                </c:pt>
                <c:pt idx="26">
                  <c:v>364514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{"Years"}</c15:sqref>
                        </c15:formulaRef>
                      </c:ext>
                    </c:extLst>
                    <c:strCache>
                      <c:ptCount val="1"/>
                      <c:pt idx="0">
                        <c:v>Years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BD72-4472-BBFA-90BD2326F5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7956359"/>
        <c:axId val="1658356231"/>
      </c:barChart>
      <c:catAx>
        <c:axId val="15379563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8356231"/>
        <c:crosses val="autoZero"/>
        <c:auto val="1"/>
        <c:lblAlgn val="ctr"/>
        <c:lblOffset val="100"/>
        <c:noMultiLvlLbl val="0"/>
      </c:catAx>
      <c:valAx>
        <c:axId val="1658356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All firms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7956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3062698412698408"/>
          <c:y val="0.92187445319335082"/>
          <c:w val="9.9071741032370958E-2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number of firms over turnover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{"Years "}</c:f>
              <c:strCache>
                <c:ptCount val="1"/>
                <c:pt idx="0">
                  <c:v>Years </c:v>
                </c:pt>
              </c:strCache>
            </c:strRef>
          </c:tx>
          <c:spPr>
            <a:ln w="28575" cap="rnd">
              <a:solidFill>
                <a:srgbClr val="637CEF"/>
              </a:solidFill>
              <a:round/>
            </a:ln>
            <a:effectLst/>
          </c:spPr>
          <c:marker>
            <c:symbol val="none"/>
          </c:marker>
          <c:val>
            <c:numRef>
              <c:f>'No. of Firms - Turnover'!$AD$79:$AT$79</c:f>
              <c:numCache>
                <c:formatCode>General</c:formatCode>
                <c:ptCount val="17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5DA-4517-AAA6-5591A678E2CB}"/>
            </c:ext>
          </c:extLst>
        </c:ser>
        <c:ser>
          <c:idx val="1"/>
          <c:order val="1"/>
          <c:tx>
            <c:strRef>
              <c:f>{"all firms "}</c:f>
              <c:strCache>
                <c:ptCount val="1"/>
                <c:pt idx="0">
                  <c:v>all firms </c:v>
                </c:pt>
              </c:strCache>
            </c:strRef>
          </c:tx>
          <c:spPr>
            <a:ln w="28575" cap="rnd">
              <a:solidFill>
                <a:srgbClr val="E3008C"/>
              </a:solidFill>
              <a:round/>
            </a:ln>
            <a:effectLst/>
          </c:spPr>
          <c:marker>
            <c:symbol val="none"/>
          </c:marker>
          <c:val>
            <c:numRef>
              <c:f>'No. of Firms - Turnover'!$AD$80:$AT$80</c:f>
              <c:numCache>
                <c:formatCode>#,##0</c:formatCode>
                <c:ptCount val="17"/>
                <c:pt idx="0">
                  <c:v>277280</c:v>
                </c:pt>
                <c:pt idx="1">
                  <c:v>279356</c:v>
                </c:pt>
                <c:pt idx="2">
                  <c:v>264679</c:v>
                </c:pt>
                <c:pt idx="3">
                  <c:v>254270</c:v>
                </c:pt>
                <c:pt idx="4">
                  <c:v>253121</c:v>
                </c:pt>
                <c:pt idx="5">
                  <c:v>247105</c:v>
                </c:pt>
                <c:pt idx="6">
                  <c:v>251747</c:v>
                </c:pt>
                <c:pt idx="7">
                  <c:v>260404</c:v>
                </c:pt>
                <c:pt idx="8">
                  <c:v>273775</c:v>
                </c:pt>
                <c:pt idx="9">
                  <c:v>296093</c:v>
                </c:pt>
                <c:pt idx="10">
                  <c:v>314590</c:v>
                </c:pt>
                <c:pt idx="11">
                  <c:v>325736</c:v>
                </c:pt>
                <c:pt idx="12">
                  <c:v>335731</c:v>
                </c:pt>
                <c:pt idx="13">
                  <c:v>342456</c:v>
                </c:pt>
                <c:pt idx="14">
                  <c:v>353365</c:v>
                </c:pt>
                <c:pt idx="15">
                  <c:v>374332</c:v>
                </c:pt>
                <c:pt idx="16">
                  <c:v>364514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5DA-4517-AAA6-5591A678E2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97488136"/>
        <c:axId val="1930364424"/>
      </c:lineChart>
      <c:catAx>
        <c:axId val="17974881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0364424"/>
        <c:crosses val="autoZero"/>
        <c:auto val="1"/>
        <c:lblAlgn val="ctr"/>
        <c:lblOffset val="100"/>
        <c:noMultiLvlLbl val="0"/>
      </c:catAx>
      <c:valAx>
        <c:axId val="1930364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7488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2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3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142875</xdr:colOff>
      <xdr:row>2</xdr:row>
      <xdr:rowOff>104775</xdr:rowOff>
    </xdr:from>
    <xdr:to>
      <xdr:col>42</xdr:col>
      <xdr:colOff>19050</xdr:colOff>
      <xdr:row>43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E0689C8-6F66-1B8C-8D35-588DF59ECF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514350</xdr:colOff>
      <xdr:row>19</xdr:row>
      <xdr:rowOff>19050</xdr:rowOff>
    </xdr:from>
    <xdr:to>
      <xdr:col>22</xdr:col>
      <xdr:colOff>361950</xdr:colOff>
      <xdr:row>33</xdr:row>
      <xdr:rowOff>95250</xdr:rowOff>
    </xdr:to>
    <xdr:graphicFrame macro="">
      <xdr:nvGraphicFramePr>
        <xdr:cNvPr id="61" name="Chart 74">
          <a:extLst>
            <a:ext uri="{FF2B5EF4-FFF2-40B4-BE49-F238E27FC236}">
              <a16:creationId xmlns:a16="http://schemas.microsoft.com/office/drawing/2014/main" id="{410E4447-C831-34B2-D3C6-6B66737016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600075</xdr:colOff>
      <xdr:row>2</xdr:row>
      <xdr:rowOff>190500</xdr:rowOff>
    </xdr:from>
    <xdr:to>
      <xdr:col>26</xdr:col>
      <xdr:colOff>295275</xdr:colOff>
      <xdr:row>16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053F2FC-1CCF-C5E2-DD37-FC38EA2C8B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36" headerRowBorderDxfId="134" tableBorderDxfId="135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3"/>
    <tableColumn id="2" xr3:uid="{2CEB802E-2C8B-438B-9945-35DD738C0281}" name="Total public new housing" dataDxfId="132"/>
    <tableColumn id="3" xr3:uid="{3C3BF752-4FFF-484B-B71F-F58604720080}" name="Total public infrastructure" dataDxfId="131"/>
    <tableColumn id="4" xr3:uid="{DEEA3593-9A6C-4595-A7F4-F7A1FF50902E}" name="Public other new work: factories" dataDxfId="130"/>
    <tableColumn id="5" xr3:uid="{701866BA-69BA-48CD-9D0D-81FD69DF739B}" name="Public other new work: warehouses" dataDxfId="129"/>
    <tableColumn id="6" xr3:uid="{50F5A838-140D-46C1-8047-15EFD622290F}" name="Public other new work: oil, steel &amp; coal" dataDxfId="128"/>
    <tableColumn id="7" xr3:uid="{6E0EFBDD-3A47-49CD-BF91-D293A5E27967}" name="Public other new work: schools &amp; colleges" dataDxfId="127"/>
    <tableColumn id="8" xr3:uid="{052798D4-9B72-4634-83FD-B570A0A4EF5E}" name="Public other new work: universities" dataDxfId="126"/>
    <tableColumn id="9" xr3:uid="{571F73C0-8F8D-4744-9CDA-7B688B842FEF}" name="Public other new work: health" dataDxfId="125"/>
    <tableColumn id="10" xr3:uid="{F2EE5416-E865-4168-999D-36C183FDD80C}" name="Public other new work: offices" dataDxfId="124"/>
    <tableColumn id="11" xr3:uid="{A7B4FAA5-F556-43C6-B0B4-B26DEC3A6BC2}" name="Public other new work: entertainment" dataDxfId="123"/>
    <tableColumn id="12" xr3:uid="{29535A53-8586-4C43-85ED-4497C85F3F49}" name="Public other new work: garages &amp; shops" dataDxfId="122"/>
    <tableColumn id="13" xr3:uid="{46E5855B-008E-4046-9A54-C371E654CFE7}" name="Public other new work: agriculture &amp; miscellaneous" dataDxfId="121"/>
    <tableColumn id="14" xr3:uid="{50113204-1E01-42B5-B32F-CB7AFABA9D95}" name="Total other new work" dataDxfId="120"/>
    <tableColumn id="15" xr3:uid="{DA379AB0-7BAB-4EF3-B6D5-77E85678C85D}" name="All Public Sector" dataDxfId="1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1" totalsRowShown="0" headerRowDxfId="118" headerRowBorderDxfId="116" tableBorderDxfId="117">
  <autoFilter ref="A4:P31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5"/>
    <tableColumn id="2" xr3:uid="{C23D8177-BE6A-461F-BDF0-6062E9A9C563}" name="Total private new housing" dataDxfId="114"/>
    <tableColumn id="3" xr3:uid="{A0112703-164B-4D8F-8127-1F9BC5377D92}" name="Total private Infrastructure" dataDxfId="113"/>
    <tableColumn id="4" xr3:uid="{5C3BDA6B-FFA2-4485-B69E-D43CA1A73A6D}" name="Private industrial: factories" dataDxfId="112"/>
    <tableColumn id="5" xr3:uid="{1A9A4962-83F1-4697-B041-646210503394}" name="Private industrial: warehouses" dataDxfId="111"/>
    <tableColumn id="6" xr3:uid="{B08A9504-9136-4E95-8379-17E65179B983}" name="Private industrial: oil, steel &amp; coal" dataDxfId="110"/>
    <tableColumn id="7" xr3:uid="{F0A3B3E8-2CD4-4411-B00D-94698CE6322C}" name="All private industrial" dataDxfId="109"/>
    <tableColumn id="8" xr3:uid="{184046F4-C3BE-4FCC-ACB7-18CDAFDF611E}" name="Private commercial: schools &amp; universities" dataDxfId="108"/>
    <tableColumn id="9" xr3:uid="{ECA96A0B-B560-45E2-8624-7571F89E8974}" name="Private commercial: health" dataDxfId="107"/>
    <tableColumn id="10" xr3:uid="{4F34749D-2332-4677-9A18-C2E983F4F1AA}" name="Private commercial: offices" dataDxfId="106"/>
    <tableColumn id="11" xr3:uid="{C563F708-AF4F-42F9-B9CC-B21C0F3DCD0F}" name="Private commercial: entertainment" dataDxfId="105"/>
    <tableColumn id="12" xr3:uid="{247D2649-72BC-4671-8FED-3BBD36116AAA}" name="Private commercial: garages" dataDxfId="104"/>
    <tableColumn id="13" xr3:uid="{26D1EE28-82B9-4E14-B03B-F99E6123F7F9}" name="Private commercial: shops" dataDxfId="103"/>
    <tableColumn id="14" xr3:uid="{305BAB87-4138-4069-96F6-BCD89AE70315}" name="Private commercial: agriculture &amp; miscellaneous" dataDxfId="102"/>
    <tableColumn id="15" xr3:uid="{2416E7D6-1E53-4B44-B96F-D447BA7D8C97}" name="All private commercial" dataDxfId="101"/>
    <tableColumn id="16" xr3:uid="{0B15AE04-565B-4968-A2E1-2333D8AF492C}" name="All Private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8" headerRowBorderDxfId="96" tableBorderDxfId="97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4" totalsRowDxfId="95"/>
    <tableColumn id="2" xr3:uid="{B0F2A6A6-3283-4150-BE0B-7C2080238572}" name="1997" dataDxfId="92" totalsRowDxfId="93"/>
    <tableColumn id="3" xr3:uid="{7A412100-EA83-45B6-B94C-0CC26E44A30F}" name="1998" dataDxfId="90" totalsRowDxfId="91"/>
    <tableColumn id="4" xr3:uid="{930012D9-E799-426D-A875-B2326DBD55F4}" name="1999" dataDxfId="88" totalsRowDxfId="89"/>
    <tableColumn id="5" xr3:uid="{360ADF1A-3595-4433-8269-ECF0960327F1}" name="2000" dataDxfId="86" totalsRowDxfId="87"/>
    <tableColumn id="6" xr3:uid="{B8A820A4-B668-44EF-8933-1D96A2FADF03}" name="2001" dataDxfId="84" totalsRowDxfId="85"/>
    <tableColumn id="7" xr3:uid="{11F83E27-4927-45F5-A9CC-43237E2CADF0}" name="2002" dataDxfId="82" totalsRowDxfId="83"/>
    <tableColumn id="8" xr3:uid="{5E4AAD45-DCF0-42E8-851F-4D7FE4C75994}" name="2003" dataDxfId="80" totalsRowDxfId="81"/>
    <tableColumn id="9" xr3:uid="{CC5CDAF9-2908-403E-8524-8E458561A86C}" name="2004" dataDxfId="78" totalsRowDxfId="79"/>
    <tableColumn id="10" xr3:uid="{F8F10E6C-4C24-4987-86B9-2BC4604AA6FF}" name="2005" dataDxfId="76" totalsRowDxfId="77"/>
    <tableColumn id="11" xr3:uid="{634D9AB2-2F7D-42C4-861A-A48218543D52}" name="2006" dataDxfId="74" totalsRowDxfId="75"/>
    <tableColumn id="12" xr3:uid="{7A730D35-593C-410E-9351-5DCF7AEA046F}" name="2007" dataDxfId="72" totalsRowDxfId="73"/>
    <tableColumn id="13" xr3:uid="{E8E41471-48B0-4831-A7E6-07A1E35E2ACC}" name="2008" dataDxfId="70" totalsRowDxfId="71"/>
    <tableColumn id="14" xr3:uid="{6B01846A-0DD0-4E86-A5D2-F829644186A4}" name="2009" dataDxfId="68" totalsRowDxfId="69"/>
    <tableColumn id="15" xr3:uid="{D8AFF6A5-5D5A-4766-8F96-57E79DF3663F}" name="2010" dataDxfId="66" totalsRowDxfId="67"/>
    <tableColumn id="16" xr3:uid="{1D6E8742-788F-4B2E-9697-60AC14F35D18}" name="2011" dataDxfId="64" totalsRowDxfId="65"/>
    <tableColumn id="17" xr3:uid="{69C049AB-9C9F-4ADE-BECC-623E5690EC71}" name="2012" dataDxfId="62" totalsRowDxfId="63"/>
    <tableColumn id="18" xr3:uid="{D43A8FDC-D054-4128-AB18-089395291A62}" name="2013" dataDxfId="60" totalsRowDxfId="61"/>
    <tableColumn id="19" xr3:uid="{6A5E7EBF-7006-4A2D-93DE-FA3490C64C59}" name="2014" dataDxfId="58" totalsRowDxfId="59"/>
    <tableColumn id="20" xr3:uid="{7205CD9A-2C31-4724-97CB-C762076DBBAF}" name="2015" dataDxfId="56" totalsRowDxfId="57"/>
    <tableColumn id="21" xr3:uid="{23F28E5D-774C-402C-AAC0-BD710762A009}" name="2016" dataDxfId="54" totalsRowDxfId="55"/>
    <tableColumn id="22" xr3:uid="{6B0E8B0D-15FB-452A-B17A-DBF1F9144E49}" name="2017" dataDxfId="52" totalsRowDxfId="53"/>
    <tableColumn id="23" xr3:uid="{2A1FDA69-05A8-446B-AAAA-D031F3BBAD05}" name="2018" dataDxfId="50" totalsRowDxfId="51"/>
    <tableColumn id="24" xr3:uid="{3D10BF88-871C-4682-B0C8-E083CE171D1E}" name="2019" dataDxfId="48" totalsRowDxfId="49"/>
    <tableColumn id="25" xr3:uid="{9D538F5B-3878-417F-8425-2A0D3E354E45}" name="2020" dataDxfId="46" totalsRowDxfId="47"/>
    <tableColumn id="26" xr3:uid="{DD9C5EF2-8ED1-4799-8A41-D3913A1F0044}" name="2021" dataDxfId="44" totalsRowDxfId="45"/>
    <tableColumn id="27" xr3:uid="{5B253DE7-CFE8-406E-A7AA-546E3B30390D}" name="2022" dataDxfId="42" totalsRowDxfId="43"/>
    <tableColumn id="28" xr3:uid="{6E9710FE-6516-471A-802B-84FD325849B6}" name="2023" dataDxfId="40" totalsRowDxfId="41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8" headerRowBorderDxfId="36" tableBorderDxfId="37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4" totalsRowDxfId="35" dataCellStyle="Normal_Structure" totalsRowCellStyle="Normal_Structure"/>
    <tableColumn id="2" xr3:uid="{2B0ED319-BDF4-462D-BA26-AA1BE0AFD462}" name="2007" dataDxfId="32" totalsRowDxfId="33"/>
    <tableColumn id="3" xr3:uid="{77F2849C-56C7-4DA1-AC0C-D55E7D6D694A}" name="2008" dataDxfId="30" totalsRowDxfId="31"/>
    <tableColumn id="4" xr3:uid="{9A1A21B1-FF17-4614-B44E-2AD012742D9C}" name="2009 " dataDxfId="28" totalsRowDxfId="29"/>
    <tableColumn id="5" xr3:uid="{7265F993-4BEA-4DD6-8F1F-7FD26B6D78D5}" name="2010 " dataDxfId="26" totalsRowDxfId="27"/>
    <tableColumn id="6" xr3:uid="{09518861-0455-459C-88E1-24FF001DA0D0}" name="2011 " dataDxfId="24" totalsRowDxfId="25"/>
    <tableColumn id="7" xr3:uid="{B5D524CF-EE6E-42DE-B6E6-1BA234BEBB35}" name="2012 " dataDxfId="22" totalsRowDxfId="23"/>
    <tableColumn id="8" xr3:uid="{74FB05A5-6EDB-43D0-B674-261380B53C98}" name="2013 " dataDxfId="20" totalsRowDxfId="21"/>
    <tableColumn id="9" xr3:uid="{E3D5D211-E5F3-4D89-9A54-45C89C90CA58}" name="2014 " dataDxfId="18" totalsRowDxfId="19"/>
    <tableColumn id="10" xr3:uid="{6659BB5D-89DB-418A-B6EB-1751E9306736}" name="2015 " dataDxfId="16" totalsRowDxfId="17"/>
    <tableColumn id="11" xr3:uid="{BC0F8EB9-8D5F-49CC-8256-4BA0676A88E1}" name="2016 " dataDxfId="14" totalsRowDxfId="15"/>
    <tableColumn id="12" xr3:uid="{D7445CA1-EFDC-436C-A8A1-28D1078DA8A7}" name="2017 " dataDxfId="12" totalsRowDxfId="13"/>
    <tableColumn id="13" xr3:uid="{C60437E4-5FDB-4BB4-B0A2-04D6F0461900}" name="2018 " dataDxfId="10" totalsRowDxfId="11"/>
    <tableColumn id="14" xr3:uid="{FE58B5FE-FCD9-4E27-A1B2-4BD4BB13404D}" name="2019 " dataDxfId="8" totalsRowDxfId="9"/>
    <tableColumn id="15" xr3:uid="{509EE9E5-9F66-4B95-9B38-BE0E47B10AD8}" name="2020 " dataDxfId="6" totalsRowDxfId="7"/>
    <tableColumn id="16" xr3:uid="{0AB424BA-148E-48AB-9FA9-8CDBE379AE70}" name="2021 " dataDxfId="4" totalsRowDxfId="5"/>
    <tableColumn id="17" xr3:uid="{A4AA9ED1-167B-4667-B809-4713DCB65C7D}" name="2022 " dataDxfId="2" totalsRowDxfId="3"/>
    <tableColumn id="18" xr3:uid="{04AAD7D3-88DF-46C7-8FC7-1AC98D7D5527}" name="2023" dataDxfId="0" totalsRow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zoomScaleNormal="100" workbookViewId="0">
      <selection activeCell="V13" sqref="V13"/>
    </sheetView>
  </sheetViews>
  <sheetFormatPr defaultColWidth="8.7109375" defaultRowHeight="15"/>
  <cols>
    <col min="1" max="1" width="19.85546875" customWidth="1"/>
    <col min="2" max="2" width="12" customWidth="1"/>
    <col min="3" max="3" width="16" customWidth="1"/>
    <col min="4" max="4" width="12.28515625" customWidth="1"/>
    <col min="5" max="5" width="12.5703125" customWidth="1"/>
    <col min="6" max="6" width="12.28515625" customWidth="1"/>
    <col min="7" max="7" width="12.7109375" customWidth="1"/>
    <col min="8" max="8" width="12.28515625" customWidth="1"/>
    <col min="9" max="9" width="11.7109375" customWidth="1"/>
    <col min="10" max="10" width="11.42578125" customWidth="1"/>
    <col min="11" max="11" width="13.42578125" customWidth="1"/>
    <col min="12" max="12" width="12.7109375" customWidth="1"/>
    <col min="13" max="13" width="14.7109375" customWidth="1"/>
    <col min="14" max="14" width="13.7109375" customWidth="1"/>
    <col min="15" max="15" width="16.85546875" customWidth="1"/>
  </cols>
  <sheetData>
    <row r="1" spans="1:17" ht="19.5">
      <c r="A1" s="4" t="s">
        <v>0</v>
      </c>
    </row>
    <row r="2" spans="1:17">
      <c r="A2" s="5" t="s">
        <v>1</v>
      </c>
    </row>
    <row r="3" spans="1:17">
      <c r="A3" s="5"/>
    </row>
    <row r="4" spans="1:17" ht="58.15" customHeight="1">
      <c r="A4" s="9" t="s">
        <v>2</v>
      </c>
      <c r="B4" s="10" t="s">
        <v>3</v>
      </c>
      <c r="C4" s="10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K4" s="11" t="s">
        <v>12</v>
      </c>
      <c r="L4" s="11" t="s">
        <v>13</v>
      </c>
      <c r="M4" s="12" t="s">
        <v>14</v>
      </c>
      <c r="N4" s="13" t="s">
        <v>15</v>
      </c>
      <c r="O4" s="14" t="s">
        <v>16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17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1" spans="1:15">
      <c r="A31" t="s">
        <v>18</v>
      </c>
      <c r="B31" s="32">
        <f>AVERAGE(Table1.1[Total public new housing])</f>
        <v>3837.4230769230771</v>
      </c>
      <c r="C31" s="32">
        <f>AVERAGE(Table1.1[Total public infrastructure])</f>
        <v>6697.0384615384619</v>
      </c>
      <c r="D31" s="32">
        <f>AVERAGE(Table1.1[Public other new work: factories])</f>
        <v>103</v>
      </c>
      <c r="E31" s="32">
        <f>AVERAGE(Table1.1[Public other new work: warehouses])</f>
        <v>30.76923076923077</v>
      </c>
      <c r="F31" s="32">
        <f>AVERAGE(Table1.1[Public other new work: oil, steel &amp; coal])</f>
        <v>9.384615384615385</v>
      </c>
      <c r="G31" s="32">
        <f>AVERAGE(Table1.1[Public other new work: schools &amp; colleges])</f>
        <v>3618.9615384615386</v>
      </c>
      <c r="H31" s="32">
        <f>AVERAGE(Table1.1[Public other new work: universities])</f>
        <v>986.30769230769226</v>
      </c>
      <c r="I31" s="32">
        <f>AVERAGE(Table1.1[Public other new work: health])</f>
        <v>1625.7307692307693</v>
      </c>
      <c r="J31" s="32">
        <f>AVERAGE(Table1.1[Public other new work: offices])</f>
        <v>753.03846153846155</v>
      </c>
      <c r="K31" s="32">
        <f>AVERAGE(Table1.1[Public other new work: entertainment])</f>
        <v>820.65384615384619</v>
      </c>
      <c r="L31" s="32">
        <f>AVERAGE(Table1.1[Public other new work: garages &amp; shops])</f>
        <v>207.26923076923077</v>
      </c>
      <c r="M31" s="32">
        <f>AVERAGE(Table1.1[Public other new work: agriculture &amp; miscellaneous])</f>
        <v>1055.6538461538462</v>
      </c>
      <c r="N31" s="32">
        <f>AVERAGE(Table1.1[Total other new work])</f>
        <v>9211</v>
      </c>
      <c r="O31" s="32">
        <f>AVERAGE(Table1.1[All Public Sector])</f>
        <v>19745.423076923078</v>
      </c>
    </row>
    <row r="32" spans="1:15">
      <c r="A32" t="s">
        <v>19</v>
      </c>
      <c r="B32" t="e">
        <f>_xlfn.MODE.SNGL(B7:B30)</f>
        <v>#N/A</v>
      </c>
      <c r="C32" t="e">
        <f t="shared" ref="C32:O32" si="0">_xlfn.MODE.SNGL(C7:C30)</f>
        <v>#N/A</v>
      </c>
      <c r="D32">
        <f t="shared" si="0"/>
        <v>91</v>
      </c>
      <c r="E32">
        <f t="shared" si="0"/>
        <v>29</v>
      </c>
      <c r="F32">
        <f t="shared" si="0"/>
        <v>4</v>
      </c>
      <c r="G32" t="e">
        <f t="shared" si="0"/>
        <v>#N/A</v>
      </c>
      <c r="H32" t="e">
        <f t="shared" si="0"/>
        <v>#N/A</v>
      </c>
      <c r="I32" t="e">
        <f t="shared" si="0"/>
        <v>#N/A</v>
      </c>
      <c r="J32" t="e">
        <f t="shared" si="0"/>
        <v>#N/A</v>
      </c>
      <c r="K32" t="e">
        <f t="shared" si="0"/>
        <v>#N/A</v>
      </c>
      <c r="L32" t="e">
        <f t="shared" si="0"/>
        <v>#N/A</v>
      </c>
      <c r="M32" t="e">
        <f t="shared" si="0"/>
        <v>#N/A</v>
      </c>
      <c r="N32" t="e">
        <f t="shared" si="0"/>
        <v>#N/A</v>
      </c>
      <c r="O32" t="e">
        <f t="shared" si="0"/>
        <v>#N/A</v>
      </c>
    </row>
    <row r="33" spans="1:15">
      <c r="A33" t="s">
        <v>20</v>
      </c>
      <c r="B33" s="32" cm="1">
        <f t="array" ref="B33">MAX(B5:B30-MIN(B5:B30))</f>
        <v>6214</v>
      </c>
      <c r="C33" s="32" cm="1">
        <f t="array" ref="C33">MAX(C5:C30-MIN(C5:C30))</f>
        <v>17417</v>
      </c>
      <c r="D33" s="32" cm="1">
        <f t="array" ref="D33">MAX(D5:D30-MIN(D5:D30))</f>
        <v>229</v>
      </c>
      <c r="E33" s="32" cm="1">
        <f t="array" ref="E33">MAX(E5:E30-MIN(E5:E30))</f>
        <v>65</v>
      </c>
      <c r="F33" s="32" cm="1">
        <f t="array" ref="F33">MAX(F5:F30-MIN(F5:F30))</f>
        <v>44</v>
      </c>
      <c r="G33" s="32" cm="1">
        <f t="array" ref="G33">MAX(G5:G30-MIN(G5:G30))</f>
        <v>6138</v>
      </c>
      <c r="H33" s="32" cm="1">
        <f t="array" ref="H33">MAX(H5:H30-MIN(H5:H30))</f>
        <v>1562</v>
      </c>
      <c r="I33" s="32" cm="1">
        <f t="array" ref="I33">MAX(I5:I30-MIN(I5:I30))</f>
        <v>1902</v>
      </c>
      <c r="J33" s="32" cm="1">
        <f t="array" ref="J33">MAX(J5:J30-MIN(J5:J30))</f>
        <v>645</v>
      </c>
      <c r="K33" s="32" cm="1">
        <f t="array" ref="K33">MAX(K5:K30-MIN(K5:K30))</f>
        <v>1201</v>
      </c>
      <c r="L33" s="32" cm="1">
        <f t="array" ref="L33">MAX(L5:L30-MIN(L5:L30))</f>
        <v>619</v>
      </c>
      <c r="M33" s="32" cm="1">
        <f t="array" ref="M33">MAX(M5:M30-MIN(M5:M30))</f>
        <v>1742</v>
      </c>
      <c r="N33" s="32" cm="1">
        <f t="array" ref="N33">MAX(N5:N30-MIN(N5:N30))</f>
        <v>11029</v>
      </c>
      <c r="O33" s="32" cm="1">
        <f t="array" ref="O33">MAX(O5:O30-MIN(O5:O30))</f>
        <v>31608</v>
      </c>
    </row>
    <row r="34" spans="1:15">
      <c r="A34" t="s">
        <v>21</v>
      </c>
      <c r="B34">
        <f>MEDIAN(Table1.1[Total public new housing])</f>
        <v>4186</v>
      </c>
      <c r="C34">
        <f>MEDIAN(Table1.1[Total public infrastructure])</f>
        <v>4599</v>
      </c>
      <c r="D34">
        <f>MEDIAN(Table1.1[Public other new work: factories])</f>
        <v>88</v>
      </c>
      <c r="E34">
        <f>MEDIAN(Table1.1[Public other new work: warehouses])</f>
        <v>29</v>
      </c>
      <c r="F34">
        <f>MEDIAN(Table1.1[Public other new work: oil, steel &amp; coal])</f>
        <v>4</v>
      </c>
      <c r="G34">
        <f>MEDIAN(Table1.1[Public other new work: schools &amp; colleges])</f>
        <v>3977</v>
      </c>
      <c r="H34">
        <f>MEDIAN(Table1.1[Public other new work: universities])</f>
        <v>960.5</v>
      </c>
      <c r="I34">
        <f>MEDIAN(Table1.1[Public other new work: health])</f>
        <v>1676.5</v>
      </c>
      <c r="J34">
        <f>MEDIAN(Table1.1[Public other new work: offices])</f>
        <v>818.5</v>
      </c>
      <c r="K34">
        <f>MEDIAN(Table1.1[Public other new work: entertainment])</f>
        <v>829.5</v>
      </c>
      <c r="L34">
        <f>MEDIAN(Table1.1[Public other new work: garages &amp; shops])</f>
        <v>152.5</v>
      </c>
      <c r="M34">
        <f>MEDIAN(Table1.1[Public other new work: agriculture &amp; miscellaneous])</f>
        <v>1080</v>
      </c>
      <c r="N34">
        <f>MEDIAN(Table1.1[Total other new work])</f>
        <v>10049.5</v>
      </c>
      <c r="O34">
        <f>MEDIAN(Table1.1[All Public Sector])</f>
        <v>19814.5</v>
      </c>
    </row>
    <row r="35" spans="1:15">
      <c r="A35" t="s">
        <v>22</v>
      </c>
      <c r="B35">
        <f>_xlfn.STDEV.S(Table1.1[Total public new housing])</f>
        <v>1933.7118331970134</v>
      </c>
      <c r="C35">
        <f>_xlfn.STDEV.S(Table1.1[Total public infrastructure])</f>
        <v>5042.993805118299</v>
      </c>
      <c r="D35">
        <f>_xlfn.STDEV.S(Table1.1[Public other new work: factories])</f>
        <v>54.568855586314072</v>
      </c>
      <c r="E35">
        <f>_xlfn.STDEV.S(Table1.1[Public other new work: warehouses])</f>
        <v>15.77417558494311</v>
      </c>
      <c r="F35">
        <f>_xlfn.STDEV.S(Table1.1[Public other new work: oil, steel &amp; coal])</f>
        <v>12.079989811508694</v>
      </c>
      <c r="G35">
        <f>_xlfn.STDEV.S(Table1.1[Public other new work: schools &amp; colleges])</f>
        <v>1527.4180693122421</v>
      </c>
      <c r="H35">
        <f>_xlfn.STDEV.S(Table1.1[Public other new work: universities])</f>
        <v>431.73925179263188</v>
      </c>
      <c r="I35">
        <f>_xlfn.STDEV.S(Table1.1[Public other new work: health])</f>
        <v>527.53294173481174</v>
      </c>
      <c r="J35">
        <f>_xlfn.STDEV.S(Table1.1[Public other new work: offices])</f>
        <v>191.38620238026169</v>
      </c>
      <c r="K35">
        <f>_xlfn.STDEV.S(Table1.1[Public other new work: entertainment])</f>
        <v>280.68216078799054</v>
      </c>
      <c r="L35">
        <f>_xlfn.STDEV.S(Table1.1[Public other new work: garages &amp; shops])</f>
        <v>150.02627974919801</v>
      </c>
      <c r="M35">
        <f>_xlfn.STDEV.S(Table1.1[Public other new work: agriculture &amp; miscellaneous])</f>
        <v>357.87907927764564</v>
      </c>
      <c r="N35">
        <f>_xlfn.STDEV.S(Table1.1[Total other new work])</f>
        <v>2952.5899681466099</v>
      </c>
      <c r="O35">
        <f>_xlfn.STDEV.S(Table1.1[All Public Sector])</f>
        <v>8569.7219519565588</v>
      </c>
    </row>
    <row r="36" spans="1:15">
      <c r="F36" s="18"/>
    </row>
    <row r="37" spans="1:15">
      <c r="F37" s="18"/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7"/>
  <sheetViews>
    <sheetView tabSelected="1" workbookViewId="0">
      <selection activeCell="AF14" sqref="AF14"/>
    </sheetView>
  </sheetViews>
  <sheetFormatPr defaultColWidth="8.7109375" defaultRowHeight="15"/>
  <cols>
    <col min="1" max="1" width="18.42578125" customWidth="1"/>
    <col min="2" max="2" width="14.7109375" customWidth="1"/>
    <col min="3" max="3" width="14" customWidth="1"/>
    <col min="4" max="4" width="9.7109375" customWidth="1"/>
    <col min="5" max="5" width="11.28515625" customWidth="1"/>
    <col min="6" max="6" width="10.7109375" customWidth="1"/>
    <col min="7" max="7" width="11.28515625" customWidth="1"/>
    <col min="8" max="8" width="11.5703125" customWidth="1"/>
    <col min="9" max="9" width="11.7109375" customWidth="1"/>
    <col min="10" max="10" width="12.28515625" customWidth="1"/>
    <col min="11" max="11" width="13.140625" customWidth="1"/>
    <col min="12" max="12" width="11.28515625" customWidth="1"/>
    <col min="13" max="13" width="11.42578125" customWidth="1"/>
    <col min="14" max="14" width="13.7109375" customWidth="1"/>
    <col min="15" max="15" width="10.7109375" customWidth="1"/>
    <col min="16" max="16" width="15.5703125" customWidth="1"/>
  </cols>
  <sheetData>
    <row r="1" spans="1:16" ht="19.5">
      <c r="A1" s="7" t="s">
        <v>23</v>
      </c>
    </row>
    <row r="2" spans="1:16">
      <c r="A2" s="5" t="s">
        <v>1</v>
      </c>
    </row>
    <row r="3" spans="1:16">
      <c r="A3" s="5"/>
    </row>
    <row r="4" spans="1:16" ht="54" customHeight="1">
      <c r="A4" s="9" t="s">
        <v>2</v>
      </c>
      <c r="B4" s="10" t="s">
        <v>24</v>
      </c>
      <c r="C4" s="10" t="s">
        <v>25</v>
      </c>
      <c r="D4" s="11" t="s">
        <v>26</v>
      </c>
      <c r="E4" s="11" t="s">
        <v>27</v>
      </c>
      <c r="F4" s="12" t="s">
        <v>28</v>
      </c>
      <c r="G4" s="12" t="s">
        <v>29</v>
      </c>
      <c r="H4" s="11" t="s">
        <v>30</v>
      </c>
      <c r="I4" s="11" t="s">
        <v>31</v>
      </c>
      <c r="J4" s="11" t="s">
        <v>32</v>
      </c>
      <c r="K4" s="11" t="s">
        <v>33</v>
      </c>
      <c r="L4" s="11" t="s">
        <v>34</v>
      </c>
      <c r="M4" s="11" t="s">
        <v>35</v>
      </c>
      <c r="N4" s="12" t="s">
        <v>36</v>
      </c>
      <c r="O4" s="13" t="s">
        <v>37</v>
      </c>
      <c r="P4" s="14" t="s">
        <v>38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  <row r="31" spans="1:16">
      <c r="A31" s="2"/>
      <c r="B31" s="17"/>
      <c r="C31" s="17"/>
      <c r="D31" s="18"/>
      <c r="E31" s="18"/>
      <c r="F31" s="19"/>
      <c r="G31" s="19"/>
      <c r="H31" s="18"/>
      <c r="I31" s="18"/>
      <c r="J31" s="18"/>
      <c r="K31" s="18"/>
      <c r="L31" s="18"/>
      <c r="M31" s="18"/>
      <c r="N31" s="19"/>
      <c r="O31" s="17"/>
      <c r="P31" s="20"/>
    </row>
    <row r="33" spans="1:16">
      <c r="A33" t="s">
        <v>18</v>
      </c>
      <c r="B33" s="32">
        <f>AVERAGE(B11:B30)</f>
        <v>27201.9</v>
      </c>
      <c r="C33" s="32">
        <f t="shared" ref="C33:P33" si="0">AVERAGE(C11:C30)</f>
        <v>9614.7000000000007</v>
      </c>
      <c r="D33" s="32">
        <f t="shared" si="0"/>
        <v>2508.9</v>
      </c>
      <c r="E33" s="32">
        <f t="shared" si="0"/>
        <v>2463.15</v>
      </c>
      <c r="F33" s="32">
        <f t="shared" si="0"/>
        <v>182.35</v>
      </c>
      <c r="G33" s="32">
        <f t="shared" si="0"/>
        <v>5154.45</v>
      </c>
      <c r="H33" s="32">
        <f t="shared" si="0"/>
        <v>3647.9</v>
      </c>
      <c r="I33" s="32">
        <f t="shared" si="0"/>
        <v>1709.85</v>
      </c>
      <c r="J33" s="32">
        <f t="shared" si="0"/>
        <v>9141.5</v>
      </c>
      <c r="K33" s="32">
        <f t="shared" si="0"/>
        <v>5749.45</v>
      </c>
      <c r="L33" s="32">
        <f t="shared" si="0"/>
        <v>512.6</v>
      </c>
      <c r="M33" s="32">
        <f t="shared" si="0"/>
        <v>5062.3</v>
      </c>
      <c r="N33" s="32">
        <f t="shared" si="0"/>
        <v>1750.75</v>
      </c>
      <c r="O33" s="32">
        <f t="shared" si="0"/>
        <v>27574</v>
      </c>
      <c r="P33" s="32">
        <f t="shared" si="0"/>
        <v>69545.05</v>
      </c>
    </row>
    <row r="34" spans="1:16">
      <c r="A34" t="s">
        <v>19</v>
      </c>
      <c r="B34" t="e">
        <f>_xlfn.MODE.SNGL(B5:B30)</f>
        <v>#N/A</v>
      </c>
      <c r="C34">
        <f t="shared" ref="C34:P34" si="1">_xlfn.MODE.SNGL(C5:C30)</f>
        <v>5305</v>
      </c>
      <c r="D34">
        <f t="shared" si="1"/>
        <v>3296</v>
      </c>
      <c r="E34" t="e">
        <f t="shared" si="1"/>
        <v>#N/A</v>
      </c>
      <c r="F34">
        <f t="shared" si="1"/>
        <v>73</v>
      </c>
      <c r="G34" t="e">
        <f t="shared" si="1"/>
        <v>#N/A</v>
      </c>
      <c r="H34" t="e">
        <f t="shared" si="1"/>
        <v>#N/A</v>
      </c>
      <c r="I34" t="e">
        <f t="shared" si="1"/>
        <v>#N/A</v>
      </c>
      <c r="J34" t="e">
        <f t="shared" si="1"/>
        <v>#N/A</v>
      </c>
      <c r="K34" t="e">
        <f t="shared" si="1"/>
        <v>#N/A</v>
      </c>
      <c r="L34" t="e">
        <f t="shared" si="1"/>
        <v>#N/A</v>
      </c>
      <c r="M34" t="e">
        <f t="shared" si="1"/>
        <v>#N/A</v>
      </c>
      <c r="N34" t="e">
        <f t="shared" si="1"/>
        <v>#N/A</v>
      </c>
      <c r="O34" t="e">
        <f t="shared" si="1"/>
        <v>#N/A</v>
      </c>
      <c r="P34" t="e">
        <f t="shared" si="1"/>
        <v>#N/A</v>
      </c>
    </row>
    <row r="35" spans="1:16">
      <c r="A35" t="s">
        <v>20</v>
      </c>
      <c r="B35" s="32" cm="1">
        <f t="array" ref="B35">MAX(B5:B30-MIN(B5:B30))</f>
        <v>42400</v>
      </c>
      <c r="C35" s="32" cm="1">
        <f t="array" ref="C35">MAX(C5:C30-MIN(C5:C30))</f>
        <v>11836</v>
      </c>
      <c r="D35" s="32" cm="1">
        <f t="array" ref="D35">MAX(D5:D30-MIN(D5:D30))</f>
        <v>1726</v>
      </c>
      <c r="E35" s="32" cm="1">
        <f t="array" ref="E35">MAX(E5:E30-MIN(E5:E30))</f>
        <v>3529</v>
      </c>
      <c r="F35" s="32" cm="1">
        <f t="array" ref="F35">MAX(F5:F30-MIN(F5:F30))</f>
        <v>424</v>
      </c>
      <c r="G35" s="32" cm="1">
        <f t="array" ref="G35">MAX(G5:G30-MIN(G5:G30))</f>
        <v>5160</v>
      </c>
      <c r="H35" s="32" cm="1">
        <f t="array" ref="H35">MAX(H5:H30-MIN(H5:H30))</f>
        <v>5400</v>
      </c>
      <c r="I35" s="32" cm="1">
        <f t="array" ref="I35">MAX(I5:I30-MIN(I5:I30))</f>
        <v>3640</v>
      </c>
      <c r="J35" s="32" cm="1">
        <f t="array" ref="J35">MAX(J5:J30-MIN(J5:J30))</f>
        <v>7795</v>
      </c>
      <c r="K35" s="32" cm="1">
        <f t="array" ref="K35">MAX(K5:K30-MIN(K5:K30))</f>
        <v>5212</v>
      </c>
      <c r="L35" s="32" cm="1">
        <f t="array" ref="L35">MAX(L5:L30-MIN(L5:L30))</f>
        <v>495</v>
      </c>
      <c r="M35" s="32" cm="1">
        <f t="array" ref="M35">MAX(M5:M30-MIN(M5:M30))</f>
        <v>5340</v>
      </c>
      <c r="N35" s="32" cm="1">
        <f t="array" ref="N35">MAX(N5:N30-MIN(N5:N30))</f>
        <v>2783</v>
      </c>
      <c r="O35" s="32" cm="1">
        <f t="array" ref="O35">MAX(O5:O30-MIN(O5:O30))</f>
        <v>20443</v>
      </c>
      <c r="P35" s="32" cm="1">
        <f t="array" ref="P35">MAX(P5:P30-MIN(P5:P30))</f>
        <v>67708</v>
      </c>
    </row>
    <row r="36" spans="1:16">
      <c r="A36" t="s">
        <v>39</v>
      </c>
      <c r="B36" s="32">
        <f>MEDIAN(B5:B30)</f>
        <v>19846</v>
      </c>
      <c r="C36" s="32">
        <f t="shared" ref="C36:P36" si="2">MEDIAN(C5:C30)</f>
        <v>8715.5</v>
      </c>
      <c r="D36" s="32">
        <f t="shared" si="2"/>
        <v>2678</v>
      </c>
      <c r="E36" s="32">
        <f t="shared" si="2"/>
        <v>2025.5</v>
      </c>
      <c r="F36" s="32">
        <f t="shared" si="2"/>
        <v>151</v>
      </c>
      <c r="G36" s="32">
        <f t="shared" si="2"/>
        <v>4859.5</v>
      </c>
      <c r="H36" s="32">
        <f t="shared" si="2"/>
        <v>3188.5</v>
      </c>
      <c r="I36" s="32">
        <f t="shared" si="2"/>
        <v>1196.5</v>
      </c>
      <c r="J36" s="32">
        <f t="shared" si="2"/>
        <v>8883.5</v>
      </c>
      <c r="K36" s="32">
        <f t="shared" si="2"/>
        <v>4749</v>
      </c>
      <c r="L36" s="32">
        <f t="shared" si="2"/>
        <v>499</v>
      </c>
      <c r="M36" s="32">
        <f t="shared" si="2"/>
        <v>4989.5</v>
      </c>
      <c r="N36" s="32">
        <f t="shared" si="2"/>
        <v>1266.5</v>
      </c>
      <c r="O36" s="32">
        <f t="shared" si="2"/>
        <v>25533.5</v>
      </c>
      <c r="P36" s="32">
        <f t="shared" si="2"/>
        <v>60478.5</v>
      </c>
    </row>
    <row r="37" spans="1:16">
      <c r="A37" t="s">
        <v>40</v>
      </c>
      <c r="B37">
        <f>_xlfn.STDEV.S(B5:B30)</f>
        <v>12315.36673272617</v>
      </c>
      <c r="C37">
        <f t="shared" ref="C37:P37" si="3">_xlfn.STDEV.S(C5:C30)</f>
        <v>3395.0424211692052</v>
      </c>
      <c r="D37">
        <f t="shared" si="3"/>
        <v>501.18069211996368</v>
      </c>
      <c r="E37">
        <f t="shared" si="3"/>
        <v>963.5538203003423</v>
      </c>
      <c r="F37">
        <f t="shared" si="3"/>
        <v>105.8254295453675</v>
      </c>
      <c r="G37">
        <f t="shared" si="3"/>
        <v>1272.6617388522618</v>
      </c>
      <c r="H37">
        <f t="shared" si="3"/>
        <v>1453.219398968532</v>
      </c>
      <c r="I37">
        <f t="shared" si="3"/>
        <v>834.15753538894194</v>
      </c>
      <c r="J37">
        <f t="shared" si="3"/>
        <v>2079.8119678322983</v>
      </c>
      <c r="K37">
        <f t="shared" si="3"/>
        <v>1524.3703815018187</v>
      </c>
      <c r="L37">
        <f t="shared" si="3"/>
        <v>133.24164283216939</v>
      </c>
      <c r="M37">
        <f t="shared" si="3"/>
        <v>1498.0525619822349</v>
      </c>
      <c r="N37">
        <f t="shared" si="3"/>
        <v>779.65359960986223</v>
      </c>
      <c r="O37">
        <f t="shared" si="3"/>
        <v>5047.2798695474048</v>
      </c>
      <c r="P37">
        <f t="shared" si="3"/>
        <v>19252.42941605033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W98"/>
  <sheetViews>
    <sheetView topLeftCell="H1" workbookViewId="0">
      <selection activeCell="I36" sqref="H35:I36"/>
    </sheetView>
  </sheetViews>
  <sheetFormatPr defaultColWidth="8.7109375" defaultRowHeight="15"/>
  <cols>
    <col min="1" max="1" width="17.42578125" customWidth="1"/>
    <col min="2" max="27" width="8.85546875" customWidth="1"/>
  </cols>
  <sheetData>
    <row r="1" spans="1:28" ht="19.5">
      <c r="A1" s="3" t="s">
        <v>41</v>
      </c>
    </row>
    <row r="2" spans="1:28" ht="19.5">
      <c r="A2" s="3"/>
    </row>
    <row r="3" spans="1:28">
      <c r="A3" s="25" t="s">
        <v>42</v>
      </c>
      <c r="B3" s="15" t="s">
        <v>43</v>
      </c>
      <c r="C3" s="15" t="s">
        <v>44</v>
      </c>
      <c r="D3" s="15" t="s">
        <v>45</v>
      </c>
      <c r="E3" s="15" t="s">
        <v>46</v>
      </c>
      <c r="F3" s="15" t="s">
        <v>47</v>
      </c>
      <c r="G3" s="15" t="s">
        <v>48</v>
      </c>
      <c r="H3" s="15" t="s">
        <v>49</v>
      </c>
      <c r="I3" s="15" t="s">
        <v>50</v>
      </c>
      <c r="J3" s="15" t="s">
        <v>51</v>
      </c>
      <c r="K3" s="15" t="s">
        <v>52</v>
      </c>
      <c r="L3" s="15" t="s">
        <v>53</v>
      </c>
      <c r="M3" s="15" t="s">
        <v>54</v>
      </c>
      <c r="N3" s="8" t="s">
        <v>55</v>
      </c>
      <c r="O3" s="15" t="s">
        <v>56</v>
      </c>
      <c r="P3" s="15" t="s">
        <v>57</v>
      </c>
      <c r="Q3" s="15" t="s">
        <v>58</v>
      </c>
      <c r="R3" s="15" t="s">
        <v>59</v>
      </c>
      <c r="S3" s="15" t="s">
        <v>60</v>
      </c>
      <c r="T3" s="15" t="s">
        <v>61</v>
      </c>
      <c r="U3" s="15" t="s">
        <v>62</v>
      </c>
      <c r="V3" s="15" t="s">
        <v>63</v>
      </c>
      <c r="W3" s="15" t="s">
        <v>64</v>
      </c>
      <c r="X3" s="15" t="s">
        <v>65</v>
      </c>
      <c r="Y3" s="15" t="s">
        <v>66</v>
      </c>
      <c r="Z3" s="15" t="s">
        <v>67</v>
      </c>
      <c r="AA3" s="15" t="s">
        <v>68</v>
      </c>
      <c r="AB3" s="15" t="s">
        <v>69</v>
      </c>
    </row>
    <row r="4" spans="1:28">
      <c r="A4" s="6" t="s">
        <v>70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71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72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73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74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75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76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77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78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79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80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81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82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15" customHeight="1">
      <c r="A17" s="16" t="s">
        <v>83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256441</v>
      </c>
      <c r="P17" s="21">
        <v>253121</v>
      </c>
      <c r="Q17" s="21">
        <v>247105</v>
      </c>
      <c r="R17" s="21">
        <v>250964</v>
      </c>
      <c r="S17" s="21">
        <v>251647</v>
      </c>
      <c r="T17" s="21">
        <v>273775</v>
      </c>
      <c r="U17" s="21">
        <v>296093</v>
      </c>
      <c r="V17" s="21">
        <v>314590</v>
      </c>
      <c r="W17" s="21">
        <v>325736</v>
      </c>
      <c r="X17" s="21">
        <v>335731</v>
      </c>
      <c r="Y17" s="21">
        <v>342456</v>
      </c>
      <c r="Z17" s="21">
        <v>353365</v>
      </c>
      <c r="AA17" s="21">
        <v>374332</v>
      </c>
      <c r="AB17" s="21">
        <v>364514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</row>
    <row r="21" spans="1:28">
      <c r="B21" t="s">
        <v>84</v>
      </c>
      <c r="C21" t="s">
        <v>19</v>
      </c>
      <c r="D21" t="s">
        <v>85</v>
      </c>
      <c r="E21" t="s">
        <v>39</v>
      </c>
      <c r="F21" t="s">
        <v>40</v>
      </c>
      <c r="L21" t="s">
        <v>86</v>
      </c>
    </row>
    <row r="22" spans="1:28">
      <c r="B22" s="32">
        <f>AVERAGE(B4:AB4)</f>
        <v>101101.03703703704</v>
      </c>
      <c r="C22" t="e">
        <f>_xlfn.MODE.SNGL(B4:AB4)</f>
        <v>#N/A</v>
      </c>
      <c r="D22" cm="1">
        <f t="array" ref="D22">MAX(B4:AB4-MIN(B4:AB4))</f>
        <v>86642</v>
      </c>
      <c r="E22" s="32">
        <f>MEDIAN(B4:AB4)</f>
        <v>88018</v>
      </c>
      <c r="F22">
        <f>_xlfn.STDEV.S('Firm Size'!B4:AB4)</f>
        <v>30444.321253322403</v>
      </c>
    </row>
    <row r="23" spans="1:28">
      <c r="B23" s="32">
        <f t="shared" ref="B23:B30" si="0">AVERAGE(B5:AB5)</f>
        <v>68227</v>
      </c>
      <c r="C23" t="e">
        <f t="shared" ref="C23:C34" si="1">_xlfn.MODE.SNGL(B5:AB5)</f>
        <v>#N/A</v>
      </c>
      <c r="D23" cm="1">
        <f t="array" ref="D23">MAX(B5:AB5-MIN(B5:AB5))</f>
        <v>56294</v>
      </c>
      <c r="E23" s="32">
        <f>MEDIAN(B5:AB5)</f>
        <v>62910</v>
      </c>
      <c r="F23">
        <f>_xlfn.STDEV.S('Firm Size'!B5:AB5)</f>
        <v>18096.289783352746</v>
      </c>
      <c r="L23" t="s">
        <v>18</v>
      </c>
      <c r="N23" s="32">
        <f>AVERAGE(B17:AB17)</f>
        <v>241904.51851851851</v>
      </c>
    </row>
    <row r="24" spans="1:28">
      <c r="B24" s="32">
        <f t="shared" si="0"/>
        <v>29494.296296296296</v>
      </c>
      <c r="C24" t="e">
        <f t="shared" si="1"/>
        <v>#N/A</v>
      </c>
      <c r="D24" s="32" cm="1">
        <f t="array" ref="D24">MAX(B6:AB6-MIN(B6:AB6))</f>
        <v>25307</v>
      </c>
      <c r="E24" s="32">
        <f t="shared" ref="E24:E34" si="2">MEDIAN(B6:AB6)</f>
        <v>30375</v>
      </c>
      <c r="F24">
        <f>_xlfn.STDEV.S('Firm Size'!B6:AB6)</f>
        <v>7127.7593944910232</v>
      </c>
      <c r="L24" t="s">
        <v>87</v>
      </c>
      <c r="N24" t="e">
        <f>_xlfn.MODE.SNGL(B17:AB17)</f>
        <v>#N/A</v>
      </c>
    </row>
    <row r="25" spans="1:28">
      <c r="B25" s="32">
        <f t="shared" si="0"/>
        <v>10845.777777777777</v>
      </c>
      <c r="C25">
        <f>_xlfn.MODE.SNGL(B7:AB7)</f>
        <v>11455</v>
      </c>
      <c r="D25" cm="1">
        <f t="array" ref="D25">MAX(B7:AB7-MIN(B7:AB7))</f>
        <v>10591</v>
      </c>
      <c r="E25" s="32">
        <f t="shared" si="2"/>
        <v>11774</v>
      </c>
      <c r="F25">
        <f>_xlfn.STDEV.S('Firm Size'!B7:AB7)</f>
        <v>3221.2702264471491</v>
      </c>
      <c r="L25" t="s">
        <v>20</v>
      </c>
      <c r="N25" cm="1">
        <f t="array" ref="N25">MAX(B17:AB18-MIN(B17:AB18))</f>
        <v>214184</v>
      </c>
    </row>
    <row r="26" spans="1:28">
      <c r="B26" s="32">
        <f t="shared" si="0"/>
        <v>5847.0740740740739</v>
      </c>
      <c r="C26" t="e">
        <f t="shared" si="1"/>
        <v>#N/A</v>
      </c>
      <c r="D26" cm="1">
        <f t="array" ref="D26">MAX(B8:AB8-MIN(B8:AB8))</f>
        <v>4190</v>
      </c>
      <c r="E26" s="32">
        <f t="shared" si="2"/>
        <v>6203</v>
      </c>
      <c r="F26">
        <f>_xlfn.STDEV.S('Firm Size'!B8:AB8)</f>
        <v>1235.8401043552367</v>
      </c>
      <c r="L26" t="s">
        <v>21</v>
      </c>
      <c r="N26" s="32">
        <f>MEDIAN(B17:AB17)</f>
        <v>247105</v>
      </c>
    </row>
    <row r="27" spans="1:28">
      <c r="B27" s="32">
        <f t="shared" si="0"/>
        <v>1820.4814814814815</v>
      </c>
      <c r="C27">
        <f t="shared" si="1"/>
        <v>1201</v>
      </c>
      <c r="D27" cm="1">
        <f t="array" ref="D27">MAX(B9:AB9-MIN(B9:AB9))</f>
        <v>1086</v>
      </c>
      <c r="E27" s="32">
        <f t="shared" si="2"/>
        <v>1885</v>
      </c>
      <c r="F27">
        <f>_xlfn.STDEV.S('Firm Size'!B9:AB9)</f>
        <v>285.13955697441764</v>
      </c>
      <c r="L27" t="s">
        <v>40</v>
      </c>
      <c r="N27">
        <f>_xlfn.STDEV.S(B17:AB17)</f>
        <v>73118.121907357941</v>
      </c>
    </row>
    <row r="28" spans="1:28">
      <c r="B28" s="32">
        <f t="shared" si="0"/>
        <v>1759.1851851851852</v>
      </c>
      <c r="C28" t="e">
        <f t="shared" si="1"/>
        <v>#N/A</v>
      </c>
      <c r="D28" cm="1">
        <f t="array" ref="D28">MAX(B10:AB10-MIN(B10:AB10))</f>
        <v>1212</v>
      </c>
      <c r="E28" s="32">
        <f t="shared" si="2"/>
        <v>1849</v>
      </c>
      <c r="F28">
        <f>_xlfn.STDEV.S('Firm Size'!B10:AB10)</f>
        <v>320.12714265489501</v>
      </c>
    </row>
    <row r="29" spans="1:28">
      <c r="B29" s="32">
        <f t="shared" si="0"/>
        <v>530.22222222222217</v>
      </c>
      <c r="C29">
        <f t="shared" si="1"/>
        <v>583</v>
      </c>
      <c r="D29" cm="1">
        <f t="array" ref="D29">MAX(B11:AB11-MIN(B11:AB11))</f>
        <v>293</v>
      </c>
      <c r="E29" s="32">
        <f t="shared" si="2"/>
        <v>549</v>
      </c>
      <c r="F29">
        <f>_xlfn.STDEV.S('Firm Size'!B11:AB11)</f>
        <v>80.279000670897503</v>
      </c>
    </row>
    <row r="30" spans="1:28">
      <c r="B30" s="32">
        <f t="shared" si="0"/>
        <v>424.33333333333331</v>
      </c>
      <c r="C30">
        <f t="shared" si="1"/>
        <v>304</v>
      </c>
      <c r="D30" cm="1">
        <f t="array" ref="D30">MAX(B12:AB12-MIN(B12:AB12))</f>
        <v>240</v>
      </c>
      <c r="E30" s="32">
        <f t="shared" si="2"/>
        <v>441</v>
      </c>
      <c r="F30">
        <f>_xlfn.STDEV.S('Firm Size'!B12:AB12)</f>
        <v>66.389874112061577</v>
      </c>
    </row>
    <row r="31" spans="1:28">
      <c r="B31" s="32">
        <f>AVERAGE(B13:AB13)</f>
        <v>508.74074074074076</v>
      </c>
      <c r="C31">
        <f t="shared" si="1"/>
        <v>560</v>
      </c>
      <c r="D31" cm="1">
        <f t="array" ref="D31">MAX(B13:AB13-MIN(B13:AB13))</f>
        <v>261</v>
      </c>
      <c r="E31" s="32">
        <f t="shared" si="2"/>
        <v>531</v>
      </c>
      <c r="F31">
        <f>_xlfn.STDEV.S('Firm Size'!B13:AB13)</f>
        <v>68.921690563997686</v>
      </c>
    </row>
    <row r="32" spans="1:28">
      <c r="B32" s="32">
        <f>AVERAGE(B14:AB14)</f>
        <v>136.55555555555554</v>
      </c>
      <c r="C32">
        <f t="shared" si="1"/>
        <v>125</v>
      </c>
      <c r="D32" cm="1">
        <f t="array" ref="D32">MAX(B14:AB14-MIN(B14:AB14))</f>
        <v>73</v>
      </c>
      <c r="E32" s="32">
        <f t="shared" si="2"/>
        <v>143</v>
      </c>
      <c r="F32">
        <f>_xlfn.STDEV.S('Firm Size'!B14:AB14)</f>
        <v>16.674100906065124</v>
      </c>
    </row>
    <row r="33" spans="2:6">
      <c r="B33" s="32">
        <f>AVERAGE(B15:AB15)</f>
        <v>60.037037037037038</v>
      </c>
      <c r="C33">
        <f t="shared" si="1"/>
        <v>56</v>
      </c>
      <c r="D33" cm="1">
        <f t="array" ref="D33">MAX(B15:AB15-MIN(B15:AB15))</f>
        <v>27</v>
      </c>
      <c r="E33" s="32">
        <f t="shared" si="2"/>
        <v>59</v>
      </c>
      <c r="F33">
        <f>_xlfn.STDEV.S('Firm Size'!B15:AB15)</f>
        <v>6.6591838347300012</v>
      </c>
    </row>
    <row r="34" spans="2:6">
      <c r="B34" s="32">
        <f>AVERAGE(B16:AB16)</f>
        <v>54.851851851851855</v>
      </c>
      <c r="C34">
        <f t="shared" si="1"/>
        <v>60</v>
      </c>
      <c r="D34" cm="1">
        <f t="array" ref="D34">MAX(B16:AB16-MIN(B16:AB16))</f>
        <v>29</v>
      </c>
      <c r="E34" s="32">
        <f t="shared" si="2"/>
        <v>57</v>
      </c>
      <c r="F34">
        <f>_xlfn.STDEV.S('Firm Size'!B16:AB16)</f>
        <v>7.5176904376057738</v>
      </c>
    </row>
    <row r="35" spans="2:6">
      <c r="B35" s="32"/>
    </row>
    <row r="97" spans="23:49">
      <c r="W97" s="33">
        <v>1997</v>
      </c>
      <c r="X97" s="33" t="s">
        <v>44</v>
      </c>
      <c r="Y97" s="33" t="s">
        <v>45</v>
      </c>
      <c r="Z97" s="33" t="s">
        <v>46</v>
      </c>
      <c r="AA97" s="33" t="s">
        <v>47</v>
      </c>
      <c r="AB97" s="33" t="s">
        <v>48</v>
      </c>
      <c r="AC97" s="33" t="s">
        <v>49</v>
      </c>
      <c r="AD97" s="33" t="s">
        <v>50</v>
      </c>
      <c r="AE97" s="33" t="s">
        <v>51</v>
      </c>
      <c r="AF97" s="33" t="s">
        <v>52</v>
      </c>
      <c r="AG97" s="33" t="s">
        <v>53</v>
      </c>
      <c r="AH97" s="33" t="s">
        <v>54</v>
      </c>
      <c r="AI97" s="33" t="s">
        <v>55</v>
      </c>
      <c r="AJ97" s="33" t="s">
        <v>56</v>
      </c>
      <c r="AK97" s="33" t="s">
        <v>57</v>
      </c>
      <c r="AL97" s="33" t="s">
        <v>58</v>
      </c>
      <c r="AM97" s="33" t="s">
        <v>59</v>
      </c>
      <c r="AN97" s="33" t="s">
        <v>60</v>
      </c>
      <c r="AO97" s="33" t="s">
        <v>61</v>
      </c>
      <c r="AP97" s="33" t="s">
        <v>62</v>
      </c>
      <c r="AQ97" s="33" t="s">
        <v>63</v>
      </c>
      <c r="AR97" s="33" t="s">
        <v>64</v>
      </c>
      <c r="AS97" s="33" t="s">
        <v>65</v>
      </c>
      <c r="AT97" s="33" t="s">
        <v>66</v>
      </c>
      <c r="AU97" s="33" t="s">
        <v>67</v>
      </c>
      <c r="AV97" s="33" t="s">
        <v>68</v>
      </c>
      <c r="AW97" s="33" t="s">
        <v>69</v>
      </c>
    </row>
    <row r="98" spans="23:49">
      <c r="W98" s="34">
        <v>160148</v>
      </c>
      <c r="X98" s="34">
        <v>163236</v>
      </c>
      <c r="Y98" s="34">
        <v>165561</v>
      </c>
      <c r="Z98" s="34">
        <v>163426</v>
      </c>
      <c r="AA98" s="34">
        <v>168123</v>
      </c>
      <c r="AB98" s="34">
        <v>166181</v>
      </c>
      <c r="AC98" s="34">
        <v>171092</v>
      </c>
      <c r="AD98" s="34">
        <v>176403</v>
      </c>
      <c r="AE98" s="34">
        <v>182644</v>
      </c>
      <c r="AF98" s="34">
        <v>186107</v>
      </c>
      <c r="AG98" s="34">
        <v>192199</v>
      </c>
      <c r="AH98" s="34">
        <v>202407</v>
      </c>
      <c r="AI98" s="35">
        <v>194025</v>
      </c>
      <c r="AJ98" s="34">
        <v>256441</v>
      </c>
      <c r="AK98" s="34">
        <v>253121</v>
      </c>
      <c r="AL98" s="34">
        <v>247105</v>
      </c>
      <c r="AM98" s="34">
        <v>250964</v>
      </c>
      <c r="AN98" s="34">
        <v>251647</v>
      </c>
      <c r="AO98" s="34">
        <v>273775</v>
      </c>
      <c r="AP98" s="34">
        <v>296093</v>
      </c>
      <c r="AQ98" s="34">
        <v>314590</v>
      </c>
      <c r="AR98" s="34">
        <v>325736</v>
      </c>
      <c r="AS98" s="34">
        <v>335731</v>
      </c>
      <c r="AT98" s="34">
        <v>342456</v>
      </c>
      <c r="AU98" s="34">
        <v>353365</v>
      </c>
      <c r="AV98" s="34">
        <v>374332</v>
      </c>
      <c r="AW98" s="35">
        <v>364514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AT80"/>
  <sheetViews>
    <sheetView topLeftCell="A2" workbookViewId="0">
      <selection activeCell="W65" sqref="V65:W65"/>
    </sheetView>
  </sheetViews>
  <sheetFormatPr defaultRowHeight="15"/>
  <cols>
    <col min="1" max="1" width="35.28515625" customWidth="1"/>
  </cols>
  <sheetData>
    <row r="1" spans="1:18" ht="19.5">
      <c r="A1" s="7" t="s">
        <v>88</v>
      </c>
    </row>
    <row r="2" spans="1:18" ht="19.5">
      <c r="A2" s="7"/>
    </row>
    <row r="3" spans="1:18" ht="30">
      <c r="A3" s="25" t="s">
        <v>89</v>
      </c>
      <c r="B3" s="29" t="s">
        <v>53</v>
      </c>
      <c r="C3" s="30" t="s">
        <v>54</v>
      </c>
      <c r="D3" s="26" t="s">
        <v>90</v>
      </c>
      <c r="E3" s="26" t="s">
        <v>91</v>
      </c>
      <c r="F3" s="26" t="s">
        <v>92</v>
      </c>
      <c r="G3" s="26" t="s">
        <v>93</v>
      </c>
      <c r="H3" s="26" t="s">
        <v>94</v>
      </c>
      <c r="I3" s="26" t="s">
        <v>95</v>
      </c>
      <c r="J3" s="26" t="s">
        <v>96</v>
      </c>
      <c r="K3" s="26" t="s">
        <v>97</v>
      </c>
      <c r="L3" s="26" t="s">
        <v>98</v>
      </c>
      <c r="M3" s="26" t="s">
        <v>99</v>
      </c>
      <c r="N3" s="26" t="s">
        <v>100</v>
      </c>
      <c r="O3" s="26" t="s">
        <v>101</v>
      </c>
      <c r="P3" s="26" t="s">
        <v>102</v>
      </c>
      <c r="Q3" s="26" t="s">
        <v>103</v>
      </c>
      <c r="R3" s="26" t="s">
        <v>69</v>
      </c>
    </row>
    <row r="4" spans="1:18">
      <c r="A4" s="27" t="s">
        <v>104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>
      <c r="A5" s="24" t="s">
        <v>105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>
      <c r="A6" s="24" t="s">
        <v>106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>
      <c r="A7" s="24" t="s">
        <v>107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>
      <c r="A8" s="24" t="s">
        <v>108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>
      <c r="A9" s="24" t="s">
        <v>109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>
      <c r="A10" s="24" t="s">
        <v>110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>
      <c r="A11" s="24" t="s">
        <v>111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>
      <c r="A12" s="24" t="s">
        <v>112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>
      <c r="A13" s="24" t="s">
        <v>113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>
      <c r="A14" s="24" t="s">
        <v>114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>
      <c r="A15" s="24" t="s">
        <v>115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8" t="s">
        <v>83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  <row r="20" spans="1:18">
      <c r="B20" t="s">
        <v>18</v>
      </c>
      <c r="C20" t="s">
        <v>19</v>
      </c>
      <c r="D20" t="s">
        <v>85</v>
      </c>
      <c r="E20" t="s">
        <v>39</v>
      </c>
      <c r="F20" t="s">
        <v>40</v>
      </c>
      <c r="J20" t="s">
        <v>116</v>
      </c>
    </row>
    <row r="21" spans="1:18">
      <c r="B21" s="32">
        <f>AVERAGE(B4:R4)</f>
        <v>246081.64705882352</v>
      </c>
      <c r="C21" t="e">
        <f>_xlfn.MODE.SNGL(B4:R4)</f>
        <v>#N/A</v>
      </c>
      <c r="D21" cm="1">
        <f t="array" ref="D21">MAX(B4:R4-MIN(B4:R4))</f>
        <v>105358</v>
      </c>
      <c r="E21" s="32">
        <f>MEDIAN(B4:R4)</f>
        <v>228603</v>
      </c>
      <c r="F21">
        <f>_xlfn.STDEV.S(B4:R4)</f>
        <v>35189.859629481973</v>
      </c>
    </row>
    <row r="22" spans="1:18">
      <c r="B22" s="32">
        <f t="shared" ref="B22:B27" si="0">AVERAGE(B5:R5)</f>
        <v>24842.411764705881</v>
      </c>
      <c r="C22" t="e">
        <f t="shared" ref="C22:C32" si="1">_xlfn.MODE.SNGL(B5:R5)</f>
        <v>#N/A</v>
      </c>
      <c r="D22" cm="1">
        <f t="array" ref="D22">MAX(B5:R5-MIN(B5:R5))</f>
        <v>14719</v>
      </c>
      <c r="E22" s="32">
        <f t="shared" ref="E22:E32" si="2">MEDIAN(B5:R5)</f>
        <v>24657</v>
      </c>
      <c r="F22">
        <f t="shared" ref="F22:F32" si="3">_xlfn.STDEV.S(B5:R5)</f>
        <v>4410.9895298394158</v>
      </c>
      <c r="J22" t="s">
        <v>84</v>
      </c>
      <c r="L22" s="32">
        <f>AVERAGE(B16:R16)</f>
        <v>298150.23529411765</v>
      </c>
    </row>
    <row r="23" spans="1:18">
      <c r="B23" s="32">
        <f t="shared" si="0"/>
        <v>21935.294117647059</v>
      </c>
      <c r="C23" t="e">
        <f t="shared" si="1"/>
        <v>#N/A</v>
      </c>
      <c r="D23" cm="1">
        <f t="array" ref="D23">MAX(B6:R6-MIN(B6:R6))</f>
        <v>11192</v>
      </c>
      <c r="E23" s="32">
        <f t="shared" si="2"/>
        <v>21478</v>
      </c>
      <c r="F23">
        <f t="shared" si="3"/>
        <v>3575.0819355069621</v>
      </c>
      <c r="J23" t="s">
        <v>19</v>
      </c>
      <c r="L23" t="e">
        <f>_xlfn.MODE.SNGL(B16:R16)</f>
        <v>#N/A</v>
      </c>
    </row>
    <row r="24" spans="1:18">
      <c r="B24" s="32">
        <f t="shared" si="0"/>
        <v>2810.7647058823532</v>
      </c>
      <c r="C24" t="e">
        <f t="shared" si="1"/>
        <v>#N/A</v>
      </c>
      <c r="D24" cm="1">
        <f t="array" ref="D24">MAX(B7:R7-MIN(B7:R7))</f>
        <v>1679</v>
      </c>
      <c r="E24" s="32">
        <f t="shared" si="2"/>
        <v>2744</v>
      </c>
      <c r="F24">
        <f t="shared" si="3"/>
        <v>570.07878067550485</v>
      </c>
      <c r="J24" t="s">
        <v>85</v>
      </c>
      <c r="L24" s="32" cm="1">
        <f t="array" ref="L24">MAX(B16:R16-MIN(B16:R16))</f>
        <v>127227</v>
      </c>
    </row>
    <row r="25" spans="1:18">
      <c r="B25" s="32">
        <f t="shared" si="0"/>
        <v>1274.4117647058824</v>
      </c>
      <c r="C25">
        <f t="shared" si="1"/>
        <v>1262</v>
      </c>
      <c r="D25" cm="1">
        <f t="array" ref="D25">MAX(B8:R8-MIN(B8:R8))</f>
        <v>837</v>
      </c>
      <c r="E25" s="32">
        <f t="shared" si="2"/>
        <v>1262</v>
      </c>
      <c r="F25">
        <f t="shared" si="3"/>
        <v>284.91842227722168</v>
      </c>
      <c r="J25" t="s">
        <v>21</v>
      </c>
      <c r="L25" s="32">
        <f>MEDIAN(B16:R16)</f>
        <v>279356</v>
      </c>
    </row>
    <row r="26" spans="1:18">
      <c r="B26" s="32">
        <f t="shared" si="0"/>
        <v>395.94117647058823</v>
      </c>
      <c r="C26" t="e">
        <f t="shared" si="1"/>
        <v>#N/A</v>
      </c>
      <c r="D26" cm="1">
        <f t="array" ref="D26">MAX(B9:R9-MIN(B9:R9))</f>
        <v>234</v>
      </c>
      <c r="E26" s="32">
        <f t="shared" si="2"/>
        <v>390</v>
      </c>
      <c r="F26">
        <f t="shared" si="3"/>
        <v>76.599992320687591</v>
      </c>
      <c r="J26" t="s">
        <v>22</v>
      </c>
      <c r="L26">
        <f>_xlfn.STDEV.S(B16:R16)</f>
        <v>43522.476433920638</v>
      </c>
    </row>
    <row r="27" spans="1:18">
      <c r="B27" s="32">
        <f t="shared" si="0"/>
        <v>196.94117647058823</v>
      </c>
      <c r="C27">
        <f t="shared" si="1"/>
        <v>243</v>
      </c>
      <c r="D27" cm="1">
        <f t="array" ref="D27">MAX(B10:R10-MIN(B10:R10))</f>
        <v>153</v>
      </c>
      <c r="E27" s="32">
        <f t="shared" si="2"/>
        <v>180</v>
      </c>
      <c r="F27">
        <f t="shared" si="3"/>
        <v>53.053593879485796</v>
      </c>
    </row>
    <row r="28" spans="1:18">
      <c r="B28" s="32">
        <f>AVERAGE(B11:R11)</f>
        <v>124.94117647058823</v>
      </c>
      <c r="C28">
        <f t="shared" si="1"/>
        <v>98</v>
      </c>
      <c r="D28" cm="1">
        <f t="array" ref="D28">MAX(B11:R11-MIN(B11:R11))</f>
        <v>101</v>
      </c>
      <c r="E28" s="32">
        <f t="shared" si="2"/>
        <v>117</v>
      </c>
      <c r="F28">
        <f t="shared" si="3"/>
        <v>31.746004843592722</v>
      </c>
    </row>
    <row r="29" spans="1:18">
      <c r="B29" s="32">
        <f>AVERAGE(B12:R12)</f>
        <v>246.52941176470588</v>
      </c>
      <c r="C29" t="e">
        <f t="shared" si="1"/>
        <v>#N/A</v>
      </c>
      <c r="D29" cm="1">
        <f t="array" ref="D29">MAX(B12:R12-MIN(B12:R12))</f>
        <v>167</v>
      </c>
      <c r="E29" s="32">
        <f t="shared" si="2"/>
        <v>227</v>
      </c>
      <c r="F29">
        <f t="shared" si="3"/>
        <v>54.051037972293827</v>
      </c>
    </row>
    <row r="30" spans="1:18">
      <c r="B30" s="32">
        <f>AVERAGE(B13:R13)</f>
        <v>207.52941176470588</v>
      </c>
      <c r="C30" t="e">
        <f t="shared" si="1"/>
        <v>#N/A</v>
      </c>
      <c r="D30" cm="1">
        <f t="array" ref="D30">MAX(B13:R13-MIN(B13:R13))</f>
        <v>102</v>
      </c>
      <c r="E30" s="32">
        <f t="shared" si="2"/>
        <v>205</v>
      </c>
      <c r="F30">
        <f t="shared" si="3"/>
        <v>33.571039690220339</v>
      </c>
    </row>
    <row r="31" spans="1:18">
      <c r="B31" s="32">
        <f t="shared" ref="B31" si="4">AVERAGE(B14:R14)</f>
        <v>20.823529411764707</v>
      </c>
      <c r="C31">
        <f t="shared" si="1"/>
        <v>20</v>
      </c>
      <c r="D31" cm="1">
        <f t="array" ref="D31">MAX(B14:R14-MIN(B14:R14))</f>
        <v>16</v>
      </c>
      <c r="E31" s="32">
        <f t="shared" si="2"/>
        <v>20</v>
      </c>
      <c r="F31">
        <f t="shared" si="3"/>
        <v>4.4192094049395143</v>
      </c>
    </row>
    <row r="32" spans="1:18">
      <c r="B32" s="32">
        <f>AVERAGE(B15:R15)</f>
        <v>13</v>
      </c>
      <c r="C32">
        <f t="shared" si="1"/>
        <v>10</v>
      </c>
      <c r="D32" cm="1">
        <f t="array" ref="D32">MAX(B15:R15-MIN(B15:R15))</f>
        <v>17</v>
      </c>
      <c r="E32" s="32">
        <f t="shared" si="2"/>
        <v>10</v>
      </c>
      <c r="F32">
        <f t="shared" si="3"/>
        <v>5.5677643628300215</v>
      </c>
    </row>
    <row r="79" spans="30:46">
      <c r="AD79">
        <v>2007</v>
      </c>
      <c r="AE79">
        <v>2008</v>
      </c>
      <c r="AF79">
        <v>2009</v>
      </c>
      <c r="AG79">
        <v>2010</v>
      </c>
      <c r="AH79">
        <v>2011</v>
      </c>
      <c r="AI79">
        <v>2012</v>
      </c>
      <c r="AJ79">
        <v>2013</v>
      </c>
      <c r="AK79">
        <v>2014</v>
      </c>
      <c r="AL79">
        <v>2015</v>
      </c>
      <c r="AM79">
        <v>2016</v>
      </c>
      <c r="AN79">
        <v>2017</v>
      </c>
      <c r="AO79">
        <v>2018</v>
      </c>
      <c r="AP79">
        <v>2019</v>
      </c>
      <c r="AQ79">
        <v>2020</v>
      </c>
      <c r="AR79">
        <v>2021</v>
      </c>
      <c r="AS79">
        <v>2022</v>
      </c>
      <c r="AT79">
        <v>2023</v>
      </c>
    </row>
    <row r="80" spans="30:46">
      <c r="AD80" s="21">
        <v>277280</v>
      </c>
      <c r="AE80" s="21">
        <v>279356</v>
      </c>
      <c r="AF80" s="21">
        <v>264679</v>
      </c>
      <c r="AG80" s="21">
        <v>254270</v>
      </c>
      <c r="AH80" s="21">
        <v>253121</v>
      </c>
      <c r="AI80" s="21">
        <v>247105</v>
      </c>
      <c r="AJ80" s="21">
        <v>251747</v>
      </c>
      <c r="AK80" s="21">
        <v>260404</v>
      </c>
      <c r="AL80" s="21">
        <v>273775</v>
      </c>
      <c r="AM80" s="21">
        <v>296093</v>
      </c>
      <c r="AN80" s="21">
        <v>314590</v>
      </c>
      <c r="AO80" s="21">
        <v>325736</v>
      </c>
      <c r="AP80" s="21">
        <v>335731</v>
      </c>
      <c r="AQ80" s="21">
        <v>342456</v>
      </c>
      <c r="AR80" s="21">
        <v>353365</v>
      </c>
      <c r="AS80" s="21">
        <v>374332</v>
      </c>
      <c r="AT80" s="36">
        <v>364514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54E46F-ACDA-47CF-95BF-CBDEE2E92163}"/>
</file>

<file path=customXml/itemProps2.xml><?xml version="1.0" encoding="utf-8"?>
<ds:datastoreItem xmlns:ds="http://schemas.openxmlformats.org/officeDocument/2006/customXml" ds:itemID="{C997A326-E008-416A-AF2D-E617052E0220}"/>
</file>

<file path=customXml/itemProps3.xml><?xml version="1.0" encoding="utf-8"?>
<ds:datastoreItem xmlns:ds="http://schemas.openxmlformats.org/officeDocument/2006/customXml" ds:itemID="{0B05B952-053F-4824-A0EB-A1E3CE24D74A}"/>
</file>

<file path=customXml/itemProps4.xml><?xml version="1.0" encoding="utf-8"?>
<ds:datastoreItem xmlns:ds="http://schemas.openxmlformats.org/officeDocument/2006/customXml" ds:itemID="{AAC00279-D85E-4610-83DE-C87A3283163B}"/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Alex Morgan (2501665)</cp:lastModifiedBy>
  <cp:revision>1</cp:revision>
  <dcterms:created xsi:type="dcterms:W3CDTF">2024-11-21T07:35:49Z</dcterms:created>
  <dcterms:modified xsi:type="dcterms:W3CDTF">2025-12-04T15:37:05Z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