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00835cacd4e4acc/3RD_YEAR/Ptrain_susteinability/"/>
    </mc:Choice>
  </mc:AlternateContent>
  <xr:revisionPtr revIDLastSave="0" documentId="8_{3B2DDBD4-9D55-40CB-9606-C74BA9151AF2}" xr6:coauthVersionLast="45" xr6:coauthVersionMax="45" xr10:uidLastSave="{00000000-0000-0000-0000-000000000000}"/>
  <bookViews>
    <workbookView xWindow="-108" yWindow="-108" windowWidth="23256" windowHeight="12576" activeTab="2" xr2:uid="{FAF28E92-E4C4-4C10-A0EE-1F02E7B9072C}"/>
  </bookViews>
  <sheets>
    <sheet name="Task1" sheetId="1" r:id="rId1"/>
    <sheet name="Task2A)values_PHI_dependent" sheetId="9" r:id="rId2"/>
    <sheet name="EGR EFFECT" sheetId="8" r:id="rId3"/>
    <sheet name="Ent_tables" sheetId="6" r:id="rId4"/>
    <sheet name="draft" sheetId="2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45" i="8" l="1"/>
  <c r="T44" i="8"/>
  <c r="T43" i="8"/>
  <c r="T42" i="8"/>
  <c r="S42" i="8"/>
  <c r="S43" i="8"/>
  <c r="S44" i="8"/>
  <c r="S45" i="8"/>
  <c r="S41" i="8"/>
  <c r="O29" i="9" l="1"/>
  <c r="R21" i="1" l="1"/>
  <c r="D16" i="9" l="1"/>
  <c r="D18" i="9" s="1"/>
  <c r="D14" i="9"/>
  <c r="Z8" i="9"/>
  <c r="V56" i="1"/>
  <c r="G18" i="1" l="1"/>
  <c r="G49" i="1" l="1"/>
  <c r="I44" i="8" l="1"/>
  <c r="I45" i="8" s="1"/>
  <c r="I46" i="8" s="1"/>
  <c r="H42" i="8"/>
  <c r="H41" i="8"/>
  <c r="D44" i="8"/>
  <c r="D45" i="8" s="1"/>
  <c r="C42" i="8"/>
  <c r="C41" i="8"/>
  <c r="I23" i="8"/>
  <c r="I24" i="8" s="1"/>
  <c r="I25" i="8" s="1"/>
  <c r="I26" i="8" s="1"/>
  <c r="I27" i="8" s="1"/>
  <c r="I28" i="8" s="1"/>
  <c r="I29" i="8" s="1"/>
  <c r="I30" i="8" s="1"/>
  <c r="I31" i="8" s="1"/>
  <c r="I32" i="8" s="1"/>
  <c r="I33" i="8" s="1"/>
  <c r="I34" i="8" s="1"/>
  <c r="I35" i="8" s="1"/>
  <c r="I36" i="8" s="1"/>
  <c r="I37" i="8" s="1"/>
  <c r="I22" i="8"/>
  <c r="H20" i="8"/>
  <c r="H19" i="8"/>
  <c r="D23" i="8"/>
  <c r="D24" i="8" s="1"/>
  <c r="D25" i="8" s="1"/>
  <c r="D26" i="8" s="1"/>
  <c r="D27" i="8" s="1"/>
  <c r="D28" i="8" s="1"/>
  <c r="D29" i="8" s="1"/>
  <c r="D30" i="8" s="1"/>
  <c r="D31" i="8" s="1"/>
  <c r="D32" i="8" s="1"/>
  <c r="D33" i="8" s="1"/>
  <c r="D34" i="8" s="1"/>
  <c r="D35" i="8" s="1"/>
  <c r="D36" i="8" s="1"/>
  <c r="D37" i="8" s="1"/>
  <c r="D22" i="8"/>
  <c r="R29" i="8"/>
  <c r="R32" i="8"/>
  <c r="R30" i="8"/>
  <c r="R26" i="8"/>
  <c r="R25" i="8"/>
  <c r="R24" i="8"/>
  <c r="R23" i="8"/>
  <c r="R21" i="8"/>
  <c r="R20" i="8"/>
  <c r="R19" i="8"/>
  <c r="R18" i="8"/>
  <c r="R28" i="8"/>
  <c r="R17" i="8"/>
  <c r="R31" i="8"/>
  <c r="R27" i="8"/>
  <c r="R22" i="8"/>
  <c r="I47" i="8" l="1"/>
  <c r="D46" i="8"/>
  <c r="S14" i="8"/>
  <c r="S10" i="8"/>
  <c r="S12" i="8"/>
  <c r="I48" i="8" l="1"/>
  <c r="D47" i="8"/>
  <c r="I49" i="8" l="1"/>
  <c r="D48" i="8"/>
  <c r="I50" i="8" l="1"/>
  <c r="D49" i="8"/>
  <c r="I51" i="8" l="1"/>
  <c r="D50" i="8"/>
  <c r="I52" i="8" l="1"/>
  <c r="D51" i="8"/>
  <c r="I53" i="8" l="1"/>
  <c r="D52" i="8"/>
  <c r="I54" i="8" l="1"/>
  <c r="D53" i="8"/>
  <c r="I55" i="8" l="1"/>
  <c r="D54" i="8"/>
  <c r="I56" i="8" l="1"/>
  <c r="D55" i="8"/>
  <c r="I57" i="8" l="1"/>
  <c r="D56" i="8"/>
  <c r="I58" i="8" l="1"/>
  <c r="D57" i="8"/>
  <c r="I59" i="8" l="1"/>
  <c r="D58" i="8"/>
  <c r="D59" i="8" l="1"/>
  <c r="K9" i="8" l="1"/>
  <c r="K15" i="8"/>
  <c r="K13" i="8"/>
  <c r="K11" i="8"/>
  <c r="J15" i="8"/>
  <c r="J13" i="8"/>
  <c r="J11" i="8"/>
  <c r="J9" i="8"/>
  <c r="W69" i="9"/>
  <c r="U69" i="9"/>
  <c r="S69" i="9"/>
  <c r="Q69" i="9"/>
  <c r="O69" i="9"/>
  <c r="Y49" i="9"/>
  <c r="W49" i="9"/>
  <c r="U49" i="9"/>
  <c r="S49" i="9"/>
  <c r="Q49" i="9"/>
  <c r="O49" i="9"/>
  <c r="Y29" i="9"/>
  <c r="W29" i="9"/>
  <c r="U29" i="9"/>
  <c r="S29" i="9"/>
  <c r="Q29" i="9" l="1"/>
  <c r="C19" i="8" l="1"/>
  <c r="C20" i="8" s="1"/>
  <c r="Z24" i="9"/>
  <c r="E15" i="8"/>
  <c r="D15" i="8"/>
  <c r="D13" i="8"/>
  <c r="B13" i="8"/>
  <c r="H13" i="8" s="1"/>
  <c r="D11" i="8"/>
  <c r="E9" i="8"/>
  <c r="E11" i="8" s="1"/>
  <c r="B9" i="8"/>
  <c r="C9" i="8"/>
  <c r="C11" i="8" l="1"/>
  <c r="I11" i="8" s="1"/>
  <c r="I9" i="8"/>
  <c r="B11" i="8"/>
  <c r="H11" i="8" s="1"/>
  <c r="S11" i="8" s="1"/>
  <c r="H9" i="8"/>
  <c r="C15" i="8"/>
  <c r="I15" i="8" s="1"/>
  <c r="C13" i="8"/>
  <c r="I13" i="8" s="1"/>
  <c r="S13" i="8" s="1"/>
  <c r="E13" i="8"/>
  <c r="B15" i="8"/>
  <c r="H15" i="8" s="1"/>
  <c r="N26" i="9"/>
  <c r="N27" i="9" s="1"/>
  <c r="O30" i="9" s="1"/>
  <c r="S15" i="8" l="1"/>
  <c r="S9" i="8"/>
  <c r="S70" i="9"/>
  <c r="S71" i="9" s="1"/>
  <c r="S72" i="9" s="1"/>
  <c r="S73" i="9" s="1"/>
  <c r="S74" i="9" s="1"/>
  <c r="S75" i="9" s="1"/>
  <c r="S76" i="9" s="1"/>
  <c r="S77" i="9" s="1"/>
  <c r="S78" i="9" s="1"/>
  <c r="S79" i="9" s="1"/>
  <c r="S80" i="9" s="1"/>
  <c r="S81" i="9" s="1"/>
  <c r="S82" i="9" s="1"/>
  <c r="S83" i="9" s="1"/>
  <c r="S84" i="9" s="1"/>
  <c r="O70" i="9"/>
  <c r="O71" i="9" s="1"/>
  <c r="O72" i="9" s="1"/>
  <c r="O73" i="9" s="1"/>
  <c r="O74" i="9" s="1"/>
  <c r="O75" i="9" s="1"/>
  <c r="O76" i="9" s="1"/>
  <c r="O77" i="9" s="1"/>
  <c r="O78" i="9" s="1"/>
  <c r="O79" i="9" s="1"/>
  <c r="O80" i="9" s="1"/>
  <c r="O81" i="9" s="1"/>
  <c r="O82" i="9" s="1"/>
  <c r="O83" i="9" s="1"/>
  <c r="O84" i="9" s="1"/>
  <c r="S30" i="9"/>
  <c r="S31" i="9" s="1"/>
  <c r="S32" i="9" s="1"/>
  <c r="S33" i="9" s="1"/>
  <c r="S34" i="9" s="1"/>
  <c r="S35" i="9" s="1"/>
  <c r="S36" i="9" s="1"/>
  <c r="S37" i="9" s="1"/>
  <c r="S38" i="9" s="1"/>
  <c r="S39" i="9" s="1"/>
  <c r="S40" i="9" s="1"/>
  <c r="S41" i="9" s="1"/>
  <c r="S42" i="9" s="1"/>
  <c r="S43" i="9" s="1"/>
  <c r="S44" i="9" s="1"/>
  <c r="O50" i="9"/>
  <c r="O51" i="9" s="1"/>
  <c r="O52" i="9" s="1"/>
  <c r="O53" i="9" s="1"/>
  <c r="O54" i="9" s="1"/>
  <c r="O55" i="9" s="1"/>
  <c r="O56" i="9" s="1"/>
  <c r="O57" i="9" s="1"/>
  <c r="O58" i="9" s="1"/>
  <c r="O59" i="9" s="1"/>
  <c r="O60" i="9" s="1"/>
  <c r="O61" i="9" s="1"/>
  <c r="O62" i="9" s="1"/>
  <c r="O63" i="9" s="1"/>
  <c r="O64" i="9" s="1"/>
  <c r="S50" i="9"/>
  <c r="S51" i="9" s="1"/>
  <c r="S52" i="9" s="1"/>
  <c r="S53" i="9" s="1"/>
  <c r="S54" i="9" s="1"/>
  <c r="S55" i="9" s="1"/>
  <c r="S56" i="9" s="1"/>
  <c r="S57" i="9" s="1"/>
  <c r="S58" i="9" s="1"/>
  <c r="S59" i="9" s="1"/>
  <c r="S60" i="9" s="1"/>
  <c r="S61" i="9" s="1"/>
  <c r="S62" i="9" s="1"/>
  <c r="S63" i="9" s="1"/>
  <c r="S64" i="9" s="1"/>
  <c r="Q70" i="9"/>
  <c r="Q71" i="9" s="1"/>
  <c r="Q72" i="9" s="1"/>
  <c r="Q73" i="9" s="1"/>
  <c r="Q74" i="9" s="1"/>
  <c r="Q75" i="9" s="1"/>
  <c r="Q76" i="9" s="1"/>
  <c r="Q77" i="9" s="1"/>
  <c r="Q78" i="9" s="1"/>
  <c r="Q79" i="9" s="1"/>
  <c r="Q80" i="9" s="1"/>
  <c r="Q81" i="9" s="1"/>
  <c r="Q82" i="9" s="1"/>
  <c r="Q83" i="9" s="1"/>
  <c r="Q84" i="9" s="1"/>
  <c r="U50" i="9"/>
  <c r="U51" i="9" s="1"/>
  <c r="U52" i="9" s="1"/>
  <c r="U53" i="9" s="1"/>
  <c r="U54" i="9" s="1"/>
  <c r="U55" i="9" s="1"/>
  <c r="U56" i="9" s="1"/>
  <c r="U57" i="9" s="1"/>
  <c r="U58" i="9" s="1"/>
  <c r="U59" i="9" s="1"/>
  <c r="U60" i="9" s="1"/>
  <c r="U61" i="9" s="1"/>
  <c r="U62" i="9" s="1"/>
  <c r="U63" i="9" s="1"/>
  <c r="U64" i="9" s="1"/>
  <c r="U70" i="9"/>
  <c r="U71" i="9" s="1"/>
  <c r="U72" i="9" s="1"/>
  <c r="U73" i="9" s="1"/>
  <c r="U74" i="9" s="1"/>
  <c r="U75" i="9" s="1"/>
  <c r="U76" i="9" s="1"/>
  <c r="U77" i="9" s="1"/>
  <c r="U78" i="9" s="1"/>
  <c r="U79" i="9" s="1"/>
  <c r="U80" i="9" s="1"/>
  <c r="U81" i="9" s="1"/>
  <c r="U82" i="9" s="1"/>
  <c r="U83" i="9" s="1"/>
  <c r="U84" i="9" s="1"/>
  <c r="W70" i="9"/>
  <c r="W71" i="9" s="1"/>
  <c r="W72" i="9" s="1"/>
  <c r="W73" i="9" s="1"/>
  <c r="W74" i="9" s="1"/>
  <c r="W75" i="9" s="1"/>
  <c r="W76" i="9" s="1"/>
  <c r="W77" i="9" s="1"/>
  <c r="W78" i="9" s="1"/>
  <c r="W79" i="9" s="1"/>
  <c r="W80" i="9" s="1"/>
  <c r="W81" i="9" s="1"/>
  <c r="W82" i="9" s="1"/>
  <c r="W83" i="9" s="1"/>
  <c r="W84" i="9" s="1"/>
  <c r="Y50" i="9"/>
  <c r="Y51" i="9" s="1"/>
  <c r="Y52" i="9" s="1"/>
  <c r="Y53" i="9" s="1"/>
  <c r="Y54" i="9" s="1"/>
  <c r="Y55" i="9" s="1"/>
  <c r="Y56" i="9" s="1"/>
  <c r="Y57" i="9" s="1"/>
  <c r="Y58" i="9" s="1"/>
  <c r="Y59" i="9" s="1"/>
  <c r="Y60" i="9" s="1"/>
  <c r="Y61" i="9" s="1"/>
  <c r="Y62" i="9" s="1"/>
  <c r="Y63" i="9" s="1"/>
  <c r="Y64" i="9" s="1"/>
  <c r="Y30" i="9"/>
  <c r="Y31" i="9" s="1"/>
  <c r="Y32" i="9" s="1"/>
  <c r="Y33" i="9" s="1"/>
  <c r="Y34" i="9" s="1"/>
  <c r="Y35" i="9" s="1"/>
  <c r="Y36" i="9" s="1"/>
  <c r="Y37" i="9" s="1"/>
  <c r="Y38" i="9" s="1"/>
  <c r="Y39" i="9" s="1"/>
  <c r="Y40" i="9" s="1"/>
  <c r="Y41" i="9" s="1"/>
  <c r="Y42" i="9" s="1"/>
  <c r="Y43" i="9" s="1"/>
  <c r="Y44" i="9" s="1"/>
  <c r="W30" i="9"/>
  <c r="W31" i="9" s="1"/>
  <c r="W32" i="9" s="1"/>
  <c r="W33" i="9" s="1"/>
  <c r="W34" i="9" s="1"/>
  <c r="W35" i="9" s="1"/>
  <c r="W36" i="9" s="1"/>
  <c r="W37" i="9" s="1"/>
  <c r="W38" i="9" s="1"/>
  <c r="W39" i="9" s="1"/>
  <c r="W40" i="9" s="1"/>
  <c r="W41" i="9" s="1"/>
  <c r="W42" i="9" s="1"/>
  <c r="W43" i="9" s="1"/>
  <c r="W44" i="9" s="1"/>
  <c r="U30" i="9"/>
  <c r="U31" i="9" s="1"/>
  <c r="U32" i="9" s="1"/>
  <c r="U33" i="9" s="1"/>
  <c r="U34" i="9" s="1"/>
  <c r="U35" i="9" s="1"/>
  <c r="U36" i="9" s="1"/>
  <c r="U37" i="9" s="1"/>
  <c r="U38" i="9" s="1"/>
  <c r="U39" i="9" s="1"/>
  <c r="U40" i="9" s="1"/>
  <c r="U41" i="9" s="1"/>
  <c r="U42" i="9" s="1"/>
  <c r="U43" i="9" s="1"/>
  <c r="U44" i="9" s="1"/>
  <c r="Q50" i="9"/>
  <c r="Q51" i="9" s="1"/>
  <c r="Q52" i="9" s="1"/>
  <c r="Q53" i="9" s="1"/>
  <c r="Q54" i="9" s="1"/>
  <c r="Q55" i="9" s="1"/>
  <c r="Q56" i="9" s="1"/>
  <c r="Q57" i="9" s="1"/>
  <c r="Q58" i="9" s="1"/>
  <c r="Q59" i="9" s="1"/>
  <c r="Q60" i="9" s="1"/>
  <c r="Q61" i="9" s="1"/>
  <c r="Q62" i="9" s="1"/>
  <c r="Q63" i="9" s="1"/>
  <c r="Q64" i="9" s="1"/>
  <c r="W50" i="9"/>
  <c r="W51" i="9" s="1"/>
  <c r="W52" i="9" s="1"/>
  <c r="W53" i="9" s="1"/>
  <c r="W54" i="9" s="1"/>
  <c r="W55" i="9" s="1"/>
  <c r="W56" i="9" s="1"/>
  <c r="W57" i="9" s="1"/>
  <c r="W58" i="9" s="1"/>
  <c r="W59" i="9" s="1"/>
  <c r="W60" i="9" s="1"/>
  <c r="W61" i="9" s="1"/>
  <c r="W62" i="9" s="1"/>
  <c r="W63" i="9" s="1"/>
  <c r="W64" i="9" s="1"/>
  <c r="O31" i="9"/>
  <c r="O32" i="9" s="1"/>
  <c r="O33" i="9" s="1"/>
  <c r="O34" i="9" s="1"/>
  <c r="O35" i="9" s="1"/>
  <c r="O36" i="9" s="1"/>
  <c r="O37" i="9" s="1"/>
  <c r="O38" i="9" s="1"/>
  <c r="O39" i="9" s="1"/>
  <c r="O40" i="9" s="1"/>
  <c r="O41" i="9" s="1"/>
  <c r="O42" i="9" s="1"/>
  <c r="O43" i="9" s="1"/>
  <c r="O44" i="9" s="1"/>
  <c r="Q30" i="9"/>
  <c r="Q31" i="9" s="1"/>
  <c r="Q32" i="9" s="1"/>
  <c r="Q33" i="9" s="1"/>
  <c r="Q34" i="9" s="1"/>
  <c r="Q35" i="9" s="1"/>
  <c r="Q36" i="9" s="1"/>
  <c r="Q37" i="9" s="1"/>
  <c r="Q38" i="9" s="1"/>
  <c r="Q39" i="9" s="1"/>
  <c r="Q40" i="9" s="1"/>
  <c r="Q41" i="9" s="1"/>
  <c r="Q42" i="9" s="1"/>
  <c r="Q43" i="9" s="1"/>
  <c r="Q44" i="9" s="1"/>
  <c r="X9" i="9"/>
  <c r="X8" i="9"/>
  <c r="Z23" i="9"/>
  <c r="Z22" i="9"/>
  <c r="Z21" i="9"/>
  <c r="Z20" i="9"/>
  <c r="Z19" i="9"/>
  <c r="Z18" i="9"/>
  <c r="Z17" i="9"/>
  <c r="Z16" i="9"/>
  <c r="Z15" i="9"/>
  <c r="Z14" i="9"/>
  <c r="Z13" i="9"/>
  <c r="Z12" i="9"/>
  <c r="Z11" i="9"/>
  <c r="Z10" i="9"/>
  <c r="Z9" i="9"/>
  <c r="D3" i="6"/>
  <c r="R24" i="9" l="1"/>
  <c r="K24" i="9"/>
  <c r="J24" i="9"/>
  <c r="P24" i="9" s="1"/>
  <c r="I24" i="9"/>
  <c r="O24" i="9" s="1"/>
  <c r="R23" i="9"/>
  <c r="K23" i="9"/>
  <c r="J23" i="9"/>
  <c r="P23" i="9" s="1"/>
  <c r="I23" i="9"/>
  <c r="O23" i="9" s="1"/>
  <c r="W23" i="9" s="1"/>
  <c r="R22" i="9"/>
  <c r="K22" i="9"/>
  <c r="J22" i="9"/>
  <c r="P22" i="9" s="1"/>
  <c r="I22" i="9"/>
  <c r="O22" i="9" s="1"/>
  <c r="R21" i="9"/>
  <c r="K21" i="9"/>
  <c r="J21" i="9"/>
  <c r="P21" i="9" s="1"/>
  <c r="I21" i="9"/>
  <c r="O21" i="9" s="1"/>
  <c r="R20" i="9"/>
  <c r="K20" i="9"/>
  <c r="J20" i="9"/>
  <c r="P20" i="9" s="1"/>
  <c r="I20" i="9"/>
  <c r="O20" i="9" s="1"/>
  <c r="R19" i="9"/>
  <c r="K19" i="9"/>
  <c r="J19" i="9"/>
  <c r="P19" i="9" s="1"/>
  <c r="I19" i="9"/>
  <c r="O19" i="9" s="1"/>
  <c r="R18" i="9"/>
  <c r="K18" i="9"/>
  <c r="J18" i="9"/>
  <c r="P18" i="9" s="1"/>
  <c r="I18" i="9"/>
  <c r="O18" i="9" s="1"/>
  <c r="R17" i="9"/>
  <c r="K17" i="9"/>
  <c r="J17" i="9"/>
  <c r="P17" i="9" s="1"/>
  <c r="I17" i="9"/>
  <c r="O17" i="9" s="1"/>
  <c r="R16" i="9"/>
  <c r="K16" i="9"/>
  <c r="J16" i="9"/>
  <c r="P16" i="9" s="1"/>
  <c r="I16" i="9"/>
  <c r="O16" i="9" s="1"/>
  <c r="F28" i="9"/>
  <c r="R15" i="9"/>
  <c r="K15" i="9"/>
  <c r="J15" i="9"/>
  <c r="P15" i="9" s="1"/>
  <c r="I15" i="9"/>
  <c r="O15" i="9" s="1"/>
  <c r="B27" i="9"/>
  <c r="R14" i="9"/>
  <c r="K14" i="9"/>
  <c r="J14" i="9"/>
  <c r="P14" i="9" s="1"/>
  <c r="I14" i="9"/>
  <c r="O14" i="9" s="1"/>
  <c r="F26" i="9"/>
  <c r="R13" i="9"/>
  <c r="K13" i="9"/>
  <c r="J13" i="9"/>
  <c r="P13" i="9" s="1"/>
  <c r="I13" i="9"/>
  <c r="O13" i="9" s="1"/>
  <c r="W13" i="9" s="1"/>
  <c r="F25" i="9"/>
  <c r="R12" i="9"/>
  <c r="K12" i="9"/>
  <c r="J12" i="9"/>
  <c r="P12" i="9" s="1"/>
  <c r="I12" i="9"/>
  <c r="O12" i="9" s="1"/>
  <c r="R11" i="9"/>
  <c r="K11" i="9"/>
  <c r="J11" i="9"/>
  <c r="P11" i="9" s="1"/>
  <c r="I11" i="9"/>
  <c r="O11" i="9" s="1"/>
  <c r="R10" i="9"/>
  <c r="K10" i="9"/>
  <c r="J10" i="9"/>
  <c r="P10" i="9" s="1"/>
  <c r="I10" i="9"/>
  <c r="O10" i="9" s="1"/>
  <c r="R9" i="9"/>
  <c r="K9" i="9"/>
  <c r="J9" i="9"/>
  <c r="P9" i="9" s="1"/>
  <c r="I9" i="9"/>
  <c r="O9" i="9" s="1"/>
  <c r="D19" i="9"/>
  <c r="R8" i="9"/>
  <c r="V2" i="9" s="1"/>
  <c r="K8" i="9"/>
  <c r="J8" i="9"/>
  <c r="P8" i="9" s="1"/>
  <c r="T2" i="9" s="1"/>
  <c r="I8" i="9"/>
  <c r="O8" i="9" s="1"/>
  <c r="AD2" i="9"/>
  <c r="S23" i="9" l="1"/>
  <c r="S8" i="9"/>
  <c r="AO4" i="6"/>
  <c r="AO8" i="6"/>
  <c r="AO12" i="6"/>
  <c r="AO16" i="6"/>
  <c r="AO20" i="6"/>
  <c r="AO24" i="6"/>
  <c r="AO28" i="6"/>
  <c r="AO32" i="6"/>
  <c r="AO36" i="6"/>
  <c r="AO40" i="6"/>
  <c r="AO5" i="6"/>
  <c r="AO9" i="6"/>
  <c r="AO13" i="6"/>
  <c r="AO17" i="6"/>
  <c r="AO21" i="6"/>
  <c r="AO25" i="6"/>
  <c r="AO29" i="6"/>
  <c r="AO33" i="6"/>
  <c r="AO37" i="6"/>
  <c r="AO41" i="6"/>
  <c r="AO45" i="6"/>
  <c r="AO6" i="6"/>
  <c r="AO10" i="6"/>
  <c r="AO14" i="6"/>
  <c r="AO18" i="6"/>
  <c r="AO22" i="6"/>
  <c r="AO26" i="6"/>
  <c r="AO30" i="6"/>
  <c r="AO34" i="6"/>
  <c r="AO38" i="6"/>
  <c r="AO42" i="6"/>
  <c r="AO46" i="6"/>
  <c r="AO50" i="6"/>
  <c r="AO54" i="6"/>
  <c r="AO58" i="6"/>
  <c r="AO62" i="6"/>
  <c r="AO66" i="6"/>
  <c r="AO70" i="6"/>
  <c r="AO11" i="6"/>
  <c r="AO27" i="6"/>
  <c r="AO43" i="6"/>
  <c r="AO49" i="6"/>
  <c r="AO55" i="6"/>
  <c r="AO60" i="6"/>
  <c r="AO65" i="6"/>
  <c r="AO3" i="6"/>
  <c r="AO7" i="6"/>
  <c r="AO23" i="6"/>
  <c r="AO39" i="6"/>
  <c r="AO59" i="6"/>
  <c r="AO64" i="6"/>
  <c r="AO69" i="6"/>
  <c r="AO15" i="6"/>
  <c r="AO31" i="6"/>
  <c r="AO44" i="6"/>
  <c r="AO51" i="6"/>
  <c r="AO56" i="6"/>
  <c r="AO61" i="6"/>
  <c r="AO67" i="6"/>
  <c r="AO48" i="6"/>
  <c r="AO19" i="6"/>
  <c r="AO35" i="6"/>
  <c r="AO47" i="6"/>
  <c r="AO52" i="6"/>
  <c r="AO57" i="6"/>
  <c r="AO63" i="6"/>
  <c r="AO68" i="6"/>
  <c r="AO53" i="6"/>
  <c r="BH4" i="6"/>
  <c r="BH8" i="6"/>
  <c r="BH12" i="6"/>
  <c r="BH16" i="6"/>
  <c r="BH20" i="6"/>
  <c r="BH24" i="6"/>
  <c r="BH28" i="6"/>
  <c r="BH32" i="6"/>
  <c r="BH36" i="6"/>
  <c r="BH40" i="6"/>
  <c r="BH44" i="6"/>
  <c r="BH48" i="6"/>
  <c r="BH52" i="6"/>
  <c r="BH56" i="6"/>
  <c r="BH60" i="6"/>
  <c r="BH64" i="6"/>
  <c r="BH68" i="6"/>
  <c r="BH5" i="6"/>
  <c r="BH9" i="6"/>
  <c r="BH13" i="6"/>
  <c r="BH17" i="6"/>
  <c r="BH21" i="6"/>
  <c r="BH25" i="6"/>
  <c r="BH29" i="6"/>
  <c r="BH33" i="6"/>
  <c r="BH37" i="6"/>
  <c r="BH41" i="6"/>
  <c r="BH45" i="6"/>
  <c r="BH49" i="6"/>
  <c r="BH53" i="6"/>
  <c r="BH57" i="6"/>
  <c r="BH61" i="6"/>
  <c r="BH65" i="6"/>
  <c r="BH69" i="6"/>
  <c r="BH6" i="6"/>
  <c r="BH10" i="6"/>
  <c r="BH14" i="6"/>
  <c r="BH18" i="6"/>
  <c r="BH22" i="6"/>
  <c r="BH26" i="6"/>
  <c r="BH30" i="6"/>
  <c r="BH34" i="6"/>
  <c r="BH38" i="6"/>
  <c r="BH42" i="6"/>
  <c r="BH46" i="6"/>
  <c r="BH50" i="6"/>
  <c r="BH54" i="6"/>
  <c r="BH58" i="6"/>
  <c r="BH62" i="6"/>
  <c r="BH66" i="6"/>
  <c r="BH70" i="6"/>
  <c r="BH7" i="6"/>
  <c r="BH23" i="6"/>
  <c r="BH39" i="6"/>
  <c r="BH55" i="6"/>
  <c r="BH3" i="6"/>
  <c r="BH11" i="6"/>
  <c r="BH27" i="6"/>
  <c r="BH43" i="6"/>
  <c r="BH59" i="6"/>
  <c r="BH15" i="6"/>
  <c r="BH31" i="6"/>
  <c r="BH47" i="6"/>
  <c r="BH63" i="6"/>
  <c r="BH19" i="6"/>
  <c r="BH35" i="6"/>
  <c r="BH51" i="6"/>
  <c r="BH67" i="6"/>
  <c r="AW5" i="6"/>
  <c r="AW9" i="6"/>
  <c r="AW13" i="6"/>
  <c r="AW17" i="6"/>
  <c r="AW21" i="6"/>
  <c r="AW25" i="6"/>
  <c r="AW29" i="6"/>
  <c r="AW33" i="6"/>
  <c r="AW37" i="6"/>
  <c r="AW6" i="6"/>
  <c r="AW10" i="6"/>
  <c r="AW14" i="6"/>
  <c r="AW18" i="6"/>
  <c r="AW22" i="6"/>
  <c r="AW26" i="6"/>
  <c r="AW30" i="6"/>
  <c r="AW34" i="6"/>
  <c r="AW38" i="6"/>
  <c r="AW42" i="6"/>
  <c r="AW46" i="6"/>
  <c r="AW50" i="6"/>
  <c r="AW54" i="6"/>
  <c r="AW58" i="6"/>
  <c r="AW62" i="6"/>
  <c r="AW66" i="6"/>
  <c r="AW70" i="6"/>
  <c r="AW7" i="6"/>
  <c r="AW11" i="6"/>
  <c r="AW15" i="6"/>
  <c r="AW19" i="6"/>
  <c r="AW23" i="6"/>
  <c r="AW27" i="6"/>
  <c r="AW31" i="6"/>
  <c r="AW35" i="6"/>
  <c r="AW39" i="6"/>
  <c r="AW43" i="6"/>
  <c r="AW47" i="6"/>
  <c r="AW51" i="6"/>
  <c r="AW55" i="6"/>
  <c r="AW59" i="6"/>
  <c r="AW63" i="6"/>
  <c r="AW67" i="6"/>
  <c r="AW3" i="6"/>
  <c r="AW8" i="6"/>
  <c r="AW24" i="6"/>
  <c r="AW40" i="6"/>
  <c r="AW48" i="6"/>
  <c r="AW56" i="6"/>
  <c r="AW64" i="6"/>
  <c r="AW12" i="6"/>
  <c r="AW28" i="6"/>
  <c r="AW41" i="6"/>
  <c r="AW49" i="6"/>
  <c r="AW57" i="6"/>
  <c r="AW65" i="6"/>
  <c r="AW16" i="6"/>
  <c r="AW32" i="6"/>
  <c r="AW44" i="6"/>
  <c r="AW52" i="6"/>
  <c r="AW60" i="6"/>
  <c r="AW68" i="6"/>
  <c r="AW4" i="6"/>
  <c r="AW53" i="6"/>
  <c r="AW45" i="6"/>
  <c r="AW20" i="6"/>
  <c r="AW61" i="6"/>
  <c r="AW36" i="6"/>
  <c r="AW69" i="6"/>
  <c r="BE7" i="6"/>
  <c r="BE11" i="6"/>
  <c r="BE15" i="6"/>
  <c r="BE19" i="6"/>
  <c r="BE23" i="6"/>
  <c r="BE27" i="6"/>
  <c r="BE31" i="6"/>
  <c r="BE35" i="6"/>
  <c r="BE39" i="6"/>
  <c r="BE43" i="6"/>
  <c r="BE47" i="6"/>
  <c r="BE51" i="6"/>
  <c r="BE55" i="6"/>
  <c r="BE59" i="6"/>
  <c r="BE63" i="6"/>
  <c r="BE67" i="6"/>
  <c r="BE3" i="6"/>
  <c r="BE4" i="6"/>
  <c r="BE8" i="6"/>
  <c r="BE12" i="6"/>
  <c r="BE16" i="6"/>
  <c r="BE20" i="6"/>
  <c r="BE24" i="6"/>
  <c r="BE28" i="6"/>
  <c r="BE32" i="6"/>
  <c r="BE36" i="6"/>
  <c r="BE40" i="6"/>
  <c r="BE44" i="6"/>
  <c r="BE48" i="6"/>
  <c r="BE52" i="6"/>
  <c r="BE56" i="6"/>
  <c r="BE60" i="6"/>
  <c r="BE64" i="6"/>
  <c r="BE68" i="6"/>
  <c r="BE5" i="6"/>
  <c r="BE9" i="6"/>
  <c r="BE13" i="6"/>
  <c r="BE17" i="6"/>
  <c r="BE21" i="6"/>
  <c r="BE25" i="6"/>
  <c r="BE29" i="6"/>
  <c r="BE33" i="6"/>
  <c r="BE37" i="6"/>
  <c r="BE41" i="6"/>
  <c r="BE45" i="6"/>
  <c r="BE49" i="6"/>
  <c r="BE53" i="6"/>
  <c r="BE57" i="6"/>
  <c r="BE61" i="6"/>
  <c r="BE65" i="6"/>
  <c r="BE69" i="6"/>
  <c r="BE14" i="6"/>
  <c r="BE30" i="6"/>
  <c r="BE46" i="6"/>
  <c r="BE62" i="6"/>
  <c r="BE18" i="6"/>
  <c r="BE34" i="6"/>
  <c r="BE50" i="6"/>
  <c r="BE66" i="6"/>
  <c r="BE6" i="6"/>
  <c r="BE22" i="6"/>
  <c r="BE38" i="6"/>
  <c r="BE54" i="6"/>
  <c r="BE70" i="6"/>
  <c r="BE10" i="6"/>
  <c r="BE26" i="6"/>
  <c r="BE42" i="6"/>
  <c r="BE58" i="6"/>
  <c r="W18" i="9"/>
  <c r="AH7" i="6"/>
  <c r="AH11" i="6"/>
  <c r="AH6" i="6"/>
  <c r="AH12" i="6"/>
  <c r="AH16" i="6"/>
  <c r="AH20" i="6"/>
  <c r="AH24" i="6"/>
  <c r="AH28" i="6"/>
  <c r="AH32" i="6"/>
  <c r="AH36" i="6"/>
  <c r="AH40" i="6"/>
  <c r="AH44" i="6"/>
  <c r="AH48" i="6"/>
  <c r="AH52" i="6"/>
  <c r="AH56" i="6"/>
  <c r="AH60" i="6"/>
  <c r="AH64" i="6"/>
  <c r="AH68" i="6"/>
  <c r="AH15" i="6"/>
  <c r="AH19" i="6"/>
  <c r="AH31" i="6"/>
  <c r="AH43" i="6"/>
  <c r="AH55" i="6"/>
  <c r="AH3" i="6"/>
  <c r="AH8" i="6"/>
  <c r="AH13" i="6"/>
  <c r="AH17" i="6"/>
  <c r="AH21" i="6"/>
  <c r="AH25" i="6"/>
  <c r="AH29" i="6"/>
  <c r="AH33" i="6"/>
  <c r="AH37" i="6"/>
  <c r="AH41" i="6"/>
  <c r="AH45" i="6"/>
  <c r="AH49" i="6"/>
  <c r="AH53" i="6"/>
  <c r="AH57" i="6"/>
  <c r="AH61" i="6"/>
  <c r="AH65" i="6"/>
  <c r="AH69" i="6"/>
  <c r="AH5" i="6"/>
  <c r="AH23" i="6"/>
  <c r="AH35" i="6"/>
  <c r="AH51" i="6"/>
  <c r="AH63" i="6"/>
  <c r="AH4" i="6"/>
  <c r="AH9" i="6"/>
  <c r="AH14" i="6"/>
  <c r="AH18" i="6"/>
  <c r="AH22" i="6"/>
  <c r="AH26" i="6"/>
  <c r="AH30" i="6"/>
  <c r="AH34" i="6"/>
  <c r="AH38" i="6"/>
  <c r="AH42" i="6"/>
  <c r="AH46" i="6"/>
  <c r="AH50" i="6"/>
  <c r="AH54" i="6"/>
  <c r="AH58" i="6"/>
  <c r="AH62" i="6"/>
  <c r="AH66" i="6"/>
  <c r="AH70" i="6"/>
  <c r="AH10" i="6"/>
  <c r="AH27" i="6"/>
  <c r="AH39" i="6"/>
  <c r="AH47" i="6"/>
  <c r="AH59" i="6"/>
  <c r="AH67" i="6"/>
  <c r="S2" i="9"/>
  <c r="AJ16" i="6" s="1"/>
  <c r="W8" i="9"/>
  <c r="AZ6" i="6"/>
  <c r="AZ10" i="6"/>
  <c r="AZ14" i="6"/>
  <c r="AZ18" i="6"/>
  <c r="AZ22" i="6"/>
  <c r="AZ26" i="6"/>
  <c r="AZ30" i="6"/>
  <c r="AZ34" i="6"/>
  <c r="AZ38" i="6"/>
  <c r="AZ42" i="6"/>
  <c r="AZ46" i="6"/>
  <c r="AZ50" i="6"/>
  <c r="AZ54" i="6"/>
  <c r="AZ58" i="6"/>
  <c r="AZ62" i="6"/>
  <c r="AZ66" i="6"/>
  <c r="AZ70" i="6"/>
  <c r="AZ4" i="6"/>
  <c r="AZ9" i="6"/>
  <c r="AZ15" i="6"/>
  <c r="AZ20" i="6"/>
  <c r="AZ25" i="6"/>
  <c r="AZ31" i="6"/>
  <c r="AZ36" i="6"/>
  <c r="AZ41" i="6"/>
  <c r="AZ47" i="6"/>
  <c r="AZ52" i="6"/>
  <c r="AZ57" i="6"/>
  <c r="AZ63" i="6"/>
  <c r="AZ68" i="6"/>
  <c r="AZ5" i="6"/>
  <c r="AZ11" i="6"/>
  <c r="AZ16" i="6"/>
  <c r="AZ21" i="6"/>
  <c r="AZ27" i="6"/>
  <c r="AZ32" i="6"/>
  <c r="AZ37" i="6"/>
  <c r="AZ43" i="6"/>
  <c r="AZ48" i="6"/>
  <c r="AZ53" i="6"/>
  <c r="AZ59" i="6"/>
  <c r="AZ64" i="6"/>
  <c r="AZ69" i="6"/>
  <c r="AZ7" i="6"/>
  <c r="AZ12" i="6"/>
  <c r="AZ17" i="6"/>
  <c r="AZ23" i="6"/>
  <c r="AZ28" i="6"/>
  <c r="AZ33" i="6"/>
  <c r="AZ39" i="6"/>
  <c r="AZ44" i="6"/>
  <c r="AZ49" i="6"/>
  <c r="AZ55" i="6"/>
  <c r="AZ60" i="6"/>
  <c r="AZ65" i="6"/>
  <c r="AZ3" i="6"/>
  <c r="AZ24" i="6"/>
  <c r="AZ45" i="6"/>
  <c r="AZ67" i="6"/>
  <c r="AZ8" i="6"/>
  <c r="AZ29" i="6"/>
  <c r="AZ51" i="6"/>
  <c r="AZ13" i="6"/>
  <c r="AZ35" i="6"/>
  <c r="AZ56" i="6"/>
  <c r="AZ61" i="6"/>
  <c r="AZ19" i="6"/>
  <c r="AZ40" i="6"/>
  <c r="AR4" i="6"/>
  <c r="AR8" i="6"/>
  <c r="AR12" i="6"/>
  <c r="AR16" i="6"/>
  <c r="AR20" i="6"/>
  <c r="AR24" i="6"/>
  <c r="AR28" i="6"/>
  <c r="AR32" i="6"/>
  <c r="AR36" i="6"/>
  <c r="AR40" i="6"/>
  <c r="AR44" i="6"/>
  <c r="AR48" i="6"/>
  <c r="AR52" i="6"/>
  <c r="AR56" i="6"/>
  <c r="AR60" i="6"/>
  <c r="AR64" i="6"/>
  <c r="AR68" i="6"/>
  <c r="AR5" i="6"/>
  <c r="AR9" i="6"/>
  <c r="AR13" i="6"/>
  <c r="AR17" i="6"/>
  <c r="AR21" i="6"/>
  <c r="AR25" i="6"/>
  <c r="AR29" i="6"/>
  <c r="AR33" i="6"/>
  <c r="AR37" i="6"/>
  <c r="AR41" i="6"/>
  <c r="AR45" i="6"/>
  <c r="AR49" i="6"/>
  <c r="AR53" i="6"/>
  <c r="AR57" i="6"/>
  <c r="AR61" i="6"/>
  <c r="AR65" i="6"/>
  <c r="AR69" i="6"/>
  <c r="AR6" i="6"/>
  <c r="AR10" i="6"/>
  <c r="AR14" i="6"/>
  <c r="AR18" i="6"/>
  <c r="AR22" i="6"/>
  <c r="AR26" i="6"/>
  <c r="AR30" i="6"/>
  <c r="AR34" i="6"/>
  <c r="AR38" i="6"/>
  <c r="AR42" i="6"/>
  <c r="AR46" i="6"/>
  <c r="AR50" i="6"/>
  <c r="AR54" i="6"/>
  <c r="AR58" i="6"/>
  <c r="AR62" i="6"/>
  <c r="AR66" i="6"/>
  <c r="AR70" i="6"/>
  <c r="AR7" i="6"/>
  <c r="AR23" i="6"/>
  <c r="AR39" i="6"/>
  <c r="AR55" i="6"/>
  <c r="AR3" i="6"/>
  <c r="AR19" i="6"/>
  <c r="AR35" i="6"/>
  <c r="AR51" i="6"/>
  <c r="AR67" i="6"/>
  <c r="AR11" i="6"/>
  <c r="AR27" i="6"/>
  <c r="AR43" i="6"/>
  <c r="AR59" i="6"/>
  <c r="AR15" i="6"/>
  <c r="AR31" i="6"/>
  <c r="AR47" i="6"/>
  <c r="AR63" i="6"/>
  <c r="AP4" i="6"/>
  <c r="AP8" i="6"/>
  <c r="AP12" i="6"/>
  <c r="AP16" i="6"/>
  <c r="AP20" i="6"/>
  <c r="AP24" i="6"/>
  <c r="AP28" i="6"/>
  <c r="AP32" i="6"/>
  <c r="AP36" i="6"/>
  <c r="AP40" i="6"/>
  <c r="AP44" i="6"/>
  <c r="AP48" i="6"/>
  <c r="AP52" i="6"/>
  <c r="AP56" i="6"/>
  <c r="AP60" i="6"/>
  <c r="AP64" i="6"/>
  <c r="AP68" i="6"/>
  <c r="AP5" i="6"/>
  <c r="AP9" i="6"/>
  <c r="AP13" i="6"/>
  <c r="AP17" i="6"/>
  <c r="AP21" i="6"/>
  <c r="AP25" i="6"/>
  <c r="AP29" i="6"/>
  <c r="AP33" i="6"/>
  <c r="AP37" i="6"/>
  <c r="AP41" i="6"/>
  <c r="AP45" i="6"/>
  <c r="AP49" i="6"/>
  <c r="AP53" i="6"/>
  <c r="AP57" i="6"/>
  <c r="AP61" i="6"/>
  <c r="AP65" i="6"/>
  <c r="AP69" i="6"/>
  <c r="AP6" i="6"/>
  <c r="AP10" i="6"/>
  <c r="AP14" i="6"/>
  <c r="AP18" i="6"/>
  <c r="AP22" i="6"/>
  <c r="AP26" i="6"/>
  <c r="AP30" i="6"/>
  <c r="AP34" i="6"/>
  <c r="AP38" i="6"/>
  <c r="AP42" i="6"/>
  <c r="AP46" i="6"/>
  <c r="AP50" i="6"/>
  <c r="AP54" i="6"/>
  <c r="AP58" i="6"/>
  <c r="AP62" i="6"/>
  <c r="AP66" i="6"/>
  <c r="AP70" i="6"/>
  <c r="AP15" i="6"/>
  <c r="AP31" i="6"/>
  <c r="AP47" i="6"/>
  <c r="AP63" i="6"/>
  <c r="AP11" i="6"/>
  <c r="AP27" i="6"/>
  <c r="AP43" i="6"/>
  <c r="AP59" i="6"/>
  <c r="AP19" i="6"/>
  <c r="AP35" i="6"/>
  <c r="AP51" i="6"/>
  <c r="AP67" i="6"/>
  <c r="AP7" i="6"/>
  <c r="AP23" i="6"/>
  <c r="AP39" i="6"/>
  <c r="AP55" i="6"/>
  <c r="AP3" i="6"/>
  <c r="BF3" i="6"/>
  <c r="BF67" i="6"/>
  <c r="BF63" i="6"/>
  <c r="BF59" i="6"/>
  <c r="BF55" i="6"/>
  <c r="BF51" i="6"/>
  <c r="BF47" i="6"/>
  <c r="BF43" i="6"/>
  <c r="BF39" i="6"/>
  <c r="BF70" i="6"/>
  <c r="BF66" i="6"/>
  <c r="BF62" i="6"/>
  <c r="BF58" i="6"/>
  <c r="BF54" i="6"/>
  <c r="BF50" i="6"/>
  <c r="BF46" i="6"/>
  <c r="BF42" i="6"/>
  <c r="BF38" i="6"/>
  <c r="BF69" i="6"/>
  <c r="BF65" i="6"/>
  <c r="BF61" i="6"/>
  <c r="BF57" i="6"/>
  <c r="BF53" i="6"/>
  <c r="BF49" i="6"/>
  <c r="BF45" i="6"/>
  <c r="BF41" i="6"/>
  <c r="BF37" i="6"/>
  <c r="BF33" i="6"/>
  <c r="BF29" i="6"/>
  <c r="BF25" i="6"/>
  <c r="BF21" i="6"/>
  <c r="BF17" i="6"/>
  <c r="BF13" i="6"/>
  <c r="BF9" i="6"/>
  <c r="BF5" i="6"/>
  <c r="BF64" i="6"/>
  <c r="BF48" i="6"/>
  <c r="BF35" i="6"/>
  <c r="BF30" i="6"/>
  <c r="BF24" i="6"/>
  <c r="BF19" i="6"/>
  <c r="BF14" i="6"/>
  <c r="BF8" i="6"/>
  <c r="AX5" i="6"/>
  <c r="AX9" i="6"/>
  <c r="AX13" i="6"/>
  <c r="AX17" i="6"/>
  <c r="AX21" i="6"/>
  <c r="AX25" i="6"/>
  <c r="AX29" i="6"/>
  <c r="AX33" i="6"/>
  <c r="AX37" i="6"/>
  <c r="AX41" i="6"/>
  <c r="AX45" i="6"/>
  <c r="AX49" i="6"/>
  <c r="AX53" i="6"/>
  <c r="AX57" i="6"/>
  <c r="AX61" i="6"/>
  <c r="AX65" i="6"/>
  <c r="AX69" i="6"/>
  <c r="BF60" i="6"/>
  <c r="BF44" i="6"/>
  <c r="BF34" i="6"/>
  <c r="BF28" i="6"/>
  <c r="BF23" i="6"/>
  <c r="BF18" i="6"/>
  <c r="BF12" i="6"/>
  <c r="BF7" i="6"/>
  <c r="AX6" i="6"/>
  <c r="AX10" i="6"/>
  <c r="AX14" i="6"/>
  <c r="AX18" i="6"/>
  <c r="AX22" i="6"/>
  <c r="AX26" i="6"/>
  <c r="AX30" i="6"/>
  <c r="AX34" i="6"/>
  <c r="AX38" i="6"/>
  <c r="AX42" i="6"/>
  <c r="AX46" i="6"/>
  <c r="AX50" i="6"/>
  <c r="AX54" i="6"/>
  <c r="AX58" i="6"/>
  <c r="AX62" i="6"/>
  <c r="AX66" i="6"/>
  <c r="AX70" i="6"/>
  <c r="BF56" i="6"/>
  <c r="BF40" i="6"/>
  <c r="BF32" i="6"/>
  <c r="BF27" i="6"/>
  <c r="BF22" i="6"/>
  <c r="BF16" i="6"/>
  <c r="BF11" i="6"/>
  <c r="BF6" i="6"/>
  <c r="AX7" i="6"/>
  <c r="AX11" i="6"/>
  <c r="AX15" i="6"/>
  <c r="AX19" i="6"/>
  <c r="AX23" i="6"/>
  <c r="AX27" i="6"/>
  <c r="AX31" i="6"/>
  <c r="AX35" i="6"/>
  <c r="AX39" i="6"/>
  <c r="AX43" i="6"/>
  <c r="AX47" i="6"/>
  <c r="AX51" i="6"/>
  <c r="AX55" i="6"/>
  <c r="AX59" i="6"/>
  <c r="AX63" i="6"/>
  <c r="AX67" i="6"/>
  <c r="AX3" i="6"/>
  <c r="BF68" i="6"/>
  <c r="BF26" i="6"/>
  <c r="BF4" i="6"/>
  <c r="AX12" i="6"/>
  <c r="AX28" i="6"/>
  <c r="AX44" i="6"/>
  <c r="AX60" i="6"/>
  <c r="BF52" i="6"/>
  <c r="BF20" i="6"/>
  <c r="AX16" i="6"/>
  <c r="AX32" i="6"/>
  <c r="AX48" i="6"/>
  <c r="AX64" i="6"/>
  <c r="BF36" i="6"/>
  <c r="BF15" i="6"/>
  <c r="AX4" i="6"/>
  <c r="AX20" i="6"/>
  <c r="AX36" i="6"/>
  <c r="AX52" i="6"/>
  <c r="AX68" i="6"/>
  <c r="BF10" i="6"/>
  <c r="AX8" i="6"/>
  <c r="BF31" i="6"/>
  <c r="AX56" i="6"/>
  <c r="AX24" i="6"/>
  <c r="AX40" i="6"/>
  <c r="AG7" i="6"/>
  <c r="AG11" i="6"/>
  <c r="AG15" i="6"/>
  <c r="AG19" i="6"/>
  <c r="AG23" i="6"/>
  <c r="AG27" i="6"/>
  <c r="AG31" i="6"/>
  <c r="AG35" i="6"/>
  <c r="AG39" i="6"/>
  <c r="AG43" i="6"/>
  <c r="AG47" i="6"/>
  <c r="AG51" i="6"/>
  <c r="AG55" i="6"/>
  <c r="AG59" i="6"/>
  <c r="AG63" i="6"/>
  <c r="AG67" i="6"/>
  <c r="AG3" i="6"/>
  <c r="AG8" i="6"/>
  <c r="AG16" i="6"/>
  <c r="AG24" i="6"/>
  <c r="AG36" i="6"/>
  <c r="AG44" i="6"/>
  <c r="AG52" i="6"/>
  <c r="AG64" i="6"/>
  <c r="AG10" i="6"/>
  <c r="AG22" i="6"/>
  <c r="AG34" i="6"/>
  <c r="AG46" i="6"/>
  <c r="AG54" i="6"/>
  <c r="AG4" i="6"/>
  <c r="AG12" i="6"/>
  <c r="AG20" i="6"/>
  <c r="AG28" i="6"/>
  <c r="AG32" i="6"/>
  <c r="AG40" i="6"/>
  <c r="AG48" i="6"/>
  <c r="AG56" i="6"/>
  <c r="AG60" i="6"/>
  <c r="AG68" i="6"/>
  <c r="AG6" i="6"/>
  <c r="AG18" i="6"/>
  <c r="AG30" i="6"/>
  <c r="AG42" i="6"/>
  <c r="AG58" i="6"/>
  <c r="AG70" i="6"/>
  <c r="AG5" i="6"/>
  <c r="AG9" i="6"/>
  <c r="AG13" i="6"/>
  <c r="AG17" i="6"/>
  <c r="AG21" i="6"/>
  <c r="AG25" i="6"/>
  <c r="AG29" i="6"/>
  <c r="AG33" i="6"/>
  <c r="AG37" i="6"/>
  <c r="AG41" i="6"/>
  <c r="AG45" i="6"/>
  <c r="AG49" i="6"/>
  <c r="AG53" i="6"/>
  <c r="AG57" i="6"/>
  <c r="AG61" i="6"/>
  <c r="AG65" i="6"/>
  <c r="AG69" i="6"/>
  <c r="AG14" i="6"/>
  <c r="AG26" i="6"/>
  <c r="AG38" i="6"/>
  <c r="AG50" i="6"/>
  <c r="AG62" i="6"/>
  <c r="AG66" i="6"/>
  <c r="W9" i="9"/>
  <c r="Q22" i="9"/>
  <c r="Q23" i="9"/>
  <c r="U23" i="9" s="1"/>
  <c r="W12" i="9"/>
  <c r="Q12" i="9"/>
  <c r="Q14" i="9"/>
  <c r="W15" i="9"/>
  <c r="Q16" i="9"/>
  <c r="W20" i="9"/>
  <c r="Q24" i="9"/>
  <c r="W11" i="9"/>
  <c r="Q9" i="9"/>
  <c r="W14" i="9"/>
  <c r="W16" i="9"/>
  <c r="W24" i="9"/>
  <c r="Q17" i="9"/>
  <c r="W17" i="9"/>
  <c r="Q18" i="9"/>
  <c r="Q19" i="9"/>
  <c r="Q21" i="9"/>
  <c r="W21" i="9"/>
  <c r="W22" i="9"/>
  <c r="T23" i="9"/>
  <c r="Q10" i="9"/>
  <c r="W10" i="9"/>
  <c r="Q11" i="9"/>
  <c r="Q13" i="9"/>
  <c r="Q15" i="9"/>
  <c r="W19" i="9"/>
  <c r="Q20" i="9"/>
  <c r="S11" i="9"/>
  <c r="Q8" i="9"/>
  <c r="S10" i="9"/>
  <c r="S18" i="9"/>
  <c r="S22" i="9"/>
  <c r="S9" i="9"/>
  <c r="S17" i="9"/>
  <c r="S21" i="9"/>
  <c r="S12" i="9"/>
  <c r="S13" i="9"/>
  <c r="S14" i="9"/>
  <c r="S15" i="9"/>
  <c r="S16" i="9"/>
  <c r="S20" i="9"/>
  <c r="S24" i="9"/>
  <c r="S19" i="9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Y4" i="6"/>
  <c r="Y5" i="6"/>
  <c r="Y6" i="6"/>
  <c r="Y7" i="6"/>
  <c r="Y8" i="6"/>
  <c r="Y9" i="6"/>
  <c r="Y10" i="6"/>
  <c r="Y11" i="6"/>
  <c r="Y12" i="6"/>
  <c r="Y13" i="6"/>
  <c r="Y14" i="6"/>
  <c r="Y15" i="6"/>
  <c r="Y16" i="6"/>
  <c r="Y17" i="6"/>
  <c r="Y18" i="6"/>
  <c r="Y19" i="6"/>
  <c r="Y20" i="6"/>
  <c r="Y21" i="6"/>
  <c r="Y22" i="6"/>
  <c r="Y23" i="6"/>
  <c r="Y24" i="6"/>
  <c r="Y25" i="6"/>
  <c r="Y26" i="6"/>
  <c r="Y27" i="6"/>
  <c r="Y28" i="6"/>
  <c r="Y29" i="6"/>
  <c r="Y30" i="6"/>
  <c r="Y31" i="6"/>
  <c r="Y32" i="6"/>
  <c r="Y33" i="6"/>
  <c r="Y34" i="6"/>
  <c r="Y35" i="6"/>
  <c r="Y36" i="6"/>
  <c r="Y37" i="6"/>
  <c r="Y38" i="6"/>
  <c r="Y39" i="6"/>
  <c r="Y40" i="6"/>
  <c r="Y41" i="6"/>
  <c r="Y42" i="6"/>
  <c r="Y43" i="6"/>
  <c r="Y44" i="6"/>
  <c r="Y45" i="6"/>
  <c r="Y46" i="6"/>
  <c r="Y47" i="6"/>
  <c r="Y48" i="6"/>
  <c r="Y49" i="6"/>
  <c r="Y50" i="6"/>
  <c r="Y51" i="6"/>
  <c r="Y52" i="6"/>
  <c r="Y53" i="6"/>
  <c r="Y54" i="6"/>
  <c r="Y55" i="6"/>
  <c r="Y56" i="6"/>
  <c r="Y57" i="6"/>
  <c r="Y58" i="6"/>
  <c r="Y59" i="6"/>
  <c r="Y60" i="6"/>
  <c r="Y61" i="6"/>
  <c r="Y62" i="6"/>
  <c r="Y63" i="6"/>
  <c r="Y64" i="6"/>
  <c r="Y65" i="6"/>
  <c r="Y66" i="6"/>
  <c r="Y67" i="6"/>
  <c r="Y68" i="6"/>
  <c r="Y69" i="6"/>
  <c r="Y70" i="6"/>
  <c r="Y3" i="6"/>
  <c r="AJ39" i="6" l="1"/>
  <c r="AJ17" i="6"/>
  <c r="AJ44" i="6"/>
  <c r="AJ58" i="6"/>
  <c r="V23" i="9"/>
  <c r="Q105" i="9" s="1"/>
  <c r="V8" i="9"/>
  <c r="Q90" i="9" s="1"/>
  <c r="T8" i="9"/>
  <c r="U8" i="9"/>
  <c r="P34" i="9" s="1"/>
  <c r="T12" i="9"/>
  <c r="V12" i="9"/>
  <c r="Q94" i="9" s="1"/>
  <c r="T19" i="9"/>
  <c r="V19" i="9"/>
  <c r="Q101" i="9" s="1"/>
  <c r="T21" i="9"/>
  <c r="V21" i="9"/>
  <c r="Q103" i="9" s="1"/>
  <c r="T24" i="9"/>
  <c r="V24" i="9"/>
  <c r="Q106" i="9" s="1"/>
  <c r="T14" i="9"/>
  <c r="V14" i="9"/>
  <c r="Q96" i="9" s="1"/>
  <c r="T17" i="9"/>
  <c r="V17" i="9"/>
  <c r="Q99" i="9" s="1"/>
  <c r="T10" i="9"/>
  <c r="V10" i="9"/>
  <c r="Q92" i="9" s="1"/>
  <c r="T16" i="9"/>
  <c r="V16" i="9"/>
  <c r="Q98" i="9" s="1"/>
  <c r="T15" i="9"/>
  <c r="V15" i="9"/>
  <c r="Q97" i="9" s="1"/>
  <c r="T18" i="9"/>
  <c r="V18" i="9"/>
  <c r="Q100" i="9" s="1"/>
  <c r="T20" i="9"/>
  <c r="V20" i="9"/>
  <c r="Q102" i="9" s="1"/>
  <c r="T13" i="9"/>
  <c r="V13" i="9"/>
  <c r="Q95" i="9" s="1"/>
  <c r="T9" i="9"/>
  <c r="V9" i="9"/>
  <c r="Q91" i="9" s="1"/>
  <c r="U22" i="9"/>
  <c r="V22" i="9"/>
  <c r="Q104" i="9" s="1"/>
  <c r="T11" i="9"/>
  <c r="L11" i="8"/>
  <c r="L15" i="8"/>
  <c r="L13" i="8"/>
  <c r="L9" i="8"/>
  <c r="V11" i="9"/>
  <c r="Q93" i="9" s="1"/>
  <c r="Q41" i="8" s="1"/>
  <c r="V69" i="9"/>
  <c r="V70" i="9"/>
  <c r="V71" i="9"/>
  <c r="V72" i="9"/>
  <c r="O9" i="8"/>
  <c r="O15" i="8"/>
  <c r="O13" i="8"/>
  <c r="O11" i="8"/>
  <c r="V73" i="9"/>
  <c r="AJ42" i="6"/>
  <c r="AJ65" i="6"/>
  <c r="AJ3" i="6"/>
  <c r="AJ28" i="6"/>
  <c r="AJ59" i="6"/>
  <c r="AJ26" i="6"/>
  <c r="AJ49" i="6"/>
  <c r="AJ23" i="6"/>
  <c r="AJ12" i="6"/>
  <c r="AJ7" i="6"/>
  <c r="AJ10" i="6"/>
  <c r="AJ33" i="6"/>
  <c r="AJ60" i="6"/>
  <c r="U2" i="9"/>
  <c r="AI19" i="6" s="1"/>
  <c r="AJ47" i="6"/>
  <c r="AJ70" i="6"/>
  <c r="AJ54" i="6"/>
  <c r="AJ38" i="6"/>
  <c r="AJ22" i="6"/>
  <c r="AJ6" i="6"/>
  <c r="AJ27" i="6"/>
  <c r="AJ61" i="6"/>
  <c r="AJ45" i="6"/>
  <c r="AJ29" i="6"/>
  <c r="AJ13" i="6"/>
  <c r="AJ55" i="6"/>
  <c r="AJ11" i="6"/>
  <c r="AJ56" i="6"/>
  <c r="AJ40" i="6"/>
  <c r="AJ24" i="6"/>
  <c r="AJ8" i="6"/>
  <c r="AJ35" i="6"/>
  <c r="AJ66" i="6"/>
  <c r="AJ50" i="6"/>
  <c r="AJ34" i="6"/>
  <c r="AJ18" i="6"/>
  <c r="AJ63" i="6"/>
  <c r="AJ15" i="6"/>
  <c r="AJ57" i="6"/>
  <c r="AJ41" i="6"/>
  <c r="AJ25" i="6"/>
  <c r="AJ9" i="6"/>
  <c r="AJ43" i="6"/>
  <c r="AJ68" i="6"/>
  <c r="AJ52" i="6"/>
  <c r="AJ36" i="6"/>
  <c r="AJ20" i="6"/>
  <c r="AJ4" i="6"/>
  <c r="AJ67" i="6"/>
  <c r="AJ19" i="6"/>
  <c r="AJ62" i="6"/>
  <c r="AJ46" i="6"/>
  <c r="AJ30" i="6"/>
  <c r="AJ14" i="6"/>
  <c r="AJ51" i="6"/>
  <c r="AJ69" i="6"/>
  <c r="AJ53" i="6"/>
  <c r="AJ37" i="6"/>
  <c r="AJ21" i="6"/>
  <c r="AJ5" i="6"/>
  <c r="AJ31" i="6"/>
  <c r="AJ64" i="6"/>
  <c r="AJ48" i="6"/>
  <c r="AJ32" i="6"/>
  <c r="AQ4" i="6"/>
  <c r="AM4" i="6" s="1"/>
  <c r="AQ8" i="6"/>
  <c r="AM8" i="6" s="1"/>
  <c r="AQ12" i="6"/>
  <c r="AQ16" i="6"/>
  <c r="AM16" i="6" s="1"/>
  <c r="AQ20" i="6"/>
  <c r="AM20" i="6" s="1"/>
  <c r="AQ24" i="6"/>
  <c r="AM24" i="6" s="1"/>
  <c r="AQ28" i="6"/>
  <c r="AM28" i="6" s="1"/>
  <c r="AQ32" i="6"/>
  <c r="AM32" i="6" s="1"/>
  <c r="AQ36" i="6"/>
  <c r="AM36" i="6" s="1"/>
  <c r="AQ40" i="6"/>
  <c r="AM40" i="6" s="1"/>
  <c r="AQ44" i="6"/>
  <c r="AM44" i="6" s="1"/>
  <c r="AQ48" i="6"/>
  <c r="AM48" i="6" s="1"/>
  <c r="AQ52" i="6"/>
  <c r="AM52" i="6" s="1"/>
  <c r="AQ56" i="6"/>
  <c r="AM56" i="6" s="1"/>
  <c r="AQ60" i="6"/>
  <c r="AM60" i="6" s="1"/>
  <c r="AQ64" i="6"/>
  <c r="AM64" i="6" s="1"/>
  <c r="AQ68" i="6"/>
  <c r="AQ5" i="6"/>
  <c r="AM5" i="6" s="1"/>
  <c r="AQ9" i="6"/>
  <c r="AM9" i="6" s="1"/>
  <c r="AQ13" i="6"/>
  <c r="AM13" i="6" s="1"/>
  <c r="AQ17" i="6"/>
  <c r="AM17" i="6" s="1"/>
  <c r="AQ21" i="6"/>
  <c r="AM21" i="6" s="1"/>
  <c r="AQ25" i="6"/>
  <c r="AM25" i="6" s="1"/>
  <c r="AQ29" i="6"/>
  <c r="AM29" i="6" s="1"/>
  <c r="AQ33" i="6"/>
  <c r="AQ37" i="6"/>
  <c r="AM37" i="6" s="1"/>
  <c r="AQ41" i="6"/>
  <c r="AM41" i="6" s="1"/>
  <c r="AQ45" i="6"/>
  <c r="AM45" i="6" s="1"/>
  <c r="AQ49" i="6"/>
  <c r="AM49" i="6" s="1"/>
  <c r="AQ53" i="6"/>
  <c r="AM53" i="6" s="1"/>
  <c r="AQ57" i="6"/>
  <c r="AM57" i="6" s="1"/>
  <c r="AQ61" i="6"/>
  <c r="AM61" i="6" s="1"/>
  <c r="AQ65" i="6"/>
  <c r="AM65" i="6" s="1"/>
  <c r="AQ69" i="6"/>
  <c r="AM69" i="6" s="1"/>
  <c r="AQ6" i="6"/>
  <c r="AM6" i="6" s="1"/>
  <c r="AQ10" i="6"/>
  <c r="AM10" i="6" s="1"/>
  <c r="AQ14" i="6"/>
  <c r="AM14" i="6" s="1"/>
  <c r="AQ18" i="6"/>
  <c r="AM18" i="6" s="1"/>
  <c r="AQ22" i="6"/>
  <c r="AM22" i="6" s="1"/>
  <c r="AQ26" i="6"/>
  <c r="AM26" i="6" s="1"/>
  <c r="AQ30" i="6"/>
  <c r="AM30" i="6" s="1"/>
  <c r="AQ34" i="6"/>
  <c r="AM34" i="6" s="1"/>
  <c r="AQ38" i="6"/>
  <c r="AM38" i="6" s="1"/>
  <c r="AQ42" i="6"/>
  <c r="AM42" i="6" s="1"/>
  <c r="AQ46" i="6"/>
  <c r="AM46" i="6" s="1"/>
  <c r="AQ50" i="6"/>
  <c r="AM50" i="6" s="1"/>
  <c r="AQ54" i="6"/>
  <c r="AM54" i="6" s="1"/>
  <c r="AQ58" i="6"/>
  <c r="AM58" i="6" s="1"/>
  <c r="AQ62" i="6"/>
  <c r="AM62" i="6" s="1"/>
  <c r="AQ66" i="6"/>
  <c r="AM66" i="6" s="1"/>
  <c r="AQ70" i="6"/>
  <c r="AM70" i="6" s="1"/>
  <c r="AQ19" i="6"/>
  <c r="AM19" i="6" s="1"/>
  <c r="AQ35" i="6"/>
  <c r="AM35" i="6" s="1"/>
  <c r="AQ51" i="6"/>
  <c r="AM51" i="6" s="1"/>
  <c r="AQ67" i="6"/>
  <c r="AM67" i="6" s="1"/>
  <c r="AQ15" i="6"/>
  <c r="AM15" i="6" s="1"/>
  <c r="AQ31" i="6"/>
  <c r="AM31" i="6" s="1"/>
  <c r="AQ47" i="6"/>
  <c r="AM47" i="6" s="1"/>
  <c r="AQ63" i="6"/>
  <c r="AM63" i="6" s="1"/>
  <c r="AQ7" i="6"/>
  <c r="AM7" i="6" s="1"/>
  <c r="AQ23" i="6"/>
  <c r="AM23" i="6" s="1"/>
  <c r="AQ39" i="6"/>
  <c r="AM39" i="6" s="1"/>
  <c r="AQ55" i="6"/>
  <c r="AM55" i="6" s="1"/>
  <c r="AQ3" i="6"/>
  <c r="AM3" i="6" s="1"/>
  <c r="AQ11" i="6"/>
  <c r="AM11" i="6" s="1"/>
  <c r="AQ27" i="6"/>
  <c r="AM27" i="6" s="1"/>
  <c r="AQ43" i="6"/>
  <c r="AM43" i="6" s="1"/>
  <c r="AQ59" i="6"/>
  <c r="AM59" i="6" s="1"/>
  <c r="AM68" i="6"/>
  <c r="AM12" i="6"/>
  <c r="AY5" i="6"/>
  <c r="AU5" i="6" s="1"/>
  <c r="AY9" i="6"/>
  <c r="AU9" i="6" s="1"/>
  <c r="AY13" i="6"/>
  <c r="AU13" i="6" s="1"/>
  <c r="AY17" i="6"/>
  <c r="AU17" i="6" s="1"/>
  <c r="AY21" i="6"/>
  <c r="AU21" i="6" s="1"/>
  <c r="AY25" i="6"/>
  <c r="AU25" i="6" s="1"/>
  <c r="AY29" i="6"/>
  <c r="AU29" i="6" s="1"/>
  <c r="AY33" i="6"/>
  <c r="AU33" i="6" s="1"/>
  <c r="AY37" i="6"/>
  <c r="AU37" i="6" s="1"/>
  <c r="AY41" i="6"/>
  <c r="AU41" i="6" s="1"/>
  <c r="AY45" i="6"/>
  <c r="AU45" i="6" s="1"/>
  <c r="AY49" i="6"/>
  <c r="AU49" i="6" s="1"/>
  <c r="AY53" i="6"/>
  <c r="AU53" i="6" s="1"/>
  <c r="AY57" i="6"/>
  <c r="AU57" i="6" s="1"/>
  <c r="AY61" i="6"/>
  <c r="AU61" i="6" s="1"/>
  <c r="AY65" i="6"/>
  <c r="AU65" i="6" s="1"/>
  <c r="AY69" i="6"/>
  <c r="AY6" i="6"/>
  <c r="AU6" i="6" s="1"/>
  <c r="AY10" i="6"/>
  <c r="AU10" i="6" s="1"/>
  <c r="AY14" i="6"/>
  <c r="AU14" i="6" s="1"/>
  <c r="AY18" i="6"/>
  <c r="AU18" i="6" s="1"/>
  <c r="AY22" i="6"/>
  <c r="AU22" i="6" s="1"/>
  <c r="AY26" i="6"/>
  <c r="AU26" i="6" s="1"/>
  <c r="AY30" i="6"/>
  <c r="AU30" i="6" s="1"/>
  <c r="AY34" i="6"/>
  <c r="AU34" i="6" s="1"/>
  <c r="AY38" i="6"/>
  <c r="AU38" i="6" s="1"/>
  <c r="AY42" i="6"/>
  <c r="AU42" i="6" s="1"/>
  <c r="AY46" i="6"/>
  <c r="AU46" i="6" s="1"/>
  <c r="AY50" i="6"/>
  <c r="AU50" i="6" s="1"/>
  <c r="AY54" i="6"/>
  <c r="AU54" i="6" s="1"/>
  <c r="AY58" i="6"/>
  <c r="AU58" i="6" s="1"/>
  <c r="AY62" i="6"/>
  <c r="AU62" i="6" s="1"/>
  <c r="AY66" i="6"/>
  <c r="AU66" i="6" s="1"/>
  <c r="AY70" i="6"/>
  <c r="AU70" i="6" s="1"/>
  <c r="AY7" i="6"/>
  <c r="AU7" i="6" s="1"/>
  <c r="AY11" i="6"/>
  <c r="AU11" i="6" s="1"/>
  <c r="AY15" i="6"/>
  <c r="AU15" i="6" s="1"/>
  <c r="AY19" i="6"/>
  <c r="AU19" i="6" s="1"/>
  <c r="AY23" i="6"/>
  <c r="AU23" i="6" s="1"/>
  <c r="AY27" i="6"/>
  <c r="AU27" i="6" s="1"/>
  <c r="AY31" i="6"/>
  <c r="AU31" i="6" s="1"/>
  <c r="AY35" i="6"/>
  <c r="AU35" i="6" s="1"/>
  <c r="AY39" i="6"/>
  <c r="AU39" i="6" s="1"/>
  <c r="AY43" i="6"/>
  <c r="AU43" i="6" s="1"/>
  <c r="AY47" i="6"/>
  <c r="AU47" i="6" s="1"/>
  <c r="AY51" i="6"/>
  <c r="AU51" i="6" s="1"/>
  <c r="AY55" i="6"/>
  <c r="AU55" i="6" s="1"/>
  <c r="AY59" i="6"/>
  <c r="AU59" i="6" s="1"/>
  <c r="AY63" i="6"/>
  <c r="AU63" i="6" s="1"/>
  <c r="AY67" i="6"/>
  <c r="AU67" i="6" s="1"/>
  <c r="AY3" i="6"/>
  <c r="AU3" i="6" s="1"/>
  <c r="AY16" i="6"/>
  <c r="AU16" i="6" s="1"/>
  <c r="AY32" i="6"/>
  <c r="AU32" i="6" s="1"/>
  <c r="AY48" i="6"/>
  <c r="AU48" i="6" s="1"/>
  <c r="AY64" i="6"/>
  <c r="AU64" i="6" s="1"/>
  <c r="AY4" i="6"/>
  <c r="AU4" i="6" s="1"/>
  <c r="AY20" i="6"/>
  <c r="AU20" i="6" s="1"/>
  <c r="AY36" i="6"/>
  <c r="AU36" i="6" s="1"/>
  <c r="AY52" i="6"/>
  <c r="AU52" i="6" s="1"/>
  <c r="AY68" i="6"/>
  <c r="AU68" i="6" s="1"/>
  <c r="AY8" i="6"/>
  <c r="AU8" i="6" s="1"/>
  <c r="AY24" i="6"/>
  <c r="AU24" i="6" s="1"/>
  <c r="AY40" i="6"/>
  <c r="AU40" i="6" s="1"/>
  <c r="AY56" i="6"/>
  <c r="AU56" i="6" s="1"/>
  <c r="AY12" i="6"/>
  <c r="AU12" i="6" s="1"/>
  <c r="AY60" i="6"/>
  <c r="AU60" i="6" s="1"/>
  <c r="AY28" i="6"/>
  <c r="AU28" i="6" s="1"/>
  <c r="AY44" i="6"/>
  <c r="AU44" i="6" s="1"/>
  <c r="AU69" i="6"/>
  <c r="BG4" i="6"/>
  <c r="BC4" i="6" s="1"/>
  <c r="BG8" i="6"/>
  <c r="BC8" i="6" s="1"/>
  <c r="BG12" i="6"/>
  <c r="BC12" i="6" s="1"/>
  <c r="BG16" i="6"/>
  <c r="BC16" i="6" s="1"/>
  <c r="BG20" i="6"/>
  <c r="BC20" i="6" s="1"/>
  <c r="BG24" i="6"/>
  <c r="BC24" i="6" s="1"/>
  <c r="BG28" i="6"/>
  <c r="BC28" i="6" s="1"/>
  <c r="BG32" i="6"/>
  <c r="BC32" i="6" s="1"/>
  <c r="BG36" i="6"/>
  <c r="BC36" i="6" s="1"/>
  <c r="BG40" i="6"/>
  <c r="BC40" i="6" s="1"/>
  <c r="BG44" i="6"/>
  <c r="BC44" i="6" s="1"/>
  <c r="BG48" i="6"/>
  <c r="BC48" i="6" s="1"/>
  <c r="BG52" i="6"/>
  <c r="BC52" i="6" s="1"/>
  <c r="BG56" i="6"/>
  <c r="BC56" i="6" s="1"/>
  <c r="BG60" i="6"/>
  <c r="BC60" i="6" s="1"/>
  <c r="BG64" i="6"/>
  <c r="BC64" i="6" s="1"/>
  <c r="BG68" i="6"/>
  <c r="BC68" i="6" s="1"/>
  <c r="BG5" i="6"/>
  <c r="BC5" i="6" s="1"/>
  <c r="BG9" i="6"/>
  <c r="BC9" i="6" s="1"/>
  <c r="BG13" i="6"/>
  <c r="BC13" i="6" s="1"/>
  <c r="BG17" i="6"/>
  <c r="BC17" i="6" s="1"/>
  <c r="BG21" i="6"/>
  <c r="BC21" i="6" s="1"/>
  <c r="BG25" i="6"/>
  <c r="BC25" i="6" s="1"/>
  <c r="BG29" i="6"/>
  <c r="BC29" i="6" s="1"/>
  <c r="BG33" i="6"/>
  <c r="BC33" i="6" s="1"/>
  <c r="BG37" i="6"/>
  <c r="BC37" i="6" s="1"/>
  <c r="BG41" i="6"/>
  <c r="BC41" i="6" s="1"/>
  <c r="BG45" i="6"/>
  <c r="BC45" i="6" s="1"/>
  <c r="BG49" i="6"/>
  <c r="BG53" i="6"/>
  <c r="BC53" i="6" s="1"/>
  <c r="BG57" i="6"/>
  <c r="BC57" i="6" s="1"/>
  <c r="BG61" i="6"/>
  <c r="BC61" i="6" s="1"/>
  <c r="BG65" i="6"/>
  <c r="BC65" i="6" s="1"/>
  <c r="BG69" i="6"/>
  <c r="BC69" i="6" s="1"/>
  <c r="BG6" i="6"/>
  <c r="BC6" i="6" s="1"/>
  <c r="BG10" i="6"/>
  <c r="BC10" i="6" s="1"/>
  <c r="BG14" i="6"/>
  <c r="BC14" i="6" s="1"/>
  <c r="BG18" i="6"/>
  <c r="BC18" i="6" s="1"/>
  <c r="BG22" i="6"/>
  <c r="BC22" i="6" s="1"/>
  <c r="BG26" i="6"/>
  <c r="BC26" i="6" s="1"/>
  <c r="BG30" i="6"/>
  <c r="BC30" i="6" s="1"/>
  <c r="BG34" i="6"/>
  <c r="BC34" i="6" s="1"/>
  <c r="BG38" i="6"/>
  <c r="BC38" i="6" s="1"/>
  <c r="BG42" i="6"/>
  <c r="BC42" i="6" s="1"/>
  <c r="BG46" i="6"/>
  <c r="BC46" i="6" s="1"/>
  <c r="BG50" i="6"/>
  <c r="BC50" i="6" s="1"/>
  <c r="BG54" i="6"/>
  <c r="BC54" i="6" s="1"/>
  <c r="BG58" i="6"/>
  <c r="BC58" i="6" s="1"/>
  <c r="BG62" i="6"/>
  <c r="BC62" i="6" s="1"/>
  <c r="BG66" i="6"/>
  <c r="BC66" i="6" s="1"/>
  <c r="BG70" i="6"/>
  <c r="BC70" i="6" s="1"/>
  <c r="BG19" i="6"/>
  <c r="BC19" i="6" s="1"/>
  <c r="BG35" i="6"/>
  <c r="BC35" i="6" s="1"/>
  <c r="BG51" i="6"/>
  <c r="BC51" i="6" s="1"/>
  <c r="BG67" i="6"/>
  <c r="BC67" i="6" s="1"/>
  <c r="BG7" i="6"/>
  <c r="BC7" i="6" s="1"/>
  <c r="BG23" i="6"/>
  <c r="BC23" i="6" s="1"/>
  <c r="BG39" i="6"/>
  <c r="BC39" i="6" s="1"/>
  <c r="BG55" i="6"/>
  <c r="BC55" i="6" s="1"/>
  <c r="BG3" i="6"/>
  <c r="BC3" i="6" s="1"/>
  <c r="BG11" i="6"/>
  <c r="BC11" i="6" s="1"/>
  <c r="BG27" i="6"/>
  <c r="BC27" i="6" s="1"/>
  <c r="BG43" i="6"/>
  <c r="BC43" i="6" s="1"/>
  <c r="BG59" i="6"/>
  <c r="BC59" i="6" s="1"/>
  <c r="BG15" i="6"/>
  <c r="BC15" i="6" s="1"/>
  <c r="BG31" i="6"/>
  <c r="BC31" i="6" s="1"/>
  <c r="BG47" i="6"/>
  <c r="BC47" i="6" s="1"/>
  <c r="BG63" i="6"/>
  <c r="BC63" i="6" s="1"/>
  <c r="BC49" i="6"/>
  <c r="AM33" i="6"/>
  <c r="AI15" i="6"/>
  <c r="AI31" i="6"/>
  <c r="AI47" i="6"/>
  <c r="AI63" i="6"/>
  <c r="AI14" i="6"/>
  <c r="AI54" i="6"/>
  <c r="AI12" i="6"/>
  <c r="AI28" i="6"/>
  <c r="AI44" i="6"/>
  <c r="AI60" i="6"/>
  <c r="AI46" i="6"/>
  <c r="AI9" i="6"/>
  <c r="AI25" i="6"/>
  <c r="AI41" i="6"/>
  <c r="AI57" i="6"/>
  <c r="AI10" i="6"/>
  <c r="AI50" i="6"/>
  <c r="U13" i="9"/>
  <c r="U20" i="9"/>
  <c r="U18" i="9"/>
  <c r="X54" i="9" s="1"/>
  <c r="U16" i="9"/>
  <c r="U17" i="9"/>
  <c r="U11" i="9"/>
  <c r="U10" i="9"/>
  <c r="U21" i="9"/>
  <c r="U9" i="9"/>
  <c r="U14" i="9"/>
  <c r="U12" i="9"/>
  <c r="U15" i="9"/>
  <c r="T22" i="9"/>
  <c r="U19" i="9"/>
  <c r="Z54" i="9" s="1"/>
  <c r="U24" i="9"/>
  <c r="X74" i="9" s="1"/>
  <c r="R4" i="6"/>
  <c r="R5" i="6"/>
  <c r="R6" i="6"/>
  <c r="R7" i="6"/>
  <c r="R8" i="6"/>
  <c r="R9" i="6"/>
  <c r="R10" i="6"/>
  <c r="R11" i="6"/>
  <c r="R12" i="6"/>
  <c r="R13" i="6"/>
  <c r="R14" i="6"/>
  <c r="R15" i="6"/>
  <c r="R16" i="6"/>
  <c r="R17" i="6"/>
  <c r="R18" i="6"/>
  <c r="R19" i="6"/>
  <c r="R20" i="6"/>
  <c r="R21" i="6"/>
  <c r="R22" i="6"/>
  <c r="R23" i="6"/>
  <c r="R24" i="6"/>
  <c r="R25" i="6"/>
  <c r="R26" i="6"/>
  <c r="R27" i="6"/>
  <c r="R28" i="6"/>
  <c r="R29" i="6"/>
  <c r="R30" i="6"/>
  <c r="R31" i="6"/>
  <c r="R32" i="6"/>
  <c r="R33" i="6"/>
  <c r="R34" i="6"/>
  <c r="R35" i="6"/>
  <c r="R36" i="6"/>
  <c r="R37" i="6"/>
  <c r="R38" i="6"/>
  <c r="R39" i="6"/>
  <c r="R40" i="6"/>
  <c r="R41" i="6"/>
  <c r="R42" i="6"/>
  <c r="R43" i="6"/>
  <c r="R44" i="6"/>
  <c r="R45" i="6"/>
  <c r="R46" i="6"/>
  <c r="R47" i="6"/>
  <c r="R48" i="6"/>
  <c r="R49" i="6"/>
  <c r="R50" i="6"/>
  <c r="R51" i="6"/>
  <c r="R52" i="6"/>
  <c r="R53" i="6"/>
  <c r="R54" i="6"/>
  <c r="R55" i="6"/>
  <c r="R56" i="6"/>
  <c r="R57" i="6"/>
  <c r="R58" i="6"/>
  <c r="R59" i="6"/>
  <c r="R60" i="6"/>
  <c r="R61" i="6"/>
  <c r="R62" i="6"/>
  <c r="R63" i="6"/>
  <c r="R64" i="6"/>
  <c r="R65" i="6"/>
  <c r="R66" i="6"/>
  <c r="R67" i="6"/>
  <c r="R68" i="6"/>
  <c r="R69" i="6"/>
  <c r="R70" i="6"/>
  <c r="R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3" i="6"/>
  <c r="I90" i="6"/>
  <c r="V54" i="9" l="1"/>
  <c r="Z33" i="9"/>
  <c r="T54" i="9"/>
  <c r="AI38" i="6"/>
  <c r="AE38" i="6" s="1"/>
  <c r="AI69" i="6"/>
  <c r="AI53" i="6"/>
  <c r="AE53" i="6" s="1"/>
  <c r="AI37" i="6"/>
  <c r="AE37" i="6" s="1"/>
  <c r="AI21" i="6"/>
  <c r="AE21" i="6" s="1"/>
  <c r="AI5" i="6"/>
  <c r="AI18" i="6"/>
  <c r="AI56" i="6"/>
  <c r="AE56" i="6" s="1"/>
  <c r="AI40" i="6"/>
  <c r="AE40" i="6" s="1"/>
  <c r="AI24" i="6"/>
  <c r="AI8" i="6"/>
  <c r="AE8" i="6" s="1"/>
  <c r="AI42" i="6"/>
  <c r="AE42" i="6" s="1"/>
  <c r="AI6" i="6"/>
  <c r="AE6" i="6" s="1"/>
  <c r="AI59" i="6"/>
  <c r="AI43" i="6"/>
  <c r="AI27" i="6"/>
  <c r="AE27" i="6" s="1"/>
  <c r="AI11" i="6"/>
  <c r="AE11" i="6" s="1"/>
  <c r="AI30" i="6"/>
  <c r="AI49" i="6"/>
  <c r="AI70" i="6"/>
  <c r="AE70" i="6" s="1"/>
  <c r="AI52" i="6"/>
  <c r="AE52" i="6" s="1"/>
  <c r="AI4" i="6"/>
  <c r="AI3" i="6"/>
  <c r="AI39" i="6"/>
  <c r="AE39" i="6" s="1"/>
  <c r="AI7" i="6"/>
  <c r="AE7" i="6" s="1"/>
  <c r="R53" i="9"/>
  <c r="AI65" i="6"/>
  <c r="AE65" i="6" s="1"/>
  <c r="AI33" i="6"/>
  <c r="AE33" i="6" s="1"/>
  <c r="AI17" i="6"/>
  <c r="AE17" i="6" s="1"/>
  <c r="AI68" i="6"/>
  <c r="AI36" i="6"/>
  <c r="AE36" i="6" s="1"/>
  <c r="AI20" i="6"/>
  <c r="AE20" i="6" s="1"/>
  <c r="AI34" i="6"/>
  <c r="AE34" i="6" s="1"/>
  <c r="AI55" i="6"/>
  <c r="AI23" i="6"/>
  <c r="AI62" i="6"/>
  <c r="AE62" i="6" s="1"/>
  <c r="AI22" i="6"/>
  <c r="AE22" i="6" s="1"/>
  <c r="AI61" i="6"/>
  <c r="AI45" i="6"/>
  <c r="AE45" i="6" s="1"/>
  <c r="AI29" i="6"/>
  <c r="AE29" i="6" s="1"/>
  <c r="AI13" i="6"/>
  <c r="AE13" i="6" s="1"/>
  <c r="AI58" i="6"/>
  <c r="AI64" i="6"/>
  <c r="AI48" i="6"/>
  <c r="AE48" i="6" s="1"/>
  <c r="AI32" i="6"/>
  <c r="AE32" i="6" s="1"/>
  <c r="AI16" i="6"/>
  <c r="AI66" i="6"/>
  <c r="AE66" i="6" s="1"/>
  <c r="AI26" i="6"/>
  <c r="AE26" i="6" s="1"/>
  <c r="AI67" i="6"/>
  <c r="AE67" i="6" s="1"/>
  <c r="AI51" i="6"/>
  <c r="AI35" i="6"/>
  <c r="AE35" i="6" s="1"/>
  <c r="X34" i="9"/>
  <c r="T33" i="9"/>
  <c r="P53" i="9"/>
  <c r="V32" i="9"/>
  <c r="P74" i="9"/>
  <c r="T69" i="9"/>
  <c r="T70" i="9"/>
  <c r="T71" i="9"/>
  <c r="T72" i="9"/>
  <c r="T73" i="9"/>
  <c r="T74" i="9"/>
  <c r="M13" i="8"/>
  <c r="N13" i="8"/>
  <c r="Q13" i="8"/>
  <c r="Q44" i="8" s="1"/>
  <c r="R72" i="9"/>
  <c r="N15" i="8"/>
  <c r="M15" i="8"/>
  <c r="Q15" i="8"/>
  <c r="Q45" i="8" s="1"/>
  <c r="Z30" i="9"/>
  <c r="Z29" i="9"/>
  <c r="Z31" i="9"/>
  <c r="Z32" i="9"/>
  <c r="X49" i="9"/>
  <c r="X51" i="9"/>
  <c r="X50" i="9"/>
  <c r="X52" i="9"/>
  <c r="X53" i="9"/>
  <c r="T49" i="9"/>
  <c r="T50" i="9"/>
  <c r="T51" i="9"/>
  <c r="T52" i="9"/>
  <c r="T53" i="9"/>
  <c r="V50" i="9"/>
  <c r="V49" i="9"/>
  <c r="V51" i="9"/>
  <c r="V52" i="9"/>
  <c r="V53" i="9"/>
  <c r="X70" i="9"/>
  <c r="X69" i="9"/>
  <c r="X71" i="9"/>
  <c r="X72" i="9"/>
  <c r="X73" i="9"/>
  <c r="Z49" i="9"/>
  <c r="Z50" i="9"/>
  <c r="Z51" i="9"/>
  <c r="Z52" i="9"/>
  <c r="Z53" i="9"/>
  <c r="M11" i="8"/>
  <c r="N11" i="8"/>
  <c r="Q11" i="8"/>
  <c r="Q43" i="8" s="1"/>
  <c r="M9" i="8"/>
  <c r="N9" i="8"/>
  <c r="Q9" i="8"/>
  <c r="Q42" i="8" s="1"/>
  <c r="R32" i="9"/>
  <c r="R36" i="9"/>
  <c r="R40" i="9"/>
  <c r="R44" i="9"/>
  <c r="R33" i="9"/>
  <c r="R37" i="9"/>
  <c r="R41" i="9"/>
  <c r="R29" i="9"/>
  <c r="R38" i="9"/>
  <c r="R35" i="9"/>
  <c r="R43" i="9"/>
  <c r="R30" i="9"/>
  <c r="R34" i="9"/>
  <c r="R42" i="9"/>
  <c r="R31" i="9"/>
  <c r="R39" i="9"/>
  <c r="P69" i="9"/>
  <c r="P70" i="9"/>
  <c r="P71" i="9"/>
  <c r="P72" i="9"/>
  <c r="P73" i="9"/>
  <c r="R49" i="9"/>
  <c r="R50" i="9"/>
  <c r="R70" i="9"/>
  <c r="R51" i="9"/>
  <c r="R71" i="9"/>
  <c r="R52" i="9"/>
  <c r="P50" i="9"/>
  <c r="P49" i="9"/>
  <c r="P51" i="9"/>
  <c r="P52" i="9"/>
  <c r="R69" i="9"/>
  <c r="X30" i="9"/>
  <c r="X31" i="9"/>
  <c r="X29" i="9"/>
  <c r="X32" i="9"/>
  <c r="X33" i="9"/>
  <c r="V74" i="9"/>
  <c r="Z55" i="9"/>
  <c r="R54" i="9"/>
  <c r="Z34" i="9"/>
  <c r="X35" i="9"/>
  <c r="R73" i="9"/>
  <c r="X75" i="9"/>
  <c r="T75" i="9"/>
  <c r="P75" i="9"/>
  <c r="P54" i="9"/>
  <c r="X55" i="9"/>
  <c r="V55" i="9"/>
  <c r="T55" i="9"/>
  <c r="P42" i="9"/>
  <c r="T44" i="9"/>
  <c r="P44" i="9"/>
  <c r="T35" i="9"/>
  <c r="P38" i="9"/>
  <c r="T42" i="9"/>
  <c r="P35" i="9"/>
  <c r="T29" i="9"/>
  <c r="V39" i="9"/>
  <c r="V29" i="9"/>
  <c r="V31" i="9"/>
  <c r="V30" i="9"/>
  <c r="V41" i="9"/>
  <c r="V40" i="9"/>
  <c r="P30" i="9"/>
  <c r="P40" i="9"/>
  <c r="P33" i="9"/>
  <c r="P31" i="9"/>
  <c r="T36" i="9"/>
  <c r="T31" i="9"/>
  <c r="T38" i="9"/>
  <c r="T41" i="9"/>
  <c r="V34" i="9"/>
  <c r="V44" i="9"/>
  <c r="V42" i="9"/>
  <c r="V43" i="9"/>
  <c r="V37" i="9"/>
  <c r="V36" i="9"/>
  <c r="P41" i="9"/>
  <c r="P36" i="9"/>
  <c r="P43" i="9"/>
  <c r="P29" i="9"/>
  <c r="T43" i="9"/>
  <c r="T40" i="9"/>
  <c r="T34" i="9"/>
  <c r="T37" i="9"/>
  <c r="V38" i="9"/>
  <c r="V35" i="9"/>
  <c r="V33" i="9"/>
  <c r="P37" i="9"/>
  <c r="P32" i="9"/>
  <c r="P39" i="9"/>
  <c r="T39" i="9"/>
  <c r="T32" i="9"/>
  <c r="T30" i="9"/>
  <c r="AM16" i="9"/>
  <c r="AN16" i="9" s="1"/>
  <c r="AM20" i="9"/>
  <c r="AM21" i="9"/>
  <c r="AN21" i="9" s="1"/>
  <c r="AM26" i="9"/>
  <c r="AN26" i="9" s="1"/>
  <c r="AM25" i="9"/>
  <c r="AN25" i="9" s="1"/>
  <c r="AM15" i="9"/>
  <c r="AN15" i="9" s="1"/>
  <c r="AE18" i="6"/>
  <c r="AE9" i="6"/>
  <c r="AE57" i="6"/>
  <c r="AE12" i="6"/>
  <c r="AE3" i="6"/>
  <c r="AE50" i="6"/>
  <c r="AE44" i="6"/>
  <c r="AE61" i="6"/>
  <c r="AE28" i="6"/>
  <c r="AE60" i="6"/>
  <c r="AE25" i="6"/>
  <c r="AE54" i="6"/>
  <c r="AE16" i="6"/>
  <c r="AE64" i="6"/>
  <c r="AE5" i="6"/>
  <c r="AE69" i="6"/>
  <c r="AE15" i="6"/>
  <c r="AE31" i="6"/>
  <c r="AE10" i="6"/>
  <c r="AE58" i="6"/>
  <c r="AE4" i="6"/>
  <c r="AE68" i="6"/>
  <c r="AE41" i="6"/>
  <c r="AE23" i="6"/>
  <c r="AE63" i="6"/>
  <c r="AE55" i="6"/>
  <c r="AE59" i="6"/>
  <c r="AE14" i="6"/>
  <c r="AE30" i="6"/>
  <c r="AE46" i="6"/>
  <c r="AE24" i="6"/>
  <c r="AE49" i="6"/>
  <c r="AE19" i="6"/>
  <c r="AE51" i="6"/>
  <c r="AE43" i="6"/>
  <c r="AE47" i="6"/>
  <c r="T48" i="1"/>
  <c r="T40" i="1"/>
  <c r="I13" i="2"/>
  <c r="G23" i="2"/>
  <c r="J23" i="2" s="1"/>
  <c r="G24" i="2"/>
  <c r="J24" i="2" s="1"/>
  <c r="G25" i="2"/>
  <c r="J25" i="2" s="1"/>
  <c r="G26" i="2"/>
  <c r="J26" i="2" s="1"/>
  <c r="G27" i="2"/>
  <c r="J27" i="2" s="1"/>
  <c r="G28" i="2"/>
  <c r="J28" i="2" s="1"/>
  <c r="G29" i="2"/>
  <c r="J29" i="2" s="1"/>
  <c r="G30" i="2"/>
  <c r="J30" i="2" s="1"/>
  <c r="G31" i="2"/>
  <c r="J31" i="2" s="1"/>
  <c r="G32" i="2"/>
  <c r="J32" i="2" s="1"/>
  <c r="G33" i="2"/>
  <c r="J33" i="2" s="1"/>
  <c r="G22" i="2"/>
  <c r="J22" i="2" s="1"/>
  <c r="E29" i="8" l="1"/>
  <c r="P91" i="9"/>
  <c r="R91" i="9" s="1"/>
  <c r="J22" i="8"/>
  <c r="E49" i="8"/>
  <c r="J53" i="8"/>
  <c r="J55" i="8"/>
  <c r="J57" i="8"/>
  <c r="E57" i="8"/>
  <c r="J28" i="8"/>
  <c r="J37" i="8"/>
  <c r="E50" i="8"/>
  <c r="J54" i="8"/>
  <c r="E54" i="8"/>
  <c r="E56" i="8"/>
  <c r="E58" i="8"/>
  <c r="E53" i="8"/>
  <c r="J34" i="8"/>
  <c r="J27" i="8"/>
  <c r="J52" i="8"/>
  <c r="J32" i="8"/>
  <c r="E55" i="8"/>
  <c r="J58" i="8"/>
  <c r="J59" i="8"/>
  <c r="J31" i="8"/>
  <c r="E59" i="8"/>
  <c r="E45" i="8"/>
  <c r="J46" i="8"/>
  <c r="E47" i="8"/>
  <c r="J36" i="8"/>
  <c r="E52" i="8"/>
  <c r="J26" i="8"/>
  <c r="E23" i="8"/>
  <c r="E44" i="8"/>
  <c r="E51" i="8"/>
  <c r="J47" i="8"/>
  <c r="J35" i="8"/>
  <c r="J30" i="8"/>
  <c r="J25" i="8"/>
  <c r="J49" i="8"/>
  <c r="E46" i="8"/>
  <c r="J51" i="8"/>
  <c r="J45" i="8"/>
  <c r="J56" i="8"/>
  <c r="J29" i="8"/>
  <c r="J23" i="8"/>
  <c r="E24" i="8"/>
  <c r="E25" i="8"/>
  <c r="J48" i="8"/>
  <c r="J24" i="8"/>
  <c r="J50" i="8"/>
  <c r="J44" i="8"/>
  <c r="J33" i="8"/>
  <c r="E48" i="8"/>
  <c r="E22" i="8"/>
  <c r="E26" i="8"/>
  <c r="E27" i="8"/>
  <c r="E28" i="8"/>
  <c r="V75" i="9"/>
  <c r="Z56" i="9"/>
  <c r="R55" i="9"/>
  <c r="Z35" i="9"/>
  <c r="X36" i="9"/>
  <c r="P93" i="9"/>
  <c r="P92" i="9"/>
  <c r="R92" i="9" s="1"/>
  <c r="E30" i="8"/>
  <c r="P90" i="9"/>
  <c r="R90" i="9" s="1"/>
  <c r="T76" i="9"/>
  <c r="R74" i="9"/>
  <c r="P76" i="9"/>
  <c r="X76" i="9"/>
  <c r="P55" i="9"/>
  <c r="T56" i="9"/>
  <c r="X56" i="9"/>
  <c r="V56" i="9"/>
  <c r="Y9" i="9"/>
  <c r="AN20" i="9"/>
  <c r="Y10" i="9" s="1"/>
  <c r="AH10" i="9"/>
  <c r="AH11" i="9"/>
  <c r="AI11" i="9" s="1"/>
  <c r="J18" i="2"/>
  <c r="I14" i="2"/>
  <c r="M14" i="2" s="1"/>
  <c r="M13" i="2"/>
  <c r="M16" i="2"/>
  <c r="I15" i="2"/>
  <c r="P45" i="8" l="1"/>
  <c r="R45" i="8" s="1"/>
  <c r="P43" i="8"/>
  <c r="R43" i="8" s="1"/>
  <c r="P44" i="8"/>
  <c r="R44" i="8" s="1"/>
  <c r="V76" i="9"/>
  <c r="Z57" i="9"/>
  <c r="R56" i="9"/>
  <c r="Z36" i="9"/>
  <c r="X37" i="9"/>
  <c r="P41" i="8"/>
  <c r="R93" i="9"/>
  <c r="R41" i="8" s="1"/>
  <c r="E31" i="8"/>
  <c r="P77" i="9"/>
  <c r="T77" i="9"/>
  <c r="X77" i="9"/>
  <c r="R75" i="9"/>
  <c r="P56" i="9"/>
  <c r="X57" i="9"/>
  <c r="V57" i="9"/>
  <c r="T57" i="9"/>
  <c r="AI10" i="9"/>
  <c r="Y8" i="9" s="1"/>
  <c r="M15" i="2"/>
  <c r="I22" i="2" s="1"/>
  <c r="G5" i="1"/>
  <c r="T47" i="1"/>
  <c r="T50" i="1" s="1"/>
  <c r="T39" i="1"/>
  <c r="T42" i="1" s="1"/>
  <c r="V77" i="9" l="1"/>
  <c r="Z58" i="9"/>
  <c r="R57" i="9"/>
  <c r="Z37" i="9"/>
  <c r="X38" i="9"/>
  <c r="E32" i="8"/>
  <c r="R76" i="9"/>
  <c r="X78" i="9"/>
  <c r="P78" i="9"/>
  <c r="T78" i="9"/>
  <c r="P57" i="9"/>
  <c r="T58" i="9"/>
  <c r="X58" i="9"/>
  <c r="V58" i="9"/>
  <c r="I24" i="2"/>
  <c r="I18" i="2"/>
  <c r="I28" i="2"/>
  <c r="I32" i="2"/>
  <c r="I25" i="2"/>
  <c r="I29" i="2"/>
  <c r="I33" i="2"/>
  <c r="I26" i="2"/>
  <c r="I30" i="2"/>
  <c r="I23" i="2"/>
  <c r="I27" i="2"/>
  <c r="I31" i="2"/>
  <c r="V78" i="9" l="1"/>
  <c r="Z59" i="9"/>
  <c r="R58" i="9"/>
  <c r="Z38" i="9"/>
  <c r="X39" i="9"/>
  <c r="E33" i="8"/>
  <c r="X79" i="9"/>
  <c r="T79" i="9"/>
  <c r="P79" i="9"/>
  <c r="R77" i="9"/>
  <c r="P58" i="9"/>
  <c r="V59" i="9"/>
  <c r="T59" i="9"/>
  <c r="X59" i="9"/>
  <c r="R13" i="1"/>
  <c r="R19" i="1" s="1"/>
  <c r="V79" i="9" l="1"/>
  <c r="Z60" i="9"/>
  <c r="R59" i="9"/>
  <c r="Z39" i="9"/>
  <c r="X40" i="9"/>
  <c r="E34" i="8"/>
  <c r="R78" i="9"/>
  <c r="T80" i="9"/>
  <c r="P80" i="9"/>
  <c r="X80" i="9"/>
  <c r="P59" i="9"/>
  <c r="X60" i="9"/>
  <c r="V60" i="9"/>
  <c r="T60" i="9"/>
  <c r="V13" i="1"/>
  <c r="V19" i="1" s="1"/>
  <c r="K45" i="1"/>
  <c r="V80" i="9" l="1"/>
  <c r="Z61" i="9"/>
  <c r="R60" i="9"/>
  <c r="Z40" i="9"/>
  <c r="X41" i="9"/>
  <c r="E35" i="8"/>
  <c r="P81" i="9"/>
  <c r="T81" i="9"/>
  <c r="X81" i="9"/>
  <c r="R79" i="9"/>
  <c r="P60" i="9"/>
  <c r="V61" i="9"/>
  <c r="X61" i="9"/>
  <c r="T61" i="9"/>
  <c r="I59" i="1"/>
  <c r="I25" i="1"/>
  <c r="D32" i="1"/>
  <c r="D31" i="1"/>
  <c r="D30" i="1"/>
  <c r="D29" i="1"/>
  <c r="K13" i="1"/>
  <c r="R14" i="1"/>
  <c r="R22" i="1" l="1"/>
  <c r="R20" i="1"/>
  <c r="V23" i="1"/>
  <c r="V22" i="1"/>
  <c r="V81" i="9"/>
  <c r="Z62" i="9"/>
  <c r="R61" i="9"/>
  <c r="Z41" i="9"/>
  <c r="X42" i="9"/>
  <c r="E36" i="8"/>
  <c r="R80" i="9"/>
  <c r="X82" i="9"/>
  <c r="P82" i="9"/>
  <c r="T82" i="9"/>
  <c r="P61" i="9"/>
  <c r="T62" i="9"/>
  <c r="V62" i="9"/>
  <c r="X62" i="9"/>
  <c r="V14" i="1"/>
  <c r="L25" i="1"/>
  <c r="L60" i="1"/>
  <c r="K44" i="1"/>
  <c r="G37" i="1"/>
  <c r="V17" i="1" l="1"/>
  <c r="V20" i="1"/>
  <c r="T51" i="1"/>
  <c r="T43" i="1"/>
  <c r="V82" i="9"/>
  <c r="Z64" i="9"/>
  <c r="Z63" i="9"/>
  <c r="R62" i="9"/>
  <c r="Z42" i="9"/>
  <c r="X43" i="9"/>
  <c r="X44" i="9"/>
  <c r="E37" i="8"/>
  <c r="P42" i="8" s="1"/>
  <c r="R42" i="8" s="1"/>
  <c r="X83" i="9"/>
  <c r="T83" i="9"/>
  <c r="P83" i="9"/>
  <c r="R81" i="9"/>
  <c r="P62" i="9"/>
  <c r="X63" i="9"/>
  <c r="V63" i="9"/>
  <c r="T63" i="9"/>
  <c r="V11" i="1"/>
  <c r="R18" i="1" s="1"/>
  <c r="L59" i="1"/>
  <c r="V57" i="1" s="1"/>
  <c r="K43" i="1"/>
  <c r="G48" i="1" s="1"/>
  <c r="K14" i="1"/>
  <c r="P94" i="9" l="1"/>
  <c r="R94" i="9" s="1"/>
  <c r="R17" i="1"/>
  <c r="V15" i="1"/>
  <c r="V18" i="1" s="1"/>
  <c r="K11" i="1"/>
  <c r="K16" i="1"/>
  <c r="W23" i="1"/>
  <c r="V84" i="9"/>
  <c r="V83" i="9"/>
  <c r="P101" i="9"/>
  <c r="R101" i="9" s="1"/>
  <c r="R64" i="9"/>
  <c r="R63" i="9"/>
  <c r="Z44" i="9"/>
  <c r="Z43" i="9"/>
  <c r="R82" i="9"/>
  <c r="T84" i="9"/>
  <c r="P104" i="9" s="1"/>
  <c r="R104" i="9" s="1"/>
  <c r="P84" i="9"/>
  <c r="P102" i="9" s="1"/>
  <c r="R102" i="9" s="1"/>
  <c r="X84" i="9"/>
  <c r="P106" i="9" s="1"/>
  <c r="R106" i="9" s="1"/>
  <c r="P64" i="9"/>
  <c r="P63" i="9"/>
  <c r="T64" i="9"/>
  <c r="P98" i="9" s="1"/>
  <c r="R98" i="9" s="1"/>
  <c r="X64" i="9"/>
  <c r="P100" i="9" s="1"/>
  <c r="R100" i="9" s="1"/>
  <c r="V64" i="9"/>
  <c r="P99" i="9" s="1"/>
  <c r="R99" i="9" s="1"/>
  <c r="K46" i="1"/>
  <c r="L61" i="1" s="1"/>
  <c r="G50" i="1"/>
  <c r="G52" i="1" s="1"/>
  <c r="G54" i="1" s="1"/>
  <c r="L26" i="1"/>
  <c r="V58" i="1" s="1"/>
  <c r="P96" i="9" l="1"/>
  <c r="R96" i="9" s="1"/>
  <c r="G17" i="1"/>
  <c r="G19" i="1" s="1"/>
  <c r="G21" i="1" s="1"/>
  <c r="G22" i="1" s="1"/>
  <c r="G15" i="1"/>
  <c r="K15" i="1"/>
  <c r="L27" i="1" s="1"/>
  <c r="V59" i="1" s="1"/>
  <c r="R23" i="1"/>
  <c r="R25" i="1" s="1"/>
  <c r="R26" i="1" s="1"/>
  <c r="P105" i="9"/>
  <c r="R105" i="9" s="1"/>
  <c r="P97" i="9"/>
  <c r="R97" i="9" s="1"/>
  <c r="P95" i="9"/>
  <c r="R95" i="9" s="1"/>
  <c r="R83" i="9"/>
  <c r="R84" i="9"/>
  <c r="P103" i="9" l="1"/>
  <c r="R103" i="9" s="1"/>
</calcChain>
</file>

<file path=xl/sharedStrings.xml><?xml version="1.0" encoding="utf-8"?>
<sst xmlns="http://schemas.openxmlformats.org/spreadsheetml/2006/main" count="523" uniqueCount="222">
  <si>
    <t>O2</t>
  </si>
  <si>
    <t>N2</t>
  </si>
  <si>
    <t xml:space="preserve">Atmospheric </t>
  </si>
  <si>
    <t>Composition</t>
  </si>
  <si>
    <t>Ratio</t>
  </si>
  <si>
    <t>HC Fuel Balance</t>
  </si>
  <si>
    <t>Carbon (x)</t>
  </si>
  <si>
    <t>Hyrdrogen (y)</t>
  </si>
  <si>
    <t>m (fuel)</t>
  </si>
  <si>
    <t>m (air)</t>
  </si>
  <si>
    <t>stoich ratio</t>
  </si>
  <si>
    <t>Equiv Ratio</t>
  </si>
  <si>
    <t>Carbon</t>
  </si>
  <si>
    <t>Hydrogen</t>
  </si>
  <si>
    <t>Oxygen</t>
  </si>
  <si>
    <t>Nitrogen</t>
  </si>
  <si>
    <t>F</t>
  </si>
  <si>
    <r>
      <t xml:space="preserve">CO2 </t>
    </r>
    <r>
      <rPr>
        <sz val="11"/>
        <color rgb="FFFF0000"/>
        <rFont val="Calibri"/>
        <family val="2"/>
        <scheme val="minor"/>
      </rPr>
      <t>(n1)</t>
    </r>
  </si>
  <si>
    <r>
      <t xml:space="preserve">H20 </t>
    </r>
    <r>
      <rPr>
        <sz val="11"/>
        <color rgb="FFFF0000"/>
        <rFont val="Calibri"/>
        <family val="2"/>
        <scheme val="minor"/>
      </rPr>
      <t>(n2)</t>
    </r>
  </si>
  <si>
    <r>
      <t xml:space="preserve">N2 </t>
    </r>
    <r>
      <rPr>
        <sz val="11"/>
        <color rgb="FFFF0000"/>
        <rFont val="Calibri"/>
        <family val="2"/>
        <scheme val="minor"/>
      </rPr>
      <t>(n3)</t>
    </r>
  </si>
  <si>
    <t>Air  composition and mass</t>
  </si>
  <si>
    <t>Atomic No</t>
  </si>
  <si>
    <t>Atomic weight</t>
  </si>
  <si>
    <t>PERIODIC TABLE</t>
  </si>
  <si>
    <t>AFR BY MASS</t>
  </si>
  <si>
    <t>ISO-OCTANE</t>
  </si>
  <si>
    <t>METHANOL</t>
  </si>
  <si>
    <t>Oxygen (z)</t>
  </si>
  <si>
    <t>(fuel/air)</t>
  </si>
  <si>
    <t>BLEND</t>
  </si>
  <si>
    <t>(50% Iso-octane)+(50% Metahnol)</t>
  </si>
  <si>
    <t>CO2 (n1)</t>
  </si>
  <si>
    <t>H20 (n2)</t>
  </si>
  <si>
    <t>N2 (n3)</t>
  </si>
  <si>
    <t>Oxigen</t>
  </si>
  <si>
    <t xml:space="preserve">CH3OH + C8H18 + F (O2 + 3.76 N2) −−→ n1 CO2 + n2 H2O + n3 N2 </t>
  </si>
  <si>
    <t>MASSES;</t>
  </si>
  <si>
    <t>AVOGADROS  NUMBER</t>
  </si>
  <si>
    <t>6.022*10^23</t>
  </si>
  <si>
    <t xml:space="preserve">1Kmol of </t>
  </si>
  <si>
    <t>equal "="</t>
  </si>
  <si>
    <t>Hidrogen</t>
  </si>
  <si>
    <t>Kg</t>
  </si>
  <si>
    <t xml:space="preserve">CO2 </t>
  </si>
  <si>
    <t xml:space="preserve">H20 </t>
  </si>
  <si>
    <t xml:space="preserve">N2 </t>
  </si>
  <si>
    <t>and (plus)</t>
  </si>
  <si>
    <t xml:space="preserve">hf </t>
  </si>
  <si>
    <t>KJ/Kmol</t>
  </si>
  <si>
    <t>hf</t>
  </si>
  <si>
    <t>HENTALPY OF FORMATION DATA</t>
  </si>
  <si>
    <t>N. OF ATOMS</t>
  </si>
  <si>
    <t>BALANCE</t>
  </si>
  <si>
    <t>Oxigen (2*F)</t>
  </si>
  <si>
    <t>TOTAL m (fuel)</t>
  </si>
  <si>
    <t>TOTAL m (air)</t>
  </si>
  <si>
    <t>METHANOL m</t>
  </si>
  <si>
    <t>Kg/kmol</t>
  </si>
  <si>
    <t>ENTALPHTY REACTANTS</t>
  </si>
  <si>
    <t>LOWER LHV</t>
  </si>
  <si>
    <t>H20 as  liquid</t>
  </si>
  <si>
    <t>H20 as  GAS</t>
  </si>
  <si>
    <t>hf  Liquid</t>
  </si>
  <si>
    <t>hf Gas</t>
  </si>
  <si>
    <t>ENTALPY OF FORMATION OF THE REACTIONS</t>
  </si>
  <si>
    <r>
      <t>CH3OH + C8H18 + F (O2 + 3.76 N2) −−→ n1 CO2 + n2 H2O(</t>
    </r>
    <r>
      <rPr>
        <b/>
        <sz val="11"/>
        <color theme="9"/>
        <rFont val="Calibri"/>
        <family val="2"/>
        <scheme val="minor"/>
      </rPr>
      <t>GAS</t>
    </r>
    <r>
      <rPr>
        <sz val="11"/>
        <color theme="1"/>
        <rFont val="Calibri"/>
        <family val="2"/>
        <scheme val="minor"/>
      </rPr>
      <t xml:space="preserve">) + n3 N2 </t>
    </r>
  </si>
  <si>
    <r>
      <t>CH3OH + C8H18 + F (O2 + 3.76 N2) −−→ n1 CO2 + n2 H2O(</t>
    </r>
    <r>
      <rPr>
        <b/>
        <sz val="11"/>
        <color theme="5"/>
        <rFont val="Calibri"/>
        <family val="2"/>
        <scheme val="minor"/>
      </rPr>
      <t>LIQUID</t>
    </r>
    <r>
      <rPr>
        <sz val="11"/>
        <color theme="1"/>
        <rFont val="Calibri"/>
        <family val="2"/>
        <scheme val="minor"/>
      </rPr>
      <t xml:space="preserve">) + n3 N2 </t>
    </r>
  </si>
  <si>
    <t>MJ</t>
  </si>
  <si>
    <t>MJ/Kmol</t>
  </si>
  <si>
    <t>Assuming 1 Kmol of Methanol and Isoocatane have burnt</t>
  </si>
  <si>
    <t xml:space="preserve">Kg </t>
  </si>
  <si>
    <t xml:space="preserve">HIGHER  HHV </t>
  </si>
  <si>
    <t>AT CONSTANT P</t>
  </si>
  <si>
    <t>HEAT PRODUCED</t>
  </si>
  <si>
    <t>MJ/Kg</t>
  </si>
  <si>
    <t>Q1C</t>
  </si>
  <si>
    <t>1Kmol of FUEL</t>
  </si>
  <si>
    <t>ENTALPHTY OF elements</t>
  </si>
  <si>
    <t>ENGINE Characteristics</t>
  </si>
  <si>
    <t>Displacement</t>
  </si>
  <si>
    <t>N. Of cyl</t>
  </si>
  <si>
    <t>cm^3</t>
  </si>
  <si>
    <t>n</t>
  </si>
  <si>
    <t>Vol eff</t>
  </si>
  <si>
    <t>P at inlet</t>
  </si>
  <si>
    <t>Bar</t>
  </si>
  <si>
    <t xml:space="preserve">T at inlet </t>
  </si>
  <si>
    <t>°C</t>
  </si>
  <si>
    <t>Gas Const. R</t>
  </si>
  <si>
    <t>J/(Kmol*K)</t>
  </si>
  <si>
    <t>number of Kmols sucked in the Cylinder</t>
  </si>
  <si>
    <t>Alpha</t>
  </si>
  <si>
    <t>Kmols</t>
  </si>
  <si>
    <t>ISO-OCTANE REACTION</t>
  </si>
  <si>
    <t>REACTION BALANCE</t>
  </si>
  <si>
    <t xml:space="preserve">Φ(C8H18) + 12.5 (O2 + 3.76 N2)−−→ n1 CO2 + n2 H2O + n3 O2 + n4 N2 </t>
  </si>
  <si>
    <t>Φ</t>
  </si>
  <si>
    <r>
      <t xml:space="preserve">Oxigen </t>
    </r>
    <r>
      <rPr>
        <sz val="11"/>
        <color rgb="FFFF0000"/>
        <rFont val="Calibri"/>
        <family val="2"/>
        <scheme val="minor"/>
      </rPr>
      <t>(n3)</t>
    </r>
  </si>
  <si>
    <t>Nitrogen (n4)</t>
  </si>
  <si>
    <t>check later</t>
  </si>
  <si>
    <t>change here</t>
  </si>
  <si>
    <t>REFERENCE TABLE</t>
  </si>
  <si>
    <t>CO2</t>
  </si>
  <si>
    <t>H2O</t>
  </si>
  <si>
    <t>n1</t>
  </si>
  <si>
    <t>n2</t>
  </si>
  <si>
    <t>n3</t>
  </si>
  <si>
    <t>n4</t>
  </si>
  <si>
    <t>alpha</t>
  </si>
  <si>
    <t>g0R^uT</t>
  </si>
  <si>
    <t>s^(kJ/kmol-K)</t>
  </si>
  <si>
    <t>h^h^0(MJ/kmol)</t>
  </si>
  <si>
    <t>c^p(kJ/kmol-K)</t>
  </si>
  <si>
    <t>T(K)</t>
  </si>
  <si>
    <t>[N2] CONC</t>
  </si>
  <si>
    <t>[O2] CONC</t>
  </si>
  <si>
    <r>
      <t>y = 5.9376621671E-19x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- 7.1020711589E-15x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+ 3.3460896805E-11x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- 7.8909601634E-08x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+ 9.8599769212E-05x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- 2.8172899156E-02x + 3.0537890800E+00</t>
    </r>
  </si>
  <si>
    <t>k</t>
  </si>
  <si>
    <t>Pol. Ent</t>
  </si>
  <si>
    <t>Pol. Ent (MJ/kmol)</t>
  </si>
  <si>
    <r>
      <t>y = 6.6506859177E-19x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- 7.8984343104E-15x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+ 3.6879849877E-11x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- 8.6386228559E-08x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+ 1.1074017861E-04x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- 3.1241611608E-02x + 3.3006694533E+00</t>
    </r>
  </si>
  <si>
    <t>h20</t>
  </si>
  <si>
    <r>
      <t>y = 6.4958291549E-19x</t>
    </r>
    <r>
      <rPr>
        <vertAlign val="superscript"/>
        <sz val="9"/>
        <color rgb="FF595959"/>
        <rFont val="Calibri"/>
        <family val="2"/>
        <scheme val="minor"/>
      </rPr>
      <t>6</t>
    </r>
    <r>
      <rPr>
        <sz val="9"/>
        <color rgb="FF595959"/>
        <rFont val="Calibri"/>
        <family val="2"/>
        <scheme val="minor"/>
      </rPr>
      <t xml:space="preserve"> - 7.8224528491E-15x</t>
    </r>
    <r>
      <rPr>
        <vertAlign val="superscript"/>
        <sz val="9"/>
        <color rgb="FF595959"/>
        <rFont val="Calibri"/>
        <family val="2"/>
        <scheme val="minor"/>
      </rPr>
      <t>5</t>
    </r>
    <r>
      <rPr>
        <sz val="9"/>
        <color rgb="FF595959"/>
        <rFont val="Calibri"/>
        <family val="2"/>
        <scheme val="minor"/>
      </rPr>
      <t xml:space="preserve"> + 3.7120417697E-11x</t>
    </r>
    <r>
      <rPr>
        <vertAlign val="superscript"/>
        <sz val="9"/>
        <color rgb="FF595959"/>
        <rFont val="Calibri"/>
        <family val="2"/>
        <scheme val="minor"/>
      </rPr>
      <t>4</t>
    </r>
    <r>
      <rPr>
        <sz val="9"/>
        <color rgb="FF595959"/>
        <rFont val="Calibri"/>
        <family val="2"/>
        <scheme val="minor"/>
      </rPr>
      <t xml:space="preserve"> - 8.7983176170E-08x</t>
    </r>
    <r>
      <rPr>
        <vertAlign val="superscript"/>
        <sz val="9"/>
        <color rgb="FF595959"/>
        <rFont val="Calibri"/>
        <family val="2"/>
        <scheme val="minor"/>
      </rPr>
      <t>3</t>
    </r>
    <r>
      <rPr>
        <sz val="9"/>
        <color rgb="FF595959"/>
        <rFont val="Calibri"/>
        <family val="2"/>
        <scheme val="minor"/>
      </rPr>
      <t xml:space="preserve"> + 1.0982327235E-04x</t>
    </r>
    <r>
      <rPr>
        <vertAlign val="superscript"/>
        <sz val="9"/>
        <color rgb="FF595959"/>
        <rFont val="Calibri"/>
        <family val="2"/>
        <scheme val="minor"/>
      </rPr>
      <t>2</t>
    </r>
    <r>
      <rPr>
        <sz val="9"/>
        <color rgb="FF595959"/>
        <rFont val="Calibri"/>
        <family val="2"/>
        <scheme val="minor"/>
      </rPr>
      <t xml:space="preserve"> - 3.2606444641E-02x + 3.5786489003E+00</t>
    </r>
  </si>
  <si>
    <t>SUM ENTALPIES OF ALL COMPONETS</t>
  </si>
  <si>
    <t>TOT</t>
  </si>
  <si>
    <t>H20</t>
  </si>
  <si>
    <t>TEMP</t>
  </si>
  <si>
    <t>ENT OF FORMATION</t>
  </si>
  <si>
    <t>phi</t>
  </si>
  <si>
    <t>DROP DOWN MENU TO LINK PHI AND NS TO CALCULATE TOTAL ENTALPY</t>
  </si>
  <si>
    <t>n1 (CO2)</t>
  </si>
  <si>
    <t>n2(H20)</t>
  </si>
  <si>
    <t>n3 (O2)</t>
  </si>
  <si>
    <t>n4 (N2)</t>
  </si>
  <si>
    <t>POLINOM</t>
  </si>
  <si>
    <t>INITIAL TEMP</t>
  </si>
  <si>
    <t>RANGE</t>
  </si>
  <si>
    <t>TEMP RANGE</t>
  </si>
  <si>
    <t>FIXED VALUESSSS</t>
  </si>
  <si>
    <t>PHI</t>
  </si>
  <si>
    <t>FLAME TEMP [K]</t>
  </si>
  <si>
    <t>ENTALP RANGE</t>
  </si>
  <si>
    <t>ENTALPY REFERENCE</t>
  </si>
  <si>
    <t>phi1</t>
  </si>
  <si>
    <t>phi o.99</t>
  </si>
  <si>
    <t>phi 0.98</t>
  </si>
  <si>
    <t>phi 0.97</t>
  </si>
  <si>
    <t>deg</t>
  </si>
  <si>
    <t>phi 1</t>
  </si>
  <si>
    <t>Pol index</t>
  </si>
  <si>
    <t>TEMP [K]</t>
  </si>
  <si>
    <t>POLYNOMIAL ENT</t>
  </si>
  <si>
    <t>POL INDEX</t>
  </si>
  <si>
    <t>INDICE AT POWER</t>
  </si>
  <si>
    <r>
      <t>NOX [Kmol/</t>
    </r>
    <r>
      <rPr>
        <sz val="11"/>
        <color theme="1"/>
        <rFont val="Calibri"/>
        <family val="2"/>
      </rPr>
      <t>°</t>
    </r>
    <r>
      <rPr>
        <sz val="10.35"/>
        <color theme="1"/>
        <rFont val="Calibri"/>
        <family val="2"/>
      </rPr>
      <t>]</t>
    </r>
  </si>
  <si>
    <t>RPM</t>
  </si>
  <si>
    <t xml:space="preserve">rpm </t>
  </si>
  <si>
    <t>°/sec</t>
  </si>
  <si>
    <t>PRESSURE[bar]</t>
  </si>
  <si>
    <t>phi 0.99</t>
  </si>
  <si>
    <t>phi 0.96</t>
  </si>
  <si>
    <t>phi 0.95</t>
  </si>
  <si>
    <t>phi 0.93</t>
  </si>
  <si>
    <t>phi 0.92</t>
  </si>
  <si>
    <t>phi 0.91</t>
  </si>
  <si>
    <t>phi 0.90</t>
  </si>
  <si>
    <t>phi 0.85</t>
  </si>
  <si>
    <t>PHI 0.8</t>
  </si>
  <si>
    <t>PHI 0.75</t>
  </si>
  <si>
    <t>PHI 0.7</t>
  </si>
  <si>
    <t>PHI 0.65</t>
  </si>
  <si>
    <t>PHI 0.6</t>
  </si>
  <si>
    <t>NOX TOTAL</t>
  </si>
  <si>
    <t>PPM</t>
  </si>
  <si>
    <t>TOT EX MOLECULES</t>
  </si>
  <si>
    <t>EGR</t>
  </si>
  <si>
    <t>10% EGR</t>
  </si>
  <si>
    <t>5% EGR</t>
  </si>
  <si>
    <t>15% EGR</t>
  </si>
  <si>
    <t>20% EGR</t>
  </si>
  <si>
    <t>Temp T1 (FLAME)</t>
  </si>
  <si>
    <t>phi0.97 (5%EGR)</t>
  </si>
  <si>
    <t>0% EGR</t>
  </si>
  <si>
    <t>PHI 0.97</t>
  </si>
  <si>
    <r>
      <t>Φ(C8H18) + 12.5 (O2 + 3.76 N2)+</t>
    </r>
    <r>
      <rPr>
        <sz val="11"/>
        <color rgb="FFFF0000"/>
        <rFont val="Calibri"/>
        <family val="2"/>
        <scheme val="minor"/>
      </rPr>
      <t>EGR%</t>
    </r>
    <r>
      <rPr>
        <sz val="11"/>
        <color theme="1"/>
        <rFont val="Calibri"/>
        <family val="2"/>
        <scheme val="minor"/>
      </rPr>
      <t>*</t>
    </r>
    <r>
      <rPr>
        <sz val="11"/>
        <color rgb="FFFF0000"/>
        <rFont val="Calibri"/>
        <family val="2"/>
        <scheme val="minor"/>
      </rPr>
      <t>(n1co2+n2H20+n3O2+n4N2)</t>
    </r>
    <r>
      <rPr>
        <sz val="11"/>
        <color theme="1"/>
        <rFont val="Calibri"/>
        <family val="2"/>
        <scheme val="minor"/>
      </rPr>
      <t>−−→ (</t>
    </r>
    <r>
      <rPr>
        <sz val="11"/>
        <color rgb="FFFF0000"/>
        <rFont val="Calibri"/>
        <family val="2"/>
        <scheme val="minor"/>
      </rPr>
      <t>1+EGR%)*</t>
    </r>
    <r>
      <rPr>
        <sz val="11"/>
        <color theme="1"/>
        <rFont val="Calibri"/>
        <family val="2"/>
        <scheme val="minor"/>
      </rPr>
      <t xml:space="preserve">(n1 CO2 + n2 H2O + n3 O2 + n4 N2) </t>
    </r>
  </si>
  <si>
    <t>CONSTANT</t>
  </si>
  <si>
    <t>POLYNOMIAL</t>
  </si>
  <si>
    <t>POLY CO2</t>
  </si>
  <si>
    <t>POLYH2O</t>
  </si>
  <si>
    <t>POLYO2</t>
  </si>
  <si>
    <t>POLY N2</t>
  </si>
  <si>
    <t>ENT. FOR GOAL SEEK</t>
  </si>
  <si>
    <t>phi0.97 (10%EGR)</t>
  </si>
  <si>
    <t>EGR RESULTS</t>
  </si>
  <si>
    <t>phi0.97 (20%EGR)</t>
  </si>
  <si>
    <t>TOT-EXH MOL</t>
  </si>
  <si>
    <t>lambda λ</t>
  </si>
  <si>
    <t>Stoich ratio</t>
  </si>
  <si>
    <t>TOT check</t>
  </si>
  <si>
    <t>%</t>
  </si>
  <si>
    <t>Tot oxigen balance</t>
  </si>
  <si>
    <t>Tot Carbon balance</t>
  </si>
  <si>
    <t>Tot N2 balance</t>
  </si>
  <si>
    <t>Tot H balance</t>
  </si>
  <si>
    <t>Isococtne</t>
  </si>
  <si>
    <t>ENTALPHTY OF PRODUCTS</t>
  </si>
  <si>
    <t xml:space="preserve"> Clearence  V.</t>
  </si>
  <si>
    <t>PHI DEPENDENT TABLE</t>
  </si>
  <si>
    <t>TOT EXH KMOLS</t>
  </si>
  <si>
    <t>SUM ENTHALPIES OF ALL COMPONENTS</t>
  </si>
  <si>
    <t>SUM ENTALPIES OF ALL COMPONETNS</t>
  </si>
  <si>
    <t>1 METHOD</t>
  </si>
  <si>
    <t>2ND METHOD</t>
  </si>
  <si>
    <t>TOT EXH MOL [Kmol]</t>
  </si>
  <si>
    <t xml:space="preserve"> [Kmol]</t>
  </si>
  <si>
    <t>[Kmol/cycle]</t>
  </si>
  <si>
    <t>NOX SUM</t>
  </si>
  <si>
    <t>Parts per million</t>
  </si>
  <si>
    <t>e AT EXPONENT</t>
  </si>
  <si>
    <t>phi0.97 (15%EGR)</t>
  </si>
  <si>
    <t>% DROP</t>
  </si>
  <si>
    <t>EGR MAGNITUDE EFFECT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</si>
</sst>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€_-;\-* #,##0.00\ _€_-;_-* &quot;-&quot;??\ _€_-;_-@_-"/>
    <numFmt numFmtId="165" formatCode="0.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0.3999755851924192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5"/>
      <name val="Calibri"/>
      <family val="2"/>
      <scheme val="minor"/>
    </font>
    <font>
      <b/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595959"/>
      <name val="Calibri"/>
      <family val="2"/>
      <scheme val="minor"/>
    </font>
    <font>
      <vertAlign val="superscript"/>
      <sz val="9"/>
      <color rgb="FF595959"/>
      <name val="Calibri"/>
      <family val="2"/>
      <scheme val="minor"/>
    </font>
    <font>
      <sz val="9"/>
      <color theme="1"/>
      <name val="Calibri"/>
      <family val="2"/>
      <scheme val="minor"/>
    </font>
    <font>
      <sz val="10.35"/>
      <color theme="1"/>
      <name val="Calibri"/>
      <family val="2"/>
    </font>
    <font>
      <sz val="8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3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43" fontId="0" fillId="0" borderId="0" xfId="1" applyFont="1" applyBorder="1"/>
    <xf numFmtId="2" fontId="0" fillId="0" borderId="0" xfId="0" applyNumberFormat="1" applyBorder="1"/>
    <xf numFmtId="164" fontId="0" fillId="0" borderId="5" xfId="0" applyNumberForma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4" borderId="1" xfId="0" applyFill="1" applyBorder="1"/>
    <xf numFmtId="0" fontId="0" fillId="4" borderId="2" xfId="0" applyFill="1" applyBorder="1"/>
    <xf numFmtId="0" fontId="3" fillId="0" borderId="4" xfId="0" applyFont="1" applyBorder="1"/>
    <xf numFmtId="0" fontId="3" fillId="0" borderId="0" xfId="0" applyFont="1" applyBorder="1"/>
    <xf numFmtId="0" fontId="3" fillId="0" borderId="5" xfId="0" applyFont="1" applyBorder="1"/>
    <xf numFmtId="164" fontId="3" fillId="0" borderId="5" xfId="0" applyNumberFormat="1" applyFont="1" applyBorder="1"/>
    <xf numFmtId="0" fontId="4" fillId="0" borderId="4" xfId="0" applyFont="1" applyBorder="1"/>
    <xf numFmtId="0" fontId="4" fillId="0" borderId="0" xfId="0" applyFont="1" applyBorder="1"/>
    <xf numFmtId="0" fontId="0" fillId="0" borderId="1" xfId="0" applyBorder="1"/>
    <xf numFmtId="0" fontId="2" fillId="0" borderId="0" xfId="0" applyFont="1" applyBorder="1"/>
    <xf numFmtId="0" fontId="0" fillId="2" borderId="0" xfId="0" applyFill="1" applyBorder="1" applyAlignment="1"/>
    <xf numFmtId="164" fontId="0" fillId="0" borderId="0" xfId="0" applyNumberFormat="1" applyBorder="1"/>
    <xf numFmtId="0" fontId="4" fillId="0" borderId="5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0" fillId="0" borderId="0" xfId="0" applyFill="1" applyBorder="1"/>
    <xf numFmtId="0" fontId="0" fillId="5" borderId="0" xfId="0" applyFill="1" applyBorder="1"/>
    <xf numFmtId="0" fontId="0" fillId="6" borderId="0" xfId="0" applyFill="1" applyBorder="1"/>
    <xf numFmtId="0" fontId="4" fillId="0" borderId="1" xfId="0" applyFont="1" applyBorder="1"/>
    <xf numFmtId="0" fontId="4" fillId="2" borderId="2" xfId="0" applyFont="1" applyFill="1" applyBorder="1" applyAlignment="1"/>
    <xf numFmtId="0" fontId="4" fillId="0" borderId="2" xfId="0" applyFont="1" applyBorder="1"/>
    <xf numFmtId="0" fontId="0" fillId="3" borderId="1" xfId="0" applyFill="1" applyBorder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3" borderId="6" xfId="0" applyFill="1" applyBorder="1"/>
    <xf numFmtId="0" fontId="2" fillId="0" borderId="0" xfId="0" applyFont="1"/>
    <xf numFmtId="3" fontId="0" fillId="0" borderId="0" xfId="0" applyNumberFormat="1"/>
    <xf numFmtId="0" fontId="9" fillId="0" borderId="9" xfId="0" applyFont="1" applyBorder="1"/>
    <xf numFmtId="0" fontId="0" fillId="8" borderId="1" xfId="0" applyFill="1" applyBorder="1"/>
    <xf numFmtId="0" fontId="0" fillId="8" borderId="2" xfId="0" applyFill="1" applyBorder="1"/>
    <xf numFmtId="0" fontId="10" fillId="0" borderId="0" xfId="0" applyFont="1" applyAlignment="1">
      <alignment horizontal="center" vertical="center" readingOrder="1"/>
    </xf>
    <xf numFmtId="0" fontId="10" fillId="0" borderId="0" xfId="0" applyFont="1" applyAlignment="1">
      <alignment vertical="center" readingOrder="1"/>
    </xf>
    <xf numFmtId="0" fontId="12" fillId="0" borderId="0" xfId="0" applyFont="1" applyAlignment="1"/>
    <xf numFmtId="0" fontId="9" fillId="2" borderId="9" xfId="0" applyFont="1" applyFill="1" applyBorder="1"/>
    <xf numFmtId="0" fontId="10" fillId="9" borderId="0" xfId="0" applyFont="1" applyFill="1" applyAlignment="1">
      <alignment vertical="center" readingOrder="1"/>
    </xf>
    <xf numFmtId="0" fontId="0" fillId="9" borderId="0" xfId="0" applyFill="1"/>
    <xf numFmtId="0" fontId="10" fillId="9" borderId="0" xfId="0" applyFont="1" applyFill="1" applyAlignment="1">
      <alignment horizontal="center" vertical="center" readingOrder="1"/>
    </xf>
    <xf numFmtId="2" fontId="10" fillId="9" borderId="0" xfId="0" applyNumberFormat="1" applyFont="1" applyFill="1" applyAlignment="1">
      <alignment horizontal="center" vertical="center" readingOrder="1"/>
    </xf>
    <xf numFmtId="3" fontId="0" fillId="4" borderId="0" xfId="0" applyNumberFormat="1" applyFill="1"/>
    <xf numFmtId="0" fontId="0" fillId="4" borderId="0" xfId="0" applyFill="1"/>
    <xf numFmtId="0" fontId="10" fillId="4" borderId="0" xfId="0" applyFont="1" applyFill="1" applyAlignment="1">
      <alignment vertical="center" readingOrder="1"/>
    </xf>
    <xf numFmtId="0" fontId="10" fillId="4" borderId="0" xfId="0" applyFont="1" applyFill="1" applyAlignment="1">
      <alignment horizontal="center" vertical="center" readingOrder="1"/>
    </xf>
    <xf numFmtId="2" fontId="10" fillId="4" borderId="0" xfId="0" applyNumberFormat="1" applyFont="1" applyFill="1" applyAlignment="1">
      <alignment horizontal="center" vertical="center" readingOrder="1"/>
    </xf>
    <xf numFmtId="0" fontId="0" fillId="10" borderId="0" xfId="0" applyFill="1" applyBorder="1"/>
    <xf numFmtId="2" fontId="0" fillId="10" borderId="5" xfId="0" applyNumberFormat="1" applyFill="1" applyBorder="1"/>
    <xf numFmtId="2" fontId="2" fillId="0" borderId="0" xfId="0" applyNumberFormat="1" applyFont="1" applyBorder="1"/>
    <xf numFmtId="2" fontId="2" fillId="0" borderId="0" xfId="0" applyNumberFormat="1" applyFont="1" applyFill="1" applyBorder="1"/>
    <xf numFmtId="2" fontId="0" fillId="0" borderId="4" xfId="0" applyNumberFormat="1" applyBorder="1"/>
    <xf numFmtId="2" fontId="0" fillId="4" borderId="4" xfId="0" applyNumberFormat="1" applyFill="1" applyBorder="1"/>
    <xf numFmtId="2" fontId="0" fillId="0" borderId="6" xfId="0" applyNumberFormat="1" applyBorder="1"/>
    <xf numFmtId="0" fontId="1" fillId="0" borderId="0" xfId="2"/>
    <xf numFmtId="0" fontId="1" fillId="2" borderId="0" xfId="2" applyFill="1" applyAlignment="1">
      <alignment horizontal="center"/>
    </xf>
    <xf numFmtId="0" fontId="1" fillId="0" borderId="1" xfId="2" applyBorder="1"/>
    <xf numFmtId="0" fontId="1" fillId="0" borderId="2" xfId="2" applyBorder="1"/>
    <xf numFmtId="0" fontId="1" fillId="0" borderId="3" xfId="2" applyBorder="1"/>
    <xf numFmtId="0" fontId="1" fillId="4" borderId="4" xfId="2" applyFill="1" applyBorder="1"/>
    <xf numFmtId="0" fontId="1" fillId="0" borderId="5" xfId="2" applyBorder="1"/>
    <xf numFmtId="0" fontId="1" fillId="0" borderId="4" xfId="2" applyBorder="1"/>
    <xf numFmtId="0" fontId="1" fillId="0" borderId="6" xfId="2" applyBorder="1"/>
    <xf numFmtId="0" fontId="1" fillId="0" borderId="7" xfId="2" applyBorder="1"/>
    <xf numFmtId="0" fontId="1" fillId="0" borderId="8" xfId="2" applyBorder="1"/>
    <xf numFmtId="2" fontId="1" fillId="0" borderId="0" xfId="2" applyNumberFormat="1"/>
    <xf numFmtId="0" fontId="1" fillId="2" borderId="1" xfId="2" applyFill="1" applyBorder="1" applyAlignment="1">
      <alignment horizontal="center"/>
    </xf>
    <xf numFmtId="0" fontId="1" fillId="0" borderId="0" xfId="2" applyBorder="1"/>
    <xf numFmtId="2" fontId="1" fillId="0" borderId="5" xfId="2" applyNumberFormat="1" applyBorder="1"/>
    <xf numFmtId="0" fontId="1" fillId="2" borderId="0" xfId="2" applyFill="1" applyBorder="1" applyAlignment="1">
      <alignment horizontal="center"/>
    </xf>
    <xf numFmtId="0" fontId="1" fillId="0" borderId="0" xfId="2" applyFill="1" applyBorder="1"/>
    <xf numFmtId="0" fontId="1" fillId="2" borderId="7" xfId="2" applyFill="1" applyBorder="1"/>
    <xf numFmtId="165" fontId="1" fillId="0" borderId="7" xfId="2" applyNumberFormat="1" applyBorder="1"/>
    <xf numFmtId="165" fontId="1" fillId="0" borderId="0" xfId="2" applyNumberFormat="1" applyFill="1" applyBorder="1"/>
    <xf numFmtId="0" fontId="1" fillId="6" borderId="0" xfId="2" applyFill="1" applyBorder="1"/>
    <xf numFmtId="0" fontId="1" fillId="6" borderId="7" xfId="2" applyFill="1" applyBorder="1"/>
    <xf numFmtId="0" fontId="0" fillId="0" borderId="5" xfId="2" applyFont="1" applyBorder="1"/>
    <xf numFmtId="0" fontId="1" fillId="0" borderId="4" xfId="2" applyFill="1" applyBorder="1"/>
    <xf numFmtId="0" fontId="1" fillId="0" borderId="5" xfId="2" applyFill="1" applyBorder="1"/>
    <xf numFmtId="9" fontId="0" fillId="11" borderId="1" xfId="0" applyNumberFormat="1" applyFill="1" applyBorder="1"/>
    <xf numFmtId="0" fontId="1" fillId="0" borderId="1" xfId="2" applyFill="1" applyBorder="1"/>
    <xf numFmtId="0" fontId="1" fillId="0" borderId="2" xfId="2" applyFill="1" applyBorder="1"/>
    <xf numFmtId="0" fontId="1" fillId="0" borderId="3" xfId="2" applyFill="1" applyBorder="1"/>
    <xf numFmtId="0" fontId="0" fillId="0" borderId="0" xfId="2" applyFont="1" applyBorder="1"/>
    <xf numFmtId="0" fontId="0" fillId="0" borderId="0" xfId="2" applyFont="1" applyFill="1" applyBorder="1"/>
    <xf numFmtId="0" fontId="1" fillId="0" borderId="7" xfId="2" applyFill="1" applyBorder="1"/>
    <xf numFmtId="165" fontId="1" fillId="0" borderId="7" xfId="2" applyNumberFormat="1" applyFill="1" applyBorder="1"/>
    <xf numFmtId="0" fontId="1" fillId="0" borderId="8" xfId="2" applyFill="1" applyBorder="1"/>
    <xf numFmtId="2" fontId="1" fillId="0" borderId="7" xfId="2" applyNumberFormat="1" applyBorder="1"/>
    <xf numFmtId="0" fontId="1" fillId="0" borderId="7" xfId="2" applyNumberFormat="1" applyBorder="1"/>
    <xf numFmtId="0" fontId="1" fillId="0" borderId="6" xfId="2" applyFill="1" applyBorder="1"/>
    <xf numFmtId="0" fontId="1" fillId="0" borderId="10" xfId="2" applyBorder="1"/>
    <xf numFmtId="0" fontId="1" fillId="0" borderId="12" xfId="2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/>
    <xf numFmtId="0" fontId="0" fillId="0" borderId="9" xfId="0" applyBorder="1" applyAlignment="1"/>
    <xf numFmtId="0" fontId="0" fillId="2" borderId="3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5" xfId="0" applyFill="1" applyBorder="1"/>
    <xf numFmtId="43" fontId="0" fillId="0" borderId="2" xfId="1" applyFont="1" applyBorder="1"/>
    <xf numFmtId="0" fontId="4" fillId="0" borderId="0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0" fontId="3" fillId="0" borderId="8" xfId="0" applyFont="1" applyBorder="1"/>
    <xf numFmtId="0" fontId="4" fillId="0" borderId="3" xfId="0" applyFont="1" applyBorder="1"/>
    <xf numFmtId="0" fontId="0" fillId="0" borderId="4" xfId="0" applyBorder="1" applyAlignment="1"/>
    <xf numFmtId="0" fontId="5" fillId="5" borderId="0" xfId="0" applyFont="1" applyFill="1" applyBorder="1"/>
    <xf numFmtId="0" fontId="5" fillId="6" borderId="0" xfId="0" applyFont="1" applyFill="1" applyBorder="1"/>
    <xf numFmtId="0" fontId="4" fillId="4" borderId="0" xfId="0" applyFont="1" applyFill="1" applyBorder="1"/>
    <xf numFmtId="0" fontId="5" fillId="0" borderId="0" xfId="0" applyFont="1" applyBorder="1"/>
    <xf numFmtId="0" fontId="0" fillId="0" borderId="0" xfId="0" applyFont="1" applyFill="1" applyBorder="1"/>
    <xf numFmtId="0" fontId="0" fillId="0" borderId="4" xfId="0" applyBorder="1" applyAlignment="1">
      <alignment horizontal="left"/>
    </xf>
    <xf numFmtId="0" fontId="8" fillId="0" borderId="4" xfId="0" applyFont="1" applyBorder="1" applyAlignment="1">
      <alignment horizontal="left"/>
    </xf>
    <xf numFmtId="0" fontId="4" fillId="0" borderId="4" xfId="2" applyFont="1" applyBorder="1"/>
    <xf numFmtId="0" fontId="4" fillId="0" borderId="0" xfId="2" applyFont="1" applyBorder="1"/>
    <xf numFmtId="0" fontId="4" fillId="0" borderId="0" xfId="2" applyFont="1" applyFill="1" applyBorder="1"/>
    <xf numFmtId="165" fontId="4" fillId="0" borderId="0" xfId="2" applyNumberFormat="1" applyFont="1" applyFill="1" applyBorder="1"/>
    <xf numFmtId="0" fontId="4" fillId="0" borderId="4" xfId="2" applyFont="1" applyFill="1" applyBorder="1"/>
    <xf numFmtId="0" fontId="4" fillId="0" borderId="5" xfId="2" applyFont="1" applyFill="1" applyBorder="1"/>
    <xf numFmtId="0" fontId="1" fillId="2" borderId="9" xfId="2" applyFill="1" applyBorder="1" applyAlignment="1">
      <alignment horizontal="center"/>
    </xf>
    <xf numFmtId="0" fontId="1" fillId="6" borderId="5" xfId="2" applyFill="1" applyBorder="1"/>
    <xf numFmtId="0" fontId="1" fillId="17" borderId="9" xfId="2" applyFill="1" applyBorder="1"/>
    <xf numFmtId="0" fontId="1" fillId="0" borderId="13" xfId="2" applyBorder="1"/>
    <xf numFmtId="0" fontId="1" fillId="0" borderId="13" xfId="2" applyFill="1" applyBorder="1"/>
    <xf numFmtId="0" fontId="1" fillId="0" borderId="14" xfId="2" applyBorder="1"/>
    <xf numFmtId="0" fontId="1" fillId="0" borderId="9" xfId="2" applyBorder="1"/>
    <xf numFmtId="0" fontId="1" fillId="0" borderId="15" xfId="2" applyBorder="1"/>
    <xf numFmtId="0" fontId="1" fillId="18" borderId="0" xfId="2" applyFill="1" applyBorder="1"/>
    <xf numFmtId="0" fontId="1" fillId="19" borderId="5" xfId="2" applyFill="1" applyBorder="1"/>
    <xf numFmtId="0" fontId="2" fillId="0" borderId="4" xfId="2" applyFont="1" applyBorder="1"/>
    <xf numFmtId="0" fontId="1" fillId="19" borderId="4" xfId="2" applyFill="1" applyBorder="1"/>
    <xf numFmtId="0" fontId="1" fillId="2" borderId="9" xfId="2" applyFill="1" applyBorder="1"/>
    <xf numFmtId="0" fontId="1" fillId="20" borderId="9" xfId="2" applyFill="1" applyBorder="1"/>
    <xf numFmtId="0" fontId="2" fillId="2" borderId="5" xfId="2" applyFont="1" applyFill="1" applyBorder="1"/>
    <xf numFmtId="0" fontId="14" fillId="0" borderId="4" xfId="0" applyFont="1" applyBorder="1" applyAlignment="1">
      <alignment horizontal="center"/>
    </xf>
    <xf numFmtId="0" fontId="0" fillId="0" borderId="0" xfId="0" applyNumberFormat="1" applyBorder="1"/>
    <xf numFmtId="0" fontId="0" fillId="4" borderId="4" xfId="0" applyFill="1" applyBorder="1"/>
    <xf numFmtId="0" fontId="0" fillId="12" borderId="4" xfId="0" applyFill="1" applyBorder="1"/>
    <xf numFmtId="0" fontId="0" fillId="13" borderId="4" xfId="0" applyFill="1" applyBorder="1"/>
    <xf numFmtId="0" fontId="0" fillId="0" borderId="7" xfId="0" applyNumberFormat="1" applyBorder="1"/>
    <xf numFmtId="2" fontId="1" fillId="0" borderId="6" xfId="2" applyNumberFormat="1" applyBorder="1"/>
    <xf numFmtId="2" fontId="1" fillId="0" borderId="8" xfId="2" applyNumberFormat="1" applyBorder="1"/>
    <xf numFmtId="0" fontId="14" fillId="0" borderId="0" xfId="0" applyFont="1" applyBorder="1" applyAlignment="1">
      <alignment horizontal="center"/>
    </xf>
    <xf numFmtId="9" fontId="0" fillId="15" borderId="2" xfId="0" applyNumberFormat="1" applyFill="1" applyBorder="1"/>
    <xf numFmtId="9" fontId="0" fillId="7" borderId="0" xfId="0" applyNumberFormat="1" applyFill="1" applyBorder="1"/>
    <xf numFmtId="9" fontId="0" fillId="12" borderId="0" xfId="0" applyNumberFormat="1" applyFill="1" applyBorder="1"/>
    <xf numFmtId="9" fontId="0" fillId="13" borderId="7" xfId="0" applyNumberFormat="1" applyFill="1" applyBorder="1"/>
    <xf numFmtId="0" fontId="0" fillId="5" borderId="7" xfId="0" applyFill="1" applyBorder="1"/>
    <xf numFmtId="0" fontId="0" fillId="0" borderId="15" xfId="0" applyBorder="1"/>
    <xf numFmtId="0" fontId="0" fillId="0" borderId="13" xfId="0" applyBorder="1"/>
    <xf numFmtId="0" fontId="0" fillId="0" borderId="14" xfId="0" applyBorder="1"/>
    <xf numFmtId="0" fontId="1" fillId="7" borderId="9" xfId="2" applyFill="1" applyBorder="1"/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7" borderId="12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1" fillId="0" borderId="13" xfId="2" applyBorder="1" applyAlignment="1">
      <alignment horizontal="center"/>
    </xf>
    <xf numFmtId="0" fontId="1" fillId="0" borderId="5" xfId="2" applyBorder="1" applyAlignment="1">
      <alignment horizontal="center"/>
    </xf>
    <xf numFmtId="0" fontId="1" fillId="0" borderId="1" xfId="2" applyBorder="1" applyAlignment="1">
      <alignment horizontal="center"/>
    </xf>
    <xf numFmtId="0" fontId="1" fillId="0" borderId="3" xfId="2" applyBorder="1" applyAlignment="1">
      <alignment horizontal="center"/>
    </xf>
    <xf numFmtId="2" fontId="1" fillId="0" borderId="13" xfId="2" applyNumberFormat="1" applyBorder="1" applyAlignment="1">
      <alignment horizontal="center"/>
    </xf>
    <xf numFmtId="2" fontId="1" fillId="0" borderId="5" xfId="2" applyNumberFormat="1" applyBorder="1" applyAlignment="1">
      <alignment horizontal="center"/>
    </xf>
    <xf numFmtId="0" fontId="1" fillId="2" borderId="1" xfId="2" applyFill="1" applyBorder="1" applyAlignment="1">
      <alignment horizontal="center"/>
    </xf>
    <xf numFmtId="0" fontId="1" fillId="2" borderId="3" xfId="2" applyFill="1" applyBorder="1" applyAlignment="1">
      <alignment horizontal="center"/>
    </xf>
    <xf numFmtId="0" fontId="1" fillId="2" borderId="2" xfId="2" applyFill="1" applyBorder="1" applyAlignment="1">
      <alignment horizontal="center"/>
    </xf>
    <xf numFmtId="0" fontId="1" fillId="0" borderId="0" xfId="2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1" fillId="2" borderId="10" xfId="2" applyFill="1" applyBorder="1" applyAlignment="1">
      <alignment horizontal="center"/>
    </xf>
    <xf numFmtId="0" fontId="1" fillId="2" borderId="11" xfId="2" applyFill="1" applyBorder="1" applyAlignment="1">
      <alignment horizontal="center"/>
    </xf>
    <xf numFmtId="0" fontId="1" fillId="2" borderId="12" xfId="2" applyFill="1" applyBorder="1" applyAlignment="1">
      <alignment horizontal="center"/>
    </xf>
    <xf numFmtId="0" fontId="1" fillId="0" borderId="10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12" xfId="2" applyBorder="1" applyAlignment="1">
      <alignment horizontal="center"/>
    </xf>
    <xf numFmtId="0" fontId="0" fillId="0" borderId="10" xfId="2" applyFont="1" applyBorder="1" applyAlignment="1">
      <alignment horizontal="center"/>
    </xf>
    <xf numFmtId="0" fontId="0" fillId="0" borderId="11" xfId="2" applyFont="1" applyBorder="1" applyAlignment="1">
      <alignment horizontal="center"/>
    </xf>
    <xf numFmtId="0" fontId="0" fillId="0" borderId="12" xfId="2" applyFont="1" applyBorder="1" applyAlignment="1">
      <alignment horizontal="center"/>
    </xf>
    <xf numFmtId="0" fontId="1" fillId="15" borderId="1" xfId="2" applyFill="1" applyBorder="1" applyAlignment="1">
      <alignment horizontal="center"/>
    </xf>
    <xf numFmtId="0" fontId="1" fillId="15" borderId="3" xfId="2" applyFill="1" applyBorder="1" applyAlignment="1">
      <alignment horizontal="center"/>
    </xf>
    <xf numFmtId="0" fontId="1" fillId="16" borderId="1" xfId="2" applyFill="1" applyBorder="1" applyAlignment="1">
      <alignment horizontal="center"/>
    </xf>
    <xf numFmtId="0" fontId="1" fillId="16" borderId="3" xfId="2" applyFill="1" applyBorder="1" applyAlignment="1">
      <alignment horizontal="center"/>
    </xf>
    <xf numFmtId="0" fontId="1" fillId="14" borderId="10" xfId="2" applyFill="1" applyBorder="1" applyAlignment="1">
      <alignment horizontal="center"/>
    </xf>
    <xf numFmtId="0" fontId="1" fillId="14" borderId="11" xfId="2" applyFill="1" applyBorder="1" applyAlignment="1">
      <alignment horizontal="center"/>
    </xf>
    <xf numFmtId="0" fontId="1" fillId="12" borderId="1" xfId="2" applyFill="1" applyBorder="1" applyAlignment="1">
      <alignment horizontal="center"/>
    </xf>
    <xf numFmtId="0" fontId="1" fillId="12" borderId="3" xfId="2" applyFill="1" applyBorder="1" applyAlignment="1">
      <alignment horizontal="center"/>
    </xf>
    <xf numFmtId="0" fontId="1" fillId="13" borderId="1" xfId="2" applyFill="1" applyBorder="1" applyAlignment="1">
      <alignment horizontal="center"/>
    </xf>
    <xf numFmtId="0" fontId="1" fillId="13" borderId="3" xfId="2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5" borderId="10" xfId="2" applyFill="1" applyBorder="1" applyAlignment="1">
      <alignment horizontal="center"/>
    </xf>
    <xf numFmtId="0" fontId="1" fillId="5" borderId="12" xfId="2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0" xfId="0" applyFont="1" applyAlignment="1">
      <alignment horizontal="center" vertical="center" readingOrder="1"/>
    </xf>
    <xf numFmtId="0" fontId="0" fillId="0" borderId="0" xfId="0" applyAlignment="1">
      <alignment horizontal="center"/>
    </xf>
    <xf numFmtId="0" fontId="1" fillId="0" borderId="0" xfId="2" applyFill="1"/>
    <xf numFmtId="0" fontId="0" fillId="0" borderId="0" xfId="0" applyFill="1"/>
    <xf numFmtId="0" fontId="0" fillId="0" borderId="4" xfId="0" applyFill="1" applyBorder="1" applyAlignment="1">
      <alignment horizontal="left"/>
    </xf>
    <xf numFmtId="0" fontId="2" fillId="0" borderId="0" xfId="2" applyFont="1" applyFill="1" applyBorder="1"/>
    <xf numFmtId="0" fontId="1" fillId="0" borderId="6" xfId="2" applyFill="1" applyBorder="1" applyAlignment="1">
      <alignment horizontal="center"/>
    </xf>
    <xf numFmtId="0" fontId="1" fillId="0" borderId="8" xfId="2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 xr:uid="{60178796-E7EE-4736-B3C6-87B0F6353C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NOX PREDICTION</a:t>
            </a:r>
            <a:r>
              <a:rPr lang="en-US" baseline="0"/>
              <a:t> IN RELATION TO PHI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'Task2A)values_PHI_dependent'!$O$90:$O$106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'Task2A)values_PHI_dependent'!$R$90:$R$106</c:f>
              <c:numCache>
                <c:formatCode>General</c:formatCode>
                <c:ptCount val="17"/>
                <c:pt idx="0">
                  <c:v>0</c:v>
                </c:pt>
                <c:pt idx="1">
                  <c:v>18767.269089711193</c:v>
                </c:pt>
                <c:pt idx="2">
                  <c:v>22678.484531886719</c:v>
                </c:pt>
                <c:pt idx="3">
                  <c:v>23666.996343511593</c:v>
                </c:pt>
                <c:pt idx="4">
                  <c:v>23218.938429937996</c:v>
                </c:pt>
                <c:pt idx="5">
                  <c:v>21990.387551623808</c:v>
                </c:pt>
                <c:pt idx="6">
                  <c:v>20343.236340047137</c:v>
                </c:pt>
                <c:pt idx="7">
                  <c:v>18497.345477228238</c:v>
                </c:pt>
                <c:pt idx="8">
                  <c:v>16591.802593874534</c:v>
                </c:pt>
                <c:pt idx="9">
                  <c:v>14715.741681536594</c:v>
                </c:pt>
                <c:pt idx="10">
                  <c:v>12925.497339653864</c:v>
                </c:pt>
                <c:pt idx="11">
                  <c:v>6006.6235662592462</c:v>
                </c:pt>
                <c:pt idx="12">
                  <c:v>2361.8759847621595</c:v>
                </c:pt>
                <c:pt idx="13">
                  <c:v>416.46247660307102</c:v>
                </c:pt>
                <c:pt idx="14">
                  <c:v>221.86227280992884</c:v>
                </c:pt>
                <c:pt idx="15">
                  <c:v>50.945477206824442</c:v>
                </c:pt>
                <c:pt idx="16">
                  <c:v>9.2336879567336965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7CB-4176-A7BA-7C9F168146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74186560"/>
        <c:axId val="774186232"/>
      </c:scatterChart>
      <c:valAx>
        <c:axId val="774186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4186232"/>
        <c:crosses val="autoZero"/>
        <c:crossBetween val="midCat"/>
      </c:valAx>
      <c:valAx>
        <c:axId val="774186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741865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PHI [O2]</a:t>
            </a:r>
          </a:p>
          <a:p>
            <a:pPr>
              <a:defRPr/>
            </a:pPr>
            <a:endParaRPr lang="en-GB"/>
          </a:p>
        </c:rich>
      </c:tx>
      <c:layout>
        <c:manualLayout>
          <c:xMode val="edge"/>
          <c:yMode val="edge"/>
          <c:x val="0.45671522309711288"/>
          <c:y val="4.166666666666666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'Task2A)values_PHI_dependent'!$M$8:$M$24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'Task2A)values_PHI_dependent'!$U$8:$U$24</c:f>
              <c:numCache>
                <c:formatCode>General</c:formatCode>
                <c:ptCount val="17"/>
                <c:pt idx="0">
                  <c:v>0</c:v>
                </c:pt>
                <c:pt idx="1">
                  <c:v>3.3931946946903101E-4</c:v>
                </c:pt>
                <c:pt idx="2">
                  <c:v>6.787511477573309E-4</c:v>
                </c:pt>
                <c:pt idx="3">
                  <c:v>1.0182950905332406E-3</c:v>
                </c:pt>
                <c:pt idx="4">
                  <c:v>1.3579513535019309E-3</c:v>
                </c:pt>
                <c:pt idx="5">
                  <c:v>1.6977199924054353E-3</c:v>
                </c:pt>
                <c:pt idx="6">
                  <c:v>2.0376010630226713E-3</c:v>
                </c:pt>
                <c:pt idx="7">
                  <c:v>2.3775946211694794E-3</c:v>
                </c:pt>
                <c:pt idx="8">
                  <c:v>2.7177007226986648E-3</c:v>
                </c:pt>
                <c:pt idx="9">
                  <c:v>3.0579194235000029E-3</c:v>
                </c:pt>
                <c:pt idx="10">
                  <c:v>3.3982507795002792E-3</c:v>
                </c:pt>
                <c:pt idx="11">
                  <c:v>5.1015993475182321E-3</c:v>
                </c:pt>
                <c:pt idx="12">
                  <c:v>6.8077727058645709E-3</c:v>
                </c:pt>
                <c:pt idx="13">
                  <c:v>8.5167778872123189E-3</c:v>
                </c:pt>
                <c:pt idx="14">
                  <c:v>1.0228621947598847E-2</c:v>
                </c:pt>
                <c:pt idx="15">
                  <c:v>1.1943311966523009E-2</c:v>
                </c:pt>
                <c:pt idx="16">
                  <c:v>1.3660855047042716E-2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F34-435E-A60B-37954425732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164912"/>
        <c:axId val="813164256"/>
      </c:scatterChart>
      <c:valAx>
        <c:axId val="81316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164256"/>
        <c:crosses val="autoZero"/>
        <c:crossBetween val="midCat"/>
      </c:valAx>
      <c:valAx>
        <c:axId val="813164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164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PHI [N2]</a:t>
            </a:r>
          </a:p>
          <a:p>
            <a:pPr>
              <a:defRPr/>
            </a:pPr>
            <a:endParaRPr lang="en-GB"/>
          </a:p>
        </c:rich>
      </c:tx>
      <c:layout>
        <c:manualLayout>
          <c:xMode val="edge"/>
          <c:yMode val="edge"/>
          <c:x val="0.45921522309711277"/>
          <c:y val="5.092592592592592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'Task2A)values_PHI_dependent'!$M$8:$M$24</c:f>
              <c:numCache>
                <c:formatCode>General</c:formatCode>
                <c:ptCount val="17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0.85</c:v>
                </c:pt>
                <c:pt idx="12">
                  <c:v>0.8</c:v>
                </c:pt>
                <c:pt idx="13">
                  <c:v>0.75</c:v>
                </c:pt>
                <c:pt idx="14">
                  <c:v>0.7</c:v>
                </c:pt>
                <c:pt idx="15">
                  <c:v>0.65</c:v>
                </c:pt>
                <c:pt idx="16">
                  <c:v>0.6</c:v>
                </c:pt>
              </c:numCache>
            </c:numRef>
          </c:xVal>
          <c:yVal>
            <c:numRef>
              <c:f>'Task2A)values_PHI_dependent'!$T$8:$T$24</c:f>
              <c:numCache>
                <c:formatCode>General</c:formatCode>
                <c:ptCount val="17"/>
                <c:pt idx="0">
                  <c:v>0.12756303223597212</c:v>
                </c:pt>
                <c:pt idx="1">
                  <c:v>0.12758412052035564</c:v>
                </c:pt>
                <c:pt idx="2">
                  <c:v>0.12760521577837822</c:v>
                </c:pt>
                <c:pt idx="3">
                  <c:v>0.12762631801349947</c:v>
                </c:pt>
                <c:pt idx="4">
                  <c:v>0.12764742722918151</c:v>
                </c:pt>
                <c:pt idx="5">
                  <c:v>0.12766854342888853</c:v>
                </c:pt>
                <c:pt idx="6">
                  <c:v>0.12768966661608727</c:v>
                </c:pt>
                <c:pt idx="7">
                  <c:v>0.12771079679424643</c:v>
                </c:pt>
                <c:pt idx="8">
                  <c:v>0.12773193396683738</c:v>
                </c:pt>
                <c:pt idx="9">
                  <c:v>0.12775307813733344</c:v>
                </c:pt>
                <c:pt idx="10">
                  <c:v>0.12777422930921048</c:v>
                </c:pt>
                <c:pt idx="11">
                  <c:v>0.12788009031112366</c:v>
                </c:pt>
                <c:pt idx="12">
                  <c:v>0.12798612687025396</c:v>
                </c:pt>
                <c:pt idx="13">
                  <c:v>0.12809233942367326</c:v>
                </c:pt>
                <c:pt idx="14">
                  <c:v>0.12819872840990554</c:v>
                </c:pt>
                <c:pt idx="15">
                  <c:v>0.12830529426893289</c:v>
                </c:pt>
                <c:pt idx="16">
                  <c:v>0.12841203744220156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EB-4502-9AE0-20DA211417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8776488"/>
        <c:axId val="558775176"/>
      </c:scatterChart>
      <c:valAx>
        <c:axId val="5587764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775176"/>
        <c:crosses val="autoZero"/>
        <c:crossBetween val="midCat"/>
      </c:valAx>
      <c:valAx>
        <c:axId val="558775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877648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BURN ZONE TEMPERATURES AS</a:t>
            </a:r>
            <a:r>
              <a:rPr lang="en-GB" baseline="0"/>
              <a:t> FUCNTION OF PHI</a:t>
            </a:r>
          </a:p>
          <a:p>
            <a:pPr>
              <a:defRPr/>
            </a:pP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PHI 1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'Task2A)values_PHI_dependent'!$O$29:$O$44</c:f>
              <c:numCache>
                <c:formatCode>General</c:formatCode>
                <c:ptCount val="16"/>
                <c:pt idx="0">
                  <c:v>2390.91320929632</c:v>
                </c:pt>
                <c:pt idx="1">
                  <c:v>2455.0976962838813</c:v>
                </c:pt>
                <c:pt idx="2">
                  <c:v>2510.7073276804381</c:v>
                </c:pt>
                <c:pt idx="3">
                  <c:v>2559.8956975582537</c:v>
                </c:pt>
                <c:pt idx="4">
                  <c:v>2604.0821954776811</c:v>
                </c:pt>
                <c:pt idx="5">
                  <c:v>2644.254258777175</c:v>
                </c:pt>
                <c:pt idx="6">
                  <c:v>2681.1279141382365</c:v>
                </c:pt>
                <c:pt idx="7">
                  <c:v>2715.2397309408589</c:v>
                </c:pt>
                <c:pt idx="8">
                  <c:v>2747.0026867764668</c:v>
                </c:pt>
                <c:pt idx="9">
                  <c:v>2776.7417562246005</c:v>
                </c:pt>
                <c:pt idx="10">
                  <c:v>2804.7174847747765</c:v>
                </c:pt>
                <c:pt idx="11">
                  <c:v>2831.1421234257177</c:v>
                </c:pt>
                <c:pt idx="12">
                  <c:v>2856.1909833316572</c:v>
                </c:pt>
                <c:pt idx="13">
                  <c:v>2880.0106205545962</c:v>
                </c:pt>
                <c:pt idx="14">
                  <c:v>2902.7248604010247</c:v>
                </c:pt>
                <c:pt idx="15">
                  <c:v>2924.4393137629195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3A1-47D9-BBC0-483468B4683B}"/>
            </c:ext>
          </c:extLst>
        </c:ser>
        <c:ser>
          <c:idx val="1"/>
          <c:order val="1"/>
          <c:tx>
            <c:v>0.99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'Task2A)values_PHI_dependent'!$Q$29:$Q$44</c:f>
              <c:numCache>
                <c:formatCode>General</c:formatCode>
                <c:ptCount val="16"/>
                <c:pt idx="0">
                  <c:v>2375.4522923044483</c:v>
                </c:pt>
                <c:pt idx="1">
                  <c:v>2439.2217282472366</c:v>
                </c:pt>
                <c:pt idx="2">
                  <c:v>2494.471758177865</c:v>
                </c:pt>
                <c:pt idx="3">
                  <c:v>2543.3420498834203</c:v>
                </c:pt>
                <c:pt idx="4">
                  <c:v>2587.2428143961156</c:v>
                </c:pt>
                <c:pt idx="5">
                  <c:v>2627.1551037591694</c:v>
                </c:pt>
                <c:pt idx="6">
                  <c:v>2663.79031444457</c:v>
                </c:pt>
                <c:pt idx="7">
                  <c:v>2697.6815460891962</c:v>
                </c:pt>
                <c:pt idx="8">
                  <c:v>2729.2391057516261</c:v>
                </c:pt>
                <c:pt idx="9">
                  <c:v>2758.7858665528524</c:v>
                </c:pt>
                <c:pt idx="10">
                  <c:v>2786.5806891566226</c:v>
                </c:pt>
                <c:pt idx="11">
                  <c:v>2812.834452033766</c:v>
                </c:pt>
                <c:pt idx="12">
                  <c:v>2837.7213326833107</c:v>
                </c:pt>
                <c:pt idx="13">
                  <c:v>2861.38693945778</c:v>
                </c:pt>
                <c:pt idx="14">
                  <c:v>2883.954296943346</c:v>
                </c:pt>
                <c:pt idx="15">
                  <c:v>2905.5283330957636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A1-47D9-BBC0-483468B4683B}"/>
            </c:ext>
          </c:extLst>
        </c:ser>
        <c:ser>
          <c:idx val="2"/>
          <c:order val="2"/>
          <c:tx>
            <c:v>0.98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'Task2A)values_PHI_dependent'!$S$29:$S$44</c:f>
              <c:numCache>
                <c:formatCode>General</c:formatCode>
                <c:ptCount val="16"/>
                <c:pt idx="0">
                  <c:v>2359.9232744779583</c:v>
                </c:pt>
                <c:pt idx="1">
                  <c:v>2423.2758311970515</c:v>
                </c:pt>
                <c:pt idx="2">
                  <c:v>2478.1646757220683</c:v>
                </c:pt>
                <c:pt idx="3">
                  <c:v>2526.7154882136902</c:v>
                </c:pt>
                <c:pt idx="4">
                  <c:v>2570.3292607472481</c:v>
                </c:pt>
                <c:pt idx="5">
                  <c:v>2609.9806319453601</c:v>
                </c:pt>
                <c:pt idx="6">
                  <c:v>2646.3763476757772</c:v>
                </c:pt>
                <c:pt idx="7">
                  <c:v>2680.0460225490569</c:v>
                </c:pt>
                <c:pt idx="8">
                  <c:v>2711.3972813280102</c:v>
                </c:pt>
                <c:pt idx="9">
                  <c:v>2740.7508864187707</c:v>
                </c:pt>
                <c:pt idx="10">
                  <c:v>2768.3640062381505</c:v>
                </c:pt>
                <c:pt idx="11">
                  <c:v>2794.4461406834989</c:v>
                </c:pt>
                <c:pt idx="12">
                  <c:v>2819.1703286052189</c:v>
                </c:pt>
                <c:pt idx="13">
                  <c:v>2842.6812264719715</c:v>
                </c:pt>
                <c:pt idx="14">
                  <c:v>2865.1010546226712</c:v>
                </c:pt>
                <c:pt idx="15">
                  <c:v>2886.5340550687156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3A1-47D9-BBC0-483468B4683B}"/>
            </c:ext>
          </c:extLst>
        </c:ser>
        <c:ser>
          <c:idx val="4"/>
          <c:order val="3"/>
          <c:tx>
            <c:v>0.97</c:v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'Task2A)values_PHI_dependent'!$U$29:$U$44</c:f>
              <c:numCache>
                <c:formatCode>General</c:formatCode>
                <c:ptCount val="16"/>
                <c:pt idx="0">
                  <c:v>2344.3241573576884</c:v>
                </c:pt>
                <c:pt idx="1">
                  <c:v>2407.2579530251755</c:v>
                </c:pt>
                <c:pt idx="2">
                  <c:v>2461.7839817232534</c:v>
                </c:pt>
                <c:pt idx="3">
                  <c:v>2510.0138728448751</c:v>
                </c:pt>
                <c:pt idx="4">
                  <c:v>2553.3393578933419</c:v>
                </c:pt>
                <c:pt idx="5">
                  <c:v>2592.7286331199502</c:v>
                </c:pt>
                <c:pt idx="6">
                  <c:v>2628.8837727949954</c:v>
                </c:pt>
                <c:pt idx="7">
                  <c:v>2662.3308907710107</c:v>
                </c:pt>
                <c:pt idx="8">
                  <c:v>2693.474917406932</c:v>
                </c:pt>
                <c:pt idx="9">
                  <c:v>2722.634494866089</c:v>
                </c:pt>
                <c:pt idx="10">
                  <c:v>2750.0650916794134</c:v>
                </c:pt>
                <c:pt idx="11">
                  <c:v>2775.9748229477773</c:v>
                </c:pt>
                <c:pt idx="12">
                  <c:v>2800.5355837330026</c:v>
                </c:pt>
                <c:pt idx="13">
                  <c:v>2823.8910743230049</c:v>
                </c:pt>
                <c:pt idx="14">
                  <c:v>2846.1627071790008</c:v>
                </c:pt>
                <c:pt idx="15">
                  <c:v>2867.4540352716208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3A1-47D9-BBC0-483468B4683B}"/>
            </c:ext>
          </c:extLst>
        </c:ser>
        <c:ser>
          <c:idx val="5"/>
          <c:order val="4"/>
          <c:tx>
            <c:v>0.96</c:v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'Task2A)values_PHI_dependent'!$W$29:$W$44</c:f>
              <c:numCache>
                <c:formatCode>General</c:formatCode>
                <c:ptCount val="16"/>
                <c:pt idx="0">
                  <c:v>2328.6530339021378</c:v>
                </c:pt>
                <c:pt idx="1">
                  <c:v>2391.1661354952425</c:v>
                </c:pt>
                <c:pt idx="2">
                  <c:v>2445.3276735896698</c:v>
                </c:pt>
                <c:pt idx="3">
                  <c:v>2493.2351619515698</c:v>
                </c:pt>
                <c:pt idx="4">
                  <c:v>2536.2710287649325</c:v>
                </c:pt>
                <c:pt idx="5">
                  <c:v>2575.3969981714122</c:v>
                </c:pt>
                <c:pt idx="6">
                  <c:v>2611.3104512795112</c:v>
                </c:pt>
                <c:pt idx="7">
                  <c:v>2644.5339850240584</c:v>
                </c:pt>
                <c:pt idx="8">
                  <c:v>2675.4698229226065</c:v>
                </c:pt>
                <c:pt idx="9">
                  <c:v>2704.4344771085293</c:v>
                </c:pt>
                <c:pt idx="10">
                  <c:v>2731.6817083801166</c:v>
                </c:pt>
                <c:pt idx="11">
                  <c:v>2757.4182406494715</c:v>
                </c:pt>
                <c:pt idx="12">
                  <c:v>2781.8148199100474</c:v>
                </c:pt>
                <c:pt idx="13">
                  <c:v>2805.0141858552338</c:v>
                </c:pt>
                <c:pt idx="14">
                  <c:v>2827.1369393393447</c:v>
                </c:pt>
                <c:pt idx="15">
                  <c:v>2848.2859411115942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3A1-47D9-BBC0-483468B4683B}"/>
            </c:ext>
          </c:extLst>
        </c:ser>
        <c:ser>
          <c:idx val="6"/>
          <c:order val="5"/>
          <c:tx>
            <c:v>0.95</c:v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'Task2A)values_PHI_dependent'!$Y$29:$Y$44</c:f>
              <c:numCache>
                <c:formatCode>General</c:formatCode>
                <c:ptCount val="16"/>
                <c:pt idx="0">
                  <c:v>2312.90799489239</c:v>
                </c:pt>
                <c:pt idx="1">
                  <c:v>2374.9984181350173</c:v>
                </c:pt>
                <c:pt idx="2">
                  <c:v>2428.7937464430534</c:v>
                </c:pt>
                <c:pt idx="3">
                  <c:v>2476.3773113770594</c:v>
                </c:pt>
                <c:pt idx="4">
                  <c:v>2519.1221939210054</c:v>
                </c:pt>
                <c:pt idx="5">
                  <c:v>2557.9836155800831</c:v>
                </c:pt>
                <c:pt idx="6">
                  <c:v>2593.654242164896</c:v>
                </c:pt>
                <c:pt idx="7">
                  <c:v>2626.6531371044202</c:v>
                </c:pt>
                <c:pt idx="8">
                  <c:v>2657.3798043075403</c:v>
                </c:pt>
                <c:pt idx="9">
                  <c:v>2686.1486158310222</c:v>
                </c:pt>
                <c:pt idx="10">
                  <c:v>2713.2116166856977</c:v>
                </c:pt>
                <c:pt idx="11">
                  <c:v>2738.7741330331196</c:v>
                </c:pt>
                <c:pt idx="12">
                  <c:v>2763.0057563785936</c:v>
                </c:pt>
                <c:pt idx="13">
                  <c:v>2786.0482612901733</c:v>
                </c:pt>
                <c:pt idx="14">
                  <c:v>2808.0214331871866</c:v>
                </c:pt>
                <c:pt idx="15">
                  <c:v>2829.0274373324505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3A1-47D9-BBC0-483468B4683B}"/>
            </c:ext>
          </c:extLst>
        </c:ser>
        <c:ser>
          <c:idx val="7"/>
          <c:order val="6"/>
          <c:tx>
            <c:v>0.94</c:v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'Task2A)values_PHI_dependent'!$O$49:$O$64</c:f>
              <c:numCache>
                <c:formatCode>General</c:formatCode>
                <c:ptCount val="16"/>
                <c:pt idx="0">
                  <c:v>2297.0866276749784</c:v>
                </c:pt>
                <c:pt idx="1">
                  <c:v>2358.7523235229255</c:v>
                </c:pt>
                <c:pt idx="2">
                  <c:v>2412.1796667465474</c:v>
                </c:pt>
                <c:pt idx="3">
                  <c:v>2459.4377379488542</c:v>
                </c:pt>
                <c:pt idx="4">
                  <c:v>2501.8902256007914</c:v>
                </c:pt>
                <c:pt idx="5">
                  <c:v>2540.4858170478519</c:v>
                </c:pt>
                <c:pt idx="6">
                  <c:v>2575.9124399440966</c:v>
                </c:pt>
                <c:pt idx="7">
                  <c:v>2608.6856070830509</c:v>
                </c:pt>
                <c:pt idx="8">
                  <c:v>2639.202089580916</c:v>
                </c:pt>
                <c:pt idx="9">
                  <c:v>2667.7741090432664</c:v>
                </c:pt>
                <c:pt idx="10">
                  <c:v>2694.6519863757471</c:v>
                </c:pt>
                <c:pt idx="11">
                  <c:v>2720.0396432133975</c:v>
                </c:pt>
                <c:pt idx="12">
                  <c:v>2744.1055109766912</c:v>
                </c:pt>
                <c:pt idx="13">
                  <c:v>2766.9903944296484</c:v>
                </c:pt>
                <c:pt idx="14">
                  <c:v>2788.8132596035748</c:v>
                </c:pt>
                <c:pt idx="15">
                  <c:v>2809.6755729033375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83A1-47D9-BBC0-483468B4683B}"/>
            </c:ext>
          </c:extLst>
        </c:ser>
        <c:ser>
          <c:idx val="8"/>
          <c:order val="7"/>
          <c:tx>
            <c:v>0.93</c:v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'Task2A)values_PHI_dependent'!$Q$49:$Q$64</c:f>
              <c:numCache>
                <c:formatCode>General</c:formatCode>
                <c:ptCount val="16"/>
                <c:pt idx="0">
                  <c:v>2281.1875404276766</c:v>
                </c:pt>
                <c:pt idx="1">
                  <c:v>2342.4264224730268</c:v>
                </c:pt>
                <c:pt idx="2">
                  <c:v>2395.4839729421788</c:v>
                </c:pt>
                <c:pt idx="3">
                  <c:v>2442.414951474957</c:v>
                </c:pt>
                <c:pt idx="4">
                  <c:v>2484.5736078900086</c:v>
                </c:pt>
                <c:pt idx="5">
                  <c:v>2522.9020632750739</c:v>
                </c:pt>
                <c:pt idx="6">
                  <c:v>2558.0834838522073</c:v>
                </c:pt>
                <c:pt idx="7">
                  <c:v>2590.6298143375348</c:v>
                </c:pt>
                <c:pt idx="8">
                  <c:v>2620.9350796301501</c:v>
                </c:pt>
                <c:pt idx="9">
                  <c:v>2649.3093403206763</c:v>
                </c:pt>
                <c:pt idx="10">
                  <c:v>2676.0011847401693</c:v>
                </c:pt>
                <c:pt idx="11">
                  <c:v>2701.2131230976356</c:v>
                </c:pt>
                <c:pt idx="12">
                  <c:v>2725.112421029979</c:v>
                </c:pt>
                <c:pt idx="13">
                  <c:v>2747.8389087331725</c:v>
                </c:pt>
                <c:pt idx="14">
                  <c:v>2769.5107288253826</c:v>
                </c:pt>
                <c:pt idx="15">
                  <c:v>2790.2286454204946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83A1-47D9-BBC0-483468B4683B}"/>
            </c:ext>
          </c:extLst>
        </c:ser>
        <c:ser>
          <c:idx val="9"/>
          <c:order val="8"/>
          <c:tx>
            <c:v>0.92</c:v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'Task2A)values_PHI_dependent'!$S$49:$S$64</c:f>
              <c:numCache>
                <c:formatCode>General</c:formatCode>
                <c:ptCount val="16"/>
                <c:pt idx="0">
                  <c:v>2265.2085130137571</c:v>
                </c:pt>
                <c:pt idx="1">
                  <c:v>2326.0184352486322</c:v>
                </c:pt>
                <c:pt idx="2">
                  <c:v>2378.7043336556731</c:v>
                </c:pt>
                <c:pt idx="3">
                  <c:v>2425.3065749061161</c:v>
                </c:pt>
                <c:pt idx="4">
                  <c:v>2467.1699227090298</c:v>
                </c:pt>
                <c:pt idx="5">
                  <c:v>2505.2298988794419</c:v>
                </c:pt>
                <c:pt idx="6">
                  <c:v>2540.1648842670525</c:v>
                </c:pt>
                <c:pt idx="7">
                  <c:v>2572.4832375703945</c:v>
                </c:pt>
                <c:pt idx="8">
                  <c:v>2602.5762236635514</c:v>
                </c:pt>
                <c:pt idx="9">
                  <c:v>2630.7517312566715</c:v>
                </c:pt>
                <c:pt idx="10">
                  <c:v>2657.2566073948865</c:v>
                </c:pt>
                <c:pt idx="11">
                  <c:v>2682.2919437645583</c:v>
                </c:pt>
                <c:pt idx="12">
                  <c:v>2706.0238343574933</c:v>
                </c:pt>
                <c:pt idx="13">
                  <c:v>2728.5911299015174</c:v>
                </c:pt>
                <c:pt idx="14">
                  <c:v>2750.1111454615593</c:v>
                </c:pt>
                <c:pt idx="15">
                  <c:v>2770.6839393294226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83A1-47D9-BBC0-483468B4683B}"/>
            </c:ext>
          </c:extLst>
        </c:ser>
        <c:ser>
          <c:idx val="10"/>
          <c:order val="9"/>
          <c:tx>
            <c:v>0.91</c:v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'Task2A)values_PHI_dependent'!$U$49:$U$64</c:f>
              <c:numCache>
                <c:formatCode>General</c:formatCode>
                <c:ptCount val="16"/>
                <c:pt idx="0">
                  <c:v>2249.1475393407277</c:v>
                </c:pt>
                <c:pt idx="1">
                  <c:v>2309.5263019033418</c:v>
                </c:pt>
                <c:pt idx="2">
                  <c:v>2361.8386422814447</c:v>
                </c:pt>
                <c:pt idx="3">
                  <c:v>2408.1104603653102</c:v>
                </c:pt>
                <c:pt idx="4">
                  <c:v>2449.6769851062122</c:v>
                </c:pt>
                <c:pt idx="5">
                  <c:v>2487.4671052029971</c:v>
                </c:pt>
                <c:pt idx="6">
                  <c:v>2522.1543915918824</c:v>
                </c:pt>
                <c:pt idx="7">
                  <c:v>2554.2435985634061</c:v>
                </c:pt>
                <c:pt idx="8">
                  <c:v>2584.1232168122306</c:v>
                </c:pt>
                <c:pt idx="9">
                  <c:v>2612.0989520298376</c:v>
                </c:pt>
                <c:pt idx="10">
                  <c:v>2638.4159010454864</c:v>
                </c:pt>
                <c:pt idx="11">
                  <c:v>2663.2737297481954</c:v>
                </c:pt>
                <c:pt idx="12">
                  <c:v>2686.8373544760525</c:v>
                </c:pt>
                <c:pt idx="13">
                  <c:v>2709.2446414656665</c:v>
                </c:pt>
                <c:pt idx="14">
                  <c:v>2730.6120739847356</c:v>
                </c:pt>
                <c:pt idx="15">
                  <c:v>2751.0390008832696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83A1-47D9-BBC0-483468B4683B}"/>
            </c:ext>
          </c:extLst>
        </c:ser>
        <c:ser>
          <c:idx val="11"/>
          <c:order val="10"/>
          <c:tx>
            <c:v>0.9</c:v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'Task2A)values_PHI_dependent'!$W$49:$W$64</c:f>
              <c:numCache>
                <c:formatCode>General</c:formatCode>
                <c:ptCount val="16"/>
                <c:pt idx="0">
                  <c:v>2233.002606461238</c:v>
                </c:pt>
                <c:pt idx="1">
                  <c:v>2292.9479554518794</c:v>
                </c:pt>
                <c:pt idx="2">
                  <c:v>2344.8847850155953</c:v>
                </c:pt>
                <c:pt idx="3">
                  <c:v>2390.8244526361814</c:v>
                </c:pt>
                <c:pt idx="4">
                  <c:v>2432.0926026638922</c:v>
                </c:pt>
                <c:pt idx="5">
                  <c:v>2469.6114560065853</c:v>
                </c:pt>
                <c:pt idx="6">
                  <c:v>2504.0497485430333</c:v>
                </c:pt>
                <c:pt idx="7">
                  <c:v>2535.9086113136323</c:v>
                </c:pt>
                <c:pt idx="8">
                  <c:v>2565.5737463315199</c:v>
                </c:pt>
                <c:pt idx="9">
                  <c:v>2593.3486648577173</c:v>
                </c:pt>
                <c:pt idx="10">
                  <c:v>2619.4767043563074</c:v>
                </c:pt>
                <c:pt idx="11">
                  <c:v>2644.1560974655681</c:v>
                </c:pt>
                <c:pt idx="12">
                  <c:v>2667.5505767136492</c:v>
                </c:pt>
                <c:pt idx="13">
                  <c:v>2689.7970186994871</c:v>
                </c:pt>
                <c:pt idx="14">
                  <c:v>2711.0110705453039</c:v>
                </c:pt>
                <c:pt idx="15">
                  <c:v>2731.2913679506887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B-83A1-47D9-BBC0-483468B4683B}"/>
            </c:ext>
          </c:extLst>
        </c:ser>
        <c:ser>
          <c:idx val="12"/>
          <c:order val="11"/>
          <c:tx>
            <c:v>0.85</c:v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'Task2A)values_PHI_dependent'!$Y$49:$Y$64</c:f>
              <c:numCache>
                <c:formatCode>General</c:formatCode>
                <c:ptCount val="16"/>
                <c:pt idx="0">
                  <c:v>2150.9480914715368</c:v>
                </c:pt>
                <c:pt idx="1">
                  <c:v>2208.6906725285075</c:v>
                </c:pt>
                <c:pt idx="2">
                  <c:v>2258.7190173696254</c:v>
                </c:pt>
                <c:pt idx="3">
                  <c:v>2302.9705735950488</c:v>
                </c:pt>
                <c:pt idx="4">
                  <c:v>2342.7222730708222</c:v>
                </c:pt>
                <c:pt idx="5">
                  <c:v>2378.8624485270243</c:v>
                </c:pt>
                <c:pt idx="6">
                  <c:v>2412.0352622937767</c:v>
                </c:pt>
                <c:pt idx="7">
                  <c:v>2442.7234307153403</c:v>
                </c:pt>
                <c:pt idx="8">
                  <c:v>2471.2984826948323</c:v>
                </c:pt>
                <c:pt idx="9">
                  <c:v>2498.0527765867587</c:v>
                </c:pt>
                <c:pt idx="10">
                  <c:v>2523.220708111231</c:v>
                </c:pt>
                <c:pt idx="11">
                  <c:v>2546.9932255966296</c:v>
                </c:pt>
                <c:pt idx="12">
                  <c:v>2569.5280450115411</c:v>
                </c:pt>
                <c:pt idx="13">
                  <c:v>2590.9570132505446</c:v>
                </c:pt>
                <c:pt idx="14">
                  <c:v>2611.3915278355726</c:v>
                </c:pt>
                <c:pt idx="15">
                  <c:v>2630.9265999722402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83A1-47D9-BBC0-483468B4683B}"/>
            </c:ext>
          </c:extLst>
        </c:ser>
        <c:ser>
          <c:idx val="13"/>
          <c:order val="12"/>
          <c:tx>
            <c:v>0.8</c:v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'Task2A)values_PHI_dependent'!$O$69:$O$84</c:f>
              <c:numCache>
                <c:formatCode>General</c:formatCode>
                <c:ptCount val="16"/>
                <c:pt idx="0">
                  <c:v>2066.4956911737395</c:v>
                </c:pt>
                <c:pt idx="1">
                  <c:v>2121.9711326428296</c:v>
                </c:pt>
                <c:pt idx="2">
                  <c:v>2170.0352209677112</c:v>
                </c:pt>
                <c:pt idx="3">
                  <c:v>2212.5493339907775</c:v>
                </c:pt>
                <c:pt idx="4">
                  <c:v>2250.7402675652456</c:v>
                </c:pt>
                <c:pt idx="5">
                  <c:v>2285.4614759266296</c:v>
                </c:pt>
                <c:pt idx="6">
                  <c:v>2317.3318297417254</c:v>
                </c:pt>
                <c:pt idx="7">
                  <c:v>2346.8150925245991</c:v>
                </c:pt>
                <c:pt idx="8">
                  <c:v>2374.268205886478</c:v>
                </c:pt>
                <c:pt idx="9">
                  <c:v>2399.9720493531222</c:v>
                </c:pt>
                <c:pt idx="10">
                  <c:v>2424.1518155954104</c:v>
                </c:pt>
                <c:pt idx="11">
                  <c:v>2446.9909557618844</c:v>
                </c:pt>
                <c:pt idx="12">
                  <c:v>2468.6409934391922</c:v>
                </c:pt>
                <c:pt idx="13">
                  <c:v>2489.228598834125</c:v>
                </c:pt>
                <c:pt idx="14">
                  <c:v>2508.8607956819337</c:v>
                </c:pt>
                <c:pt idx="15">
                  <c:v>2527.6288647753977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83A1-47D9-BBC0-483468B4683B}"/>
            </c:ext>
          </c:extLst>
        </c:ser>
        <c:ser>
          <c:idx val="14"/>
          <c:order val="13"/>
          <c:tx>
            <c:v>0.75</c:v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'Task2A)values_PHI_dependent'!$Q$69:$Q$84</c:f>
              <c:numCache>
                <c:formatCode>General</c:formatCode>
                <c:ptCount val="16"/>
                <c:pt idx="0">
                  <c:v>1979.4126722136195</c:v>
                </c:pt>
                <c:pt idx="1">
                  <c:v>2032.5503546726584</c:v>
                </c:pt>
                <c:pt idx="2">
                  <c:v>2078.5890016028284</c:v>
                </c:pt>
                <c:pt idx="3">
                  <c:v>2119.3115515821037</c:v>
                </c:pt>
                <c:pt idx="4">
                  <c:v>2155.8931027577723</c:v>
                </c:pt>
                <c:pt idx="5">
                  <c:v>2189.1511444360772</c:v>
                </c:pt>
                <c:pt idx="6">
                  <c:v>2219.678467807219</c:v>
                </c:pt>
                <c:pt idx="7">
                  <c:v>2247.9192931909279</c:v>
                </c:pt>
                <c:pt idx="8">
                  <c:v>2274.2155205251138</c:v>
                </c:pt>
                <c:pt idx="9">
                  <c:v>2298.8361929512794</c:v>
                </c:pt>
                <c:pt idx="10">
                  <c:v>2321.997013424108</c:v>
                </c:pt>
                <c:pt idx="11">
                  <c:v>2343.8737023816857</c:v>
                </c:pt>
                <c:pt idx="12">
                  <c:v>2364.6113981414214</c:v>
                </c:pt>
                <c:pt idx="13">
                  <c:v>2384.3314329730051</c:v>
                </c:pt>
                <c:pt idx="14">
                  <c:v>2403.1363205853636</c:v>
                </c:pt>
                <c:pt idx="15">
                  <c:v>2421.1134951593317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83A1-47D9-BBC0-483468B4683B}"/>
            </c:ext>
          </c:extLst>
        </c:ser>
        <c:ser>
          <c:idx val="15"/>
          <c:order val="14"/>
          <c:tx>
            <c:v>0.7</c:v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'Task2A)values_PHI_dependent'!$S$69:$S$84</c:f>
              <c:numCache>
                <c:formatCode>General</c:formatCode>
                <c:ptCount val="16"/>
                <c:pt idx="0">
                  <c:v>1889.5020801843798</c:v>
                </c:pt>
                <c:pt idx="1">
                  <c:v>1940.2260969353927</c:v>
                </c:pt>
                <c:pt idx="2">
                  <c:v>1984.1735366808136</c:v>
                </c:pt>
                <c:pt idx="3">
                  <c:v>2023.0463518225918</c:v>
                </c:pt>
                <c:pt idx="4">
                  <c:v>2057.9662641850291</c:v>
                </c:pt>
                <c:pt idx="5">
                  <c:v>2089.713630369029</c:v>
                </c:pt>
                <c:pt idx="6">
                  <c:v>2118.8543152913535</c:v>
                </c:pt>
                <c:pt idx="7">
                  <c:v>2145.8123615126938</c:v>
                </c:pt>
                <c:pt idx="8">
                  <c:v>2170.9141388966791</c:v>
                </c:pt>
                <c:pt idx="9">
                  <c:v>2194.4164698748641</c:v>
                </c:pt>
                <c:pt idx="10">
                  <c:v>2216.5252595560205</c:v>
                </c:pt>
                <c:pt idx="11">
                  <c:v>2237.4082466527243</c:v>
                </c:pt>
                <c:pt idx="12">
                  <c:v>2257.2039768843747</c:v>
                </c:pt>
                <c:pt idx="13">
                  <c:v>2276.0282712615121</c:v>
                </c:pt>
                <c:pt idx="14">
                  <c:v>2293.9789870268346</c:v>
                </c:pt>
                <c:pt idx="15">
                  <c:v>2311.1395868502982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83A1-47D9-BBC0-483468B4683B}"/>
            </c:ext>
          </c:extLst>
        </c:ser>
        <c:ser>
          <c:idx val="16"/>
          <c:order val="15"/>
          <c:tx>
            <c:v>0.65</c:v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'Task2A)values_PHI_dependent'!$U$69:$U$84</c:f>
              <c:numCache>
                <c:formatCode>General</c:formatCode>
                <c:ptCount val="16"/>
                <c:pt idx="0">
                  <c:v>1796.6279576678323</c:v>
                </c:pt>
                <c:pt idx="1">
                  <c:v>1844.8587522119635</c:v>
                </c:pt>
                <c:pt idx="2">
                  <c:v>1886.6460567842034</c:v>
                </c:pt>
                <c:pt idx="3">
                  <c:v>1923.6081682364211</c:v>
                </c:pt>
                <c:pt idx="4">
                  <c:v>1956.8116727403924</c:v>
                </c:pt>
                <c:pt idx="5">
                  <c:v>1986.9985702657589</c:v>
                </c:pt>
                <c:pt idx="6">
                  <c:v>2014.706911942699</c:v>
                </c:pt>
                <c:pt idx="7">
                  <c:v>2040.3398974965626</c:v>
                </c:pt>
                <c:pt idx="8">
                  <c:v>2064.2078548320851</c:v>
                </c:pt>
                <c:pt idx="9">
                  <c:v>2086.5549828657572</c:v>
                </c:pt>
                <c:pt idx="10">
                  <c:v>2107.5770659150057</c:v>
                </c:pt>
                <c:pt idx="11">
                  <c:v>2127.4335978823556</c:v>
                </c:pt>
                <c:pt idx="12">
                  <c:v>2146.2563145914914</c:v>
                </c:pt>
                <c:pt idx="13">
                  <c:v>2164.1553441379601</c:v>
                </c:pt>
                <c:pt idx="14">
                  <c:v>2181.2237338170971</c:v>
                </c:pt>
                <c:pt idx="15">
                  <c:v>2197.540843883563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83A1-47D9-BBC0-483468B4683B}"/>
            </c:ext>
          </c:extLst>
        </c:ser>
        <c:ser>
          <c:idx val="17"/>
          <c:order val="16"/>
          <c:tx>
            <c:v>0.6</c:v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'Task2A)values_PHI_dependent'!$W$69:$W$84</c:f>
              <c:numCache>
                <c:formatCode>General</c:formatCode>
                <c:ptCount val="16"/>
                <c:pt idx="0">
                  <c:v>1700.74283753246</c:v>
                </c:pt>
                <c:pt idx="1">
                  <c:v>1746.3995791073323</c:v>
                </c:pt>
                <c:pt idx="2">
                  <c:v>1785.9567164922355</c:v>
                </c:pt>
                <c:pt idx="3">
                  <c:v>1820.9461788593007</c:v>
                </c:pt>
                <c:pt idx="4">
                  <c:v>1852.3776292189009</c:v>
                </c:pt>
                <c:pt idx="5">
                  <c:v>1880.9534673797614</c:v>
                </c:pt>
                <c:pt idx="6">
                  <c:v>1907.1830289569562</c:v>
                </c:pt>
                <c:pt idx="7">
                  <c:v>1931.4479951116055</c:v>
                </c:pt>
                <c:pt idx="8">
                  <c:v>1954.0421317060363</c:v>
                </c:pt>
                <c:pt idx="9">
                  <c:v>1975.196604884793</c:v>
                </c:pt>
                <c:pt idx="10">
                  <c:v>1995.0967500558791</c:v>
                </c:pt>
                <c:pt idx="11">
                  <c:v>2013.8935490133781</c:v>
                </c:pt>
                <c:pt idx="12">
                  <c:v>2031.7117069070805</c:v>
                </c:pt>
                <c:pt idx="13">
                  <c:v>2048.6554743520969</c:v>
                </c:pt>
                <c:pt idx="14">
                  <c:v>2064.8129327569454</c:v>
                </c:pt>
                <c:pt idx="15">
                  <c:v>2080.2592069598659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83A1-47D9-BBC0-483468B468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8461936"/>
        <c:axId val="908461608"/>
      </c:lineChart>
      <c:catAx>
        <c:axId val="90846193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DEGREES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8461608"/>
        <c:crosses val="autoZero"/>
        <c:auto val="1"/>
        <c:lblAlgn val="ctr"/>
        <c:lblOffset val="100"/>
        <c:noMultiLvlLbl val="0"/>
      </c:catAx>
      <c:valAx>
        <c:axId val="908461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 [K]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8461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EGR% AND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07277947345681E-2"/>
          <c:y val="0.11616045646713652"/>
          <c:w val="0.87944697849653497"/>
          <c:h val="0.7660475793689716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'EGR EFFECT'!$O$41:$O$45</c:f>
              <c:strCache>
                <c:ptCount val="5"/>
                <c:pt idx="0">
                  <c:v>0% EGR</c:v>
                </c:pt>
                <c:pt idx="1">
                  <c:v>5% EGR</c:v>
                </c:pt>
                <c:pt idx="2">
                  <c:v>10% EGR</c:v>
                </c:pt>
                <c:pt idx="3">
                  <c:v>15% EGR</c:v>
                </c:pt>
                <c:pt idx="4">
                  <c:v>20% EGR</c:v>
                </c:pt>
              </c:strCache>
            </c:strRef>
          </c:cat>
          <c:val>
            <c:numRef>
              <c:f>'EGR EFFECT'!$R$41:$R$45</c:f>
              <c:numCache>
                <c:formatCode>General</c:formatCode>
                <c:ptCount val="5"/>
                <c:pt idx="0">
                  <c:v>23666.996343511593</c:v>
                </c:pt>
                <c:pt idx="1">
                  <c:v>9575.2829504753845</c:v>
                </c:pt>
                <c:pt idx="2">
                  <c:v>3660.2769671862575</c:v>
                </c:pt>
                <c:pt idx="3">
                  <c:v>1419.1105668535665</c:v>
                </c:pt>
                <c:pt idx="4">
                  <c:v>557.13901444758756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47-4D6D-A093-2DF976B7DD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4468952"/>
        <c:axId val="942641920"/>
      </c:barChart>
      <c:catAx>
        <c:axId val="784468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641920"/>
        <c:crosses val="autoZero"/>
        <c:auto val="1"/>
        <c:lblAlgn val="ctr"/>
        <c:lblOffset val="100"/>
        <c:noMultiLvlLbl val="0"/>
      </c:catAx>
      <c:valAx>
        <c:axId val="94264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4468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EGR% AND PPM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'EGR EFFECT'!$O$41:$O$45</c:f>
              <c:strCache>
                <c:ptCount val="5"/>
                <c:pt idx="0">
                  <c:v>0% EGR</c:v>
                </c:pt>
                <c:pt idx="1">
                  <c:v>5% EGR</c:v>
                </c:pt>
                <c:pt idx="2">
                  <c:v>10% EGR</c:v>
                </c:pt>
                <c:pt idx="3">
                  <c:v>15% EGR</c:v>
                </c:pt>
                <c:pt idx="4">
                  <c:v>20% EGR</c:v>
                </c:pt>
              </c:strCache>
            </c:strRef>
          </c:cat>
          <c:val>
            <c:numRef>
              <c:f>'EGR EFFECT'!$R$41:$R$45</c:f>
              <c:numCache>
                <c:formatCode>General</c:formatCode>
                <c:ptCount val="5"/>
                <c:pt idx="0">
                  <c:v>23666.996343511593</c:v>
                </c:pt>
                <c:pt idx="1">
                  <c:v>9575.2829504753845</c:v>
                </c:pt>
                <c:pt idx="2">
                  <c:v>3660.2769671862575</c:v>
                </c:pt>
                <c:pt idx="3">
                  <c:v>1419.1105668535665</c:v>
                </c:pt>
                <c:pt idx="4">
                  <c:v>557.13901444758756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7F8-4DD6-B606-95338C81CE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84468952"/>
        <c:axId val="942641920"/>
      </c:lineChart>
      <c:catAx>
        <c:axId val="784468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2641920"/>
        <c:crosses val="autoZero"/>
        <c:auto val="1"/>
        <c:lblAlgn val="ctr"/>
        <c:lblOffset val="100"/>
        <c:noMultiLvlLbl val="0"/>
      </c:catAx>
      <c:valAx>
        <c:axId val="942641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4468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INITIAL</a:t>
            </a:r>
            <a:r>
              <a:rPr lang="en-GB" baseline="0"/>
              <a:t> FLAME TEMPERATURES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'EGR EFFECT'!$R$9:$R$15</c:f>
              <c:numCache>
                <c:formatCode>General</c:formatCode>
                <c:ptCount val="7"/>
                <c:pt idx="0">
                  <c:v>2258.0507382385413</c:v>
                </c:pt>
                <c:pt idx="2">
                  <c:v>2179.0169979337697</c:v>
                </c:pt>
                <c:pt idx="4">
                  <c:v>2106.2129091782363</c:v>
                </c:pt>
                <c:pt idx="6">
                  <c:v>2038.8455277181558</c:v>
                </c:pt>
              </c:numCache>
            </c:numRef>
          </c:xVal>
          <c:yVal>
            <c:numRef>
              <c:f>'EGR EFFECT'!$U$9:$U$15</c:f>
              <c:numCache>
                <c:formatCode>General</c:formatCode>
                <c:ptCount val="7"/>
                <c:pt idx="0">
                  <c:v>5</c:v>
                </c:pt>
                <c:pt idx="2">
                  <c:v>10</c:v>
                </c:pt>
                <c:pt idx="4">
                  <c:v>15</c:v>
                </c:pt>
                <c:pt idx="6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289-43FE-879F-FE9AAF8DEA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028800"/>
        <c:axId val="891029784"/>
      </c:scatterChart>
      <c:valAx>
        <c:axId val="891028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029784"/>
        <c:crosses val="autoZero"/>
        <c:crossBetween val="midCat"/>
      </c:valAx>
      <c:valAx>
        <c:axId val="891029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028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NOX % DROP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'EGR EFFECT'!$O$41:$O$45</c:f>
              <c:strCache>
                <c:ptCount val="5"/>
                <c:pt idx="0">
                  <c:v>0% EGR</c:v>
                </c:pt>
                <c:pt idx="1">
                  <c:v>5% EGR</c:v>
                </c:pt>
                <c:pt idx="2">
                  <c:v>10% EGR</c:v>
                </c:pt>
                <c:pt idx="3">
                  <c:v>15% EGR</c:v>
                </c:pt>
                <c:pt idx="4">
                  <c:v>20% EGR</c:v>
                </c:pt>
              </c:strCache>
            </c:strRef>
          </c:cat>
          <c:val>
            <c:numRef>
              <c:f>'EGR EFFECT'!$S$41:$S$45</c:f>
              <c:numCache>
                <c:formatCode>General</c:formatCode>
                <c:ptCount val="5"/>
                <c:pt idx="0">
                  <c:v>0</c:v>
                </c:pt>
                <c:pt idx="1">
                  <c:v>59.541621541254472</c:v>
                </c:pt>
                <c:pt idx="2">
                  <c:v>84.534256421644571</c:v>
                </c:pt>
                <c:pt idx="3">
                  <c:v>94.003841694754726</c:v>
                </c:pt>
                <c:pt idx="4">
                  <c:v>97.645924280542133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5A-4D5E-96A1-5E17F6288163}"/>
            </c:ext>
          </c:extLst>
        </c:ser>
        <c:ser>
          <c:idx val="1"/>
          <c:order val="1"/>
          <c:tx>
            <c:v>EGR MAGNITUDE EFFECT TREND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'EGR EFFECT'!$O$41:$O$45</c:f>
              <c:strCache>
                <c:ptCount val="5"/>
                <c:pt idx="0">
                  <c:v>0% EGR</c:v>
                </c:pt>
                <c:pt idx="1">
                  <c:v>5% EGR</c:v>
                </c:pt>
                <c:pt idx="2">
                  <c:v>10% EGR</c:v>
                </c:pt>
                <c:pt idx="3">
                  <c:v>15% EGR</c:v>
                </c:pt>
                <c:pt idx="4">
                  <c:v>20% EGR</c:v>
                </c:pt>
              </c:strCache>
            </c:strRef>
          </c:cat>
          <c:val>
            <c:numRef>
              <c:f>'EGR EFFECT'!$T$41:$T$45</c:f>
              <c:numCache>
                <c:formatCode>General</c:formatCode>
                <c:ptCount val="5"/>
                <c:pt idx="0">
                  <c:v>0</c:v>
                </c:pt>
                <c:pt idx="1">
                  <c:v>59.541621541254472</c:v>
                </c:pt>
                <c:pt idx="2">
                  <c:v>24.992634880390099</c:v>
                </c:pt>
                <c:pt idx="3">
                  <c:v>9.4695852731101553</c:v>
                </c:pt>
                <c:pt idx="4">
                  <c:v>3.6420825857874064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D5A-4D5E-96A1-5E17F62881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50708984"/>
        <c:axId val="850713904"/>
      </c:barChart>
      <c:catAx>
        <c:axId val="850708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0713904"/>
        <c:crosses val="autoZero"/>
        <c:auto val="1"/>
        <c:lblAlgn val="ctr"/>
        <c:lblOffset val="100"/>
        <c:noMultiLvlLbl val="0"/>
      </c:catAx>
      <c:valAx>
        <c:axId val="850713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07089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H20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0"/>
          </c:trendline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0.11296629519407445"/>
                  <c:y val="-7.9469597550306206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6.6506859177E-19x</a:t>
                    </a:r>
                    <a:r>
                      <a:rPr lang="en-US" baseline="30000"/>
                      <a:t>6</a:t>
                    </a:r>
                    <a:r>
                      <a:rPr lang="en-US" baseline="0"/>
                      <a:t> - 7.8984343104E-15x</a:t>
                    </a:r>
                    <a:r>
                      <a:rPr lang="en-US" baseline="30000"/>
                      <a:t>5</a:t>
                    </a:r>
                    <a:r>
                      <a:rPr lang="en-US" baseline="0"/>
                      <a:t> + 3.6879849877E-11x</a:t>
                    </a:r>
                    <a:r>
                      <a:rPr lang="en-US" baseline="30000"/>
                      <a:t>4</a:t>
                    </a:r>
                    <a:r>
                      <a:rPr lang="en-US" baseline="0"/>
                      <a:t> - 8.6386228559E-08x</a:t>
                    </a:r>
                    <a:r>
                      <a:rPr lang="en-US" baseline="30000"/>
                      <a:t>3</a:t>
                    </a:r>
                    <a:r>
                      <a:rPr lang="en-US" baseline="0"/>
                      <a:t> + 1.1074017861E-04x</a:t>
                    </a:r>
                    <a:r>
                      <a:rPr lang="en-US" baseline="30000"/>
                      <a:t>2</a:t>
                    </a:r>
                    <a:r>
                      <a:rPr lang="en-US" baseline="0"/>
                      <a:t> - 3.1241611608E-02x + 3.3006694533E+00</a:t>
                    </a:r>
                    <a:endParaRPr lang="en-US"/>
                  </a:p>
                </c:rich>
              </c:tx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Ent_tables!$A$3:$A$70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Ent_tables!$C$3:$C$70</c:f>
              <c:numCache>
                <c:formatCode>General</c:formatCode>
                <c:ptCount val="68"/>
                <c:pt idx="0">
                  <c:v>3.23</c:v>
                </c:pt>
                <c:pt idx="1">
                  <c:v>1.6</c:v>
                </c:pt>
                <c:pt idx="2">
                  <c:v>0</c:v>
                </c:pt>
                <c:pt idx="3">
                  <c:v>0.06</c:v>
                </c:pt>
                <c:pt idx="4">
                  <c:v>1.75</c:v>
                </c:pt>
                <c:pt idx="5">
                  <c:v>3.46</c:v>
                </c:pt>
                <c:pt idx="6">
                  <c:v>5.19</c:v>
                </c:pt>
                <c:pt idx="7">
                  <c:v>6.95</c:v>
                </c:pt>
                <c:pt idx="8">
                  <c:v>8.73</c:v>
                </c:pt>
                <c:pt idx="9">
                  <c:v>10.53</c:v>
                </c:pt>
                <c:pt idx="10">
                  <c:v>12.35</c:v>
                </c:pt>
                <c:pt idx="11">
                  <c:v>14.21</c:v>
                </c:pt>
                <c:pt idx="12">
                  <c:v>16.09</c:v>
                </c:pt>
                <c:pt idx="13">
                  <c:v>18</c:v>
                </c:pt>
                <c:pt idx="14">
                  <c:v>19.95</c:v>
                </c:pt>
                <c:pt idx="15">
                  <c:v>21.93</c:v>
                </c:pt>
                <c:pt idx="16">
                  <c:v>23.94</c:v>
                </c:pt>
                <c:pt idx="17">
                  <c:v>25.99</c:v>
                </c:pt>
                <c:pt idx="18">
                  <c:v>28.07</c:v>
                </c:pt>
                <c:pt idx="19">
                  <c:v>30.19</c:v>
                </c:pt>
                <c:pt idx="20">
                  <c:v>32.340000000000003</c:v>
                </c:pt>
                <c:pt idx="21">
                  <c:v>34.520000000000003</c:v>
                </c:pt>
                <c:pt idx="22">
                  <c:v>36.72</c:v>
                </c:pt>
                <c:pt idx="23">
                  <c:v>38.96</c:v>
                </c:pt>
                <c:pt idx="24">
                  <c:v>41.23</c:v>
                </c:pt>
                <c:pt idx="25">
                  <c:v>43.52</c:v>
                </c:pt>
                <c:pt idx="26">
                  <c:v>45.84</c:v>
                </c:pt>
                <c:pt idx="27">
                  <c:v>48.18</c:v>
                </c:pt>
                <c:pt idx="28">
                  <c:v>50.55</c:v>
                </c:pt>
                <c:pt idx="29">
                  <c:v>52.94</c:v>
                </c:pt>
                <c:pt idx="30">
                  <c:v>55.35</c:v>
                </c:pt>
                <c:pt idx="31">
                  <c:v>57.78</c:v>
                </c:pt>
                <c:pt idx="32">
                  <c:v>60.24</c:v>
                </c:pt>
                <c:pt idx="33">
                  <c:v>62.71</c:v>
                </c:pt>
                <c:pt idx="34">
                  <c:v>65.209999999999994</c:v>
                </c:pt>
                <c:pt idx="35">
                  <c:v>67.72</c:v>
                </c:pt>
                <c:pt idx="36">
                  <c:v>70.25</c:v>
                </c:pt>
                <c:pt idx="37">
                  <c:v>72.8</c:v>
                </c:pt>
                <c:pt idx="38">
                  <c:v>75.37</c:v>
                </c:pt>
                <c:pt idx="39">
                  <c:v>77.95</c:v>
                </c:pt>
                <c:pt idx="40">
                  <c:v>80.540000000000006</c:v>
                </c:pt>
                <c:pt idx="41">
                  <c:v>83.16</c:v>
                </c:pt>
                <c:pt idx="42">
                  <c:v>85.78</c:v>
                </c:pt>
                <c:pt idx="43">
                  <c:v>88.42</c:v>
                </c:pt>
                <c:pt idx="44">
                  <c:v>91.07</c:v>
                </c:pt>
                <c:pt idx="45">
                  <c:v>93.74</c:v>
                </c:pt>
                <c:pt idx="46">
                  <c:v>96.42</c:v>
                </c:pt>
                <c:pt idx="47">
                  <c:v>99.11</c:v>
                </c:pt>
                <c:pt idx="48">
                  <c:v>101.81</c:v>
                </c:pt>
                <c:pt idx="49">
                  <c:v>104.52</c:v>
                </c:pt>
                <c:pt idx="50">
                  <c:v>107.24</c:v>
                </c:pt>
                <c:pt idx="51">
                  <c:v>109.97</c:v>
                </c:pt>
                <c:pt idx="52">
                  <c:v>112.72</c:v>
                </c:pt>
                <c:pt idx="53">
                  <c:v>115.47</c:v>
                </c:pt>
                <c:pt idx="54">
                  <c:v>118.23</c:v>
                </c:pt>
                <c:pt idx="55">
                  <c:v>120.99</c:v>
                </c:pt>
                <c:pt idx="56">
                  <c:v>123.77</c:v>
                </c:pt>
                <c:pt idx="57">
                  <c:v>126.56</c:v>
                </c:pt>
                <c:pt idx="58">
                  <c:v>129.35</c:v>
                </c:pt>
                <c:pt idx="59">
                  <c:v>132.15</c:v>
                </c:pt>
                <c:pt idx="60">
                  <c:v>134.96</c:v>
                </c:pt>
                <c:pt idx="61">
                  <c:v>137.77000000000001</c:v>
                </c:pt>
                <c:pt idx="62">
                  <c:v>140.59</c:v>
                </c:pt>
                <c:pt idx="63">
                  <c:v>143.41999999999999</c:v>
                </c:pt>
                <c:pt idx="64">
                  <c:v>146.25</c:v>
                </c:pt>
                <c:pt idx="65">
                  <c:v>149.09</c:v>
                </c:pt>
                <c:pt idx="66">
                  <c:v>151.94</c:v>
                </c:pt>
                <c:pt idx="67">
                  <c:v>154.79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16A-4DD0-AE22-F7DB30C8C0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0832656"/>
        <c:axId val="810832984"/>
      </c:scatterChart>
      <c:valAx>
        <c:axId val="81083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832984"/>
        <c:crosses val="autoZero"/>
        <c:crossBetween val="midCat"/>
      </c:valAx>
      <c:valAx>
        <c:axId val="810832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Entalphy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0832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814774087742486"/>
          <c:y val="0.16708333333333336"/>
          <c:w val="0.84173663196454496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1"/>
            <c:dispEq val="1"/>
            <c:trendlineLbl>
              <c:layout>
                <c:manualLayout>
                  <c:x val="8.42842863557456E-2"/>
                  <c:y val="-7.9120370370370369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0.0000000000000000006x</a:t>
                    </a:r>
                    <a:r>
                      <a:rPr lang="en-US" baseline="30000"/>
                      <a:t>6</a:t>
                    </a:r>
                    <a:r>
                      <a:rPr lang="en-US" baseline="0"/>
                      <a:t> - 0.0000000000000071021x</a:t>
                    </a:r>
                    <a:r>
                      <a:rPr lang="en-US" baseline="30000"/>
                      <a:t>5</a:t>
                    </a:r>
                    <a:r>
                      <a:rPr lang="en-US" baseline="0"/>
                      <a:t> + 0.0000000000334608968x</a:t>
                    </a:r>
                    <a:r>
                      <a:rPr lang="en-US" baseline="30000"/>
                      <a:t>4</a:t>
                    </a:r>
                    <a:r>
                      <a:rPr lang="en-US" baseline="0"/>
                      <a:t> - 0.0000000789096016341x</a:t>
                    </a:r>
                    <a:r>
                      <a:rPr lang="en-US" baseline="30000"/>
                      <a:t>3</a:t>
                    </a:r>
                    <a:r>
                      <a:rPr lang="en-US" baseline="0"/>
                      <a:t> + 0.0000985997692115040x</a:t>
                    </a:r>
                    <a:r>
                      <a:rPr lang="en-US" baseline="30000"/>
                      <a:t>2</a:t>
                    </a:r>
                    <a:r>
                      <a:rPr lang="en-US" baseline="0"/>
                      <a:t> - 0.0281728991559610000x + 3.0537890799774100000</a:t>
                    </a:r>
                    <a:br>
                      <a:rPr lang="en-US" baseline="0"/>
                    </a:br>
                    <a:r>
                      <a:rPr lang="en-US" baseline="0"/>
                      <a:t>R² = 0.9998414857202560000</a:t>
                    </a:r>
                    <a:endParaRPr lang="en-US"/>
                  </a:p>
                </c:rich>
              </c:tx>
              <c:numFmt formatCode="#,##0.00000000000000000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Ent_tables!$H$3:$H$70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Ent_tables!$J$3:$J$70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1.51</c:v>
                </c:pt>
                <c:pt idx="5">
                  <c:v>2.97</c:v>
                </c:pt>
                <c:pt idx="6">
                  <c:v>4.4400000000000004</c:v>
                </c:pt>
                <c:pt idx="7">
                  <c:v>5.92</c:v>
                </c:pt>
                <c:pt idx="8">
                  <c:v>7.41</c:v>
                </c:pt>
                <c:pt idx="9">
                  <c:v>8.9</c:v>
                </c:pt>
                <c:pt idx="10">
                  <c:v>10.42</c:v>
                </c:pt>
                <c:pt idx="11">
                  <c:v>11.94</c:v>
                </c:pt>
                <c:pt idx="12">
                  <c:v>13.48</c:v>
                </c:pt>
                <c:pt idx="13">
                  <c:v>15.04</c:v>
                </c:pt>
                <c:pt idx="14">
                  <c:v>16.62</c:v>
                </c:pt>
                <c:pt idx="15">
                  <c:v>18.22</c:v>
                </c:pt>
                <c:pt idx="16">
                  <c:v>19.84</c:v>
                </c:pt>
                <c:pt idx="17">
                  <c:v>21.47</c:v>
                </c:pt>
                <c:pt idx="18">
                  <c:v>23.11</c:v>
                </c:pt>
                <c:pt idx="19">
                  <c:v>24.77</c:v>
                </c:pt>
                <c:pt idx="20">
                  <c:v>26.44</c:v>
                </c:pt>
                <c:pt idx="21">
                  <c:v>28.12</c:v>
                </c:pt>
                <c:pt idx="22">
                  <c:v>29.81</c:v>
                </c:pt>
                <c:pt idx="23">
                  <c:v>31.51</c:v>
                </c:pt>
                <c:pt idx="24">
                  <c:v>33.22</c:v>
                </c:pt>
                <c:pt idx="25">
                  <c:v>34.94</c:v>
                </c:pt>
                <c:pt idx="26">
                  <c:v>36.67</c:v>
                </c:pt>
                <c:pt idx="27">
                  <c:v>38.4</c:v>
                </c:pt>
                <c:pt idx="28">
                  <c:v>40.15</c:v>
                </c:pt>
                <c:pt idx="29">
                  <c:v>41.9</c:v>
                </c:pt>
                <c:pt idx="30">
                  <c:v>43.66</c:v>
                </c:pt>
                <c:pt idx="31">
                  <c:v>45.42</c:v>
                </c:pt>
                <c:pt idx="32">
                  <c:v>47.19</c:v>
                </c:pt>
                <c:pt idx="33">
                  <c:v>48.97</c:v>
                </c:pt>
                <c:pt idx="34">
                  <c:v>50.75</c:v>
                </c:pt>
                <c:pt idx="35">
                  <c:v>52.54</c:v>
                </c:pt>
                <c:pt idx="36">
                  <c:v>54.33</c:v>
                </c:pt>
                <c:pt idx="37">
                  <c:v>56.13</c:v>
                </c:pt>
                <c:pt idx="38">
                  <c:v>57.93</c:v>
                </c:pt>
                <c:pt idx="39">
                  <c:v>59.73</c:v>
                </c:pt>
                <c:pt idx="40">
                  <c:v>61.54</c:v>
                </c:pt>
                <c:pt idx="41">
                  <c:v>63.36</c:v>
                </c:pt>
                <c:pt idx="42">
                  <c:v>65.17</c:v>
                </c:pt>
                <c:pt idx="43">
                  <c:v>66.989999999999995</c:v>
                </c:pt>
                <c:pt idx="44">
                  <c:v>68.819999999999993</c:v>
                </c:pt>
                <c:pt idx="45">
                  <c:v>70.64</c:v>
                </c:pt>
                <c:pt idx="46">
                  <c:v>72.47</c:v>
                </c:pt>
                <c:pt idx="47">
                  <c:v>74.3</c:v>
                </c:pt>
                <c:pt idx="48">
                  <c:v>76.13</c:v>
                </c:pt>
                <c:pt idx="49">
                  <c:v>77.97</c:v>
                </c:pt>
                <c:pt idx="50">
                  <c:v>79.81</c:v>
                </c:pt>
                <c:pt idx="51">
                  <c:v>81.650000000000006</c:v>
                </c:pt>
                <c:pt idx="52">
                  <c:v>83.49</c:v>
                </c:pt>
                <c:pt idx="53">
                  <c:v>85.33</c:v>
                </c:pt>
                <c:pt idx="54">
                  <c:v>87.18</c:v>
                </c:pt>
                <c:pt idx="55">
                  <c:v>89.03</c:v>
                </c:pt>
                <c:pt idx="56">
                  <c:v>90.88</c:v>
                </c:pt>
                <c:pt idx="57">
                  <c:v>92.73</c:v>
                </c:pt>
                <c:pt idx="58">
                  <c:v>94.58</c:v>
                </c:pt>
                <c:pt idx="59">
                  <c:v>96.43</c:v>
                </c:pt>
                <c:pt idx="60">
                  <c:v>98.29</c:v>
                </c:pt>
                <c:pt idx="61">
                  <c:v>100.14</c:v>
                </c:pt>
                <c:pt idx="62">
                  <c:v>102</c:v>
                </c:pt>
                <c:pt idx="63">
                  <c:v>103.86</c:v>
                </c:pt>
                <c:pt idx="64">
                  <c:v>105.72</c:v>
                </c:pt>
                <c:pt idx="65">
                  <c:v>107.58</c:v>
                </c:pt>
                <c:pt idx="66">
                  <c:v>109.45</c:v>
                </c:pt>
                <c:pt idx="67">
                  <c:v>111.31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63-4067-AAE8-A8E5A00B43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2472616"/>
        <c:axId val="562472288"/>
      </c:scatterChart>
      <c:valAx>
        <c:axId val="5624726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</a:p>
            </c:rich>
          </c:tx>
          <c:layout>
            <c:manualLayout>
              <c:xMode val="edge"/>
              <c:yMode val="edge"/>
              <c:x val="0.60306124234470693"/>
              <c:y val="0.804606299212598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472288"/>
        <c:crosses val="autoZero"/>
        <c:crossBetween val="midCat"/>
      </c:valAx>
      <c:valAx>
        <c:axId val="562472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247261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trendline>
            <c:spPr>
              <a:ln w="19050" cap="rnd">
                <a:solidFill>
                  <a:schemeClr val="accent1">
                    <a:alpha val="97000"/>
                  </a:schemeClr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5.8084255717774778E-2"/>
                  <c:y val="-0.10241980169145523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6.4958291549E-19x</a:t>
                    </a:r>
                    <a:r>
                      <a:rPr lang="en-US" baseline="30000"/>
                      <a:t>6</a:t>
                    </a:r>
                    <a:r>
                      <a:rPr lang="en-US" baseline="0"/>
                      <a:t> - 7.8224528491E-15x</a:t>
                    </a:r>
                    <a:r>
                      <a:rPr lang="en-US" baseline="30000"/>
                      <a:t>5</a:t>
                    </a:r>
                    <a:r>
                      <a:rPr lang="en-US" baseline="0"/>
                      <a:t> + 3.7120417697E-11x</a:t>
                    </a:r>
                    <a:r>
                      <a:rPr lang="en-US" baseline="30000"/>
                      <a:t>4</a:t>
                    </a:r>
                    <a:r>
                      <a:rPr lang="en-US" baseline="0"/>
                      <a:t> - 8.7983176170E-08x</a:t>
                    </a:r>
                    <a:r>
                      <a:rPr lang="en-US" baseline="30000"/>
                      <a:t>3</a:t>
                    </a:r>
                    <a:r>
                      <a:rPr lang="en-US" baseline="0"/>
                      <a:t> + 1.0982327235E-04x</a:t>
                    </a:r>
                    <a:r>
                      <a:rPr lang="en-US" baseline="30000"/>
                      <a:t>2</a:t>
                    </a:r>
                    <a:r>
                      <a:rPr lang="en-US" baseline="0"/>
                      <a:t> - 3.2606444641E-02x + 3.5786489003E+00</a:t>
                    </a:r>
                    <a:endParaRPr lang="en-US"/>
                  </a:p>
                </c:rich>
              </c:tx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Ent_tables!$O$3:$O$70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Ent_tables!$Q$3:$Q$70</c:f>
              <c:numCache>
                <c:formatCode>General</c:formatCode>
                <c:ptCount val="68"/>
                <c:pt idx="0">
                  <c:v>2.84</c:v>
                </c:pt>
                <c:pt idx="1">
                  <c:v>1.4</c:v>
                </c:pt>
                <c:pt idx="2">
                  <c:v>0</c:v>
                </c:pt>
                <c:pt idx="3">
                  <c:v>0.05</c:v>
                </c:pt>
                <c:pt idx="4">
                  <c:v>1.53</c:v>
                </c:pt>
                <c:pt idx="5">
                  <c:v>3.03</c:v>
                </c:pt>
                <c:pt idx="6">
                  <c:v>4.55</c:v>
                </c:pt>
                <c:pt idx="7">
                  <c:v>6.1</c:v>
                </c:pt>
                <c:pt idx="8">
                  <c:v>7.66</c:v>
                </c:pt>
                <c:pt idx="9">
                  <c:v>9.25</c:v>
                </c:pt>
                <c:pt idx="10">
                  <c:v>10.87</c:v>
                </c:pt>
                <c:pt idx="11">
                  <c:v>12.5</c:v>
                </c:pt>
                <c:pt idx="12">
                  <c:v>14.16</c:v>
                </c:pt>
                <c:pt idx="13">
                  <c:v>15.84</c:v>
                </c:pt>
                <c:pt idx="14">
                  <c:v>17.53</c:v>
                </c:pt>
                <c:pt idx="15">
                  <c:v>19.25</c:v>
                </c:pt>
                <c:pt idx="16">
                  <c:v>20.98</c:v>
                </c:pt>
                <c:pt idx="17">
                  <c:v>22.72</c:v>
                </c:pt>
                <c:pt idx="18">
                  <c:v>24.47</c:v>
                </c:pt>
                <c:pt idx="19">
                  <c:v>26.23</c:v>
                </c:pt>
                <c:pt idx="20">
                  <c:v>28</c:v>
                </c:pt>
                <c:pt idx="21">
                  <c:v>29.77</c:v>
                </c:pt>
                <c:pt idx="22">
                  <c:v>31.56</c:v>
                </c:pt>
                <c:pt idx="23">
                  <c:v>33.35</c:v>
                </c:pt>
                <c:pt idx="24">
                  <c:v>35.15</c:v>
                </c:pt>
                <c:pt idx="25">
                  <c:v>36.950000000000003</c:v>
                </c:pt>
                <c:pt idx="26">
                  <c:v>38.770000000000003</c:v>
                </c:pt>
                <c:pt idx="27">
                  <c:v>40.590000000000003</c:v>
                </c:pt>
                <c:pt idx="28">
                  <c:v>42.42</c:v>
                </c:pt>
                <c:pt idx="29">
                  <c:v>44.25</c:v>
                </c:pt>
                <c:pt idx="30">
                  <c:v>46.09</c:v>
                </c:pt>
                <c:pt idx="31">
                  <c:v>47.94</c:v>
                </c:pt>
                <c:pt idx="32">
                  <c:v>49.8</c:v>
                </c:pt>
                <c:pt idx="33">
                  <c:v>51.66</c:v>
                </c:pt>
                <c:pt idx="34">
                  <c:v>53.53</c:v>
                </c:pt>
                <c:pt idx="35">
                  <c:v>55.4</c:v>
                </c:pt>
                <c:pt idx="36">
                  <c:v>57.28</c:v>
                </c:pt>
                <c:pt idx="37">
                  <c:v>59.17</c:v>
                </c:pt>
                <c:pt idx="38">
                  <c:v>61.06</c:v>
                </c:pt>
                <c:pt idx="39">
                  <c:v>62.96</c:v>
                </c:pt>
                <c:pt idx="40">
                  <c:v>64.86</c:v>
                </c:pt>
                <c:pt idx="41">
                  <c:v>66.77</c:v>
                </c:pt>
                <c:pt idx="42">
                  <c:v>68.69</c:v>
                </c:pt>
                <c:pt idx="43">
                  <c:v>70.61</c:v>
                </c:pt>
                <c:pt idx="44">
                  <c:v>72.53</c:v>
                </c:pt>
                <c:pt idx="45">
                  <c:v>74.459999999999994</c:v>
                </c:pt>
                <c:pt idx="46">
                  <c:v>76.400000000000006</c:v>
                </c:pt>
                <c:pt idx="47">
                  <c:v>78.34</c:v>
                </c:pt>
                <c:pt idx="48">
                  <c:v>80.290000000000006</c:v>
                </c:pt>
                <c:pt idx="49">
                  <c:v>82.24</c:v>
                </c:pt>
                <c:pt idx="50">
                  <c:v>84.2</c:v>
                </c:pt>
                <c:pt idx="51">
                  <c:v>86.16</c:v>
                </c:pt>
                <c:pt idx="52">
                  <c:v>88.13</c:v>
                </c:pt>
                <c:pt idx="53">
                  <c:v>90.1</c:v>
                </c:pt>
                <c:pt idx="54">
                  <c:v>92.07</c:v>
                </c:pt>
                <c:pt idx="55">
                  <c:v>94.06</c:v>
                </c:pt>
                <c:pt idx="56">
                  <c:v>96.04</c:v>
                </c:pt>
                <c:pt idx="57">
                  <c:v>98.03</c:v>
                </c:pt>
                <c:pt idx="58">
                  <c:v>100.03</c:v>
                </c:pt>
                <c:pt idx="59">
                  <c:v>102.02</c:v>
                </c:pt>
                <c:pt idx="60">
                  <c:v>104.03</c:v>
                </c:pt>
                <c:pt idx="61">
                  <c:v>106.03</c:v>
                </c:pt>
                <c:pt idx="62">
                  <c:v>108.05</c:v>
                </c:pt>
                <c:pt idx="63">
                  <c:v>110.06</c:v>
                </c:pt>
                <c:pt idx="64">
                  <c:v>112.08</c:v>
                </c:pt>
                <c:pt idx="65">
                  <c:v>114.11</c:v>
                </c:pt>
                <c:pt idx="66">
                  <c:v>116.13</c:v>
                </c:pt>
                <c:pt idx="67">
                  <c:v>118.17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0D5-466F-ACB9-CECC57EF5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5088608"/>
        <c:axId val="805085656"/>
      </c:scatterChart>
      <c:valAx>
        <c:axId val="805088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085656"/>
        <c:crosses val="autoZero"/>
        <c:crossBetween val="midCat"/>
      </c:valAx>
      <c:valAx>
        <c:axId val="805085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5088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CO2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6"/>
            <c:dispRSqr val="0"/>
            <c:dispEq val="1"/>
            <c:trendlineLbl>
              <c:layout>
                <c:manualLayout>
                  <c:x val="7.0193634945407674E-2"/>
                  <c:y val="-7.9120370370370369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900" b="0" i="0" u="none" strike="noStrike" kern="1200" baseline="0"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r>
                      <a:rPr lang="en-US" baseline="0"/>
                      <a:t>y = 8.5770134353E-19x</a:t>
                    </a:r>
                    <a:r>
                      <a:rPr lang="en-US" baseline="30000"/>
                      <a:t>6</a:t>
                    </a:r>
                    <a:r>
                      <a:rPr lang="en-US" baseline="0"/>
                      <a:t> - 1.0374875556E-14x</a:t>
                    </a:r>
                    <a:r>
                      <a:rPr lang="en-US" baseline="30000"/>
                      <a:t>5</a:t>
                    </a:r>
                    <a:r>
                      <a:rPr lang="en-US" baseline="0"/>
                      <a:t> + 4.9689475953E-11x</a:t>
                    </a:r>
                    <a:r>
                      <a:rPr lang="en-US" baseline="30000"/>
                      <a:t>4</a:t>
                    </a:r>
                    <a:r>
                      <a:rPr lang="en-US" baseline="0"/>
                      <a:t> - 1.2019118054E-07x</a:t>
                    </a:r>
                    <a:r>
                      <a:rPr lang="en-US" baseline="30000"/>
                      <a:t>3</a:t>
                    </a:r>
                    <a:r>
                      <a:rPr lang="en-US" baseline="0"/>
                      <a:t> + 1.5650954893E-04x</a:t>
                    </a:r>
                    <a:r>
                      <a:rPr lang="en-US" baseline="30000"/>
                      <a:t>2</a:t>
                    </a:r>
                    <a:r>
                      <a:rPr lang="en-US" baseline="0"/>
                      <a:t> - 4.8239362033E-02x + 5.2084519626E+00</a:t>
                    </a:r>
                    <a:endParaRPr lang="en-US"/>
                  </a:p>
                </c:rich>
              </c:tx>
              <c:numFmt formatCode="0.0000000000E+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Ent_tables!$V$3:$V$70</c:f>
              <c:numCache>
                <c:formatCode>General</c:formatCode>
                <c:ptCount val="68"/>
                <c:pt idx="0">
                  <c:v>200</c:v>
                </c:pt>
                <c:pt idx="1">
                  <c:v>250</c:v>
                </c:pt>
                <c:pt idx="2">
                  <c:v>298</c:v>
                </c:pt>
                <c:pt idx="3">
                  <c:v>300</c:v>
                </c:pt>
                <c:pt idx="4">
                  <c:v>350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550</c:v>
                </c:pt>
                <c:pt idx="9">
                  <c:v>600</c:v>
                </c:pt>
                <c:pt idx="10">
                  <c:v>650</c:v>
                </c:pt>
                <c:pt idx="11">
                  <c:v>700</c:v>
                </c:pt>
                <c:pt idx="12">
                  <c:v>750</c:v>
                </c:pt>
                <c:pt idx="13">
                  <c:v>800</c:v>
                </c:pt>
                <c:pt idx="14">
                  <c:v>850</c:v>
                </c:pt>
                <c:pt idx="15">
                  <c:v>900</c:v>
                </c:pt>
                <c:pt idx="16">
                  <c:v>950</c:v>
                </c:pt>
                <c:pt idx="17" formatCode="#,##0">
                  <c:v>1000</c:v>
                </c:pt>
                <c:pt idx="18" formatCode="#,##0">
                  <c:v>1050</c:v>
                </c:pt>
                <c:pt idx="19" formatCode="#,##0">
                  <c:v>1100</c:v>
                </c:pt>
                <c:pt idx="20" formatCode="#,##0">
                  <c:v>1150</c:v>
                </c:pt>
                <c:pt idx="21" formatCode="#,##0">
                  <c:v>1200</c:v>
                </c:pt>
                <c:pt idx="22" formatCode="#,##0">
                  <c:v>1250</c:v>
                </c:pt>
                <c:pt idx="23" formatCode="#,##0">
                  <c:v>1300</c:v>
                </c:pt>
                <c:pt idx="24" formatCode="#,##0">
                  <c:v>1350</c:v>
                </c:pt>
                <c:pt idx="25" formatCode="#,##0">
                  <c:v>1400</c:v>
                </c:pt>
                <c:pt idx="26" formatCode="#,##0">
                  <c:v>1450</c:v>
                </c:pt>
                <c:pt idx="27" formatCode="#,##0">
                  <c:v>1500</c:v>
                </c:pt>
                <c:pt idx="28" formatCode="#,##0">
                  <c:v>1550</c:v>
                </c:pt>
                <c:pt idx="29" formatCode="#,##0">
                  <c:v>1600</c:v>
                </c:pt>
                <c:pt idx="30" formatCode="#,##0">
                  <c:v>1650</c:v>
                </c:pt>
                <c:pt idx="31" formatCode="#,##0">
                  <c:v>1700</c:v>
                </c:pt>
                <c:pt idx="32" formatCode="#,##0">
                  <c:v>1750</c:v>
                </c:pt>
                <c:pt idx="33" formatCode="#,##0">
                  <c:v>1800</c:v>
                </c:pt>
                <c:pt idx="34" formatCode="#,##0">
                  <c:v>1850</c:v>
                </c:pt>
                <c:pt idx="35" formatCode="#,##0">
                  <c:v>1900</c:v>
                </c:pt>
                <c:pt idx="36" formatCode="#,##0">
                  <c:v>1950</c:v>
                </c:pt>
                <c:pt idx="37" formatCode="#,##0">
                  <c:v>2000</c:v>
                </c:pt>
                <c:pt idx="38" formatCode="#,##0">
                  <c:v>2050</c:v>
                </c:pt>
                <c:pt idx="39" formatCode="#,##0">
                  <c:v>2100</c:v>
                </c:pt>
                <c:pt idx="40" formatCode="#,##0">
                  <c:v>2150</c:v>
                </c:pt>
                <c:pt idx="41" formatCode="#,##0">
                  <c:v>2200</c:v>
                </c:pt>
                <c:pt idx="42" formatCode="#,##0">
                  <c:v>2250</c:v>
                </c:pt>
                <c:pt idx="43" formatCode="#,##0">
                  <c:v>2300</c:v>
                </c:pt>
                <c:pt idx="44" formatCode="#,##0">
                  <c:v>2350</c:v>
                </c:pt>
                <c:pt idx="45" formatCode="#,##0">
                  <c:v>2400</c:v>
                </c:pt>
                <c:pt idx="46" formatCode="#,##0">
                  <c:v>2450</c:v>
                </c:pt>
                <c:pt idx="47" formatCode="#,##0">
                  <c:v>2500</c:v>
                </c:pt>
                <c:pt idx="48" formatCode="#,##0">
                  <c:v>2550</c:v>
                </c:pt>
                <c:pt idx="49" formatCode="#,##0">
                  <c:v>2600</c:v>
                </c:pt>
                <c:pt idx="50" formatCode="#,##0">
                  <c:v>2650</c:v>
                </c:pt>
                <c:pt idx="51" formatCode="#,##0">
                  <c:v>2700</c:v>
                </c:pt>
                <c:pt idx="52" formatCode="#,##0">
                  <c:v>2750</c:v>
                </c:pt>
                <c:pt idx="53" formatCode="#,##0">
                  <c:v>2800</c:v>
                </c:pt>
                <c:pt idx="54" formatCode="#,##0">
                  <c:v>2850</c:v>
                </c:pt>
                <c:pt idx="55" formatCode="#,##0">
                  <c:v>2900</c:v>
                </c:pt>
                <c:pt idx="56" formatCode="#,##0">
                  <c:v>2950</c:v>
                </c:pt>
                <c:pt idx="57" formatCode="#,##0">
                  <c:v>3000</c:v>
                </c:pt>
                <c:pt idx="58" formatCode="#,##0">
                  <c:v>3050</c:v>
                </c:pt>
                <c:pt idx="59" formatCode="#,##0">
                  <c:v>3100</c:v>
                </c:pt>
                <c:pt idx="60" formatCode="#,##0">
                  <c:v>3150</c:v>
                </c:pt>
                <c:pt idx="61" formatCode="#,##0">
                  <c:v>3200</c:v>
                </c:pt>
                <c:pt idx="62" formatCode="#,##0">
                  <c:v>3250</c:v>
                </c:pt>
                <c:pt idx="63" formatCode="#,##0">
                  <c:v>3300</c:v>
                </c:pt>
                <c:pt idx="64" formatCode="#,##0">
                  <c:v>3350</c:v>
                </c:pt>
                <c:pt idx="65" formatCode="#,##0">
                  <c:v>3400</c:v>
                </c:pt>
                <c:pt idx="66" formatCode="#,##0">
                  <c:v>3450</c:v>
                </c:pt>
                <c:pt idx="67" formatCode="#,##0">
                  <c:v>3500</c:v>
                </c:pt>
              </c:numCache>
            </c:numRef>
          </c:xVal>
          <c:yVal>
            <c:numRef>
              <c:f>Ent_tables!$X$3:$X$70</c:f>
              <c:numCache>
                <c:formatCode>General</c:formatCode>
                <c:ptCount val="68"/>
                <c:pt idx="0">
                  <c:v>3.42</c:v>
                </c:pt>
                <c:pt idx="1">
                  <c:v>1.74</c:v>
                </c:pt>
                <c:pt idx="2">
                  <c:v>0</c:v>
                </c:pt>
                <c:pt idx="3">
                  <c:v>7.0000000000000007E-2</c:v>
                </c:pt>
                <c:pt idx="4">
                  <c:v>1.99</c:v>
                </c:pt>
                <c:pt idx="5">
                  <c:v>4</c:v>
                </c:pt>
                <c:pt idx="6">
                  <c:v>6.11</c:v>
                </c:pt>
                <c:pt idx="7">
                  <c:v>8.3000000000000007</c:v>
                </c:pt>
                <c:pt idx="8">
                  <c:v>10.56</c:v>
                </c:pt>
                <c:pt idx="9">
                  <c:v>12.9</c:v>
                </c:pt>
                <c:pt idx="10">
                  <c:v>15.29</c:v>
                </c:pt>
                <c:pt idx="11">
                  <c:v>17.75</c:v>
                </c:pt>
                <c:pt idx="12">
                  <c:v>20.25</c:v>
                </c:pt>
                <c:pt idx="13">
                  <c:v>22.81</c:v>
                </c:pt>
                <c:pt idx="14">
                  <c:v>25.41</c:v>
                </c:pt>
                <c:pt idx="15">
                  <c:v>28.05</c:v>
                </c:pt>
                <c:pt idx="16">
                  <c:v>30.72</c:v>
                </c:pt>
                <c:pt idx="17">
                  <c:v>33.42</c:v>
                </c:pt>
                <c:pt idx="18">
                  <c:v>36.15</c:v>
                </c:pt>
                <c:pt idx="19">
                  <c:v>38.909999999999997</c:v>
                </c:pt>
                <c:pt idx="20">
                  <c:v>41.69</c:v>
                </c:pt>
                <c:pt idx="21">
                  <c:v>44.49</c:v>
                </c:pt>
                <c:pt idx="22">
                  <c:v>47.31</c:v>
                </c:pt>
                <c:pt idx="23">
                  <c:v>50.15</c:v>
                </c:pt>
                <c:pt idx="24">
                  <c:v>53</c:v>
                </c:pt>
                <c:pt idx="25">
                  <c:v>55.88</c:v>
                </c:pt>
                <c:pt idx="26">
                  <c:v>58.77</c:v>
                </c:pt>
                <c:pt idx="27">
                  <c:v>61.68</c:v>
                </c:pt>
                <c:pt idx="28">
                  <c:v>64.599999999999994</c:v>
                </c:pt>
                <c:pt idx="29">
                  <c:v>67.540000000000006</c:v>
                </c:pt>
                <c:pt idx="30">
                  <c:v>70.48</c:v>
                </c:pt>
                <c:pt idx="31">
                  <c:v>73.44</c:v>
                </c:pt>
                <c:pt idx="32">
                  <c:v>76.41</c:v>
                </c:pt>
                <c:pt idx="33">
                  <c:v>79.400000000000006</c:v>
                </c:pt>
                <c:pt idx="34">
                  <c:v>82.39</c:v>
                </c:pt>
                <c:pt idx="35">
                  <c:v>85.39</c:v>
                </c:pt>
                <c:pt idx="36">
                  <c:v>88.4</c:v>
                </c:pt>
                <c:pt idx="37">
                  <c:v>91.42</c:v>
                </c:pt>
                <c:pt idx="38">
                  <c:v>94.44</c:v>
                </c:pt>
                <c:pt idx="39">
                  <c:v>97.47</c:v>
                </c:pt>
                <c:pt idx="40">
                  <c:v>100.51</c:v>
                </c:pt>
                <c:pt idx="41">
                  <c:v>103.56</c:v>
                </c:pt>
                <c:pt idx="42">
                  <c:v>106.61</c:v>
                </c:pt>
                <c:pt idx="43">
                  <c:v>109.66</c:v>
                </c:pt>
                <c:pt idx="44">
                  <c:v>112.73</c:v>
                </c:pt>
                <c:pt idx="45">
                  <c:v>115.79</c:v>
                </c:pt>
                <c:pt idx="46">
                  <c:v>118.86</c:v>
                </c:pt>
                <c:pt idx="47">
                  <c:v>121.94</c:v>
                </c:pt>
                <c:pt idx="48">
                  <c:v>125.02</c:v>
                </c:pt>
                <c:pt idx="49">
                  <c:v>128.1</c:v>
                </c:pt>
                <c:pt idx="50">
                  <c:v>131.19</c:v>
                </c:pt>
                <c:pt idx="51">
                  <c:v>134.28</c:v>
                </c:pt>
                <c:pt idx="52">
                  <c:v>137.37</c:v>
                </c:pt>
                <c:pt idx="53">
                  <c:v>140.47</c:v>
                </c:pt>
                <c:pt idx="54">
                  <c:v>143.57</c:v>
                </c:pt>
                <c:pt idx="55">
                  <c:v>146.66999999999999</c:v>
                </c:pt>
                <c:pt idx="56">
                  <c:v>149.78</c:v>
                </c:pt>
                <c:pt idx="57">
                  <c:v>152.88</c:v>
                </c:pt>
                <c:pt idx="58">
                  <c:v>155.99</c:v>
                </c:pt>
                <c:pt idx="59">
                  <c:v>159.11000000000001</c:v>
                </c:pt>
                <c:pt idx="60">
                  <c:v>162.22</c:v>
                </c:pt>
                <c:pt idx="61">
                  <c:v>165.34</c:v>
                </c:pt>
                <c:pt idx="62">
                  <c:v>168.46</c:v>
                </c:pt>
                <c:pt idx="63">
                  <c:v>171.59</c:v>
                </c:pt>
                <c:pt idx="64">
                  <c:v>174.72</c:v>
                </c:pt>
                <c:pt idx="65">
                  <c:v>177.84</c:v>
                </c:pt>
                <c:pt idx="66">
                  <c:v>180.98</c:v>
                </c:pt>
                <c:pt idx="67">
                  <c:v>184.11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3F-4D0A-9466-6993A8EFC6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7264048"/>
        <c:axId val="557258472"/>
      </c:scatterChart>
      <c:valAx>
        <c:axId val="55726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Temperature</a:t>
                </a:r>
                <a:r>
                  <a:rPr lang="en-GB" baseline="0"/>
                  <a:t> (K)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258472"/>
        <c:crosses val="autoZero"/>
        <c:crossBetween val="midCat"/>
      </c:valAx>
      <c:valAx>
        <c:axId val="557258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Enthalpy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72640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8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310604</xdr:colOff>
      <xdr:row>5</xdr:row>
      <xdr:rowOff>138696</xdr:rowOff>
    </xdr:from>
    <xdr:ext cx="3779520" cy="2858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31C1300-071C-4D06-9D5A-10B20C1226B8}"/>
                </a:ext>
              </a:extLst>
            </xdr:cNvPr>
            <xdr:cNvSpPr txBox="1"/>
          </xdr:nvSpPr>
          <xdr:spPr>
            <a:xfrm>
              <a:off x="5691257" y="1071757"/>
              <a:ext cx="377952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𝑐</m:t>
                      </m:r>
                    </m:e>
                    <m:sub>
                      <m:r>
                        <a:rPr lang="en-GB" sz="1100" i="1">
                          <a:latin typeface="Cambria Math" panose="02040503050406030204" pitchFamily="18" charset="0"/>
                        </a:rPr>
                        <m:t>𝑥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i="1">
                          <a:latin typeface="Cambria Math" panose="02040503050406030204" pitchFamily="18" charset="0"/>
                        </a:rPr>
                        <m:t>𝑦</m:t>
                      </m:r>
                    </m:sub>
                  </m:sSub>
                </m:oMath>
              </a14:m>
              <a:r>
                <a:rPr lang="en-GB" sz="1100"/>
                <a:t>+F(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+3,76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)−−→</m:t>
                  </m:r>
                  <m:r>
                    <a:rPr lang="en-GB" sz="1100" b="0" i="1">
                      <a:solidFill>
                        <a:srgbClr val="FF0000"/>
                      </a:solidFill>
                      <a:latin typeface="Cambria Math" panose="02040503050406030204" pitchFamily="18" charset="0"/>
                    </a:rPr>
                    <m:t>𝑛</m:t>
                  </m:r>
                  <m:r>
                    <a:rPr lang="en-GB" sz="1100" b="0" i="1">
                      <a:solidFill>
                        <a:srgbClr val="FF0000"/>
                      </a:solidFill>
                      <a:latin typeface="Cambria Math" panose="02040503050406030204" pitchFamily="18" charset="0"/>
                    </a:rPr>
                    <m:t>1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𝐶</m:t>
                  </m:r>
                  <m:sSub>
                    <m:sSubPr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i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</m:oMath>
              </a14:m>
              <a:r>
                <a:rPr lang="en-GB" sz="1100"/>
                <a:t>+</a:t>
              </a:r>
              <a:r>
                <a:rPr lang="en-GB" sz="1100">
                  <a:solidFill>
                    <a:srgbClr val="FF0000"/>
                  </a:solidFill>
                </a:rPr>
                <a:t>n2</a:t>
              </a:r>
              <a:r>
                <a:rPr lang="en-GB" sz="1100"/>
                <a:t>H2O+</a:t>
              </a:r>
              <a:r>
                <a:rPr lang="en-GB" sz="1100">
                  <a:solidFill>
                    <a:srgbClr val="FF0000"/>
                  </a:solidFill>
                </a:rPr>
                <a:t>n3</a:t>
              </a:r>
              <a:r>
                <a:rPr lang="en-GB" sz="1100"/>
                <a:t>N2</a:t>
              </a: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31C1300-071C-4D06-9D5A-10B20C1226B8}"/>
                </a:ext>
              </a:extLst>
            </xdr:cNvPr>
            <xdr:cNvSpPr txBox="1"/>
          </xdr:nvSpPr>
          <xdr:spPr>
            <a:xfrm>
              <a:off x="5691257" y="1071757"/>
              <a:ext cx="377952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𝑐_𝑥 𝐻_𝑦</a:t>
              </a:r>
              <a:r>
                <a:rPr lang="en-GB" sz="1100"/>
                <a:t>+F(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+3,76</a:t>
              </a:r>
              <a:r>
                <a:rPr lang="en-GB" sz="1100" i="0">
                  <a:latin typeface="Cambria Math" panose="02040503050406030204" pitchFamily="18" charset="0"/>
                </a:rPr>
                <a:t>𝑁_2</a:t>
              </a:r>
              <a:r>
                <a:rPr lang="en-GB" sz="1100" b="0" i="0">
                  <a:latin typeface="Cambria Math" panose="02040503050406030204" pitchFamily="18" charset="0"/>
                </a:rPr>
                <a:t>)−−→</a:t>
              </a:r>
              <a:r>
                <a:rPr lang="en-GB" sz="1100" b="0" i="0">
                  <a:solidFill>
                    <a:srgbClr val="FF0000"/>
                  </a:solidFill>
                  <a:latin typeface="Cambria Math" panose="02040503050406030204" pitchFamily="18" charset="0"/>
                </a:rPr>
                <a:t>𝑛1</a:t>
              </a:r>
              <a:r>
                <a:rPr lang="en-GB" sz="1100" b="0" i="0">
                  <a:latin typeface="Cambria Math" panose="02040503050406030204" pitchFamily="18" charset="0"/>
                </a:rPr>
                <a:t>𝐶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𝑂_2</a:t>
              </a:r>
              <a:r>
                <a:rPr lang="en-GB" sz="1100"/>
                <a:t>+</a:t>
              </a:r>
              <a:r>
                <a:rPr lang="en-GB" sz="1100">
                  <a:solidFill>
                    <a:srgbClr val="FF0000"/>
                  </a:solidFill>
                </a:rPr>
                <a:t>n2</a:t>
              </a:r>
              <a:r>
                <a:rPr lang="en-GB" sz="1100"/>
                <a:t>H2O+</a:t>
              </a:r>
              <a:r>
                <a:rPr lang="en-GB" sz="1100">
                  <a:solidFill>
                    <a:srgbClr val="FF0000"/>
                  </a:solidFill>
                </a:rPr>
                <a:t>n3</a:t>
              </a:r>
              <a:r>
                <a:rPr lang="en-GB" sz="1100"/>
                <a:t>N2</a:t>
              </a:r>
            </a:p>
          </xdr:txBody>
        </xdr:sp>
      </mc:Fallback>
    </mc:AlternateContent>
    <xdr:clientData/>
  </xdr:oneCellAnchor>
  <xdr:oneCellAnchor>
    <xdr:from>
      <xdr:col>6</xdr:col>
      <xdr:colOff>137160</xdr:colOff>
      <xdr:row>1</xdr:row>
      <xdr:rowOff>11430</xdr:rowOff>
    </xdr:from>
    <xdr:ext cx="374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A103D6E4-0696-40DE-811F-175556377129}"/>
                </a:ext>
              </a:extLst>
            </xdr:cNvPr>
            <xdr:cNvSpPr txBox="1"/>
          </xdr:nvSpPr>
          <xdr:spPr>
            <a:xfrm>
              <a:off x="4434840" y="194310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A103D6E4-0696-40DE-811F-175556377129}"/>
                </a:ext>
              </a:extLst>
            </xdr:cNvPr>
            <xdr:cNvSpPr txBox="1"/>
          </xdr:nvSpPr>
          <xdr:spPr>
            <a:xfrm>
              <a:off x="4434840" y="194310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𝑐_8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6</xdr:col>
      <xdr:colOff>137160</xdr:colOff>
      <xdr:row>33</xdr:row>
      <xdr:rowOff>179070</xdr:rowOff>
    </xdr:from>
    <xdr:ext cx="3603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4CAF286-D531-4894-AD14-64D3AFF86E02}"/>
                </a:ext>
              </a:extLst>
            </xdr:cNvPr>
            <xdr:cNvSpPr txBox="1"/>
          </xdr:nvSpPr>
          <xdr:spPr>
            <a:xfrm>
              <a:off x="4434840" y="4385310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𝑜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B4CAF286-D531-4894-AD14-64D3AFF86E02}"/>
                </a:ext>
              </a:extLst>
            </xdr:cNvPr>
            <xdr:cNvSpPr txBox="1"/>
          </xdr:nvSpPr>
          <xdr:spPr>
            <a:xfrm>
              <a:off x="4434840" y="4385310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𝐶𝐻_4 𝑜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705015</xdr:colOff>
      <xdr:row>38</xdr:row>
      <xdr:rowOff>55328</xdr:rowOff>
    </xdr:from>
    <xdr:ext cx="3779520" cy="2858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64E4A603-FFEF-41CE-958E-6CADCE29D07B}"/>
                </a:ext>
              </a:extLst>
            </xdr:cNvPr>
            <xdr:cNvSpPr txBox="1"/>
          </xdr:nvSpPr>
          <xdr:spPr>
            <a:xfrm>
              <a:off x="4572993" y="6979589"/>
              <a:ext cx="377952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𝑐</m:t>
                      </m:r>
                    </m:e>
                    <m:sub>
                      <m:r>
                        <a:rPr lang="en-GB" sz="1100" i="1">
                          <a:latin typeface="Cambria Math" panose="02040503050406030204" pitchFamily="18" charset="0"/>
                        </a:rPr>
                        <m:t>𝑥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i="1">
                          <a:latin typeface="Cambria Math" panose="02040503050406030204" pitchFamily="18" charset="0"/>
                        </a:rPr>
                        <m:t>𝑦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𝑜</m:t>
                      </m:r>
                    </m:e>
                    <m:sub>
                      <m:r>
                        <a:rPr lang="en-GB" sz="1100" i="1">
                          <a:latin typeface="Cambria Math" panose="02040503050406030204" pitchFamily="18" charset="0"/>
                        </a:rPr>
                        <m:t>𝑧</m:t>
                      </m:r>
                    </m:sub>
                  </m:sSub>
                </m:oMath>
              </a14:m>
              <a:r>
                <a:rPr lang="en-GB" sz="1100"/>
                <a:t>+F(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+3,76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)−−→</m:t>
                  </m:r>
                  <m:r>
                    <a:rPr lang="en-GB" sz="1100" b="0" i="1">
                      <a:solidFill>
                        <a:srgbClr val="FF0000"/>
                      </a:solidFill>
                      <a:latin typeface="Cambria Math" panose="02040503050406030204" pitchFamily="18" charset="0"/>
                    </a:rPr>
                    <m:t>𝑛</m:t>
                  </m:r>
                  <m:r>
                    <a:rPr lang="en-GB" sz="1100" b="0" i="1">
                      <a:solidFill>
                        <a:srgbClr val="FF0000"/>
                      </a:solidFill>
                      <a:latin typeface="Cambria Math" panose="02040503050406030204" pitchFamily="18" charset="0"/>
                    </a:rPr>
                    <m:t>1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𝐶</m:t>
                  </m:r>
                  <m:sSub>
                    <m:sSubPr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i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</m:oMath>
              </a14:m>
              <a:r>
                <a:rPr lang="en-GB" sz="1100"/>
                <a:t>+</a:t>
              </a:r>
              <a:r>
                <a:rPr lang="en-GB" sz="1100">
                  <a:solidFill>
                    <a:srgbClr val="FF0000"/>
                  </a:solidFill>
                </a:rPr>
                <a:t>n2</a:t>
              </a:r>
              <a:r>
                <a:rPr lang="en-GB" sz="1100"/>
                <a:t>H2O+</a:t>
              </a:r>
              <a:r>
                <a:rPr lang="en-GB" sz="1100">
                  <a:solidFill>
                    <a:srgbClr val="FF0000"/>
                  </a:solidFill>
                </a:rPr>
                <a:t>n3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i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64E4A603-FFEF-41CE-958E-6CADCE29D07B}"/>
                </a:ext>
              </a:extLst>
            </xdr:cNvPr>
            <xdr:cNvSpPr txBox="1"/>
          </xdr:nvSpPr>
          <xdr:spPr>
            <a:xfrm>
              <a:off x="4572993" y="6979589"/>
              <a:ext cx="377952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𝑐_𝑥 𝐻_𝑦 𝑜_𝑧</a:t>
              </a:r>
              <a:r>
                <a:rPr lang="en-GB" sz="1100"/>
                <a:t>+F(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+3,76</a:t>
              </a:r>
              <a:r>
                <a:rPr lang="en-GB" sz="1100" i="0">
                  <a:latin typeface="Cambria Math" panose="02040503050406030204" pitchFamily="18" charset="0"/>
                </a:rPr>
                <a:t>𝑁_2</a:t>
              </a:r>
              <a:r>
                <a:rPr lang="en-GB" sz="1100" b="0" i="0">
                  <a:latin typeface="Cambria Math" panose="02040503050406030204" pitchFamily="18" charset="0"/>
                </a:rPr>
                <a:t>)−−→</a:t>
              </a:r>
              <a:r>
                <a:rPr lang="en-GB" sz="1100" b="0" i="0">
                  <a:solidFill>
                    <a:srgbClr val="FF0000"/>
                  </a:solidFill>
                  <a:latin typeface="Cambria Math" panose="02040503050406030204" pitchFamily="18" charset="0"/>
                </a:rPr>
                <a:t>𝑛1</a:t>
              </a:r>
              <a:r>
                <a:rPr lang="en-GB" sz="1100" b="0" i="0">
                  <a:latin typeface="Cambria Math" panose="02040503050406030204" pitchFamily="18" charset="0"/>
                </a:rPr>
                <a:t>𝐶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𝑂_2</a:t>
              </a:r>
              <a:r>
                <a:rPr lang="en-GB" sz="1100"/>
                <a:t>+</a:t>
              </a:r>
              <a:r>
                <a:rPr lang="en-GB" sz="1100">
                  <a:solidFill>
                    <a:srgbClr val="FF0000"/>
                  </a:solidFill>
                </a:rPr>
                <a:t>n2</a:t>
              </a:r>
              <a:r>
                <a:rPr lang="en-GB" sz="1100"/>
                <a:t>H2O+</a:t>
              </a:r>
              <a:r>
                <a:rPr lang="en-GB" sz="1100">
                  <a:solidFill>
                    <a:srgbClr val="FF0000"/>
                  </a:solidFill>
                </a:rPr>
                <a:t>n3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685800</xdr:colOff>
      <xdr:row>21</xdr:row>
      <xdr:rowOff>11430</xdr:rowOff>
    </xdr:from>
    <xdr:ext cx="13125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12C253F-993C-48EC-8E11-62BB8A3A8BC8}"/>
                </a:ext>
              </a:extLst>
            </xdr:cNvPr>
            <xdr:cNvSpPr txBox="1"/>
          </xdr:nvSpPr>
          <xdr:spPr>
            <a:xfrm>
              <a:off x="4137660" y="3669030"/>
              <a:ext cx="1312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𝜙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912C253F-993C-48EC-8E11-62BB8A3A8BC8}"/>
                </a:ext>
              </a:extLst>
            </xdr:cNvPr>
            <xdr:cNvSpPr txBox="1"/>
          </xdr:nvSpPr>
          <xdr:spPr>
            <a:xfrm>
              <a:off x="4137660" y="3669030"/>
              <a:ext cx="1312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𝜙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5</xdr:col>
      <xdr:colOff>594360</xdr:colOff>
      <xdr:row>53</xdr:row>
      <xdr:rowOff>23637</xdr:rowOff>
    </xdr:from>
    <xdr:ext cx="259080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AA49AADA-CA46-4FFD-92B8-1238BD516EA6}"/>
                </a:ext>
              </a:extLst>
            </xdr:cNvPr>
            <xdr:cNvSpPr txBox="1"/>
          </xdr:nvSpPr>
          <xdr:spPr>
            <a:xfrm flipH="1" flipV="1">
              <a:off x="4046220" y="7338837"/>
              <a:ext cx="25908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𝜙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AA49AADA-CA46-4FFD-92B8-1238BD516EA6}"/>
                </a:ext>
              </a:extLst>
            </xdr:cNvPr>
            <xdr:cNvSpPr txBox="1"/>
          </xdr:nvSpPr>
          <xdr:spPr>
            <a:xfrm flipH="1" flipV="1">
              <a:off x="4046220" y="7338837"/>
              <a:ext cx="259080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𝜙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685800</xdr:colOff>
      <xdr:row>25</xdr:row>
      <xdr:rowOff>11430</xdr:rowOff>
    </xdr:from>
    <xdr:ext cx="13125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A8FAA1A0-BE61-4CA1-BCEB-68CBBEC48C0E}"/>
                </a:ext>
              </a:extLst>
            </xdr:cNvPr>
            <xdr:cNvSpPr txBox="1"/>
          </xdr:nvSpPr>
          <xdr:spPr>
            <a:xfrm>
              <a:off x="4137660" y="3669030"/>
              <a:ext cx="1312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𝜙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A8FAA1A0-BE61-4CA1-BCEB-68CBBEC48C0E}"/>
                </a:ext>
              </a:extLst>
            </xdr:cNvPr>
            <xdr:cNvSpPr txBox="1"/>
          </xdr:nvSpPr>
          <xdr:spPr>
            <a:xfrm>
              <a:off x="4137660" y="3669030"/>
              <a:ext cx="13125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𝜙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129865</xdr:colOff>
      <xdr:row>24</xdr:row>
      <xdr:rowOff>11952</xdr:rowOff>
    </xdr:from>
    <xdr:ext cx="374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8B3E2F9D-5CB6-467B-B1DF-F0CAB912D118}"/>
                </a:ext>
              </a:extLst>
            </xdr:cNvPr>
            <xdr:cNvSpPr txBox="1"/>
          </xdr:nvSpPr>
          <xdr:spPr>
            <a:xfrm>
              <a:off x="15167968" y="4753285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8B3E2F9D-5CB6-467B-B1DF-F0CAB912D118}"/>
                </a:ext>
              </a:extLst>
            </xdr:cNvPr>
            <xdr:cNvSpPr txBox="1"/>
          </xdr:nvSpPr>
          <xdr:spPr>
            <a:xfrm>
              <a:off x="15167968" y="4753285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𝑐_8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137160</xdr:colOff>
      <xdr:row>57</xdr:row>
      <xdr:rowOff>179070</xdr:rowOff>
    </xdr:from>
    <xdr:ext cx="3603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366D997-3E15-47C4-8841-177AFF93A632}"/>
                </a:ext>
              </a:extLst>
            </xdr:cNvPr>
            <xdr:cNvSpPr txBox="1"/>
          </xdr:nvSpPr>
          <xdr:spPr>
            <a:xfrm>
              <a:off x="4448647" y="4373326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𝑜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D366D997-3E15-47C4-8841-177AFF93A632}"/>
                </a:ext>
              </a:extLst>
            </xdr:cNvPr>
            <xdr:cNvSpPr txBox="1"/>
          </xdr:nvSpPr>
          <xdr:spPr>
            <a:xfrm>
              <a:off x="4448647" y="4373326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𝐶𝐻_4 𝑜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129865</xdr:colOff>
      <xdr:row>55</xdr:row>
      <xdr:rowOff>11952</xdr:rowOff>
    </xdr:from>
    <xdr:ext cx="374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C680F3A-948C-43A5-912A-7B2B8B8C5713}"/>
                </a:ext>
              </a:extLst>
            </xdr:cNvPr>
            <xdr:cNvSpPr txBox="1"/>
          </xdr:nvSpPr>
          <xdr:spPr>
            <a:xfrm>
              <a:off x="5125198" y="4206208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8C680F3A-948C-43A5-912A-7B2B8B8C5713}"/>
                </a:ext>
              </a:extLst>
            </xdr:cNvPr>
            <xdr:cNvSpPr txBox="1"/>
          </xdr:nvSpPr>
          <xdr:spPr>
            <a:xfrm>
              <a:off x="5125198" y="4206208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𝑐_8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18</xdr:col>
      <xdr:colOff>137160</xdr:colOff>
      <xdr:row>56</xdr:row>
      <xdr:rowOff>179070</xdr:rowOff>
    </xdr:from>
    <xdr:ext cx="3603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B2E190EE-5733-4026-A6F3-CBF6F87E143E}"/>
                </a:ext>
              </a:extLst>
            </xdr:cNvPr>
            <xdr:cNvSpPr txBox="1"/>
          </xdr:nvSpPr>
          <xdr:spPr>
            <a:xfrm>
              <a:off x="4448647" y="5102762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𝑜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B2E190EE-5733-4026-A6F3-CBF6F87E143E}"/>
                </a:ext>
              </a:extLst>
            </xdr:cNvPr>
            <xdr:cNvSpPr txBox="1"/>
          </xdr:nvSpPr>
          <xdr:spPr>
            <a:xfrm>
              <a:off x="4448647" y="5102762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𝐶𝐻_4 𝑜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20</xdr:col>
      <xdr:colOff>220134</xdr:colOff>
      <xdr:row>29</xdr:row>
      <xdr:rowOff>1954</xdr:rowOff>
    </xdr:from>
    <xdr:ext cx="2298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B99551DB-FE33-46E1-9634-072AAFCA907B}"/>
                </a:ext>
              </a:extLst>
            </xdr:cNvPr>
            <xdr:cNvSpPr txBox="1"/>
          </xdr:nvSpPr>
          <xdr:spPr>
            <a:xfrm>
              <a:off x="11461262" y="5290364"/>
              <a:ext cx="229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C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B99551DB-FE33-46E1-9634-072AAFCA907B}"/>
                </a:ext>
              </a:extLst>
            </xdr:cNvPr>
            <xdr:cNvSpPr txBox="1"/>
          </xdr:nvSpPr>
          <xdr:spPr>
            <a:xfrm>
              <a:off x="11461262" y="5290364"/>
              <a:ext cx="229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C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20</xdr:col>
      <xdr:colOff>560025</xdr:colOff>
      <xdr:row>30</xdr:row>
      <xdr:rowOff>0</xdr:rowOff>
    </xdr:from>
    <xdr:ext cx="290592" cy="3485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844E25EB-7183-4858-9440-ECB5DC7BD68E}"/>
                </a:ext>
              </a:extLst>
            </xdr:cNvPr>
            <xdr:cNvSpPr txBox="1"/>
          </xdr:nvSpPr>
          <xdr:spPr>
            <a:xfrm>
              <a:off x="1169625" y="6669741"/>
              <a:ext cx="290592" cy="3485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844E25EB-7183-4858-9440-ECB5DC7BD68E}"/>
                </a:ext>
              </a:extLst>
            </xdr:cNvPr>
            <xdr:cNvSpPr txBox="1"/>
          </xdr:nvSpPr>
          <xdr:spPr>
            <a:xfrm>
              <a:off x="1169625" y="6669741"/>
              <a:ext cx="290592" cy="3485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20</xdr:col>
      <xdr:colOff>165035</xdr:colOff>
      <xdr:row>32</xdr:row>
      <xdr:rowOff>14557</xdr:rowOff>
    </xdr:from>
    <xdr:ext cx="374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14124E4-88A3-4B99-81FC-E17A41EA4FF0}"/>
                </a:ext>
              </a:extLst>
            </xdr:cNvPr>
            <xdr:cNvSpPr txBox="1"/>
          </xdr:nvSpPr>
          <xdr:spPr>
            <a:xfrm>
              <a:off x="11406163" y="6032403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C14124E4-88A3-4B99-81FC-E17A41EA4FF0}"/>
                </a:ext>
              </a:extLst>
            </xdr:cNvPr>
            <xdr:cNvSpPr txBox="1"/>
          </xdr:nvSpPr>
          <xdr:spPr>
            <a:xfrm>
              <a:off x="11406163" y="6032403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𝑐_8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20</xdr:col>
      <xdr:colOff>152791</xdr:colOff>
      <xdr:row>33</xdr:row>
      <xdr:rowOff>18855</xdr:rowOff>
    </xdr:from>
    <xdr:ext cx="3603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836C65E5-7D40-437E-B77B-A211F444D5C6}"/>
                </a:ext>
              </a:extLst>
            </xdr:cNvPr>
            <xdr:cNvSpPr txBox="1"/>
          </xdr:nvSpPr>
          <xdr:spPr>
            <a:xfrm>
              <a:off x="11393919" y="6219060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𝑜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836C65E5-7D40-437E-B77B-A211F444D5C6}"/>
                </a:ext>
              </a:extLst>
            </xdr:cNvPr>
            <xdr:cNvSpPr txBox="1"/>
          </xdr:nvSpPr>
          <xdr:spPr>
            <a:xfrm>
              <a:off x="11393919" y="6219060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𝐶𝐻_4 𝑜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434789</xdr:colOff>
      <xdr:row>38</xdr:row>
      <xdr:rowOff>8965</xdr:rowOff>
    </xdr:from>
    <xdr:ext cx="1965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E153C1FD-C4E8-4A94-89AB-5B72A1DA2ED4}"/>
                </a:ext>
              </a:extLst>
            </xdr:cNvPr>
            <xdr:cNvSpPr txBox="1"/>
          </xdr:nvSpPr>
          <xdr:spPr>
            <a:xfrm>
              <a:off x="9811871" y="6140824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latin typeface="Cambria Math" panose="02040503050406030204" pitchFamily="18" charset="0"/>
                      </a:rPr>
                      <m:t>Δ</m:t>
                    </m:r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8" name="TextBox 17">
              <a:extLst>
                <a:ext uri="{FF2B5EF4-FFF2-40B4-BE49-F238E27FC236}">
                  <a16:creationId xmlns:a16="http://schemas.microsoft.com/office/drawing/2014/main" id="{E153C1FD-C4E8-4A94-89AB-5B72A1DA2ED4}"/>
                </a:ext>
              </a:extLst>
            </xdr:cNvPr>
            <xdr:cNvSpPr txBox="1"/>
          </xdr:nvSpPr>
          <xdr:spPr>
            <a:xfrm>
              <a:off x="9811871" y="6140824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Δℎ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434789</xdr:colOff>
      <xdr:row>39</xdr:row>
      <xdr:rowOff>8965</xdr:rowOff>
    </xdr:from>
    <xdr:ext cx="2276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20303CBB-AFC6-4A8A-92D1-CCE08E8E2F1B}"/>
                </a:ext>
              </a:extLst>
            </xdr:cNvPr>
            <xdr:cNvSpPr txBox="1"/>
          </xdr:nvSpPr>
          <xdr:spPr>
            <a:xfrm>
              <a:off x="11031071" y="6678706"/>
              <a:ext cx="2276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0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sty m:val="p"/>
                      </m:rPr>
                      <a:rPr lang="en-GB" sz="1100">
                        <a:latin typeface="Cambria Math" panose="02040503050406030204" pitchFamily="18" charset="0"/>
                      </a:rPr>
                      <m:t>Δ</m:t>
                    </m:r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20303CBB-AFC6-4A8A-92D1-CCE08E8E2F1B}"/>
                </a:ext>
              </a:extLst>
            </xdr:cNvPr>
            <xdr:cNvSpPr txBox="1"/>
          </xdr:nvSpPr>
          <xdr:spPr>
            <a:xfrm>
              <a:off x="11031071" y="6678706"/>
              <a:ext cx="2276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 </a:t>
              </a:r>
              <a:r>
                <a:rPr lang="en-GB" sz="1100" i="0">
                  <a:latin typeface="Cambria Math" panose="02040503050406030204" pitchFamily="18" charset="0"/>
                </a:rPr>
                <a:t>Δℎ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434789</xdr:colOff>
      <xdr:row>46</xdr:row>
      <xdr:rowOff>8965</xdr:rowOff>
    </xdr:from>
    <xdr:ext cx="1965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62815645-7675-4B8E-8C94-1C3EE9F8A92F}"/>
                </a:ext>
              </a:extLst>
            </xdr:cNvPr>
            <xdr:cNvSpPr txBox="1"/>
          </xdr:nvSpPr>
          <xdr:spPr>
            <a:xfrm>
              <a:off x="11031071" y="6499412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latin typeface="Cambria Math" panose="02040503050406030204" pitchFamily="18" charset="0"/>
                      </a:rPr>
                      <m:t>Δ</m:t>
                    </m:r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0" name="TextBox 19">
              <a:extLst>
                <a:ext uri="{FF2B5EF4-FFF2-40B4-BE49-F238E27FC236}">
                  <a16:creationId xmlns:a16="http://schemas.microsoft.com/office/drawing/2014/main" id="{62815645-7675-4B8E-8C94-1C3EE9F8A92F}"/>
                </a:ext>
              </a:extLst>
            </xdr:cNvPr>
            <xdr:cNvSpPr txBox="1"/>
          </xdr:nvSpPr>
          <xdr:spPr>
            <a:xfrm>
              <a:off x="11031071" y="6499412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Δℎ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16</xdr:col>
      <xdr:colOff>434789</xdr:colOff>
      <xdr:row>47</xdr:row>
      <xdr:rowOff>8965</xdr:rowOff>
    </xdr:from>
    <xdr:ext cx="1965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2A13311C-0F07-4A42-8B50-7F1FA8965B76}"/>
                </a:ext>
              </a:extLst>
            </xdr:cNvPr>
            <xdr:cNvSpPr txBox="1"/>
          </xdr:nvSpPr>
          <xdr:spPr>
            <a:xfrm>
              <a:off x="11031071" y="6678706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latin typeface="Cambria Math" panose="02040503050406030204" pitchFamily="18" charset="0"/>
                      </a:rPr>
                      <m:t>Δ</m:t>
                    </m:r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21" name="TextBox 20">
              <a:extLst>
                <a:ext uri="{FF2B5EF4-FFF2-40B4-BE49-F238E27FC236}">
                  <a16:creationId xmlns:a16="http://schemas.microsoft.com/office/drawing/2014/main" id="{2A13311C-0F07-4A42-8B50-7F1FA8965B76}"/>
                </a:ext>
              </a:extLst>
            </xdr:cNvPr>
            <xdr:cNvSpPr txBox="1"/>
          </xdr:nvSpPr>
          <xdr:spPr>
            <a:xfrm>
              <a:off x="11031071" y="6678706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Δℎ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28925</xdr:colOff>
      <xdr:row>9</xdr:row>
      <xdr:rowOff>182126</xdr:rowOff>
    </xdr:from>
    <xdr:ext cx="38933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3DBA3822-AF37-455C-92AB-8300C5BE820B}"/>
                </a:ext>
              </a:extLst>
            </xdr:cNvPr>
            <xdr:cNvSpPr txBox="1"/>
          </xdr:nvSpPr>
          <xdr:spPr>
            <a:xfrm>
              <a:off x="5008506" y="1856754"/>
              <a:ext cx="38933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3DBA3822-AF37-455C-92AB-8300C5BE820B}"/>
                </a:ext>
              </a:extLst>
            </xdr:cNvPr>
            <xdr:cNvSpPr txBox="1"/>
          </xdr:nvSpPr>
          <xdr:spPr>
            <a:xfrm>
              <a:off x="5008506" y="1856754"/>
              <a:ext cx="38933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7</xdr:col>
      <xdr:colOff>112768</xdr:colOff>
      <xdr:row>8</xdr:row>
      <xdr:rowOff>23686</xdr:rowOff>
    </xdr:from>
    <xdr:ext cx="3779520" cy="2858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A96F013B-6C2C-49E2-B06F-CF8DF292AD11}"/>
                </a:ext>
              </a:extLst>
            </xdr:cNvPr>
            <xdr:cNvSpPr txBox="1"/>
          </xdr:nvSpPr>
          <xdr:spPr>
            <a:xfrm>
              <a:off x="5513029" y="1481425"/>
              <a:ext cx="377952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𝑐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8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18</m:t>
                      </m:r>
                    </m:sub>
                  </m:sSub>
                </m:oMath>
              </a14:m>
              <a:r>
                <a:rPr lang="en-GB" sz="1100"/>
                <a:t>+12,5(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+3,76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)−−→8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𝐶</m:t>
                  </m:r>
                  <m:sSub>
                    <m:sSubPr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i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</m:oMath>
              </a14:m>
              <a:r>
                <a:rPr lang="en-GB" sz="1100"/>
                <a:t>+</a:t>
              </a:r>
              <a:r>
                <a:rPr lang="en-GB" sz="1100">
                  <a:solidFill>
                    <a:sysClr val="windowText" lastClr="000000"/>
                  </a:solidFill>
                </a:rPr>
                <a:t>9</a:t>
              </a:r>
              <a:r>
                <a:rPr lang="en-GB" sz="1100"/>
                <a:t>H2O+</a:t>
              </a:r>
              <a:r>
                <a:rPr lang="en-GB" sz="1100">
                  <a:solidFill>
                    <a:sysClr val="windowText" lastClr="000000"/>
                  </a:solidFill>
                </a:rPr>
                <a:t>47</a:t>
              </a:r>
              <a:r>
                <a:rPr lang="en-GB" sz="1100"/>
                <a:t>N2</a:t>
              </a:r>
            </a:p>
          </xdr:txBody>
        </xdr:sp>
      </mc:Choice>
      <mc:Fallback xmlns="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A96F013B-6C2C-49E2-B06F-CF8DF292AD11}"/>
                </a:ext>
              </a:extLst>
            </xdr:cNvPr>
            <xdr:cNvSpPr txBox="1"/>
          </xdr:nvSpPr>
          <xdr:spPr>
            <a:xfrm>
              <a:off x="5513029" y="1481425"/>
              <a:ext cx="377952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𝑐_</a:t>
              </a:r>
              <a:r>
                <a:rPr lang="en-GB" sz="1100" b="0" i="0">
                  <a:latin typeface="Cambria Math" panose="02040503050406030204" pitchFamily="18" charset="0"/>
                </a:rPr>
                <a:t>8 </a:t>
              </a:r>
              <a:r>
                <a:rPr lang="en-GB" sz="1100" i="0">
                  <a:latin typeface="Cambria Math" panose="02040503050406030204" pitchFamily="18" charset="0"/>
                </a:rPr>
                <a:t>𝐻_</a:t>
              </a:r>
              <a:r>
                <a:rPr lang="en-GB" sz="1100" b="0" i="0">
                  <a:latin typeface="Cambria Math" panose="02040503050406030204" pitchFamily="18" charset="0"/>
                </a:rPr>
                <a:t>18</a:t>
              </a:r>
              <a:r>
                <a:rPr lang="en-GB" sz="1100"/>
                <a:t>+12,5(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+3,76</a:t>
              </a:r>
              <a:r>
                <a:rPr lang="en-GB" sz="1100" i="0">
                  <a:latin typeface="Cambria Math" panose="02040503050406030204" pitchFamily="18" charset="0"/>
                </a:rPr>
                <a:t>𝑁_2</a:t>
              </a:r>
              <a:r>
                <a:rPr lang="en-GB" sz="1100" b="0" i="0">
                  <a:latin typeface="Cambria Math" panose="02040503050406030204" pitchFamily="18" charset="0"/>
                </a:rPr>
                <a:t>)−−→8𝐶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𝑂_2</a:t>
              </a:r>
              <a:r>
                <a:rPr lang="en-GB" sz="1100"/>
                <a:t>+</a:t>
              </a:r>
              <a:r>
                <a:rPr lang="en-GB" sz="1100">
                  <a:solidFill>
                    <a:sysClr val="windowText" lastClr="000000"/>
                  </a:solidFill>
                </a:rPr>
                <a:t>9</a:t>
              </a:r>
              <a:r>
                <a:rPr lang="en-GB" sz="1100"/>
                <a:t>H2O+</a:t>
              </a:r>
              <a:r>
                <a:rPr lang="en-GB" sz="1100">
                  <a:solidFill>
                    <a:sysClr val="windowText" lastClr="000000"/>
                  </a:solidFill>
                </a:rPr>
                <a:t>47</a:t>
              </a:r>
              <a:r>
                <a:rPr lang="en-GB" sz="1100"/>
                <a:t>N2</a:t>
              </a:r>
            </a:p>
          </xdr:txBody>
        </xdr:sp>
      </mc:Fallback>
    </mc:AlternateContent>
    <xdr:clientData/>
  </xdr:oneCellAnchor>
  <xdr:oneCellAnchor>
    <xdr:from>
      <xdr:col>5</xdr:col>
      <xdr:colOff>604631</xdr:colOff>
      <xdr:row>40</xdr:row>
      <xdr:rowOff>25509</xdr:rowOff>
    </xdr:from>
    <xdr:ext cx="3949480" cy="28580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15907B29-640C-4F4E-ACDA-8D5BB44C3016}"/>
                </a:ext>
              </a:extLst>
            </xdr:cNvPr>
            <xdr:cNvSpPr txBox="1"/>
          </xdr:nvSpPr>
          <xdr:spPr>
            <a:xfrm>
              <a:off x="4472609" y="7314205"/>
              <a:ext cx="394948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𝑐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𝐻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4</m:t>
                      </m:r>
                    </m:sub>
                  </m:sSub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𝑜</m:t>
                      </m:r>
                    </m:e>
                    <m:sub>
                      <m:r>
                        <a:rPr lang="en-GB" sz="1100" b="0" i="1">
                          <a:latin typeface="Cambria Math" panose="02040503050406030204" pitchFamily="18" charset="0"/>
                        </a:rPr>
                        <m:t>1</m:t>
                      </m:r>
                    </m:sub>
                  </m:sSub>
                </m:oMath>
              </a14:m>
              <a:r>
                <a:rPr lang="en-GB" sz="1100"/>
                <a:t>+1,5(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+3,76</m:t>
                  </m:r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𝑁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  <m:r>
                    <a:rPr lang="en-GB" sz="1100" b="0" i="1">
                      <a:latin typeface="Cambria Math" panose="02040503050406030204" pitchFamily="18" charset="0"/>
                    </a:rPr>
                    <m:t>)−−→1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𝐶</m:t>
                  </m:r>
                  <m:sSub>
                    <m:sSubPr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𝑂</m:t>
                      </m:r>
                    </m:e>
                    <m:sub>
                      <m:r>
                        <a:rPr lang="en-GB" sz="1100" i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</m:oMath>
              </a14:m>
              <a:r>
                <a:rPr lang="en-GB" sz="1100"/>
                <a:t>+</a:t>
              </a:r>
              <a:r>
                <a:rPr lang="en-GB" sz="1100">
                  <a:solidFill>
                    <a:srgbClr val="FF0000"/>
                  </a:solidFill>
                </a:rPr>
                <a:t>2</a:t>
              </a:r>
              <a:r>
                <a:rPr lang="en-GB" sz="1100"/>
                <a:t>H2O+2,82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bPr>
                    <m:e>
                      <m:r>
                        <a:rPr lang="en-GB" sz="11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𝑁</m:t>
                      </m:r>
                    </m:e>
                    <m:sub>
                      <m:r>
                        <a:rPr lang="en-GB" sz="1100" i="0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2</m:t>
                      </m:r>
                    </m:sub>
                  </m:sSub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15907B29-640C-4F4E-ACDA-8D5BB44C3016}"/>
                </a:ext>
              </a:extLst>
            </xdr:cNvPr>
            <xdr:cNvSpPr txBox="1"/>
          </xdr:nvSpPr>
          <xdr:spPr>
            <a:xfrm>
              <a:off x="4472609" y="7314205"/>
              <a:ext cx="3949480" cy="28580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en-GB" sz="1100" i="0">
                  <a:latin typeface="Cambria Math" panose="02040503050406030204" pitchFamily="18" charset="0"/>
                </a:rPr>
                <a:t>𝑐_</a:t>
              </a:r>
              <a:r>
                <a:rPr lang="en-GB" sz="1100" b="0" i="0">
                  <a:latin typeface="Cambria Math" panose="02040503050406030204" pitchFamily="18" charset="0"/>
                </a:rPr>
                <a:t>1 </a:t>
              </a:r>
              <a:r>
                <a:rPr lang="en-GB" sz="1100" i="0">
                  <a:latin typeface="Cambria Math" panose="02040503050406030204" pitchFamily="18" charset="0"/>
                </a:rPr>
                <a:t>𝐻_</a:t>
              </a:r>
              <a:r>
                <a:rPr lang="en-GB" sz="1100" b="0" i="0">
                  <a:latin typeface="Cambria Math" panose="02040503050406030204" pitchFamily="18" charset="0"/>
                </a:rPr>
                <a:t>4 </a:t>
              </a:r>
              <a:r>
                <a:rPr lang="en-GB" sz="1100" i="0">
                  <a:latin typeface="Cambria Math" panose="02040503050406030204" pitchFamily="18" charset="0"/>
                </a:rPr>
                <a:t>𝑜_</a:t>
              </a:r>
              <a:r>
                <a:rPr lang="en-GB" sz="1100" b="0" i="0">
                  <a:latin typeface="Cambria Math" panose="02040503050406030204" pitchFamily="18" charset="0"/>
                </a:rPr>
                <a:t>1</a:t>
              </a:r>
              <a:r>
                <a:rPr lang="en-GB" sz="1100"/>
                <a:t>+1,5(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r>
                <a:rPr lang="en-GB" sz="1100" b="0" i="0">
                  <a:latin typeface="Cambria Math" panose="02040503050406030204" pitchFamily="18" charset="0"/>
                </a:rPr>
                <a:t>+3,76</a:t>
              </a:r>
              <a:r>
                <a:rPr lang="en-GB" sz="1100" i="0">
                  <a:latin typeface="Cambria Math" panose="02040503050406030204" pitchFamily="18" charset="0"/>
                </a:rPr>
                <a:t>𝑁_2</a:t>
              </a:r>
              <a:r>
                <a:rPr lang="en-GB" sz="1100" b="0" i="0">
                  <a:latin typeface="Cambria Math" panose="02040503050406030204" pitchFamily="18" charset="0"/>
                </a:rPr>
                <a:t>)−−→1𝐶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𝑂_2</a:t>
              </a:r>
              <a:r>
                <a:rPr lang="en-GB" sz="1100"/>
                <a:t>+</a:t>
              </a:r>
              <a:r>
                <a:rPr lang="en-GB" sz="1100">
                  <a:solidFill>
                    <a:srgbClr val="FF0000"/>
                  </a:solidFill>
                </a:rPr>
                <a:t>2</a:t>
              </a:r>
              <a:r>
                <a:rPr lang="en-GB" sz="1100"/>
                <a:t>H2O+2,82</a:t>
              </a:r>
              <a:r>
                <a:rPr lang="en-GB" sz="1100" i="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220134</xdr:colOff>
      <xdr:row>30</xdr:row>
      <xdr:rowOff>1954</xdr:rowOff>
    </xdr:from>
    <xdr:ext cx="2298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3B42461-3D9B-4932-83A1-C72A15169C75}"/>
                </a:ext>
              </a:extLst>
            </xdr:cNvPr>
            <xdr:cNvSpPr txBox="1"/>
          </xdr:nvSpPr>
          <xdr:spPr>
            <a:xfrm>
              <a:off x="2871894" y="733474"/>
              <a:ext cx="229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C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93B42461-3D9B-4932-83A1-C72A15169C75}"/>
                </a:ext>
              </a:extLst>
            </xdr:cNvPr>
            <xdr:cNvSpPr txBox="1"/>
          </xdr:nvSpPr>
          <xdr:spPr>
            <a:xfrm>
              <a:off x="2871894" y="733474"/>
              <a:ext cx="229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C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560025</xdr:colOff>
      <xdr:row>31</xdr:row>
      <xdr:rowOff>0</xdr:rowOff>
    </xdr:from>
    <xdr:ext cx="290592" cy="3485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48B35367-B755-4436-A3D5-E98AC0CD2896}"/>
                </a:ext>
              </a:extLst>
            </xdr:cNvPr>
            <xdr:cNvSpPr txBox="1"/>
          </xdr:nvSpPr>
          <xdr:spPr>
            <a:xfrm>
              <a:off x="3211785" y="914400"/>
              <a:ext cx="290592" cy="3485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48B35367-B755-4436-A3D5-E98AC0CD2896}"/>
                </a:ext>
              </a:extLst>
            </xdr:cNvPr>
            <xdr:cNvSpPr txBox="1"/>
          </xdr:nvSpPr>
          <xdr:spPr>
            <a:xfrm>
              <a:off x="3211785" y="914400"/>
              <a:ext cx="290592" cy="3485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165035</xdr:colOff>
      <xdr:row>33</xdr:row>
      <xdr:rowOff>14557</xdr:rowOff>
    </xdr:from>
    <xdr:ext cx="374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DD9298AC-E7FD-42A0-91AB-71AB9D7C60A6}"/>
                </a:ext>
              </a:extLst>
            </xdr:cNvPr>
            <xdr:cNvSpPr txBox="1"/>
          </xdr:nvSpPr>
          <xdr:spPr>
            <a:xfrm>
              <a:off x="2816795" y="1294717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DD9298AC-E7FD-42A0-91AB-71AB9D7C60A6}"/>
                </a:ext>
              </a:extLst>
            </xdr:cNvPr>
            <xdr:cNvSpPr txBox="1"/>
          </xdr:nvSpPr>
          <xdr:spPr>
            <a:xfrm>
              <a:off x="2816795" y="1294717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𝑐_8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152791</xdr:colOff>
      <xdr:row>34</xdr:row>
      <xdr:rowOff>18855</xdr:rowOff>
    </xdr:from>
    <xdr:ext cx="3603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FF847782-C8EE-4CE0-999F-7E51BFF3E4A2}"/>
                </a:ext>
              </a:extLst>
            </xdr:cNvPr>
            <xdr:cNvSpPr txBox="1"/>
          </xdr:nvSpPr>
          <xdr:spPr>
            <a:xfrm>
              <a:off x="2804551" y="1481895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𝑜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FF847782-C8EE-4CE0-999F-7E51BFF3E4A2}"/>
                </a:ext>
              </a:extLst>
            </xdr:cNvPr>
            <xdr:cNvSpPr txBox="1"/>
          </xdr:nvSpPr>
          <xdr:spPr>
            <a:xfrm>
              <a:off x="2804551" y="1481895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𝐶𝐻_4 𝑜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18</xdr:col>
      <xdr:colOff>453341</xdr:colOff>
      <xdr:row>84</xdr:row>
      <xdr:rowOff>144683</xdr:rowOff>
    </xdr:from>
    <xdr:to>
      <xdr:col>28</xdr:col>
      <xdr:colOff>646253</xdr:colOff>
      <xdr:row>109</xdr:row>
      <xdr:rowOff>77164</xdr:rowOff>
    </xdr:to>
    <xdr:graphicFrame macro="">
      <xdr:nvGraphicFramePr>
        <xdr:cNvPr id="9" name="Chart 6">
          <a:extLst>
            <a:ext uri="{FF2B5EF4-FFF2-40B4-BE49-F238E27FC236}">
              <a16:creationId xmlns:a16="http://schemas.microsoft.com/office/drawing/2014/main" id="{0BD8CBF2-2A09-4ADB-8EEF-6DE74830842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2</xdr:col>
      <xdr:colOff>10763</xdr:colOff>
      <xdr:row>16</xdr:row>
      <xdr:rowOff>793</xdr:rowOff>
    </xdr:from>
    <xdr:ext cx="89377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90469AAC-0C6B-4C51-8866-5651A2B74CB3}"/>
                </a:ext>
              </a:extLst>
            </xdr:cNvPr>
            <xdr:cNvSpPr txBox="1"/>
          </xdr:nvSpPr>
          <xdr:spPr>
            <a:xfrm>
              <a:off x="1229963" y="3841273"/>
              <a:ext cx="8937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P*V</a:t>
              </a:r>
              <a14:m>
                <m:oMath xmlns:m="http://schemas.openxmlformats.org/officeDocument/2006/math">
                  <m:r>
                    <a:rPr lang="en-GB" sz="1100" i="1">
                      <a:latin typeface="Cambria Math" panose="02040503050406030204" pitchFamily="18" charset="0"/>
                    </a:rPr>
                    <m:t>=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𝑛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∗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𝑅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∗</m:t>
                  </m:r>
                  <m:r>
                    <a:rPr lang="en-GB" sz="1100" b="0" i="1">
                      <a:latin typeface="Cambria Math" panose="02040503050406030204" pitchFamily="18" charset="0"/>
                    </a:rPr>
                    <m:t>𝑇</m:t>
                  </m:r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90469AAC-0C6B-4C51-8866-5651A2B74CB3}"/>
                </a:ext>
              </a:extLst>
            </xdr:cNvPr>
            <xdr:cNvSpPr txBox="1"/>
          </xdr:nvSpPr>
          <xdr:spPr>
            <a:xfrm>
              <a:off x="1229963" y="3841273"/>
              <a:ext cx="89377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P*V</a:t>
              </a:r>
              <a:r>
                <a:rPr lang="en-GB" sz="1100" i="0">
                  <a:latin typeface="Cambria Math" panose="02040503050406030204" pitchFamily="18" charset="0"/>
                </a:rPr>
                <a:t>=</a:t>
              </a:r>
              <a:r>
                <a:rPr lang="en-GB" sz="1100" b="0" i="0">
                  <a:latin typeface="Cambria Math" panose="02040503050406030204" pitchFamily="18" charset="0"/>
                </a:rPr>
                <a:t>𝑛∗𝑅∗𝑇</a:t>
              </a:r>
              <a:endParaRPr lang="en-GB" sz="1100"/>
            </a:p>
          </xdr:txBody>
        </xdr:sp>
      </mc:Fallback>
    </mc:AlternateContent>
    <xdr:clientData/>
  </xdr:oneCellAnchor>
  <xdr:twoCellAnchor>
    <xdr:from>
      <xdr:col>7</xdr:col>
      <xdr:colOff>58616</xdr:colOff>
      <xdr:row>89</xdr:row>
      <xdr:rowOff>58616</xdr:rowOff>
    </xdr:from>
    <xdr:to>
      <xdr:col>13</xdr:col>
      <xdr:colOff>396211</xdr:colOff>
      <xdr:row>104</xdr:row>
      <xdr:rowOff>40363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70E4360-55AD-41BE-93D7-D958F29A981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0</xdr:colOff>
      <xdr:row>107</xdr:row>
      <xdr:rowOff>0</xdr:rowOff>
    </xdr:from>
    <xdr:to>
      <xdr:col>13</xdr:col>
      <xdr:colOff>337595</xdr:colOff>
      <xdr:row>121</xdr:row>
      <xdr:rowOff>177478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50623749-E772-4D9B-8FCB-A152C6FB77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43132</xdr:colOff>
      <xdr:row>53</xdr:row>
      <xdr:rowOff>38764</xdr:rowOff>
    </xdr:from>
    <xdr:to>
      <xdr:col>11</xdr:col>
      <xdr:colOff>506120</xdr:colOff>
      <xdr:row>86</xdr:row>
      <xdr:rowOff>84100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B18B4CB5-E34B-4779-9332-E7E701CC83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368547</xdr:colOff>
      <xdr:row>61</xdr:row>
      <xdr:rowOff>66068</xdr:rowOff>
    </xdr:from>
    <xdr:to>
      <xdr:col>21</xdr:col>
      <xdr:colOff>86359</xdr:colOff>
      <xdr:row>79</xdr:row>
      <xdr:rowOff>135377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229D3A3-C0B0-4424-826C-9967495072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567641</xdr:colOff>
      <xdr:row>60</xdr:row>
      <xdr:rowOff>124922</xdr:rowOff>
    </xdr:from>
    <xdr:to>
      <xdr:col>7</xdr:col>
      <xdr:colOff>394743</xdr:colOff>
      <xdr:row>79</xdr:row>
      <xdr:rowOff>7087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14BC52F-ED97-45D5-91BC-B2CE507910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198223</xdr:colOff>
      <xdr:row>62</xdr:row>
      <xdr:rowOff>107736</xdr:rowOff>
    </xdr:from>
    <xdr:to>
      <xdr:col>14</xdr:col>
      <xdr:colOff>83408</xdr:colOff>
      <xdr:row>77</xdr:row>
      <xdr:rowOff>136311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9D03B69-703C-49F9-8C3A-F49DB2706C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211646</xdr:colOff>
      <xdr:row>46</xdr:row>
      <xdr:rowOff>60736</xdr:rowOff>
    </xdr:from>
    <xdr:to>
      <xdr:col>20</xdr:col>
      <xdr:colOff>312045</xdr:colOff>
      <xdr:row>61</xdr:row>
      <xdr:rowOff>48491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DF79BF5-7C3F-45FA-BED8-E23810E361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70</xdr:row>
      <xdr:rowOff>3503</xdr:rowOff>
    </xdr:from>
    <xdr:to>
      <xdr:col>5</xdr:col>
      <xdr:colOff>770759</xdr:colOff>
      <xdr:row>84</xdr:row>
      <xdr:rowOff>171668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A346BB-744B-4CBF-9447-017FE8A4EAC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83207</xdr:colOff>
      <xdr:row>70</xdr:row>
      <xdr:rowOff>64813</xdr:rowOff>
    </xdr:from>
    <xdr:to>
      <xdr:col>14</xdr:col>
      <xdr:colOff>363483</xdr:colOff>
      <xdr:row>85</xdr:row>
      <xdr:rowOff>49047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3F05046-D3D1-44DD-B477-C9EA0E715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486104</xdr:colOff>
      <xdr:row>70</xdr:row>
      <xdr:rowOff>108605</xdr:rowOff>
    </xdr:from>
    <xdr:to>
      <xdr:col>21</xdr:col>
      <xdr:colOff>153276</xdr:colOff>
      <xdr:row>85</xdr:row>
      <xdr:rowOff>92839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3A3B7A2-CF72-4A0D-B7B2-2BDBD912A04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</xdr:col>
      <xdr:colOff>499241</xdr:colOff>
      <xdr:row>70</xdr:row>
      <xdr:rowOff>108610</xdr:rowOff>
    </xdr:from>
    <xdr:to>
      <xdr:col>30</xdr:col>
      <xdr:colOff>166414</xdr:colOff>
      <xdr:row>85</xdr:row>
      <xdr:rowOff>92844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D91E3A0C-4A21-4D46-B9CD-2AF1B8715C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808653</xdr:colOff>
      <xdr:row>3</xdr:row>
      <xdr:rowOff>0</xdr:rowOff>
    </xdr:from>
    <xdr:ext cx="3802847" cy="357673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B5949EF-8F31-44A5-8C2B-0A9C54AE4AD1}"/>
            </a:ext>
          </a:extLst>
        </xdr:cNvPr>
        <xdr:cNvSpPr txBox="1"/>
      </xdr:nvSpPr>
      <xdr:spPr>
        <a:xfrm>
          <a:off x="2822510" y="559837"/>
          <a:ext cx="3802847" cy="3576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noAutofit/>
        </a:bodyPr>
        <a:lstStyle/>
        <a:p>
          <a:endParaRPr lang="en-GB" sz="1100"/>
        </a:p>
      </xdr:txBody>
    </xdr:sp>
    <xdr:clientData/>
  </xdr:oneCellAnchor>
  <xdr:oneCellAnchor>
    <xdr:from>
      <xdr:col>8</xdr:col>
      <xdr:colOff>266700</xdr:colOff>
      <xdr:row>16</xdr:row>
      <xdr:rowOff>11430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D4001DF8-B767-4DC1-9E23-8525CC67B564}"/>
                </a:ext>
              </a:extLst>
            </xdr:cNvPr>
            <xdr:cNvSpPr txBox="1"/>
          </xdr:nvSpPr>
          <xdr:spPr>
            <a:xfrm>
              <a:off x="5554980" y="2937510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D4001DF8-B767-4DC1-9E23-8525CC67B564}"/>
                </a:ext>
              </a:extLst>
            </xdr:cNvPr>
            <xdr:cNvSpPr txBox="1"/>
          </xdr:nvSpPr>
          <xdr:spPr>
            <a:xfrm>
              <a:off x="5554980" y="2937510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83820</xdr:colOff>
      <xdr:row>16</xdr:row>
      <xdr:rowOff>26670</xdr:rowOff>
    </xdr:from>
    <xdr:ext cx="18883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7889590A-8F92-41E0-8B65-CAAA9ECFFF8D}"/>
                </a:ext>
              </a:extLst>
            </xdr:cNvPr>
            <xdr:cNvSpPr txBox="1"/>
          </xdr:nvSpPr>
          <xdr:spPr>
            <a:xfrm>
              <a:off x="6195060" y="3501390"/>
              <a:ext cx="18883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5" name="TextBox 4">
              <a:extLst>
                <a:ext uri="{FF2B5EF4-FFF2-40B4-BE49-F238E27FC236}">
                  <a16:creationId xmlns:a16="http://schemas.microsoft.com/office/drawing/2014/main" id="{7889590A-8F92-41E0-8B65-CAAA9ECFFF8D}"/>
                </a:ext>
              </a:extLst>
            </xdr:cNvPr>
            <xdr:cNvSpPr txBox="1"/>
          </xdr:nvSpPr>
          <xdr:spPr>
            <a:xfrm>
              <a:off x="6195060" y="3501390"/>
              <a:ext cx="18883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8</xdr:col>
      <xdr:colOff>365760</xdr:colOff>
      <xdr:row>19</xdr:row>
      <xdr:rowOff>167640</xdr:rowOff>
    </xdr:from>
    <xdr:ext cx="186461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CD5A0342-A068-47E6-AB88-FB5DAEAB02AF}"/>
                </a:ext>
              </a:extLst>
            </xdr:cNvPr>
            <xdr:cNvSpPr txBox="1"/>
          </xdr:nvSpPr>
          <xdr:spPr>
            <a:xfrm>
              <a:off x="5654040" y="3642360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𝑂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CD5A0342-A068-47E6-AB88-FB5DAEAB02AF}"/>
                </a:ext>
              </a:extLst>
            </xdr:cNvPr>
            <xdr:cNvSpPr txBox="1"/>
          </xdr:nvSpPr>
          <xdr:spPr>
            <a:xfrm>
              <a:off x="5654040" y="3642360"/>
              <a:ext cx="186461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9</xdr:col>
      <xdr:colOff>144780</xdr:colOff>
      <xdr:row>19</xdr:row>
      <xdr:rowOff>179070</xdr:rowOff>
    </xdr:from>
    <xdr:ext cx="188834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E372FAE-2D39-4002-9F2A-5A45F7715B24}"/>
                </a:ext>
              </a:extLst>
            </xdr:cNvPr>
            <xdr:cNvSpPr txBox="1"/>
          </xdr:nvSpPr>
          <xdr:spPr>
            <a:xfrm>
              <a:off x="6256020" y="3653790"/>
              <a:ext cx="18883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𝑁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8" name="TextBox 7">
              <a:extLst>
                <a:ext uri="{FF2B5EF4-FFF2-40B4-BE49-F238E27FC236}">
                  <a16:creationId xmlns:a16="http://schemas.microsoft.com/office/drawing/2014/main" id="{6E372FAE-2D39-4002-9F2A-5A45F7715B24}"/>
                </a:ext>
              </a:extLst>
            </xdr:cNvPr>
            <xdr:cNvSpPr txBox="1"/>
          </xdr:nvSpPr>
          <xdr:spPr>
            <a:xfrm>
              <a:off x="6256020" y="3653790"/>
              <a:ext cx="188834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𝑁_2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13</xdr:col>
      <xdr:colOff>434789</xdr:colOff>
      <xdr:row>17</xdr:row>
      <xdr:rowOff>8965</xdr:rowOff>
    </xdr:from>
    <xdr:ext cx="19659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D29C5600-5019-4135-A3CC-03078507121E}"/>
                </a:ext>
              </a:extLst>
            </xdr:cNvPr>
            <xdr:cNvSpPr txBox="1"/>
          </xdr:nvSpPr>
          <xdr:spPr>
            <a:xfrm>
              <a:off x="11034209" y="6623125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m:rPr>
                        <m:sty m:val="p"/>
                      </m:rPr>
                      <a:rPr lang="en-GB" sz="1100">
                        <a:latin typeface="Cambria Math" panose="02040503050406030204" pitchFamily="18" charset="0"/>
                      </a:rPr>
                      <m:t>Δ</m:t>
                    </m:r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D29C5600-5019-4135-A3CC-03078507121E}"/>
                </a:ext>
              </a:extLst>
            </xdr:cNvPr>
            <xdr:cNvSpPr txBox="1"/>
          </xdr:nvSpPr>
          <xdr:spPr>
            <a:xfrm>
              <a:off x="11034209" y="6623125"/>
              <a:ext cx="19659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Δℎ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13</xdr:col>
      <xdr:colOff>434789</xdr:colOff>
      <xdr:row>18</xdr:row>
      <xdr:rowOff>8965</xdr:rowOff>
    </xdr:from>
    <xdr:ext cx="22762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1CAE2197-0BC8-415D-8091-969024A02AEC}"/>
                </a:ext>
              </a:extLst>
            </xdr:cNvPr>
            <xdr:cNvSpPr txBox="1"/>
          </xdr:nvSpPr>
          <xdr:spPr>
            <a:xfrm>
              <a:off x="11034209" y="6806005"/>
              <a:ext cx="2276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b="0" i="0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sty m:val="p"/>
                      </m:rPr>
                      <a:rPr lang="en-GB" sz="1100">
                        <a:latin typeface="Cambria Math" panose="02040503050406030204" pitchFamily="18" charset="0"/>
                      </a:rPr>
                      <m:t>Δ</m:t>
                    </m:r>
                    <m:r>
                      <a:rPr lang="en-GB" sz="1100" i="1">
                        <a:latin typeface="Cambria Math" panose="02040503050406030204" pitchFamily="18" charset="0"/>
                      </a:rPr>
                      <m:t>h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0" name="TextBox 9">
              <a:extLst>
                <a:ext uri="{FF2B5EF4-FFF2-40B4-BE49-F238E27FC236}">
                  <a16:creationId xmlns:a16="http://schemas.microsoft.com/office/drawing/2014/main" id="{1CAE2197-0BC8-415D-8091-969024A02AEC}"/>
                </a:ext>
              </a:extLst>
            </xdr:cNvPr>
            <xdr:cNvSpPr txBox="1"/>
          </xdr:nvSpPr>
          <xdr:spPr>
            <a:xfrm>
              <a:off x="11034209" y="6806005"/>
              <a:ext cx="22762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b="0" i="0">
                  <a:latin typeface="Cambria Math" panose="02040503050406030204" pitchFamily="18" charset="0"/>
                </a:rPr>
                <a:t> </a:t>
              </a:r>
              <a:r>
                <a:rPr lang="en-GB" sz="1100" i="0">
                  <a:latin typeface="Cambria Math" panose="02040503050406030204" pitchFamily="18" charset="0"/>
                </a:rPr>
                <a:t>Δℎ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220134</xdr:colOff>
      <xdr:row>27</xdr:row>
      <xdr:rowOff>1954</xdr:rowOff>
    </xdr:from>
    <xdr:ext cx="229807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A955E70D-EF69-4F7B-9B6D-F40F330DCC3B}"/>
                </a:ext>
              </a:extLst>
            </xdr:cNvPr>
            <xdr:cNvSpPr txBox="1"/>
          </xdr:nvSpPr>
          <xdr:spPr>
            <a:xfrm>
              <a:off x="829734" y="6616114"/>
              <a:ext cx="229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C</a:t>
              </a:r>
              <a14:m>
                <m:oMath xmlns:m="http://schemas.openxmlformats.org/officeDocument/2006/math">
                  <m:sSub>
                    <m:sSubPr>
                      <m:ctrlPr>
                        <a:rPr lang="en-GB" sz="11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GB" sz="1100" i="1">
                          <a:latin typeface="Cambria Math" panose="02040503050406030204" pitchFamily="18" charset="0"/>
                        </a:rPr>
                        <m:t>𝑂</m:t>
                      </m:r>
                    </m:e>
                    <m:sub>
                      <m:r>
                        <a:rPr lang="en-GB" sz="1100" i="0">
                          <a:latin typeface="Cambria Math" panose="02040503050406030204" pitchFamily="18" charset="0"/>
                        </a:rPr>
                        <m:t>2</m:t>
                      </m:r>
                    </m:sub>
                  </m:sSub>
                </m:oMath>
              </a14:m>
              <a:endParaRPr lang="en-GB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A955E70D-EF69-4F7B-9B6D-F40F330DCC3B}"/>
                </a:ext>
              </a:extLst>
            </xdr:cNvPr>
            <xdr:cNvSpPr txBox="1"/>
          </xdr:nvSpPr>
          <xdr:spPr>
            <a:xfrm>
              <a:off x="829734" y="6616114"/>
              <a:ext cx="229807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n-GB" sz="1100"/>
                <a:t>C</a:t>
              </a:r>
              <a:r>
                <a:rPr lang="en-GB" sz="1100" i="0">
                  <a:latin typeface="Cambria Math" panose="02040503050406030204" pitchFamily="18" charset="0"/>
                </a:rPr>
                <a:t>𝑂_2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560025</xdr:colOff>
      <xdr:row>28</xdr:row>
      <xdr:rowOff>0</xdr:rowOff>
    </xdr:from>
    <xdr:ext cx="290592" cy="34857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CF2E7944-FD72-4A09-B082-9EB2EAE0C40B}"/>
                </a:ext>
              </a:extLst>
            </xdr:cNvPr>
            <xdr:cNvSpPr txBox="1"/>
          </xdr:nvSpPr>
          <xdr:spPr>
            <a:xfrm>
              <a:off x="1169625" y="6797040"/>
              <a:ext cx="290592" cy="3485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𝑂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CF2E7944-FD72-4A09-B082-9EB2EAE0C40B}"/>
                </a:ext>
              </a:extLst>
            </xdr:cNvPr>
            <xdr:cNvSpPr txBox="1"/>
          </xdr:nvSpPr>
          <xdr:spPr>
            <a:xfrm>
              <a:off x="1169625" y="6797040"/>
              <a:ext cx="290592" cy="34857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𝐻_2 𝑂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165035</xdr:colOff>
      <xdr:row>30</xdr:row>
      <xdr:rowOff>14557</xdr:rowOff>
    </xdr:from>
    <xdr:ext cx="374846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55378DC3-D8CF-49C3-AB90-59A0B654DFC0}"/>
                </a:ext>
              </a:extLst>
            </xdr:cNvPr>
            <xdr:cNvSpPr txBox="1"/>
          </xdr:nvSpPr>
          <xdr:spPr>
            <a:xfrm>
              <a:off x="774635" y="7177357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𝑐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8</m:t>
                        </m:r>
                      </m:sub>
                    </m:sSub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18</m:t>
                        </m:r>
                      </m:sub>
                    </m:sSub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55378DC3-D8CF-49C3-AB90-59A0B654DFC0}"/>
                </a:ext>
              </a:extLst>
            </xdr:cNvPr>
            <xdr:cNvSpPr txBox="1"/>
          </xdr:nvSpPr>
          <xdr:spPr>
            <a:xfrm>
              <a:off x="774635" y="7177357"/>
              <a:ext cx="374846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𝑐_8 𝐻_18</a:t>
              </a:r>
              <a:endParaRPr lang="en-GB" sz="1100"/>
            </a:p>
          </xdr:txBody>
        </xdr:sp>
      </mc:Fallback>
    </mc:AlternateContent>
    <xdr:clientData/>
  </xdr:oneCellAnchor>
  <xdr:oneCellAnchor>
    <xdr:from>
      <xdr:col>1</xdr:col>
      <xdr:colOff>152791</xdr:colOff>
      <xdr:row>31</xdr:row>
      <xdr:rowOff>18855</xdr:rowOff>
    </xdr:from>
    <xdr:ext cx="360355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FC6583F-7488-48DB-985C-D422C88C6BFD}"/>
                </a:ext>
              </a:extLst>
            </xdr:cNvPr>
            <xdr:cNvSpPr txBox="1"/>
          </xdr:nvSpPr>
          <xdr:spPr>
            <a:xfrm>
              <a:off x="762391" y="7364535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GB" sz="1100" i="1">
                        <a:latin typeface="Cambria Math" panose="02040503050406030204" pitchFamily="18" charset="0"/>
                      </a:rPr>
                      <m:t>𝐶</m:t>
                    </m:r>
                    <m:sSub>
                      <m:sSubPr>
                        <m:ctrlPr>
                          <a:rPr lang="en-GB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GB" sz="1100" i="1">
                            <a:latin typeface="Cambria Math" panose="02040503050406030204" pitchFamily="18" charset="0"/>
                          </a:rPr>
                          <m:t>𝐻</m:t>
                        </m:r>
                      </m:e>
                      <m:sub>
                        <m:r>
                          <a:rPr lang="en-GB" sz="1100" i="0">
                            <a:latin typeface="Cambria Math" panose="02040503050406030204" pitchFamily="18" charset="0"/>
                          </a:rPr>
                          <m:t>4</m:t>
                        </m:r>
                      </m:sub>
                    </m:sSub>
                    <m:r>
                      <a:rPr lang="en-GB" sz="1100" i="1">
                        <a:latin typeface="Cambria Math" panose="02040503050406030204" pitchFamily="18" charset="0"/>
                      </a:rPr>
                      <m:t>𝑜</m:t>
                    </m:r>
                  </m:oMath>
                </m:oMathPara>
              </a14:m>
              <a:endParaRPr lang="en-GB" sz="1100"/>
            </a:p>
          </xdr:txBody>
        </xdr:sp>
      </mc:Choice>
      <mc:Fallback xmlns="">
        <xdr:sp macro="" textlink="">
          <xdr:nvSpPr>
            <xdr:cNvPr id="14" name="TextBox 13">
              <a:extLst>
                <a:ext uri="{FF2B5EF4-FFF2-40B4-BE49-F238E27FC236}">
                  <a16:creationId xmlns:a16="http://schemas.microsoft.com/office/drawing/2014/main" id="{CFC6583F-7488-48DB-985C-D422C88C6BFD}"/>
                </a:ext>
              </a:extLst>
            </xdr:cNvPr>
            <xdr:cNvSpPr txBox="1"/>
          </xdr:nvSpPr>
          <xdr:spPr>
            <a:xfrm>
              <a:off x="762391" y="7364535"/>
              <a:ext cx="360355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:r>
                <a:rPr lang="en-GB" sz="1100" i="0">
                  <a:latin typeface="Cambria Math" panose="02040503050406030204" pitchFamily="18" charset="0"/>
                </a:rPr>
                <a:t>𝐶𝐻_4 𝑜</a:t>
              </a:r>
              <a:endParaRPr lang="en-GB" sz="1100"/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A3FFD-37D8-4F61-8C7B-83E72FB067AE}">
  <dimension ref="A2:X62"/>
  <sheetViews>
    <sheetView topLeftCell="E16" zoomScale="82" zoomScaleNormal="82" workbookViewId="0">
      <selection activeCell="X38" sqref="X38"/>
    </sheetView>
  </sheetViews>
  <sheetFormatPr defaultRowHeight="14.4" x14ac:dyDescent="0.3"/>
  <cols>
    <col min="2" max="2" width="14.77734375" customWidth="1"/>
    <col min="4" max="4" width="14.88671875" customWidth="1"/>
    <col min="6" max="6" width="12.33203125" customWidth="1"/>
    <col min="7" max="7" width="10" bestFit="1" customWidth="1"/>
    <col min="12" max="12" width="10.77734375" bestFit="1" customWidth="1"/>
    <col min="17" max="17" width="22.44140625" customWidth="1"/>
    <col min="18" max="18" width="10.77734375" customWidth="1"/>
    <col min="19" max="19" width="18.5546875" customWidth="1"/>
    <col min="20" max="20" width="10.44140625" customWidth="1"/>
    <col min="23" max="23" width="9.33203125" customWidth="1"/>
    <col min="24" max="24" width="11.21875" customWidth="1"/>
  </cols>
  <sheetData>
    <row r="2" spans="2:23" x14ac:dyDescent="0.3">
      <c r="F2" s="1" t="s">
        <v>25</v>
      </c>
      <c r="G2" s="2"/>
      <c r="H2" s="3"/>
      <c r="I2" s="3"/>
      <c r="J2" s="3"/>
      <c r="K2" s="3"/>
      <c r="L2" s="3"/>
      <c r="M2" s="3"/>
      <c r="N2" s="4"/>
      <c r="Q2" s="36" t="s">
        <v>29</v>
      </c>
      <c r="R2" s="181" t="s">
        <v>30</v>
      </c>
      <c r="S2" s="181"/>
      <c r="T2" s="181"/>
      <c r="U2" s="181"/>
      <c r="V2" s="3"/>
      <c r="W2" s="4"/>
    </row>
    <row r="3" spans="2:23" x14ac:dyDescent="0.3">
      <c r="F3" s="5"/>
      <c r="G3" s="6"/>
      <c r="H3" s="6"/>
      <c r="I3" s="6"/>
      <c r="J3" s="6"/>
      <c r="K3" s="6"/>
      <c r="L3" s="6"/>
      <c r="M3" s="6"/>
      <c r="N3" s="7"/>
      <c r="Q3" s="5"/>
      <c r="R3" s="6"/>
      <c r="S3" s="6"/>
      <c r="T3" s="6"/>
      <c r="U3" s="6"/>
      <c r="V3" s="6"/>
      <c r="W3" s="7"/>
    </row>
    <row r="4" spans="2:23" x14ac:dyDescent="0.3">
      <c r="F4" s="5" t="s">
        <v>0</v>
      </c>
      <c r="G4" s="8">
        <v>21</v>
      </c>
      <c r="H4" s="6"/>
      <c r="I4" s="6"/>
      <c r="J4" s="6" t="s">
        <v>2</v>
      </c>
      <c r="K4" s="6"/>
      <c r="L4" s="6" t="s">
        <v>4</v>
      </c>
      <c r="M4" s="6"/>
      <c r="N4" s="7"/>
      <c r="Q4" s="172" t="s">
        <v>35</v>
      </c>
      <c r="R4" s="171"/>
      <c r="S4" s="171"/>
      <c r="T4" s="171"/>
      <c r="U4" s="171"/>
      <c r="V4" s="171"/>
      <c r="W4" s="176"/>
    </row>
    <row r="5" spans="2:23" x14ac:dyDescent="0.3">
      <c r="F5" s="5" t="s">
        <v>1</v>
      </c>
      <c r="G5" s="9">
        <f>100-$G$4</f>
        <v>79</v>
      </c>
      <c r="H5" s="6"/>
      <c r="I5" s="6"/>
      <c r="J5" s="6" t="s">
        <v>3</v>
      </c>
      <c r="K5" s="6"/>
      <c r="L5" s="6">
        <v>3.76</v>
      </c>
      <c r="M5" s="6"/>
      <c r="N5" s="7"/>
      <c r="Q5" s="5"/>
      <c r="R5" s="6"/>
      <c r="S5" s="6"/>
      <c r="T5" s="6"/>
      <c r="U5" s="6"/>
      <c r="V5" s="6"/>
      <c r="W5" s="7"/>
    </row>
    <row r="6" spans="2:23" x14ac:dyDescent="0.3">
      <c r="F6" s="5"/>
      <c r="G6" s="6"/>
      <c r="H6" s="6"/>
      <c r="I6" s="6"/>
      <c r="J6" s="6"/>
      <c r="K6" s="6"/>
      <c r="L6" s="6"/>
      <c r="M6" s="6"/>
      <c r="N6" s="7"/>
      <c r="Q6" s="5"/>
      <c r="R6" s="6"/>
      <c r="S6" s="6"/>
      <c r="T6" s="6"/>
      <c r="U6" s="6"/>
      <c r="V6" s="6"/>
      <c r="W6" s="7"/>
    </row>
    <row r="7" spans="2:23" x14ac:dyDescent="0.3">
      <c r="F7" s="5" t="s">
        <v>5</v>
      </c>
      <c r="G7" s="6"/>
      <c r="H7" s="6"/>
      <c r="I7" s="6"/>
      <c r="J7" s="6"/>
      <c r="K7" s="6"/>
      <c r="L7" s="6"/>
      <c r="M7" s="6"/>
      <c r="N7" s="7"/>
      <c r="Q7" s="5"/>
      <c r="R7" s="6"/>
      <c r="S7" s="6"/>
      <c r="T7" s="6"/>
      <c r="U7" s="6" t="s">
        <v>2</v>
      </c>
      <c r="V7" s="6"/>
      <c r="W7" s="7" t="s">
        <v>4</v>
      </c>
    </row>
    <row r="8" spans="2:23" x14ac:dyDescent="0.3">
      <c r="B8" t="s">
        <v>20</v>
      </c>
      <c r="F8" s="5"/>
      <c r="G8" s="6"/>
      <c r="H8" s="6"/>
      <c r="I8" s="6"/>
      <c r="J8" s="6"/>
      <c r="K8" s="6"/>
      <c r="L8" s="6"/>
      <c r="M8" s="6"/>
      <c r="N8" s="7"/>
      <c r="Q8" s="5"/>
      <c r="R8" s="6"/>
      <c r="S8" s="6"/>
      <c r="T8" s="6"/>
      <c r="U8" s="6" t="s">
        <v>3</v>
      </c>
      <c r="V8" s="6"/>
      <c r="W8" s="7">
        <v>3.76</v>
      </c>
    </row>
    <row r="9" spans="2:23" x14ac:dyDescent="0.3">
      <c r="F9" s="5"/>
      <c r="G9" s="6"/>
      <c r="H9" s="6"/>
      <c r="I9" s="6"/>
      <c r="J9" s="6"/>
      <c r="K9" s="6"/>
      <c r="L9" s="6"/>
      <c r="M9" s="6"/>
      <c r="N9" s="7"/>
      <c r="Q9" s="5"/>
      <c r="R9" s="6"/>
      <c r="S9" s="6"/>
      <c r="T9" s="6"/>
      <c r="U9" s="6"/>
      <c r="V9" s="6"/>
      <c r="W9" s="7"/>
    </row>
    <row r="10" spans="2:23" x14ac:dyDescent="0.3">
      <c r="D10" s="109" t="s">
        <v>23</v>
      </c>
      <c r="E10" s="108"/>
      <c r="F10" s="5"/>
      <c r="G10" s="6"/>
      <c r="H10" s="6"/>
      <c r="I10" s="6"/>
      <c r="J10" s="6"/>
      <c r="K10" s="6"/>
      <c r="L10" s="6"/>
      <c r="M10" s="6"/>
      <c r="N10" s="7"/>
      <c r="Q10" s="5"/>
      <c r="R10" s="6"/>
      <c r="S10" s="6"/>
      <c r="T10" s="6"/>
      <c r="U10" s="6"/>
      <c r="V10" s="6"/>
      <c r="W10" s="7"/>
    </row>
    <row r="11" spans="2:23" x14ac:dyDescent="0.3">
      <c r="B11" s="173" t="s">
        <v>21</v>
      </c>
      <c r="C11" s="174"/>
      <c r="D11" s="110" t="s">
        <v>22</v>
      </c>
      <c r="E11" s="6"/>
      <c r="F11" s="5" t="s">
        <v>51</v>
      </c>
      <c r="G11" s="30" t="s">
        <v>52</v>
      </c>
      <c r="H11" s="6"/>
      <c r="I11" s="6"/>
      <c r="J11" s="6" t="s">
        <v>16</v>
      </c>
      <c r="K11" s="6">
        <f>(2*$K$13+$K$14)/2</f>
        <v>12.5</v>
      </c>
      <c r="L11" s="6"/>
      <c r="M11" s="6"/>
      <c r="N11" s="7"/>
      <c r="Q11" s="5" t="s">
        <v>51</v>
      </c>
      <c r="R11" s="30" t="s">
        <v>52</v>
      </c>
      <c r="S11" s="17"/>
      <c r="T11" s="17"/>
      <c r="U11" s="21" t="s">
        <v>16</v>
      </c>
      <c r="V11" s="21">
        <f>(((2*$V$13)+$V$14)-1)/2</f>
        <v>14</v>
      </c>
      <c r="W11" s="18"/>
    </row>
    <row r="12" spans="2:23" x14ac:dyDescent="0.3">
      <c r="B12" s="5"/>
      <c r="C12" s="6"/>
      <c r="D12" s="7" t="s">
        <v>57</v>
      </c>
      <c r="E12" s="6"/>
      <c r="F12" s="5"/>
      <c r="G12" s="30"/>
      <c r="H12" s="6"/>
      <c r="I12" s="6"/>
      <c r="J12" s="6"/>
      <c r="K12" s="6"/>
      <c r="L12" s="6"/>
      <c r="M12" s="6"/>
      <c r="N12" s="7"/>
      <c r="Q12" s="16"/>
      <c r="R12" s="17"/>
      <c r="S12" s="17"/>
      <c r="T12" s="17"/>
      <c r="U12" s="21"/>
      <c r="V12" s="21"/>
      <c r="W12" s="18"/>
    </row>
    <row r="13" spans="2:23" x14ac:dyDescent="0.3">
      <c r="B13" s="5" t="s">
        <v>13</v>
      </c>
      <c r="C13" s="6">
        <v>1</v>
      </c>
      <c r="D13" s="7">
        <v>1.00797</v>
      </c>
      <c r="E13" s="6"/>
      <c r="F13" s="5" t="s">
        <v>6</v>
      </c>
      <c r="G13" s="6">
        <v>8</v>
      </c>
      <c r="H13" s="6"/>
      <c r="I13" s="6"/>
      <c r="J13" s="6" t="s">
        <v>17</v>
      </c>
      <c r="K13" s="6">
        <f>$G$13</f>
        <v>8</v>
      </c>
      <c r="L13" s="6"/>
      <c r="M13" s="6"/>
      <c r="N13" s="7"/>
      <c r="Q13" s="20" t="s">
        <v>6</v>
      </c>
      <c r="R13" s="21">
        <f>$G$13+$G$44</f>
        <v>9</v>
      </c>
      <c r="S13" s="17"/>
      <c r="T13" s="17"/>
      <c r="U13" s="21" t="s">
        <v>31</v>
      </c>
      <c r="V13" s="21">
        <f>$R$13</f>
        <v>9</v>
      </c>
      <c r="W13" s="18"/>
    </row>
    <row r="14" spans="2:23" x14ac:dyDescent="0.3">
      <c r="B14" s="5" t="s">
        <v>12</v>
      </c>
      <c r="C14" s="6">
        <v>6</v>
      </c>
      <c r="D14" s="7">
        <v>12.0107</v>
      </c>
      <c r="E14" s="6"/>
      <c r="F14" s="5" t="s">
        <v>7</v>
      </c>
      <c r="G14" s="6">
        <v>18</v>
      </c>
      <c r="H14" s="6"/>
      <c r="I14" s="6"/>
      <c r="J14" s="6" t="s">
        <v>18</v>
      </c>
      <c r="K14" s="6">
        <f>$G$14/2</f>
        <v>9</v>
      </c>
      <c r="L14" s="6"/>
      <c r="M14" s="6"/>
      <c r="N14" s="7"/>
      <c r="Q14" s="20" t="s">
        <v>7</v>
      </c>
      <c r="R14" s="21">
        <f>$G$14+$G$45</f>
        <v>22</v>
      </c>
      <c r="S14" s="17"/>
      <c r="T14" s="17"/>
      <c r="U14" s="21" t="s">
        <v>32</v>
      </c>
      <c r="V14" s="21">
        <f>$R$14/2</f>
        <v>11</v>
      </c>
      <c r="W14" s="18"/>
    </row>
    <row r="15" spans="2:23" x14ac:dyDescent="0.3">
      <c r="B15" s="5" t="s">
        <v>15</v>
      </c>
      <c r="C15" s="6">
        <v>7</v>
      </c>
      <c r="D15" s="7">
        <v>14.0067</v>
      </c>
      <c r="E15" s="6"/>
      <c r="F15" s="5" t="s">
        <v>53</v>
      </c>
      <c r="G15" s="6">
        <f>2*$K$11</f>
        <v>25</v>
      </c>
      <c r="H15" s="6"/>
      <c r="I15" s="6"/>
      <c r="J15" s="6" t="s">
        <v>19</v>
      </c>
      <c r="K15" s="6">
        <f>$K$11*$L$5</f>
        <v>47</v>
      </c>
      <c r="L15" s="6"/>
      <c r="M15" s="6"/>
      <c r="N15" s="7"/>
      <c r="Q15" s="20" t="s">
        <v>34</v>
      </c>
      <c r="R15" s="21">
        <v>1</v>
      </c>
      <c r="S15" s="17"/>
      <c r="T15" s="17"/>
      <c r="U15" s="21" t="s">
        <v>33</v>
      </c>
      <c r="V15" s="21">
        <f>$V$11*$W$8</f>
        <v>52.64</v>
      </c>
      <c r="W15" s="18"/>
    </row>
    <row r="16" spans="2:23" x14ac:dyDescent="0.3">
      <c r="B16" s="5" t="s">
        <v>14</v>
      </c>
      <c r="C16" s="6">
        <v>8</v>
      </c>
      <c r="D16" s="7">
        <v>15.9994</v>
      </c>
      <c r="E16" s="6"/>
      <c r="F16" s="5"/>
      <c r="G16" s="6"/>
      <c r="H16" s="6"/>
      <c r="I16" s="6"/>
      <c r="J16" s="30" t="s">
        <v>34</v>
      </c>
      <c r="K16" s="6">
        <f>2*$K$13+$K$14</f>
        <v>25</v>
      </c>
      <c r="L16" s="6"/>
      <c r="M16" s="6"/>
      <c r="N16" s="7"/>
      <c r="Q16" s="20"/>
      <c r="R16" s="17"/>
      <c r="S16" s="17"/>
      <c r="T16" s="17"/>
      <c r="U16" s="21"/>
      <c r="V16" s="21"/>
      <c r="W16" s="18"/>
    </row>
    <row r="17" spans="1:24" x14ac:dyDescent="0.3">
      <c r="B17" s="11"/>
      <c r="C17" s="12"/>
      <c r="D17" s="13"/>
      <c r="E17" s="6"/>
      <c r="F17" s="5" t="s">
        <v>9</v>
      </c>
      <c r="G17" s="6">
        <f>$K$11*(2*$D$16+$L$5*2*$D$15)</f>
        <v>1716.6148000000001</v>
      </c>
      <c r="H17" s="6" t="s">
        <v>70</v>
      </c>
      <c r="I17" s="6"/>
      <c r="J17" s="6"/>
      <c r="K17" s="6"/>
      <c r="L17" s="6"/>
      <c r="M17" s="6"/>
      <c r="N17" s="7"/>
      <c r="Q17" s="33" t="s">
        <v>200</v>
      </c>
      <c r="R17" s="35">
        <f>1+(2*$V$11)</f>
        <v>29</v>
      </c>
      <c r="S17" s="116"/>
      <c r="T17" s="35" t="s">
        <v>200</v>
      </c>
      <c r="U17" s="116"/>
      <c r="V17" s="35">
        <f>2*$V$13+$V$14</f>
        <v>29</v>
      </c>
      <c r="W17" s="117"/>
    </row>
    <row r="18" spans="1:24" x14ac:dyDescent="0.3">
      <c r="F18" s="5" t="s">
        <v>8</v>
      </c>
      <c r="G18" s="6">
        <f>($G$13*$D$14+$G$14*$D$13)</f>
        <v>114.22906</v>
      </c>
      <c r="H18" s="6" t="s">
        <v>70</v>
      </c>
      <c r="I18" s="6"/>
      <c r="J18" s="6"/>
      <c r="K18" s="6"/>
      <c r="L18" s="6"/>
      <c r="M18" s="6"/>
      <c r="N18" s="7"/>
      <c r="Q18" s="20" t="s">
        <v>202</v>
      </c>
      <c r="R18" s="21">
        <f>$V$11*2*$W$8</f>
        <v>105.28</v>
      </c>
      <c r="S18" s="17"/>
      <c r="T18" s="21" t="s">
        <v>202</v>
      </c>
      <c r="U18" s="17"/>
      <c r="V18" s="21">
        <f>2*$V$15</f>
        <v>105.28</v>
      </c>
      <c r="W18" s="18"/>
    </row>
    <row r="19" spans="1:24" x14ac:dyDescent="0.3">
      <c r="F19" s="5" t="s">
        <v>24</v>
      </c>
      <c r="G19" s="6">
        <f>$G$17/$G$18</f>
        <v>15.027829170615604</v>
      </c>
      <c r="H19" s="6"/>
      <c r="I19" s="6"/>
      <c r="J19" s="6"/>
      <c r="K19" s="6"/>
      <c r="L19" s="25"/>
      <c r="M19" s="6"/>
      <c r="N19" s="7"/>
      <c r="Q19" s="20" t="s">
        <v>201</v>
      </c>
      <c r="R19" s="21">
        <f>$R$13</f>
        <v>9</v>
      </c>
      <c r="S19" s="17"/>
      <c r="T19" s="21" t="s">
        <v>201</v>
      </c>
      <c r="U19" s="17"/>
      <c r="V19" s="21">
        <f>$V$13</f>
        <v>9</v>
      </c>
      <c r="W19" s="18"/>
    </row>
    <row r="20" spans="1:24" x14ac:dyDescent="0.3">
      <c r="F20" s="5" t="s">
        <v>197</v>
      </c>
      <c r="G20" s="6">
        <v>14.7</v>
      </c>
      <c r="H20" s="6"/>
      <c r="I20" s="6"/>
      <c r="J20" s="6"/>
      <c r="K20" s="6"/>
      <c r="L20" s="6"/>
      <c r="M20" s="6"/>
      <c r="N20" s="7"/>
      <c r="Q20" s="27" t="s">
        <v>203</v>
      </c>
      <c r="R20" s="28">
        <f>$R$14</f>
        <v>22</v>
      </c>
      <c r="S20" s="118"/>
      <c r="T20" s="28" t="s">
        <v>203</v>
      </c>
      <c r="U20" s="118"/>
      <c r="V20" s="28">
        <f>2*$V$14</f>
        <v>22</v>
      </c>
      <c r="W20" s="119"/>
    </row>
    <row r="21" spans="1:24" x14ac:dyDescent="0.3">
      <c r="F21" s="5" t="s">
        <v>196</v>
      </c>
      <c r="G21" s="6">
        <f>$G$19/$G$20</f>
        <v>1.0223013041235105</v>
      </c>
      <c r="H21" s="6"/>
      <c r="I21" s="6"/>
      <c r="J21" s="6"/>
      <c r="K21" s="6"/>
      <c r="L21" s="6"/>
      <c r="M21" s="6"/>
      <c r="N21" s="7"/>
      <c r="Q21" s="20" t="s">
        <v>55</v>
      </c>
      <c r="R21" s="21">
        <f>$V$11*((2*$D$16)+($W$8*2*$D$15))</f>
        <v>1922.6085760000001</v>
      </c>
      <c r="S21" s="6" t="s">
        <v>70</v>
      </c>
      <c r="T21" s="17"/>
      <c r="U21" s="17"/>
      <c r="V21" s="115" t="s">
        <v>199</v>
      </c>
      <c r="W21" s="18"/>
    </row>
    <row r="22" spans="1:24" x14ac:dyDescent="0.3">
      <c r="F22" s="5" t="s">
        <v>11</v>
      </c>
      <c r="G22" s="6">
        <f>1/$G$21</f>
        <v>0.97818519448859453</v>
      </c>
      <c r="H22" s="6"/>
      <c r="I22" s="6"/>
      <c r="J22" s="6"/>
      <c r="K22" s="6"/>
      <c r="L22" s="6"/>
      <c r="M22" s="6"/>
      <c r="N22" s="7"/>
      <c r="Q22" s="20" t="s">
        <v>54</v>
      </c>
      <c r="R22" s="21">
        <f>($R$13*$D$14+$R$14*$D$13++$R$15*$D$16)</f>
        <v>146.27104</v>
      </c>
      <c r="S22" s="6" t="s">
        <v>70</v>
      </c>
      <c r="T22" s="182" t="s">
        <v>56</v>
      </c>
      <c r="U22" s="183"/>
      <c r="V22" s="35">
        <f>($G$49/$R$22)*100</f>
        <v>21.905894700687163</v>
      </c>
      <c r="W22" s="120" t="s">
        <v>198</v>
      </c>
    </row>
    <row r="23" spans="1:24" x14ac:dyDescent="0.3">
      <c r="F23" s="5"/>
      <c r="G23" s="6"/>
      <c r="H23" s="6"/>
      <c r="I23" s="6"/>
      <c r="J23" s="6"/>
      <c r="K23" s="6"/>
      <c r="L23" s="6"/>
      <c r="M23" s="6"/>
      <c r="N23" s="7"/>
      <c r="Q23" s="20" t="s">
        <v>24</v>
      </c>
      <c r="R23" s="21">
        <f>$R$21/$R$22</f>
        <v>13.144150585105569</v>
      </c>
      <c r="S23" s="17"/>
      <c r="T23" s="184" t="s">
        <v>204</v>
      </c>
      <c r="U23" s="185"/>
      <c r="V23" s="28">
        <f>($G$18/$R$22)*100</f>
        <v>78.094105299312844</v>
      </c>
      <c r="W23" s="29">
        <f>V22+V23</f>
        <v>100</v>
      </c>
    </row>
    <row r="24" spans="1:24" x14ac:dyDescent="0.3">
      <c r="F24" s="5"/>
      <c r="G24" s="6"/>
      <c r="H24" s="6"/>
      <c r="I24" s="6"/>
      <c r="J24" s="6"/>
      <c r="K24" s="6"/>
      <c r="L24" s="6"/>
      <c r="M24" s="6"/>
      <c r="N24" s="7"/>
      <c r="Q24" s="20" t="s">
        <v>10</v>
      </c>
      <c r="R24" s="21">
        <v>14.7</v>
      </c>
      <c r="S24" s="21"/>
      <c r="T24" s="17"/>
      <c r="U24" s="17"/>
      <c r="V24" s="17"/>
      <c r="W24" s="19"/>
      <c r="X24" s="6"/>
    </row>
    <row r="25" spans="1:24" x14ac:dyDescent="0.3">
      <c r="A25" s="22" t="s">
        <v>36</v>
      </c>
      <c r="B25" s="3"/>
      <c r="C25" s="3"/>
      <c r="D25" s="4"/>
      <c r="E25" s="6"/>
      <c r="F25" s="5" t="s">
        <v>39</v>
      </c>
      <c r="G25" s="24" t="s">
        <v>25</v>
      </c>
      <c r="H25" s="24"/>
      <c r="I25" s="6">
        <f>($G$13*$D$14)+($G$14*$D$13)</f>
        <v>114.22906</v>
      </c>
      <c r="J25" s="6" t="s">
        <v>42</v>
      </c>
      <c r="K25" s="6" t="s">
        <v>43</v>
      </c>
      <c r="L25" s="6">
        <f>$K$13*(1*$D$14+2*$D$16)</f>
        <v>352.07600000000002</v>
      </c>
      <c r="M25" s="6" t="s">
        <v>42</v>
      </c>
      <c r="N25" s="7"/>
      <c r="Q25" s="5" t="s">
        <v>196</v>
      </c>
      <c r="R25" s="21">
        <f>$R$23/$R$24</f>
        <v>0.89415990374867826</v>
      </c>
      <c r="S25" s="21"/>
      <c r="T25" s="21"/>
      <c r="U25" s="21"/>
      <c r="V25" s="21"/>
      <c r="W25" s="26"/>
      <c r="X25" s="23"/>
    </row>
    <row r="26" spans="1:24" x14ac:dyDescent="0.3">
      <c r="A26" s="5"/>
      <c r="B26" s="6"/>
      <c r="C26" s="6"/>
      <c r="D26" s="7"/>
      <c r="E26" s="6"/>
      <c r="F26" s="5"/>
      <c r="G26" s="6"/>
      <c r="H26" s="6"/>
      <c r="I26" s="6"/>
      <c r="J26" s="6"/>
      <c r="K26" s="6" t="s">
        <v>44</v>
      </c>
      <c r="L26" s="6">
        <f>$K$14*(2*$D$13+1*$D$16)</f>
        <v>162.13806</v>
      </c>
      <c r="M26" s="6" t="s">
        <v>42</v>
      </c>
      <c r="N26" s="7"/>
      <c r="Q26" s="20" t="s">
        <v>11</v>
      </c>
      <c r="R26" s="21">
        <f>1/$R$25</f>
        <v>1.1183681976876814</v>
      </c>
      <c r="S26" s="21"/>
      <c r="T26" s="21"/>
      <c r="U26" s="21"/>
      <c r="V26" s="21"/>
      <c r="W26" s="26"/>
      <c r="X26" s="23"/>
    </row>
    <row r="27" spans="1:24" x14ac:dyDescent="0.3">
      <c r="A27" s="168" t="s">
        <v>37</v>
      </c>
      <c r="B27" s="169"/>
      <c r="C27" s="6" t="s">
        <v>38</v>
      </c>
      <c r="D27" s="7"/>
      <c r="E27" s="6"/>
      <c r="F27" s="11"/>
      <c r="G27" s="12"/>
      <c r="H27" s="12"/>
      <c r="I27" s="12"/>
      <c r="J27" s="12"/>
      <c r="K27" s="12" t="s">
        <v>45</v>
      </c>
      <c r="L27" s="12">
        <f>K15*(2*$D$15)</f>
        <v>1316.6297999999999</v>
      </c>
      <c r="M27" s="12" t="s">
        <v>42</v>
      </c>
      <c r="N27" s="13"/>
      <c r="Q27" s="27"/>
      <c r="R27" s="28"/>
      <c r="S27" s="28"/>
      <c r="T27" s="28"/>
      <c r="U27" s="28"/>
      <c r="V27" s="28"/>
      <c r="W27" s="29"/>
      <c r="X27" s="23"/>
    </row>
    <row r="28" spans="1:24" x14ac:dyDescent="0.3">
      <c r="A28" s="5"/>
      <c r="B28" s="6"/>
      <c r="C28" s="6"/>
      <c r="D28" s="170" t="s">
        <v>42</v>
      </c>
      <c r="E28" s="6"/>
      <c r="F28" s="175"/>
      <c r="G28" s="175"/>
      <c r="H28" s="6"/>
      <c r="I28" s="6"/>
      <c r="J28" s="6"/>
      <c r="K28" s="6"/>
      <c r="L28" s="6"/>
      <c r="M28" s="6"/>
      <c r="N28" s="6"/>
      <c r="T28" s="173" t="s">
        <v>50</v>
      </c>
      <c r="U28" s="174"/>
      <c r="V28" s="174"/>
      <c r="W28" s="4"/>
    </row>
    <row r="29" spans="1:24" x14ac:dyDescent="0.3">
      <c r="A29" s="5" t="s">
        <v>39</v>
      </c>
      <c r="B29" s="6" t="s">
        <v>12</v>
      </c>
      <c r="C29" s="6" t="s">
        <v>40</v>
      </c>
      <c r="D29" s="7">
        <f>$D$14</f>
        <v>12.0107</v>
      </c>
      <c r="E29" s="6"/>
      <c r="F29" s="6"/>
      <c r="G29" s="6"/>
      <c r="H29" s="6"/>
      <c r="I29" s="6"/>
      <c r="J29" s="6"/>
      <c r="K29" s="6"/>
      <c r="L29" s="6"/>
      <c r="M29" s="6"/>
      <c r="N29" s="6"/>
      <c r="T29" s="5"/>
      <c r="U29" s="6"/>
      <c r="V29" s="6"/>
      <c r="W29" s="7"/>
    </row>
    <row r="30" spans="1:24" x14ac:dyDescent="0.3">
      <c r="A30" s="5" t="s">
        <v>39</v>
      </c>
      <c r="B30" s="6" t="s">
        <v>41</v>
      </c>
      <c r="C30" s="6" t="s">
        <v>40</v>
      </c>
      <c r="D30" s="7">
        <f>$D$13</f>
        <v>1.00797</v>
      </c>
      <c r="E30" s="6"/>
      <c r="F30" s="6"/>
      <c r="G30" s="6"/>
      <c r="H30" s="6"/>
      <c r="I30" s="6"/>
      <c r="J30" s="6"/>
      <c r="K30" s="6"/>
      <c r="L30" s="6"/>
      <c r="M30" s="6"/>
      <c r="N30" s="6"/>
      <c r="T30" s="5"/>
      <c r="U30" s="6" t="s">
        <v>47</v>
      </c>
      <c r="V30" s="6">
        <v>-393.5</v>
      </c>
      <c r="W30" s="7" t="s">
        <v>48</v>
      </c>
    </row>
    <row r="31" spans="1:24" x14ac:dyDescent="0.3">
      <c r="A31" s="5" t="s">
        <v>39</v>
      </c>
      <c r="B31" s="6" t="s">
        <v>15</v>
      </c>
      <c r="C31" s="6" t="s">
        <v>40</v>
      </c>
      <c r="D31" s="7">
        <f>$D$15</f>
        <v>14.0067</v>
      </c>
      <c r="E31" s="6"/>
      <c r="F31" s="6"/>
      <c r="G31" s="6"/>
      <c r="H31" s="6"/>
      <c r="I31" s="6"/>
      <c r="J31" s="6"/>
      <c r="K31" s="6"/>
      <c r="L31" s="6"/>
      <c r="M31" s="6"/>
      <c r="N31" s="6"/>
      <c r="P31" t="s">
        <v>75</v>
      </c>
      <c r="T31" s="5"/>
      <c r="U31" s="6" t="s">
        <v>62</v>
      </c>
      <c r="V31" s="6">
        <v>-285.8</v>
      </c>
      <c r="W31" s="7" t="s">
        <v>48</v>
      </c>
    </row>
    <row r="32" spans="1:24" x14ac:dyDescent="0.3">
      <c r="A32" s="11" t="s">
        <v>39</v>
      </c>
      <c r="B32" s="12" t="s">
        <v>34</v>
      </c>
      <c r="C32" s="12" t="s">
        <v>40</v>
      </c>
      <c r="D32" s="13">
        <f>$D$16</f>
        <v>15.9994</v>
      </c>
      <c r="E32" s="6"/>
      <c r="F32" s="6"/>
      <c r="G32" s="6"/>
      <c r="H32" s="6"/>
      <c r="I32" s="6"/>
      <c r="J32" s="6"/>
      <c r="K32" s="6"/>
      <c r="L32" s="6"/>
      <c r="M32" s="6"/>
      <c r="N32" s="6"/>
      <c r="T32" s="5"/>
      <c r="U32" s="6" t="s">
        <v>63</v>
      </c>
      <c r="V32" s="6">
        <v>-241.8</v>
      </c>
      <c r="W32" s="7" t="s">
        <v>48</v>
      </c>
    </row>
    <row r="33" spans="1:23" x14ac:dyDescent="0.3">
      <c r="Q33" s="178" t="s">
        <v>69</v>
      </c>
      <c r="R33" s="179"/>
      <c r="S33" s="180"/>
      <c r="T33" s="5"/>
      <c r="U33" s="6" t="s">
        <v>49</v>
      </c>
      <c r="V33" s="6">
        <v>-259.2</v>
      </c>
      <c r="W33" s="7" t="s">
        <v>48</v>
      </c>
    </row>
    <row r="34" spans="1:23" x14ac:dyDescent="0.3">
      <c r="Q34" s="173" t="s">
        <v>64</v>
      </c>
      <c r="R34" s="174"/>
      <c r="S34" s="177"/>
      <c r="T34" s="5"/>
      <c r="U34" s="12" t="s">
        <v>47</v>
      </c>
      <c r="V34" s="12">
        <v>-201.5</v>
      </c>
      <c r="W34" s="13" t="s">
        <v>48</v>
      </c>
    </row>
    <row r="35" spans="1:23" x14ac:dyDescent="0.3">
      <c r="F35" s="14" t="s">
        <v>26</v>
      </c>
      <c r="G35" s="15"/>
      <c r="H35" s="3"/>
      <c r="I35" s="3"/>
      <c r="J35" s="3"/>
      <c r="K35" s="3"/>
      <c r="L35" s="4"/>
      <c r="Q35" s="121" t="s">
        <v>66</v>
      </c>
      <c r="R35" s="108"/>
      <c r="S35" s="108"/>
      <c r="T35" s="108"/>
      <c r="U35" s="6"/>
      <c r="V35" s="6"/>
      <c r="W35" s="7"/>
    </row>
    <row r="36" spans="1:23" x14ac:dyDescent="0.3">
      <c r="F36" s="22" t="s">
        <v>0</v>
      </c>
      <c r="G36" s="114">
        <v>21</v>
      </c>
      <c r="H36" s="3"/>
      <c r="I36" s="3"/>
      <c r="J36" s="3" t="s">
        <v>2</v>
      </c>
      <c r="K36" s="3"/>
      <c r="L36" s="4" t="s">
        <v>4</v>
      </c>
      <c r="Q36" s="5"/>
      <c r="R36" s="6"/>
      <c r="S36" s="6"/>
      <c r="T36" s="106"/>
      <c r="U36" s="106"/>
      <c r="V36" s="106"/>
      <c r="W36" s="107"/>
    </row>
    <row r="37" spans="1:23" x14ac:dyDescent="0.3">
      <c r="F37" s="5" t="s">
        <v>1</v>
      </c>
      <c r="G37" s="9">
        <f>100-$G$4</f>
        <v>79</v>
      </c>
      <c r="H37" s="6"/>
      <c r="I37" s="6"/>
      <c r="J37" s="6" t="s">
        <v>3</v>
      </c>
      <c r="K37" s="6"/>
      <c r="L37" s="7">
        <v>3.76</v>
      </c>
      <c r="Q37" s="5"/>
      <c r="R37" s="6"/>
      <c r="S37" s="6"/>
      <c r="T37" s="6"/>
      <c r="U37" s="6"/>
      <c r="V37" s="6"/>
      <c r="W37" s="7"/>
    </row>
    <row r="38" spans="1:23" x14ac:dyDescent="0.3">
      <c r="F38" s="5"/>
      <c r="G38" s="6"/>
      <c r="H38" s="6"/>
      <c r="I38" s="6"/>
      <c r="J38" s="6"/>
      <c r="K38" s="6"/>
      <c r="L38" s="7"/>
      <c r="Q38" s="5" t="s">
        <v>60</v>
      </c>
      <c r="R38" s="6"/>
      <c r="S38" s="6"/>
      <c r="T38" s="6"/>
      <c r="U38" s="6"/>
      <c r="V38" s="6"/>
      <c r="W38" s="7"/>
    </row>
    <row r="39" spans="1:23" x14ac:dyDescent="0.3">
      <c r="F39" s="5"/>
      <c r="G39" s="6"/>
      <c r="H39" s="6"/>
      <c r="I39" s="6"/>
      <c r="J39" s="6"/>
      <c r="K39" s="6"/>
      <c r="L39" s="7"/>
      <c r="Q39" s="5"/>
      <c r="R39" s="171" t="s">
        <v>58</v>
      </c>
      <c r="S39" s="171"/>
      <c r="T39" s="6">
        <f>(($V$34)+($V$33))</f>
        <v>-460.7</v>
      </c>
      <c r="U39" s="6" t="s">
        <v>68</v>
      </c>
      <c r="V39" s="6"/>
      <c r="W39" s="7"/>
    </row>
    <row r="40" spans="1:23" x14ac:dyDescent="0.3">
      <c r="F40" s="5"/>
      <c r="G40" s="6"/>
      <c r="H40" s="6"/>
      <c r="I40" s="6"/>
      <c r="J40" s="6"/>
      <c r="K40" s="6"/>
      <c r="L40" s="7"/>
      <c r="Q40" s="5"/>
      <c r="R40" s="171" t="s">
        <v>205</v>
      </c>
      <c r="S40" s="171"/>
      <c r="T40" s="6">
        <f>((9*$V$30)+(11*$V$31))</f>
        <v>-6685.3</v>
      </c>
      <c r="U40" s="6" t="s">
        <v>68</v>
      </c>
      <c r="V40" s="6"/>
      <c r="W40" s="7"/>
    </row>
    <row r="41" spans="1:23" x14ac:dyDescent="0.3">
      <c r="A41" s="6"/>
      <c r="F41" s="5"/>
      <c r="G41" s="6"/>
      <c r="H41" s="6"/>
      <c r="I41" s="6"/>
      <c r="J41" s="6"/>
      <c r="K41" s="6"/>
      <c r="L41" s="7"/>
      <c r="Q41" s="5"/>
      <c r="R41" s="6"/>
      <c r="S41" s="6"/>
      <c r="V41" s="6"/>
      <c r="W41" s="7"/>
    </row>
    <row r="42" spans="1:23" x14ac:dyDescent="0.3">
      <c r="A42" s="6"/>
      <c r="F42" s="5"/>
      <c r="G42" s="6"/>
      <c r="H42" s="6"/>
      <c r="I42" s="6"/>
      <c r="J42" s="6"/>
      <c r="K42" s="6"/>
      <c r="L42" s="7"/>
      <c r="Q42" s="5"/>
      <c r="R42" s="6"/>
      <c r="S42" s="122" t="s">
        <v>71</v>
      </c>
      <c r="T42" s="31">
        <f>ABS($T$40)-ABS($T$39)</f>
        <v>6224.6</v>
      </c>
      <c r="U42" s="6" t="s">
        <v>67</v>
      </c>
      <c r="V42" s="6" t="s">
        <v>73</v>
      </c>
      <c r="W42" s="7"/>
    </row>
    <row r="43" spans="1:23" x14ac:dyDescent="0.3">
      <c r="A43" s="6"/>
      <c r="F43" s="5" t="s">
        <v>51</v>
      </c>
      <c r="G43" s="6" t="s">
        <v>52</v>
      </c>
      <c r="H43" s="6"/>
      <c r="I43" s="6"/>
      <c r="J43" s="6" t="s">
        <v>16</v>
      </c>
      <c r="K43" s="6">
        <f>(2*$K$44+$K$45-G46)/2</f>
        <v>1.5</v>
      </c>
      <c r="L43" s="7"/>
      <c r="Q43" s="5"/>
      <c r="R43" s="6"/>
      <c r="S43" s="6"/>
      <c r="T43" s="6">
        <f>$T$42/$R$22</f>
        <v>42.555245385552738</v>
      </c>
      <c r="U43" s="6" t="s">
        <v>74</v>
      </c>
      <c r="V43" s="171" t="s">
        <v>72</v>
      </c>
      <c r="W43" s="176"/>
    </row>
    <row r="44" spans="1:23" x14ac:dyDescent="0.3">
      <c r="A44" s="6"/>
      <c r="F44" s="5" t="s">
        <v>6</v>
      </c>
      <c r="G44" s="6">
        <v>1</v>
      </c>
      <c r="H44" s="6"/>
      <c r="I44" s="6"/>
      <c r="J44" s="6" t="s">
        <v>17</v>
      </c>
      <c r="K44" s="6">
        <f>$G$44</f>
        <v>1</v>
      </c>
      <c r="L44" s="7"/>
      <c r="Q44" s="5"/>
      <c r="R44" s="6"/>
      <c r="S44" s="6"/>
      <c r="T44" s="6"/>
      <c r="U44" s="6"/>
      <c r="V44" s="6"/>
      <c r="W44" s="7"/>
    </row>
    <row r="45" spans="1:23" x14ac:dyDescent="0.3">
      <c r="A45" s="6"/>
      <c r="F45" s="5" t="s">
        <v>7</v>
      </c>
      <c r="G45" s="6">
        <v>4</v>
      </c>
      <c r="H45" s="6"/>
      <c r="I45" s="6"/>
      <c r="J45" s="6" t="s">
        <v>18</v>
      </c>
      <c r="K45" s="6">
        <f>$G$45/2</f>
        <v>2</v>
      </c>
      <c r="L45" s="7"/>
      <c r="Q45" s="172" t="s">
        <v>65</v>
      </c>
      <c r="R45" s="171"/>
      <c r="S45" s="171"/>
      <c r="T45" s="171"/>
      <c r="U45" s="6"/>
      <c r="V45" s="6"/>
      <c r="W45" s="7"/>
    </row>
    <row r="46" spans="1:23" x14ac:dyDescent="0.3">
      <c r="A46" s="6"/>
      <c r="F46" s="5" t="s">
        <v>27</v>
      </c>
      <c r="G46" s="6">
        <v>1</v>
      </c>
      <c r="H46" s="6"/>
      <c r="I46" s="6"/>
      <c r="J46" s="6" t="s">
        <v>19</v>
      </c>
      <c r="K46" s="6">
        <f>($L$37*$K$43)/2</f>
        <v>2.82</v>
      </c>
      <c r="L46" s="7"/>
      <c r="Q46" s="5" t="s">
        <v>61</v>
      </c>
      <c r="R46" s="6"/>
      <c r="S46" s="6"/>
      <c r="T46" s="106"/>
      <c r="U46" s="106"/>
      <c r="V46" s="106"/>
      <c r="W46" s="7"/>
    </row>
    <row r="47" spans="1:23" x14ac:dyDescent="0.3">
      <c r="A47" s="6"/>
      <c r="F47" s="5"/>
      <c r="G47" s="6"/>
      <c r="H47" s="6"/>
      <c r="I47" s="6"/>
      <c r="J47" s="6"/>
      <c r="K47" s="6"/>
      <c r="L47" s="7"/>
      <c r="Q47" s="5"/>
      <c r="R47" s="171" t="s">
        <v>58</v>
      </c>
      <c r="S47" s="171"/>
      <c r="T47" s="6">
        <f>(($V$34)+($V$33))</f>
        <v>-460.7</v>
      </c>
      <c r="U47" s="6" t="s">
        <v>68</v>
      </c>
      <c r="V47" s="6"/>
      <c r="W47" s="7"/>
    </row>
    <row r="48" spans="1:23" x14ac:dyDescent="0.3">
      <c r="F48" s="5" t="s">
        <v>9</v>
      </c>
      <c r="G48" s="6">
        <f>$K$43*(2*$D$16+$L$37*2*$D$15)</f>
        <v>205.993776</v>
      </c>
      <c r="H48" s="6"/>
      <c r="I48" s="6"/>
      <c r="J48" s="6"/>
      <c r="K48" s="6"/>
      <c r="L48" s="7"/>
      <c r="Q48" s="5"/>
      <c r="R48" s="171" t="s">
        <v>205</v>
      </c>
      <c r="S48" s="171"/>
      <c r="T48" s="6">
        <f>((9*$V$30)+(11*$V$32))</f>
        <v>-6201.3</v>
      </c>
      <c r="U48" s="6" t="s">
        <v>68</v>
      </c>
      <c r="V48" s="6"/>
      <c r="W48" s="7"/>
    </row>
    <row r="49" spans="6:23" x14ac:dyDescent="0.3">
      <c r="F49" s="5" t="s">
        <v>8</v>
      </c>
      <c r="G49" s="6">
        <f>($G$44*$D$14+$G$45*$D$13+G46*$D$16)</f>
        <v>32.041980000000002</v>
      </c>
      <c r="H49" s="6"/>
      <c r="I49" s="6"/>
      <c r="J49" s="6"/>
      <c r="K49" s="6"/>
      <c r="L49" s="7"/>
      <c r="Q49" s="5"/>
      <c r="R49" s="6"/>
      <c r="S49" s="6"/>
      <c r="V49" s="6"/>
      <c r="W49" s="7"/>
    </row>
    <row r="50" spans="6:23" x14ac:dyDescent="0.3">
      <c r="F50" s="5" t="s">
        <v>24</v>
      </c>
      <c r="G50" s="6">
        <f>$G$48/$G$49</f>
        <v>6.428871624038214</v>
      </c>
      <c r="H50" s="6"/>
      <c r="I50" s="6"/>
      <c r="J50" s="6"/>
      <c r="K50" s="6"/>
      <c r="L50" s="7"/>
      <c r="Q50" s="5"/>
      <c r="R50" s="6"/>
      <c r="S50" s="123" t="s">
        <v>59</v>
      </c>
      <c r="T50" s="32">
        <f>ABS($T$48)-ABS($T$47)</f>
        <v>5740.6</v>
      </c>
      <c r="U50" s="6" t="s">
        <v>67</v>
      </c>
      <c r="V50" s="6" t="s">
        <v>73</v>
      </c>
      <c r="W50" s="7"/>
    </row>
    <row r="51" spans="6:23" x14ac:dyDescent="0.3">
      <c r="F51" s="5" t="s">
        <v>197</v>
      </c>
      <c r="G51" s="6">
        <v>14.7</v>
      </c>
      <c r="H51" s="6"/>
      <c r="I51" s="6"/>
      <c r="J51" s="6"/>
      <c r="K51" s="6"/>
      <c r="L51" s="7"/>
      <c r="Q51" s="11"/>
      <c r="R51" s="12"/>
      <c r="S51" s="12"/>
      <c r="T51" s="12">
        <f>$T$50/$R$22</f>
        <v>39.246319708945805</v>
      </c>
      <c r="U51" s="12" t="s">
        <v>74</v>
      </c>
      <c r="V51" s="12" t="s">
        <v>72</v>
      </c>
      <c r="W51" s="13"/>
    </row>
    <row r="52" spans="6:23" x14ac:dyDescent="0.3">
      <c r="F52" s="5" t="s">
        <v>196</v>
      </c>
      <c r="G52" s="6">
        <f>$G$50/$G$51</f>
        <v>0.43733820571688531</v>
      </c>
      <c r="H52" s="6"/>
      <c r="I52" s="6"/>
      <c r="J52" s="6"/>
      <c r="K52" s="6"/>
      <c r="L52" s="7"/>
    </row>
    <row r="53" spans="6:23" x14ac:dyDescent="0.3">
      <c r="F53" s="5"/>
      <c r="G53" s="6"/>
      <c r="H53" s="6"/>
      <c r="I53" s="6"/>
      <c r="J53" s="6"/>
      <c r="K53" s="6"/>
      <c r="L53" s="10"/>
    </row>
    <row r="54" spans="6:23" x14ac:dyDescent="0.3">
      <c r="F54" s="5" t="s">
        <v>11</v>
      </c>
      <c r="G54" s="6">
        <f>1/$G$52</f>
        <v>2.2865598910134066</v>
      </c>
      <c r="H54" s="6"/>
      <c r="I54" s="6"/>
      <c r="J54" s="6"/>
      <c r="K54" s="6"/>
      <c r="L54" s="7"/>
    </row>
    <row r="55" spans="6:23" x14ac:dyDescent="0.3">
      <c r="F55" s="5" t="s">
        <v>28</v>
      </c>
      <c r="G55" s="6"/>
      <c r="H55" s="6"/>
      <c r="I55" s="6"/>
      <c r="J55" s="6"/>
      <c r="K55" s="6"/>
      <c r="L55" s="7"/>
    </row>
    <row r="56" spans="6:23" x14ac:dyDescent="0.3">
      <c r="F56" s="5"/>
      <c r="G56" s="6"/>
      <c r="H56" s="6"/>
      <c r="I56" s="6"/>
      <c r="J56" s="6"/>
      <c r="K56" s="6"/>
      <c r="L56" s="7"/>
      <c r="Q56" s="33" t="s">
        <v>76</v>
      </c>
      <c r="R56" s="34" t="s">
        <v>25</v>
      </c>
      <c r="S56" s="34"/>
      <c r="T56" s="3"/>
      <c r="U56" s="35" t="s">
        <v>43</v>
      </c>
      <c r="V56" s="3">
        <f>$V$13*$D$29+$V$13*2*$D$32</f>
        <v>396.08549999999997</v>
      </c>
      <c r="W56" s="4" t="s">
        <v>42</v>
      </c>
    </row>
    <row r="57" spans="6:23" x14ac:dyDescent="0.3">
      <c r="F57" s="5"/>
      <c r="G57" s="6"/>
      <c r="H57" s="6"/>
      <c r="I57" s="30"/>
      <c r="J57" s="30"/>
      <c r="K57" s="30"/>
      <c r="L57" s="113"/>
      <c r="Q57" s="20"/>
      <c r="R57" s="21" t="s">
        <v>46</v>
      </c>
      <c r="S57" s="21"/>
      <c r="T57" s="21"/>
      <c r="U57" s="21" t="s">
        <v>43</v>
      </c>
      <c r="V57" s="21">
        <f>$L$25+$L$59</f>
        <v>396.08550000000002</v>
      </c>
      <c r="W57" s="7" t="s">
        <v>42</v>
      </c>
    </row>
    <row r="58" spans="6:23" x14ac:dyDescent="0.3">
      <c r="F58" s="11"/>
      <c r="G58" s="12"/>
      <c r="H58" s="12"/>
      <c r="I58" s="111"/>
      <c r="J58" s="111"/>
      <c r="K58" s="111"/>
      <c r="L58" s="112" t="s">
        <v>42</v>
      </c>
      <c r="Q58" s="20"/>
      <c r="R58" s="124" t="s">
        <v>26</v>
      </c>
      <c r="S58" s="124"/>
      <c r="T58" s="21"/>
      <c r="U58" s="21" t="s">
        <v>44</v>
      </c>
      <c r="V58" s="21">
        <f>$L$60+$L$26</f>
        <v>198.16873999999999</v>
      </c>
      <c r="W58" s="7" t="s">
        <v>42</v>
      </c>
    </row>
    <row r="59" spans="6:23" x14ac:dyDescent="0.3">
      <c r="F59" s="22" t="s">
        <v>39</v>
      </c>
      <c r="G59" s="14" t="s">
        <v>26</v>
      </c>
      <c r="H59" s="15"/>
      <c r="I59" s="3">
        <f xml:space="preserve"> ($G$44*$D$14)+($G$45*$D$13)+($G$46*$D$16)</f>
        <v>32.041980000000002</v>
      </c>
      <c r="J59" s="3" t="s">
        <v>42</v>
      </c>
      <c r="K59" s="3" t="s">
        <v>43</v>
      </c>
      <c r="L59" s="4">
        <f>$K$44*(1*$D$14+2*$D$16)</f>
        <v>44.009500000000003</v>
      </c>
      <c r="M59" s="5"/>
      <c r="Q59" s="11"/>
      <c r="R59" s="12"/>
      <c r="S59" s="12"/>
      <c r="T59" s="28"/>
      <c r="U59" s="28" t="s">
        <v>45</v>
      </c>
      <c r="V59" s="28">
        <f>$L$27+$L$61</f>
        <v>1395.6275879999998</v>
      </c>
      <c r="W59" s="13" t="s">
        <v>42</v>
      </c>
    </row>
    <row r="60" spans="6:23" x14ac:dyDescent="0.3">
      <c r="F60" s="5"/>
      <c r="G60" s="6"/>
      <c r="H60" s="6"/>
      <c r="I60" s="6"/>
      <c r="J60" s="6"/>
      <c r="K60" s="6" t="s">
        <v>44</v>
      </c>
      <c r="L60" s="7">
        <f>$K$45*(2*$D$13+1*$D$16)</f>
        <v>36.030679999999997</v>
      </c>
      <c r="M60" s="5"/>
      <c r="Q60" s="6"/>
      <c r="R60" s="6"/>
      <c r="S60" s="6"/>
      <c r="T60" s="6"/>
      <c r="U60" s="6"/>
      <c r="V60" s="6"/>
      <c r="W60" s="6"/>
    </row>
    <row r="61" spans="6:23" x14ac:dyDescent="0.3">
      <c r="F61" s="11"/>
      <c r="G61" s="12"/>
      <c r="H61" s="12"/>
      <c r="I61" s="12"/>
      <c r="J61" s="12"/>
      <c r="K61" s="12" t="s">
        <v>45</v>
      </c>
      <c r="L61" s="13">
        <f>$K$46*(2*$D$15)</f>
        <v>78.997788</v>
      </c>
      <c r="M61" s="5"/>
    </row>
    <row r="62" spans="6:23" x14ac:dyDescent="0.3">
      <c r="L62" s="6"/>
      <c r="M62" s="6"/>
    </row>
  </sheetData>
  <mergeCells count="15">
    <mergeCell ref="R2:U2"/>
    <mergeCell ref="Q4:W4"/>
    <mergeCell ref="T22:U22"/>
    <mergeCell ref="T23:U23"/>
    <mergeCell ref="B11:C11"/>
    <mergeCell ref="R48:S48"/>
    <mergeCell ref="R39:S39"/>
    <mergeCell ref="Q45:T45"/>
    <mergeCell ref="T28:V28"/>
    <mergeCell ref="F28:G28"/>
    <mergeCell ref="V43:W43"/>
    <mergeCell ref="Q34:S34"/>
    <mergeCell ref="Q33:S33"/>
    <mergeCell ref="R40:S40"/>
    <mergeCell ref="R47:S4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9E31-299B-476C-AC46-F7641EFCAE3F}">
  <dimension ref="A1:AR106"/>
  <sheetViews>
    <sheetView topLeftCell="E91" zoomScale="65" zoomScaleNormal="65" workbookViewId="0">
      <selection activeCell="E34" sqref="E34"/>
    </sheetView>
  </sheetViews>
  <sheetFormatPr defaultRowHeight="14.4" x14ac:dyDescent="0.3"/>
  <cols>
    <col min="1" max="2" width="8.88671875" style="67"/>
    <col min="3" max="3" width="14" style="67" customWidth="1"/>
    <col min="4" max="4" width="8.88671875" style="67"/>
    <col min="5" max="5" width="12.77734375" style="67" customWidth="1"/>
    <col min="6" max="6" width="8.88671875" style="67" customWidth="1"/>
    <col min="7" max="7" width="8.88671875" style="67"/>
    <col min="8" max="8" width="8.109375" style="67" customWidth="1"/>
    <col min="9" max="9" width="9.88671875" style="67" customWidth="1"/>
    <col min="10" max="10" width="13.21875" style="67" customWidth="1"/>
    <col min="11" max="11" width="11.5546875" style="67" customWidth="1"/>
    <col min="12" max="12" width="8.88671875" style="67"/>
    <col min="13" max="13" width="10.109375" style="67" customWidth="1"/>
    <col min="14" max="14" width="8.88671875" style="67"/>
    <col min="15" max="15" width="16.109375" style="67" customWidth="1"/>
    <col min="16" max="16" width="13.21875" style="67" customWidth="1"/>
    <col min="17" max="17" width="18.44140625" style="67" customWidth="1"/>
    <col min="18" max="18" width="15" style="67" customWidth="1"/>
    <col min="19" max="19" width="12" style="67" bestFit="1" customWidth="1"/>
    <col min="20" max="20" width="10.109375" style="67" customWidth="1"/>
    <col min="21" max="21" width="12.21875" style="67" customWidth="1"/>
    <col min="22" max="23" width="20.44140625" style="67" customWidth="1"/>
    <col min="24" max="24" width="13.33203125" style="67" customWidth="1"/>
    <col min="25" max="25" width="16" style="67" customWidth="1"/>
    <col min="26" max="26" width="15.88671875" style="67" customWidth="1"/>
    <col min="27" max="27" width="14.44140625" style="67" customWidth="1"/>
    <col min="28" max="28" width="11.77734375" style="67" customWidth="1"/>
    <col min="29" max="29" width="14.77734375" style="67" customWidth="1"/>
    <col min="30" max="30" width="8.88671875" style="67"/>
    <col min="31" max="31" width="14.21875" style="67" customWidth="1"/>
    <col min="32" max="32" width="8.88671875" style="67" customWidth="1"/>
    <col min="33" max="39" width="8.88671875" style="67"/>
    <col min="40" max="40" width="11.5546875" style="67" customWidth="1"/>
    <col min="41" max="16384" width="8.88671875" style="67"/>
  </cols>
  <sheetData>
    <row r="1" spans="1:44" x14ac:dyDescent="0.3">
      <c r="Q1" s="68" t="s">
        <v>96</v>
      </c>
      <c r="R1" s="69" t="s">
        <v>128</v>
      </c>
      <c r="S1" s="70" t="s">
        <v>130</v>
      </c>
      <c r="T1" s="70" t="s">
        <v>131</v>
      </c>
      <c r="U1" s="70" t="s">
        <v>132</v>
      </c>
      <c r="V1" s="70" t="s">
        <v>133</v>
      </c>
      <c r="W1" s="70"/>
      <c r="X1" s="70"/>
      <c r="Y1" s="71"/>
      <c r="AC1" s="67" t="s">
        <v>135</v>
      </c>
    </row>
    <row r="2" spans="1:44" x14ac:dyDescent="0.3">
      <c r="B2"/>
      <c r="C2" s="196" t="s">
        <v>78</v>
      </c>
      <c r="D2" s="197"/>
      <c r="E2" s="3"/>
      <c r="F2" s="4"/>
      <c r="R2" s="72">
        <v>1</v>
      </c>
      <c r="S2" s="67">
        <f>O8*$R$2</f>
        <v>8</v>
      </c>
      <c r="T2" s="67">
        <f>P8*$R$2</f>
        <v>9</v>
      </c>
      <c r="U2" s="67">
        <f>($K$8-(2*$S$2)-$T$2)/2</f>
        <v>0</v>
      </c>
      <c r="V2" s="67">
        <f>$R$8</f>
        <v>47</v>
      </c>
      <c r="Y2" s="73"/>
      <c r="AC2" s="67" t="s">
        <v>134</v>
      </c>
      <c r="AD2" s="67">
        <f>((6.6506859177*10^-19)*(A3^6))-((7.8984343104*10^-15)*(A3^5))+((3.6879849877*10^-11)*(A3^4))-((8.6386228559*10^-8)*(A3^3))+((1.1074017861*10^-4)*(A3^2))-((3.1241611608*10^-2)*(A3))+(3.3006694533)</f>
        <v>3.3006694532999998</v>
      </c>
    </row>
    <row r="3" spans="1:44" x14ac:dyDescent="0.3">
      <c r="A3" s="74"/>
      <c r="B3"/>
      <c r="C3" s="5"/>
      <c r="D3" s="6"/>
      <c r="E3" s="6"/>
      <c r="F3" s="7"/>
      <c r="R3" s="75" t="s">
        <v>129</v>
      </c>
      <c r="S3" s="76"/>
      <c r="T3" s="76"/>
      <c r="U3" s="76"/>
      <c r="V3" s="76"/>
      <c r="W3" s="76"/>
      <c r="X3" s="76"/>
      <c r="Y3" s="77"/>
    </row>
    <row r="4" spans="1:44" x14ac:dyDescent="0.3">
      <c r="A4" s="74"/>
      <c r="B4"/>
      <c r="C4" s="127" t="s">
        <v>79</v>
      </c>
      <c r="D4" s="6">
        <v>1600</v>
      </c>
      <c r="E4" s="6" t="s">
        <v>81</v>
      </c>
      <c r="F4" s="7"/>
    </row>
    <row r="5" spans="1:44" x14ac:dyDescent="0.3">
      <c r="A5" s="74"/>
      <c r="B5"/>
      <c r="C5" s="127" t="s">
        <v>206</v>
      </c>
      <c r="D5" s="6">
        <v>40</v>
      </c>
      <c r="E5" s="6" t="s">
        <v>81</v>
      </c>
      <c r="F5" s="7"/>
      <c r="I5" s="204" t="s">
        <v>95</v>
      </c>
      <c r="J5" s="205"/>
      <c r="K5" s="205"/>
      <c r="L5" s="205"/>
      <c r="M5" s="205"/>
      <c r="N5" s="205"/>
      <c r="O5" s="206"/>
    </row>
    <row r="6" spans="1:44" x14ac:dyDescent="0.3">
      <c r="A6" s="74"/>
      <c r="B6"/>
      <c r="C6" s="127" t="s">
        <v>80</v>
      </c>
      <c r="D6" s="6">
        <v>4</v>
      </c>
      <c r="E6" s="6"/>
      <c r="F6" s="7"/>
      <c r="I6" s="201" t="s">
        <v>207</v>
      </c>
      <c r="J6" s="202"/>
      <c r="K6" s="203"/>
      <c r="L6" s="70"/>
      <c r="M6" s="70"/>
      <c r="N6" s="70"/>
      <c r="O6" s="70" t="s">
        <v>104</v>
      </c>
      <c r="P6" s="70" t="s">
        <v>105</v>
      </c>
      <c r="Q6" s="70" t="s">
        <v>106</v>
      </c>
      <c r="R6" s="71" t="s">
        <v>107</v>
      </c>
      <c r="S6" s="69"/>
      <c r="T6" s="70"/>
      <c r="U6" s="71"/>
      <c r="V6" s="137" t="s">
        <v>208</v>
      </c>
      <c r="W6" s="141" t="s">
        <v>142</v>
      </c>
      <c r="X6" s="70"/>
      <c r="Y6" s="69" t="s">
        <v>211</v>
      </c>
      <c r="Z6" s="70"/>
      <c r="AA6" s="71" t="s">
        <v>212</v>
      </c>
      <c r="AP6" s="79"/>
      <c r="AQ6" s="70"/>
      <c r="AR6" s="71"/>
    </row>
    <row r="7" spans="1:44" x14ac:dyDescent="0.3">
      <c r="A7" s="74"/>
      <c r="B7"/>
      <c r="C7" s="127" t="s">
        <v>83</v>
      </c>
      <c r="D7" s="6">
        <v>0.4</v>
      </c>
      <c r="E7" s="6"/>
      <c r="F7" s="7"/>
      <c r="I7" s="74" t="s">
        <v>6</v>
      </c>
      <c r="J7" s="80" t="s">
        <v>7</v>
      </c>
      <c r="K7" s="80" t="s">
        <v>34</v>
      </c>
      <c r="L7" s="80" t="s">
        <v>16</v>
      </c>
      <c r="M7" s="135" t="s">
        <v>96</v>
      </c>
      <c r="N7" s="80"/>
      <c r="O7" s="80" t="s">
        <v>102</v>
      </c>
      <c r="P7" s="80" t="s">
        <v>103</v>
      </c>
      <c r="Q7" s="80" t="s">
        <v>0</v>
      </c>
      <c r="R7" s="73" t="s">
        <v>1</v>
      </c>
      <c r="S7" s="74" t="s">
        <v>108</v>
      </c>
      <c r="T7" s="87" t="s">
        <v>114</v>
      </c>
      <c r="U7" s="136" t="s">
        <v>115</v>
      </c>
      <c r="V7" s="142"/>
      <c r="W7" s="67" t="s">
        <v>67</v>
      </c>
      <c r="X7" s="80"/>
      <c r="Y7" s="145" t="s">
        <v>140</v>
      </c>
      <c r="Z7" s="143" t="s">
        <v>151</v>
      </c>
      <c r="AA7" s="145" t="s">
        <v>140</v>
      </c>
      <c r="AG7" s="79" t="s">
        <v>96</v>
      </c>
      <c r="AH7" s="70">
        <v>1</v>
      </c>
      <c r="AI7" s="188">
        <v>2</v>
      </c>
      <c r="AJ7" s="189"/>
      <c r="AP7" s="74"/>
      <c r="AQ7" s="80"/>
      <c r="AR7" s="73"/>
    </row>
    <row r="8" spans="1:44" x14ac:dyDescent="0.3">
      <c r="B8"/>
      <c r="C8" s="127" t="s">
        <v>84</v>
      </c>
      <c r="D8" s="6">
        <v>1</v>
      </c>
      <c r="E8" s="6" t="s">
        <v>85</v>
      </c>
      <c r="F8" s="7"/>
      <c r="I8" s="129">
        <f>8*M8</f>
        <v>8</v>
      </c>
      <c r="J8" s="130">
        <f>18*M8</f>
        <v>18</v>
      </c>
      <c r="K8" s="130">
        <f>2*12.5</f>
        <v>25</v>
      </c>
      <c r="L8" s="130">
        <v>12.5</v>
      </c>
      <c r="M8" s="131">
        <v>1</v>
      </c>
      <c r="N8" s="131"/>
      <c r="O8" s="131">
        <f>I8</f>
        <v>8</v>
      </c>
      <c r="P8" s="131">
        <f>J8/2</f>
        <v>9</v>
      </c>
      <c r="Q8" s="131">
        <f>(K8-(2*O8)-P8)/2</f>
        <v>0</v>
      </c>
      <c r="R8" s="134">
        <f>12.5*3.76</f>
        <v>47</v>
      </c>
      <c r="S8" s="133">
        <f t="shared" ref="S8:S24" si="0">$D$19/(M8+L8*(1+3.76))</f>
        <v>1.0856428275401881E-7</v>
      </c>
      <c r="T8" s="131">
        <f>(R8*S8)/('Task2A)values_PHI_dependent'!$D$5*10^-6)</f>
        <v>0.12756303223597212</v>
      </c>
      <c r="U8" s="134">
        <f>(Q8*S8)/('Task2A)values_PHI_dependent'!$D$5*10^-6)</f>
        <v>0</v>
      </c>
      <c r="V8" s="138">
        <f t="shared" ref="V8:V24" si="1">S8*(O8+P8+Q8+R8)</f>
        <v>6.948114096257204E-6</v>
      </c>
      <c r="W8" s="132">
        <f t="shared" ref="W8:W24" si="2">(O8*(ABS($C$31))+(P8*ABS($C$33)))-ABS($C$34*M8)</f>
        <v>5065.0000000000009</v>
      </c>
      <c r="X8" s="83">
        <f>$AA$8</f>
        <v>2390.91320929632</v>
      </c>
      <c r="Y8" s="146">
        <f>(($W$8-AH10)/($AH$11-$AH$10))*($AI$11-AI10)+$AI$10</f>
        <v>2390.9039613541263</v>
      </c>
      <c r="Z8" s="83">
        <f t="shared" ref="Z8:Z24" si="3">8*M8*(((8.5770134353*10^-19)*(AA8^6))-((1.0374875556*10^-14)*(AA8^5))+((4.9689475953*10^-11)*(AA8^4))-((1.2019118054*10^-7)*(AA8^3))+((1.5650954893*10^-4)*(AA8^2))-((4.8239362033*10^-2)*(AA8))+(5.2084519626))+(9*M8*(((6.6506859177*10^-19)*(AA8^6))-((7.8984343104*10^-15)*(AA8^5))+((3.6879849877*10^-11)*(AA8^4))-((8.6386228559*10^-8)*(AA8^3))+((1.1074017861*10^-4)*(AA8^2))-((3.1241611608*10^-2)*(AA8))+(3.3006694533)))+(L8*(1-M8)*(((6.4958291549*10^-19)*(AA8^6))-((7.8224528491*10^-15)*(AA8^5))+((3.7120417697*10^-11)*(AA8^4))-((8.798317617*10^-8)*(AA8^3))+((1.0982327235*10^-4)*(AA8^2))-((3.2606444641*10^-2)*(AA8))+(3.5786489003))+(47*((((5.9376621671*(10^-19)*(AA8^6))-((7.1020711589*10^-15)*(AA8^5))+((3.3460896805*10^-11)*(AA8^4))-((7.8909601634*10^-8)*(AA8^3))+((9.8599769212*10^-5)*(AA8^2))-((2.8172899156*10^-2)*(AA8))+((3.05378908)))))))</f>
        <v>5065.0003364242548</v>
      </c>
      <c r="AA8" s="144">
        <v>2390.91320929632</v>
      </c>
      <c r="AG8" s="74">
        <v>1</v>
      </c>
      <c r="AH8" s="80" t="s">
        <v>141</v>
      </c>
      <c r="AI8" s="186" t="s">
        <v>137</v>
      </c>
      <c r="AJ8" s="187"/>
      <c r="AP8" s="74"/>
      <c r="AQ8" s="80"/>
      <c r="AR8" s="73"/>
    </row>
    <row r="9" spans="1:44" x14ac:dyDescent="0.3">
      <c r="B9"/>
      <c r="C9" s="127" t="s">
        <v>86</v>
      </c>
      <c r="D9" s="6">
        <v>20</v>
      </c>
      <c r="E9" s="125" t="s">
        <v>87</v>
      </c>
      <c r="F9" s="7"/>
      <c r="I9" s="129">
        <f t="shared" ref="I9:I24" si="4">8*M9</f>
        <v>7.92</v>
      </c>
      <c r="J9" s="130">
        <f t="shared" ref="J9:J24" si="5">18*M9</f>
        <v>17.82</v>
      </c>
      <c r="K9" s="130">
        <f t="shared" ref="K9:K24" si="6">2*12.5</f>
        <v>25</v>
      </c>
      <c r="L9" s="130">
        <v>12.5</v>
      </c>
      <c r="M9" s="131">
        <v>0.99</v>
      </c>
      <c r="N9" s="131"/>
      <c r="O9" s="131">
        <f t="shared" ref="O9:O24" si="7">I9</f>
        <v>7.92</v>
      </c>
      <c r="P9" s="131">
        <f t="shared" ref="P9:P24" si="8">J9/2</f>
        <v>8.91</v>
      </c>
      <c r="Q9" s="131">
        <f>(K9-(2*O9)-P9)/2</f>
        <v>0.125</v>
      </c>
      <c r="R9" s="134">
        <f t="shared" ref="R9:R24" si="9">12.5*3.76</f>
        <v>47</v>
      </c>
      <c r="S9" s="133">
        <f t="shared" si="0"/>
        <v>1.0858223023008991E-7</v>
      </c>
      <c r="T9" s="131">
        <f>(R9*S9)/('Task2A)values_PHI_dependent'!$D$5*10^-6)</f>
        <v>0.12758412052035564</v>
      </c>
      <c r="U9" s="134">
        <f>(Q9*S9)/('Task2A)values_PHI_dependent'!$D$5*10^-6)</f>
        <v>3.3931946946903101E-4</v>
      </c>
      <c r="V9" s="138">
        <f t="shared" si="1"/>
        <v>6.9443765343653996E-6</v>
      </c>
      <c r="W9" s="132">
        <f t="shared" si="2"/>
        <v>5014.3500000000004</v>
      </c>
      <c r="X9" s="83">
        <f>$AA$9</f>
        <v>2375.4522923044483</v>
      </c>
      <c r="Y9" s="146">
        <f>(($W$9-$AM$15)/($AM$16-$AM$15))*($AN$16-$AN$15)+$AN$15</f>
        <v>2375.4363377986515</v>
      </c>
      <c r="Z9" s="83">
        <f t="shared" si="3"/>
        <v>5014.3500019663079</v>
      </c>
      <c r="AA9" s="144">
        <v>2375.4522923044483</v>
      </c>
      <c r="AG9" s="74"/>
      <c r="AH9" s="80" t="s">
        <v>136</v>
      </c>
      <c r="AI9" s="186"/>
      <c r="AJ9" s="187"/>
      <c r="AP9" s="74"/>
      <c r="AQ9" s="80"/>
      <c r="AR9" s="81"/>
    </row>
    <row r="10" spans="1:44" x14ac:dyDescent="0.3">
      <c r="B10"/>
      <c r="C10" s="127"/>
      <c r="D10" s="6"/>
      <c r="E10" s="6"/>
      <c r="F10" s="7"/>
      <c r="I10" s="129">
        <f t="shared" si="4"/>
        <v>7.84</v>
      </c>
      <c r="J10" s="130">
        <f t="shared" si="5"/>
        <v>17.64</v>
      </c>
      <c r="K10" s="130">
        <f t="shared" si="6"/>
        <v>25</v>
      </c>
      <c r="L10" s="130">
        <v>12.5</v>
      </c>
      <c r="M10" s="131">
        <v>0.98</v>
      </c>
      <c r="N10" s="131"/>
      <c r="O10" s="131">
        <f t="shared" si="7"/>
        <v>7.84</v>
      </c>
      <c r="P10" s="131">
        <f t="shared" si="8"/>
        <v>8.82</v>
      </c>
      <c r="Q10" s="131">
        <f t="shared" ref="Q10:Q24" si="10">(K10-(2*O10)-P10)/2</f>
        <v>0.25</v>
      </c>
      <c r="R10" s="134">
        <f t="shared" si="9"/>
        <v>47</v>
      </c>
      <c r="S10" s="133">
        <f t="shared" si="0"/>
        <v>1.0860018364117293E-7</v>
      </c>
      <c r="T10" s="131">
        <f>(R10*S10)/('Task2A)values_PHI_dependent'!$D$5*10^-6)</f>
        <v>0.12760521577837822</v>
      </c>
      <c r="U10" s="134">
        <f>(Q10*S10)/('Task2A)values_PHI_dependent'!$D$5*10^-6)</f>
        <v>6.787511477573309E-4</v>
      </c>
      <c r="V10" s="138">
        <f t="shared" si="1"/>
        <v>6.9406377365073615E-6</v>
      </c>
      <c r="W10" s="132">
        <f t="shared" si="2"/>
        <v>4963.7000000000007</v>
      </c>
      <c r="X10" s="83"/>
      <c r="Y10" s="146">
        <f>((W$10-$AM$20)/($AM$21-$AM$20))*($AN$21-$AN$20)+$AN$20</f>
        <v>2359.9127286933453</v>
      </c>
      <c r="Z10" s="83">
        <f t="shared" si="3"/>
        <v>4963.699996103197</v>
      </c>
      <c r="AA10" s="144">
        <v>2359.9232744779583</v>
      </c>
      <c r="AG10" s="74"/>
      <c r="AH10" s="80">
        <f>SMALL(Ent_tables!AE3:AE70,COUNTIF(Ent_tables!AE3:AE70,"&lt;"&amp;'Task2A)values_PHI_dependent'!$W$8)+0.1)</f>
        <v>4952.9280482457862</v>
      </c>
      <c r="AI10" s="190">
        <f>VLOOKUP(AH10,Ent_tables!AE3:AF70,COLUMN(Ent_tables!AF3:AF70)-COLUMN(Ent_tables!AE3:AF70)+1,0)</f>
        <v>2350</v>
      </c>
      <c r="AJ10" s="191"/>
      <c r="AP10" s="75"/>
      <c r="AQ10" s="76"/>
      <c r="AR10" s="77"/>
    </row>
    <row r="11" spans="1:44" s="228" customFormat="1" x14ac:dyDescent="0.3">
      <c r="B11" s="229"/>
      <c r="C11" s="230" t="s">
        <v>88</v>
      </c>
      <c r="D11" s="30">
        <v>8314</v>
      </c>
      <c r="E11" s="30" t="s">
        <v>89</v>
      </c>
      <c r="F11" s="113"/>
      <c r="I11" s="133">
        <f t="shared" si="4"/>
        <v>7.76</v>
      </c>
      <c r="J11" s="131">
        <f t="shared" si="5"/>
        <v>17.46</v>
      </c>
      <c r="K11" s="131">
        <f t="shared" si="6"/>
        <v>25</v>
      </c>
      <c r="L11" s="131">
        <v>12.5</v>
      </c>
      <c r="M11" s="131">
        <v>0.97</v>
      </c>
      <c r="N11" s="131"/>
      <c r="O11" s="131">
        <f t="shared" si="7"/>
        <v>7.76</v>
      </c>
      <c r="P11" s="131">
        <f t="shared" si="8"/>
        <v>8.73</v>
      </c>
      <c r="Q11" s="131">
        <f t="shared" si="10"/>
        <v>0.375</v>
      </c>
      <c r="R11" s="134">
        <f t="shared" si="9"/>
        <v>47</v>
      </c>
      <c r="S11" s="133">
        <f t="shared" si="0"/>
        <v>1.0861814299021231E-7</v>
      </c>
      <c r="T11" s="131">
        <f>(R11*S11)/('Task2A)values_PHI_dependent'!$D$5*10^-6)</f>
        <v>0.12762631801349947</v>
      </c>
      <c r="U11" s="134">
        <f>(Q11*S11)/('Task2A)values_PHI_dependent'!$D$5*10^-6)</f>
        <v>1.0182950905332406E-3</v>
      </c>
      <c r="V11" s="139">
        <f t="shared" si="1"/>
        <v>6.9368977020699098E-6</v>
      </c>
      <c r="W11" s="132">
        <f t="shared" si="2"/>
        <v>4913.05</v>
      </c>
      <c r="X11" s="231"/>
      <c r="Y11" s="90"/>
      <c r="Z11" s="83">
        <f t="shared" si="3"/>
        <v>4913.0500528276934</v>
      </c>
      <c r="AA11" s="91">
        <v>2344.3241573576884</v>
      </c>
      <c r="AG11" s="103"/>
      <c r="AH11" s="98">
        <f>SMALL(Ent_tables!AE3:AE70,COUNTIF(Ent_tables!AE3:AE70,"&lt;"&amp;'Task2A)values_PHI_dependent'!W8)+1)</f>
        <v>5089.9220557258332</v>
      </c>
      <c r="AI11" s="232">
        <f>VLOOKUP(AH11,Ent_tables!AE3:AF70,COLUMN(Ent_tables!AF3:AF70)-COLUMN(Ent_tables!AE3:AF70)+1,0)</f>
        <v>2400</v>
      </c>
      <c r="AJ11" s="233"/>
      <c r="AL11" s="83"/>
      <c r="AM11" s="83"/>
      <c r="AN11" s="91"/>
      <c r="AO11" s="83"/>
    </row>
    <row r="12" spans="1:44" x14ac:dyDescent="0.3">
      <c r="B12"/>
      <c r="C12" s="127" t="s">
        <v>149</v>
      </c>
      <c r="D12" s="6">
        <v>1.17</v>
      </c>
      <c r="F12" s="7"/>
      <c r="I12" s="129">
        <f t="shared" si="4"/>
        <v>7.68</v>
      </c>
      <c r="J12" s="130">
        <f t="shared" si="5"/>
        <v>17.28</v>
      </c>
      <c r="K12" s="130">
        <f t="shared" si="6"/>
        <v>25</v>
      </c>
      <c r="L12" s="130">
        <v>12.5</v>
      </c>
      <c r="M12" s="131">
        <v>0.96</v>
      </c>
      <c r="N12" s="131"/>
      <c r="O12" s="131">
        <f t="shared" si="7"/>
        <v>7.68</v>
      </c>
      <c r="P12" s="131">
        <f t="shared" si="8"/>
        <v>8.64</v>
      </c>
      <c r="Q12" s="131">
        <f t="shared" si="10"/>
        <v>0.5</v>
      </c>
      <c r="R12" s="134">
        <f t="shared" si="9"/>
        <v>47</v>
      </c>
      <c r="S12" s="133">
        <f t="shared" si="0"/>
        <v>1.0863610828015446E-7</v>
      </c>
      <c r="T12" s="131">
        <f>(R12*S12)/('Task2A)values_PHI_dependent'!$D$5*10^-6)</f>
        <v>0.12764742722918151</v>
      </c>
      <c r="U12" s="134">
        <f>(Q12*S12)/('Task2A)values_PHI_dependent'!$D$5*10^-6)</f>
        <v>1.3579513535019309E-3</v>
      </c>
      <c r="V12" s="138">
        <f t="shared" si="1"/>
        <v>6.9331564304394573E-6</v>
      </c>
      <c r="W12" s="132">
        <f t="shared" si="2"/>
        <v>4862.3999999999996</v>
      </c>
      <c r="X12" s="83"/>
      <c r="Y12" s="90"/>
      <c r="Z12" s="83">
        <f t="shared" si="3"/>
        <v>4862.4002222655863</v>
      </c>
      <c r="AA12" s="91">
        <v>2328.6530339021378</v>
      </c>
      <c r="AL12" s="79" t="s">
        <v>96</v>
      </c>
      <c r="AM12" s="70">
        <v>1</v>
      </c>
      <c r="AN12" s="71">
        <v>2</v>
      </c>
      <c r="AO12" s="80"/>
    </row>
    <row r="13" spans="1:44" x14ac:dyDescent="0.3">
      <c r="B13"/>
      <c r="C13" s="127" t="s">
        <v>155</v>
      </c>
      <c r="D13" s="6">
        <v>1800</v>
      </c>
      <c r="E13" s="6" t="s">
        <v>156</v>
      </c>
      <c r="F13" s="7"/>
      <c r="I13" s="129">
        <f t="shared" si="4"/>
        <v>7.6</v>
      </c>
      <c r="J13" s="130">
        <f t="shared" si="5"/>
        <v>17.099999999999998</v>
      </c>
      <c r="K13" s="130">
        <f t="shared" si="6"/>
        <v>25</v>
      </c>
      <c r="L13" s="130">
        <v>12.5</v>
      </c>
      <c r="M13" s="131">
        <v>0.95</v>
      </c>
      <c r="N13" s="131"/>
      <c r="O13" s="131">
        <f t="shared" si="7"/>
        <v>7.6</v>
      </c>
      <c r="P13" s="131">
        <f t="shared" si="8"/>
        <v>8.5499999999999989</v>
      </c>
      <c r="Q13" s="131">
        <f t="shared" si="10"/>
        <v>0.62500000000000089</v>
      </c>
      <c r="R13" s="134">
        <f t="shared" si="9"/>
        <v>47</v>
      </c>
      <c r="S13" s="133">
        <f t="shared" si="0"/>
        <v>1.0865407951394769E-7</v>
      </c>
      <c r="T13" s="131">
        <f>(R13*S13)/('Task2A)values_PHI_dependent'!$D$5*10^-6)</f>
        <v>0.12766854342888853</v>
      </c>
      <c r="U13" s="134">
        <f>(Q13*S13)/('Task2A)values_PHI_dependent'!$D$5*10^-6)</f>
        <v>1.6977199924054353E-3</v>
      </c>
      <c r="V13" s="138">
        <f t="shared" si="1"/>
        <v>6.9294139210020143E-6</v>
      </c>
      <c r="W13" s="132">
        <f t="shared" si="2"/>
        <v>4811.75</v>
      </c>
      <c r="X13" s="83"/>
      <c r="Y13" s="90"/>
      <c r="Z13" s="83">
        <f t="shared" si="3"/>
        <v>4811.7506064869349</v>
      </c>
      <c r="AA13" s="91">
        <v>2312.90799489239</v>
      </c>
      <c r="AL13" s="74">
        <v>0.99</v>
      </c>
      <c r="AM13" s="80" t="s">
        <v>141</v>
      </c>
      <c r="AN13" s="73" t="s">
        <v>137</v>
      </c>
      <c r="AO13" s="80"/>
    </row>
    <row r="14" spans="1:44" x14ac:dyDescent="0.3">
      <c r="B14"/>
      <c r="C14" s="127"/>
      <c r="D14" s="6">
        <f>$D$13*(360/60)</f>
        <v>10800</v>
      </c>
      <c r="E14" s="126" t="s">
        <v>157</v>
      </c>
      <c r="F14" s="7"/>
      <c r="I14" s="129">
        <f t="shared" si="4"/>
        <v>7.52</v>
      </c>
      <c r="J14" s="130">
        <f t="shared" si="5"/>
        <v>16.919999999999998</v>
      </c>
      <c r="K14" s="130">
        <f t="shared" si="6"/>
        <v>25</v>
      </c>
      <c r="L14" s="130">
        <v>12.5</v>
      </c>
      <c r="M14" s="131">
        <v>0.94</v>
      </c>
      <c r="N14" s="131"/>
      <c r="O14" s="131">
        <f t="shared" si="7"/>
        <v>7.52</v>
      </c>
      <c r="P14" s="131">
        <f t="shared" si="8"/>
        <v>8.4599999999999991</v>
      </c>
      <c r="Q14" s="131">
        <f t="shared" si="10"/>
        <v>0.75000000000000089</v>
      </c>
      <c r="R14" s="134">
        <f t="shared" si="9"/>
        <v>47</v>
      </c>
      <c r="S14" s="133">
        <f t="shared" si="0"/>
        <v>1.0867205669454233E-7</v>
      </c>
      <c r="T14" s="131">
        <f>(R14*S14)/('Task2A)values_PHI_dependent'!$D$5*10^-6)</f>
        <v>0.12768966661608727</v>
      </c>
      <c r="U14" s="134">
        <f>(Q14*S14)/('Task2A)values_PHI_dependent'!$D$5*10^-6)</f>
        <v>2.0376010630226713E-3</v>
      </c>
      <c r="V14" s="138">
        <f t="shared" si="1"/>
        <v>6.925670173143183E-6</v>
      </c>
      <c r="W14" s="132">
        <f t="shared" si="2"/>
        <v>4761.0999999999995</v>
      </c>
      <c r="X14" s="83"/>
      <c r="Y14" s="90"/>
      <c r="Z14" s="83">
        <f t="shared" si="3"/>
        <v>4761.1000000104577</v>
      </c>
      <c r="AA14" s="91">
        <v>2297.0866276749784</v>
      </c>
      <c r="AL14" s="74"/>
      <c r="AM14" s="80" t="s">
        <v>136</v>
      </c>
      <c r="AN14" s="73"/>
      <c r="AO14" s="80"/>
    </row>
    <row r="15" spans="1:44" x14ac:dyDescent="0.3">
      <c r="B15"/>
      <c r="C15" s="127"/>
      <c r="D15" s="6"/>
      <c r="E15" s="6"/>
      <c r="F15" s="7"/>
      <c r="I15" s="129">
        <f t="shared" si="4"/>
        <v>7.44</v>
      </c>
      <c r="J15" s="130">
        <f t="shared" si="5"/>
        <v>16.740000000000002</v>
      </c>
      <c r="K15" s="130">
        <f t="shared" si="6"/>
        <v>25</v>
      </c>
      <c r="L15" s="130">
        <v>12.5</v>
      </c>
      <c r="M15" s="131">
        <v>0.93</v>
      </c>
      <c r="N15" s="131"/>
      <c r="O15" s="131">
        <f t="shared" si="7"/>
        <v>7.44</v>
      </c>
      <c r="P15" s="131">
        <f t="shared" si="8"/>
        <v>8.370000000000001</v>
      </c>
      <c r="Q15" s="131">
        <f t="shared" si="10"/>
        <v>0.87499999999999911</v>
      </c>
      <c r="R15" s="134">
        <f t="shared" si="9"/>
        <v>47</v>
      </c>
      <c r="S15" s="133">
        <f t="shared" si="0"/>
        <v>1.0869003982489059E-7</v>
      </c>
      <c r="T15" s="131">
        <f>(R15*S15)/('Task2A)values_PHI_dependent'!$D$5*10^-6)</f>
        <v>0.12771079679424643</v>
      </c>
      <c r="U15" s="134">
        <f>(Q15*S15)/('Task2A)values_PHI_dependent'!$D$5*10^-6)</f>
        <v>2.3775946211694794E-3</v>
      </c>
      <c r="V15" s="138">
        <f t="shared" si="1"/>
        <v>6.9219251862481572E-6</v>
      </c>
      <c r="W15" s="132">
        <f t="shared" si="2"/>
        <v>4710.4500000000016</v>
      </c>
      <c r="X15" s="83"/>
      <c r="Y15" s="90"/>
      <c r="Z15" s="83">
        <f t="shared" si="3"/>
        <v>4710.4500000316293</v>
      </c>
      <c r="AA15" s="91">
        <v>2281.1875404276766</v>
      </c>
      <c r="AL15" s="74"/>
      <c r="AM15" s="80">
        <f>SMALL(Ent_tables!AM3:AM70,COUNTIF(Ent_tables!AM3:AM70,"&lt;"&amp;W9)+0.1)</f>
        <v>4944.7831552406478</v>
      </c>
      <c r="AN15" s="81">
        <f>VLOOKUP(AM15,Ent_tables!AM3:AN70,COLUMN(Ent_tables!AN3:AN70)-COLUMN(Ent_tables!AM3:AN70)+1,0)</f>
        <v>2350</v>
      </c>
      <c r="AO15" s="80"/>
    </row>
    <row r="16" spans="1:44" x14ac:dyDescent="0.3">
      <c r="B16"/>
      <c r="C16" s="128" t="s">
        <v>82</v>
      </c>
      <c r="D16" s="6">
        <f>(($D$8*10^5)*($D$7*$D$4/$D$6*10^-6))/($D$11*($D$9+273))</f>
        <v>6.5681391066181384E-6</v>
      </c>
      <c r="E16" s="6" t="s">
        <v>92</v>
      </c>
      <c r="F16" s="7"/>
      <c r="I16" s="129">
        <f t="shared" si="4"/>
        <v>7.36</v>
      </c>
      <c r="J16" s="130">
        <f t="shared" si="5"/>
        <v>16.560000000000002</v>
      </c>
      <c r="K16" s="130">
        <f t="shared" si="6"/>
        <v>25</v>
      </c>
      <c r="L16" s="130">
        <v>12.5</v>
      </c>
      <c r="M16" s="131">
        <v>0.92</v>
      </c>
      <c r="N16" s="131"/>
      <c r="O16" s="131">
        <f t="shared" si="7"/>
        <v>7.36</v>
      </c>
      <c r="P16" s="131">
        <f t="shared" si="8"/>
        <v>8.2800000000000011</v>
      </c>
      <c r="Q16" s="131">
        <f t="shared" si="10"/>
        <v>0.99999999999999911</v>
      </c>
      <c r="R16" s="134">
        <f t="shared" si="9"/>
        <v>47</v>
      </c>
      <c r="S16" s="133">
        <f t="shared" si="0"/>
        <v>1.0870802890794668E-7</v>
      </c>
      <c r="T16" s="131">
        <f>(R16*S16)/('Task2A)values_PHI_dependent'!$D$5*10^-6)</f>
        <v>0.12773193396683738</v>
      </c>
      <c r="U16" s="134">
        <f>(Q16*S16)/('Task2A)values_PHI_dependent'!$D$5*10^-6)</f>
        <v>2.7177007226986648E-3</v>
      </c>
      <c r="V16" s="138">
        <f t="shared" si="1"/>
        <v>6.9181789597017267E-6</v>
      </c>
      <c r="W16" s="132">
        <f t="shared" si="2"/>
        <v>4659.8000000000011</v>
      </c>
      <c r="X16" s="83"/>
      <c r="Y16" s="90"/>
      <c r="Z16" s="83">
        <f t="shared" si="3"/>
        <v>4659.8000000819102</v>
      </c>
      <c r="AA16" s="91">
        <v>2265.2085130137571</v>
      </c>
      <c r="AL16" s="75"/>
      <c r="AM16" s="76">
        <f>SMALL(Ent_tables!AM3:AM70,COUNTIF(Ent_tables!AM3:AM70,"&lt;"&amp;W9)+1)</f>
        <v>5081.5301298052018</v>
      </c>
      <c r="AN16" s="77">
        <f>VLOOKUP(AM16,Ent_tables!AM3:AN70,COLUMN(Ent_tables!AN3:AN70)-COLUMN(Ent_tables!AM3:AN70)+1,0)</f>
        <v>2400</v>
      </c>
      <c r="AO16" s="80"/>
    </row>
    <row r="17" spans="1:42" x14ac:dyDescent="0.3">
      <c r="B17"/>
      <c r="C17" s="5"/>
      <c r="D17" s="6"/>
      <c r="E17" s="6"/>
      <c r="F17" s="7"/>
      <c r="I17" s="129">
        <f t="shared" si="4"/>
        <v>7.28</v>
      </c>
      <c r="J17" s="130">
        <f t="shared" si="5"/>
        <v>16.38</v>
      </c>
      <c r="K17" s="130">
        <f t="shared" si="6"/>
        <v>25</v>
      </c>
      <c r="L17" s="130">
        <v>12.5</v>
      </c>
      <c r="M17" s="131">
        <v>0.91</v>
      </c>
      <c r="N17" s="131"/>
      <c r="O17" s="131">
        <f t="shared" si="7"/>
        <v>7.28</v>
      </c>
      <c r="P17" s="131">
        <f t="shared" si="8"/>
        <v>8.19</v>
      </c>
      <c r="Q17" s="131">
        <f t="shared" si="10"/>
        <v>1.125</v>
      </c>
      <c r="R17" s="134">
        <f t="shared" si="9"/>
        <v>47</v>
      </c>
      <c r="S17" s="133">
        <f t="shared" si="0"/>
        <v>1.0872602394666675E-7</v>
      </c>
      <c r="T17" s="131">
        <f>(R17*S17)/('Task2A)values_PHI_dependent'!$D$5*10^-6)</f>
        <v>0.12775307813733344</v>
      </c>
      <c r="U17" s="134">
        <f>(Q17*S17)/('Task2A)values_PHI_dependent'!$D$5*10^-6)</f>
        <v>3.0579194235000029E-3</v>
      </c>
      <c r="V17" s="138">
        <f t="shared" si="1"/>
        <v>6.9144314928882721E-6</v>
      </c>
      <c r="W17" s="132">
        <f t="shared" si="2"/>
        <v>4609.1499999999996</v>
      </c>
      <c r="X17" s="83"/>
      <c r="Y17" s="90"/>
      <c r="Z17" s="83">
        <f t="shared" si="3"/>
        <v>4609.1500001891736</v>
      </c>
      <c r="AA17" s="91">
        <v>2249.1475393407277</v>
      </c>
      <c r="AL17" s="79" t="s">
        <v>96</v>
      </c>
      <c r="AM17" s="70">
        <v>1</v>
      </c>
      <c r="AN17" s="71">
        <v>2</v>
      </c>
      <c r="AO17" s="80"/>
    </row>
    <row r="18" spans="1:42" x14ac:dyDescent="0.3">
      <c r="B18"/>
      <c r="C18" s="5" t="s">
        <v>91</v>
      </c>
      <c r="D18" s="6">
        <f>$D$16/(draft!$H$18+draft!$M$11*(1+3.76))</f>
        <v>1.0856428275401881E-7</v>
      </c>
      <c r="E18" s="6" t="s">
        <v>92</v>
      </c>
      <c r="F18" s="7"/>
      <c r="I18" s="129">
        <f t="shared" si="4"/>
        <v>7.2</v>
      </c>
      <c r="J18" s="130">
        <f t="shared" si="5"/>
        <v>16.2</v>
      </c>
      <c r="K18" s="130">
        <f t="shared" si="6"/>
        <v>25</v>
      </c>
      <c r="L18" s="130">
        <v>12.5</v>
      </c>
      <c r="M18" s="131">
        <v>0.9</v>
      </c>
      <c r="N18" s="131"/>
      <c r="O18" s="131">
        <f t="shared" si="7"/>
        <v>7.2</v>
      </c>
      <c r="P18" s="131">
        <f t="shared" si="8"/>
        <v>8.1</v>
      </c>
      <c r="Q18" s="131">
        <f t="shared" si="10"/>
        <v>1.25</v>
      </c>
      <c r="R18" s="134">
        <f t="shared" si="9"/>
        <v>47</v>
      </c>
      <c r="S18" s="133">
        <f t="shared" si="0"/>
        <v>1.0874402494400892E-7</v>
      </c>
      <c r="T18" s="131">
        <f>(R18*S18)/('Task2A)values_PHI_dependent'!$D$5*10^-6)</f>
        <v>0.12777422930921048</v>
      </c>
      <c r="U18" s="134">
        <f>(Q18*S18)/('Task2A)values_PHI_dependent'!$D$5*10^-6)</f>
        <v>3.3982507795002792E-3</v>
      </c>
      <c r="V18" s="138">
        <f t="shared" si="1"/>
        <v>6.9106827851917669E-6</v>
      </c>
      <c r="W18" s="132">
        <f t="shared" si="2"/>
        <v>4558.5000000000009</v>
      </c>
      <c r="X18" s="83"/>
      <c r="Y18" s="90"/>
      <c r="Z18" s="83">
        <f t="shared" si="3"/>
        <v>4558.5000003997675</v>
      </c>
      <c r="AA18" s="91">
        <v>2233.002606461238</v>
      </c>
      <c r="AL18" s="74">
        <v>0.98</v>
      </c>
      <c r="AM18" s="80" t="s">
        <v>141</v>
      </c>
      <c r="AN18" s="73" t="s">
        <v>137</v>
      </c>
      <c r="AO18" s="80"/>
    </row>
    <row r="19" spans="1:42" x14ac:dyDescent="0.3">
      <c r="B19"/>
      <c r="C19" s="74" t="s">
        <v>82</v>
      </c>
      <c r="D19" s="80">
        <f>'Task2A)values_PHI_dependent'!$D$16</f>
        <v>6.5681391066181384E-6</v>
      </c>
      <c r="E19" s="6" t="s">
        <v>92</v>
      </c>
      <c r="F19" s="73"/>
      <c r="I19" s="74">
        <f t="shared" si="4"/>
        <v>6.8</v>
      </c>
      <c r="J19" s="80">
        <f t="shared" si="5"/>
        <v>15.299999999999999</v>
      </c>
      <c r="K19" s="80">
        <f t="shared" si="6"/>
        <v>25</v>
      </c>
      <c r="L19" s="80">
        <v>12.5</v>
      </c>
      <c r="M19" s="83">
        <v>0.85</v>
      </c>
      <c r="N19" s="83"/>
      <c r="O19" s="83">
        <f t="shared" si="7"/>
        <v>6.8</v>
      </c>
      <c r="P19" s="83">
        <f t="shared" si="8"/>
        <v>7.6499999999999995</v>
      </c>
      <c r="Q19" s="83">
        <f t="shared" si="10"/>
        <v>1.8750000000000004</v>
      </c>
      <c r="R19" s="91">
        <f t="shared" si="9"/>
        <v>47</v>
      </c>
      <c r="S19" s="90">
        <f t="shared" si="0"/>
        <v>1.0883411941372226E-7</v>
      </c>
      <c r="T19" s="83">
        <f>(R19*S19)/('Task2A)values_PHI_dependent'!$D$5*10^-6)</f>
        <v>0.12788009031112366</v>
      </c>
      <c r="U19" s="91">
        <f>(Q19*S19)/('Task2A)values_PHI_dependent'!$D$5*10^-6)</f>
        <v>5.1015993475182321E-3</v>
      </c>
      <c r="V19" s="138">
        <f t="shared" si="1"/>
        <v>6.8919206118739622E-6</v>
      </c>
      <c r="W19" s="86">
        <f t="shared" si="2"/>
        <v>4305.25</v>
      </c>
      <c r="X19" s="83"/>
      <c r="Y19" s="90"/>
      <c r="Z19" s="83">
        <f t="shared" si="3"/>
        <v>4305.2500071392305</v>
      </c>
      <c r="AA19" s="91">
        <v>2150.9480914715368</v>
      </c>
      <c r="AL19" s="74"/>
      <c r="AM19" s="80" t="s">
        <v>136</v>
      </c>
      <c r="AN19" s="73"/>
      <c r="AO19" s="80"/>
    </row>
    <row r="20" spans="1:42" x14ac:dyDescent="0.3">
      <c r="C20" s="198" t="s">
        <v>90</v>
      </c>
      <c r="D20" s="199"/>
      <c r="E20" s="199"/>
      <c r="F20" s="200"/>
      <c r="I20" s="74">
        <f t="shared" si="4"/>
        <v>6.4</v>
      </c>
      <c r="J20" s="80">
        <f t="shared" si="5"/>
        <v>14.4</v>
      </c>
      <c r="K20" s="80">
        <f t="shared" si="6"/>
        <v>25</v>
      </c>
      <c r="L20" s="80">
        <v>12.5</v>
      </c>
      <c r="M20" s="83">
        <v>0.8</v>
      </c>
      <c r="N20" s="83"/>
      <c r="O20" s="83">
        <f t="shared" si="7"/>
        <v>6.4</v>
      </c>
      <c r="P20" s="83">
        <f t="shared" si="8"/>
        <v>7.2</v>
      </c>
      <c r="Q20" s="83">
        <f t="shared" si="10"/>
        <v>2.4999999999999996</v>
      </c>
      <c r="R20" s="91">
        <f t="shared" si="9"/>
        <v>47</v>
      </c>
      <c r="S20" s="90">
        <f t="shared" si="0"/>
        <v>1.0892436329383315E-7</v>
      </c>
      <c r="T20" s="83">
        <f>(R20*S20)/('Task2A)values_PHI_dependent'!$D$5*10^-6)</f>
        <v>0.12798612687025396</v>
      </c>
      <c r="U20" s="91">
        <f>(Q20*S20)/('Task2A)values_PHI_dependent'!$D$5*10^-6)</f>
        <v>6.8077727058645709E-3</v>
      </c>
      <c r="V20" s="139">
        <f t="shared" si="1"/>
        <v>6.8731273238408712E-6</v>
      </c>
      <c r="W20" s="86">
        <f t="shared" si="2"/>
        <v>4052.0000000000005</v>
      </c>
      <c r="X20" s="83"/>
      <c r="Y20" s="90"/>
      <c r="Z20" s="83">
        <f t="shared" si="3"/>
        <v>4052.0000008224588</v>
      </c>
      <c r="AA20" s="91">
        <v>2066.4956911737395</v>
      </c>
      <c r="AL20" s="74"/>
      <c r="AM20" s="80">
        <f>SMALL(Ent_tables!AU3:AV70,COUNTIF(Ent_tables!AU3:AV70,"&lt;"&amp;W10)+0.1)</f>
        <v>4936.6382622355077</v>
      </c>
      <c r="AN20" s="81">
        <f>VLOOKUP(AM20,Ent_tables!AU3:AV70,COLUMN(Ent_tables!AV3:AV70)-COLUMN(Ent_tables!AU3:AV70)+1,0)</f>
        <v>2350</v>
      </c>
      <c r="AO20" s="80"/>
    </row>
    <row r="21" spans="1:42" x14ac:dyDescent="0.3">
      <c r="I21" s="74">
        <f t="shared" si="4"/>
        <v>6</v>
      </c>
      <c r="J21" s="80">
        <f t="shared" si="5"/>
        <v>13.5</v>
      </c>
      <c r="K21" s="80">
        <f t="shared" si="6"/>
        <v>25</v>
      </c>
      <c r="L21" s="80">
        <v>12.5</v>
      </c>
      <c r="M21" s="83">
        <v>0.75</v>
      </c>
      <c r="N21" s="83"/>
      <c r="O21" s="83">
        <f t="shared" si="7"/>
        <v>6</v>
      </c>
      <c r="P21" s="83">
        <f t="shared" si="8"/>
        <v>6.75</v>
      </c>
      <c r="Q21" s="83">
        <f t="shared" si="10"/>
        <v>3.125</v>
      </c>
      <c r="R21" s="91">
        <f t="shared" si="9"/>
        <v>47</v>
      </c>
      <c r="S21" s="90">
        <f t="shared" si="0"/>
        <v>1.0901475695631766E-7</v>
      </c>
      <c r="T21" s="83">
        <f>(R21*S21)/('Task2A)values_PHI_dependent'!$D$5*10^-6)</f>
        <v>0.12809233942367326</v>
      </c>
      <c r="U21" s="91">
        <f>(Q21*S21)/('Task2A)values_PHI_dependent'!$D$5*10^-6)</f>
        <v>8.5167778872123189E-3</v>
      </c>
      <c r="V21" s="138">
        <f t="shared" si="1"/>
        <v>6.854302843628473E-6</v>
      </c>
      <c r="W21" s="86">
        <f t="shared" si="2"/>
        <v>3798.75</v>
      </c>
      <c r="X21" s="83"/>
      <c r="Y21" s="90"/>
      <c r="Z21" s="83">
        <f t="shared" si="3"/>
        <v>3798.7500233688984</v>
      </c>
      <c r="AA21" s="91">
        <v>1979.4126722136195</v>
      </c>
      <c r="AL21" s="75"/>
      <c r="AM21" s="76">
        <f>SMALL(Ent_tables!AU3:AV70,COUNTIF(Ent_tables!AU3:AV70,"&lt;"&amp;W10)+1)</f>
        <v>5073.1382038845704</v>
      </c>
      <c r="AN21" s="77">
        <f>VLOOKUP(AM21,Ent_tables!AU3:AV70,COLUMN(Ent_tables!AV3:AV70)-COLUMN(Ent_tables!AU3:AV70)+1,0)</f>
        <v>2400</v>
      </c>
      <c r="AO21" s="80"/>
    </row>
    <row r="22" spans="1:42" x14ac:dyDescent="0.3">
      <c r="I22" s="74">
        <f t="shared" si="4"/>
        <v>5.6</v>
      </c>
      <c r="J22" s="80">
        <f t="shared" si="5"/>
        <v>12.6</v>
      </c>
      <c r="K22" s="80">
        <f t="shared" si="6"/>
        <v>25</v>
      </c>
      <c r="L22" s="80">
        <v>12.5</v>
      </c>
      <c r="M22" s="83">
        <v>0.7</v>
      </c>
      <c r="N22" s="83"/>
      <c r="O22" s="83">
        <f t="shared" si="7"/>
        <v>5.6</v>
      </c>
      <c r="P22" s="83">
        <f t="shared" si="8"/>
        <v>6.3</v>
      </c>
      <c r="Q22" s="83">
        <f t="shared" si="10"/>
        <v>3.7500000000000004</v>
      </c>
      <c r="R22" s="91">
        <f t="shared" si="9"/>
        <v>47</v>
      </c>
      <c r="S22" s="90">
        <f t="shared" si="0"/>
        <v>1.0910530077438768E-7</v>
      </c>
      <c r="T22" s="83">
        <f>(R22*S22)/('Task2A)values_PHI_dependent'!$D$5*10^-6)</f>
        <v>0.12819872840990554</v>
      </c>
      <c r="U22" s="91">
        <f>(Q22*S22)/('Task2A)values_PHI_dependent'!$D$5*10^-6)</f>
        <v>1.0228621947598847E-2</v>
      </c>
      <c r="V22" s="138">
        <f t="shared" si="1"/>
        <v>6.8354470935153885E-6</v>
      </c>
      <c r="W22" s="86">
        <f t="shared" si="2"/>
        <v>3545.4999999999995</v>
      </c>
      <c r="X22" s="83"/>
      <c r="Y22" s="90"/>
      <c r="Z22" s="83">
        <f t="shared" si="3"/>
        <v>3545.5001569033848</v>
      </c>
      <c r="AA22" s="91">
        <v>1889.5020801843798</v>
      </c>
      <c r="AL22" s="79" t="s">
        <v>96</v>
      </c>
      <c r="AM22" s="70">
        <v>1</v>
      </c>
      <c r="AN22" s="71">
        <v>2</v>
      </c>
    </row>
    <row r="23" spans="1:42" x14ac:dyDescent="0.3">
      <c r="A23" s="93" t="s">
        <v>94</v>
      </c>
      <c r="B23" s="94" t="s">
        <v>52</v>
      </c>
      <c r="C23" s="94"/>
      <c r="D23" s="94"/>
      <c r="E23" s="94" t="s">
        <v>16</v>
      </c>
      <c r="F23" s="95">
        <v>12.5</v>
      </c>
      <c r="I23" s="74">
        <f t="shared" si="4"/>
        <v>5.2</v>
      </c>
      <c r="J23" s="80">
        <f t="shared" si="5"/>
        <v>11.700000000000001</v>
      </c>
      <c r="K23" s="80">
        <f t="shared" si="6"/>
        <v>25</v>
      </c>
      <c r="L23" s="80">
        <v>12.5</v>
      </c>
      <c r="M23" s="83">
        <v>0.65</v>
      </c>
      <c r="N23" s="83"/>
      <c r="O23" s="83">
        <f t="shared" si="7"/>
        <v>5.2</v>
      </c>
      <c r="P23" s="83">
        <f t="shared" si="8"/>
        <v>5.8500000000000005</v>
      </c>
      <c r="Q23" s="83">
        <f t="shared" si="10"/>
        <v>4.375</v>
      </c>
      <c r="R23" s="91">
        <f t="shared" si="9"/>
        <v>47</v>
      </c>
      <c r="S23" s="90">
        <f t="shared" si="0"/>
        <v>1.0919599512249607E-7</v>
      </c>
      <c r="T23" s="83">
        <f>(R23*S23)/('Task2A)values_PHI_dependent'!$D$5*10^-6)</f>
        <v>0.12830529426893289</v>
      </c>
      <c r="U23" s="91">
        <f>(Q23*S23)/('Task2A)values_PHI_dependent'!$D$5*10^-6)</f>
        <v>1.1943311966523009E-2</v>
      </c>
      <c r="V23" s="138">
        <f t="shared" si="1"/>
        <v>6.8165599955218171E-6</v>
      </c>
      <c r="W23" s="86">
        <f t="shared" si="2"/>
        <v>3292.2500000000005</v>
      </c>
      <c r="X23" s="83"/>
      <c r="Y23" s="90"/>
      <c r="Z23" s="83">
        <f t="shared" si="3"/>
        <v>3292.2505635254656</v>
      </c>
      <c r="AA23" s="91">
        <v>1796.6279576678323</v>
      </c>
      <c r="AL23" s="74">
        <v>0.97</v>
      </c>
      <c r="AM23" s="80" t="s">
        <v>141</v>
      </c>
      <c r="AN23" s="73" t="s">
        <v>137</v>
      </c>
      <c r="AP23" s="78"/>
    </row>
    <row r="24" spans="1:42" x14ac:dyDescent="0.3">
      <c r="A24" s="74" t="s">
        <v>138</v>
      </c>
      <c r="F24" s="73"/>
      <c r="I24" s="75">
        <f t="shared" si="4"/>
        <v>4.8</v>
      </c>
      <c r="J24" s="76">
        <f t="shared" si="5"/>
        <v>10.799999999999999</v>
      </c>
      <c r="K24" s="76">
        <f t="shared" si="6"/>
        <v>25</v>
      </c>
      <c r="L24" s="76">
        <v>12.5</v>
      </c>
      <c r="M24" s="98">
        <v>0.6</v>
      </c>
      <c r="N24" s="98"/>
      <c r="O24" s="98">
        <f t="shared" si="7"/>
        <v>4.8</v>
      </c>
      <c r="P24" s="98">
        <f t="shared" si="8"/>
        <v>5.3999999999999995</v>
      </c>
      <c r="Q24" s="98">
        <f t="shared" si="10"/>
        <v>5</v>
      </c>
      <c r="R24" s="100">
        <f t="shared" si="9"/>
        <v>47</v>
      </c>
      <c r="S24" s="103">
        <f t="shared" si="0"/>
        <v>1.0928684037634173E-7</v>
      </c>
      <c r="T24" s="98">
        <f>(R24*S24)/('Task2A)values_PHI_dependent'!$D$5*10^-6)</f>
        <v>0.12841203744220156</v>
      </c>
      <c r="U24" s="100">
        <f>(Q24*S24)/('Task2A)values_PHI_dependent'!$D$5*10^-6)</f>
        <v>1.3660855047042716E-2</v>
      </c>
      <c r="V24" s="140">
        <f t="shared" si="1"/>
        <v>6.7976414714084564E-6</v>
      </c>
      <c r="W24" s="99">
        <f t="shared" si="2"/>
        <v>3039</v>
      </c>
      <c r="X24" s="98"/>
      <c r="Y24" s="103"/>
      <c r="Z24" s="98">
        <f t="shared" si="3"/>
        <v>3039.0000000412429</v>
      </c>
      <c r="AA24" s="100">
        <v>1700.74283753246</v>
      </c>
      <c r="AL24" s="74"/>
      <c r="AM24" s="80" t="s">
        <v>136</v>
      </c>
      <c r="AN24" s="73"/>
    </row>
    <row r="25" spans="1:42" x14ac:dyDescent="0.3">
      <c r="A25" s="74" t="s">
        <v>6</v>
      </c>
      <c r="B25" s="67">
        <v>8</v>
      </c>
      <c r="E25" s="67" t="s">
        <v>17</v>
      </c>
      <c r="F25" s="73">
        <f>8</f>
        <v>8</v>
      </c>
      <c r="AL25" s="74"/>
      <c r="AM25" s="80">
        <f>SMALL(Ent_tables!BC3:BC70,COUNTIF(Ent_tables!BC3:BC70,"&lt;"&amp;W11)+0.1)</f>
        <v>4792.6533229353909</v>
      </c>
      <c r="AN25" s="81" t="e">
        <f>VLOOKUP(AM25,Ent_tables!AU8:AV75,COLUMN(Ent_tables!AV8:AV75)-COLUMN(Ent_tables!AU8:AV75)+1,0)</f>
        <v>#N/A</v>
      </c>
    </row>
    <row r="26" spans="1:42" x14ac:dyDescent="0.3">
      <c r="A26" s="74" t="s">
        <v>7</v>
      </c>
      <c r="B26" s="67">
        <v>18</v>
      </c>
      <c r="E26" s="67" t="s">
        <v>18</v>
      </c>
      <c r="F26" s="73">
        <f>B26/2</f>
        <v>9</v>
      </c>
      <c r="M26" s="67" t="s">
        <v>152</v>
      </c>
      <c r="N26" s="67">
        <f>1.17</f>
        <v>1.17</v>
      </c>
      <c r="AL26" s="75"/>
      <c r="AM26" s="76">
        <f>SMALL(Ent_tables!BC3:BC705,COUNTIF(Ent_tables!BC3:BC70,"&lt;"&amp;W11)+1)</f>
        <v>4928.4933692303694</v>
      </c>
      <c r="AN26" s="77" t="e">
        <f>VLOOKUP(AM26,Ent_tables!AU8:AV75,COLUMN(Ent_tables!AV8:AV75)-COLUMN(Ent_tables!AU8:AV75)+1,0)</f>
        <v>#N/A</v>
      </c>
    </row>
    <row r="27" spans="1:42" x14ac:dyDescent="0.3">
      <c r="A27" s="74" t="s">
        <v>34</v>
      </c>
      <c r="B27" s="67">
        <f>2*12.5</f>
        <v>25</v>
      </c>
      <c r="E27" s="67" t="s">
        <v>97</v>
      </c>
      <c r="F27" s="73">
        <v>0</v>
      </c>
      <c r="M27" s="69" t="s">
        <v>153</v>
      </c>
      <c r="N27" s="70">
        <f>($N$26-1)/$N$26</f>
        <v>0.14529914529914525</v>
      </c>
      <c r="O27" s="192" t="s">
        <v>148</v>
      </c>
      <c r="P27" s="193"/>
      <c r="Q27" s="192" t="s">
        <v>159</v>
      </c>
      <c r="R27" s="193"/>
      <c r="S27" s="192" t="s">
        <v>145</v>
      </c>
      <c r="T27" s="193"/>
      <c r="U27" s="192" t="s">
        <v>146</v>
      </c>
      <c r="V27" s="193"/>
      <c r="W27" s="192" t="s">
        <v>160</v>
      </c>
      <c r="X27" s="193"/>
      <c r="Y27" s="192" t="s">
        <v>161</v>
      </c>
      <c r="Z27" s="193"/>
    </row>
    <row r="28" spans="1:42" x14ac:dyDescent="0.3">
      <c r="A28" s="75"/>
      <c r="B28" s="76"/>
      <c r="C28" s="76"/>
      <c r="D28" s="76"/>
      <c r="E28" s="76" t="s">
        <v>98</v>
      </c>
      <c r="F28" s="77">
        <f>12.5*3.76</f>
        <v>47</v>
      </c>
      <c r="M28" s="74" t="s">
        <v>147</v>
      </c>
      <c r="N28" s="80" t="s">
        <v>158</v>
      </c>
      <c r="O28" s="74" t="s">
        <v>150</v>
      </c>
      <c r="P28" s="89" t="s">
        <v>154</v>
      </c>
      <c r="Q28" s="74" t="s">
        <v>150</v>
      </c>
      <c r="R28" s="89" t="s">
        <v>154</v>
      </c>
      <c r="S28" s="74" t="s">
        <v>150</v>
      </c>
      <c r="T28" s="89" t="s">
        <v>154</v>
      </c>
      <c r="U28" s="74" t="s">
        <v>150</v>
      </c>
      <c r="V28" s="89" t="s">
        <v>154</v>
      </c>
      <c r="W28" s="74" t="s">
        <v>150</v>
      </c>
      <c r="X28" s="89" t="s">
        <v>154</v>
      </c>
      <c r="Y28" s="74" t="s">
        <v>150</v>
      </c>
      <c r="Z28" s="89" t="s">
        <v>154</v>
      </c>
    </row>
    <row r="29" spans="1:42" x14ac:dyDescent="0.3">
      <c r="M29" s="74">
        <v>0</v>
      </c>
      <c r="N29" s="80">
        <v>10</v>
      </c>
      <c r="O29" s="74">
        <f>AA8</f>
        <v>2390.91320929632</v>
      </c>
      <c r="P29" s="73">
        <f>(4.17*10^13*$T$8*$U$8^0.5*EXP(-67837/O29))/'Task2A)values_PHI_dependent'!$D$14*'Task2A)values_PHI_dependent'!$D$5*10^-6</f>
        <v>0</v>
      </c>
      <c r="Q29" s="74">
        <f>$AA$9</f>
        <v>2375.4522923044483</v>
      </c>
      <c r="R29" s="73">
        <f>(4.17*10^13*$T$9*$U$9^0.5*EXP(-67837/Q29))/'Task2A)values_PHI_dependent'!$D$14*'Task2A)values_PHI_dependent'!$D$5*10^-6</f>
        <v>1.4371588337204397E-10</v>
      </c>
      <c r="S29" s="74">
        <f>$AA$10</f>
        <v>2359.9232744779583</v>
      </c>
      <c r="T29" s="73">
        <f>(4.17*10^13*$T$10*$U$10^0.5*EXP(-67837/S29))/'Task2A)values_PHI_dependent'!$D$14*'Task2A)values_PHI_dependent'!$D$5*10^-6</f>
        <v>1.6846748272304927E-10</v>
      </c>
      <c r="U29" s="74">
        <f>$AA$11</f>
        <v>2344.3241573576884</v>
      </c>
      <c r="V29" s="73">
        <f>(4.17*10^13*$T$11*$U$11^0.5*EXP(-67837/U29))/'Task2A)values_PHI_dependent'!$D$14*'Task2A)values_PHI_dependent'!$D$5*10^-6</f>
        <v>1.7045161436348969E-10</v>
      </c>
      <c r="W29" s="74">
        <f>$AA$12</f>
        <v>2328.6530339021378</v>
      </c>
      <c r="X29" s="73">
        <f>(4.17*10^13*$T$12*$U$12^0.5*EXP(-67837/W29))/'Task2A)values_PHI_dependent'!$D$14*'Task2A)values_PHI_dependent'!$D$5*10^-6</f>
        <v>1.62033879673341E-10</v>
      </c>
      <c r="Y29" s="74">
        <f>$AA$13</f>
        <v>2312.90799489239</v>
      </c>
      <c r="Z29" s="73">
        <f>(4.17*10^13*$T$13*$U$13^0.5*EXP(-67837/Y29))/'Task2A)values_PHI_dependent'!$D$14*'Task2A)values_PHI_dependent'!$D$5*10^-6</f>
        <v>1.4860832379853533E-10</v>
      </c>
    </row>
    <row r="30" spans="1:42" x14ac:dyDescent="0.3">
      <c r="A30" s="74"/>
      <c r="D30" s="73"/>
      <c r="M30" s="74">
        <v>1</v>
      </c>
      <c r="N30" s="80">
        <v>12</v>
      </c>
      <c r="O30" s="74">
        <f>O29*(N30/N29)^$N$27</f>
        <v>2455.0976962838813</v>
      </c>
      <c r="P30" s="73">
        <f>(4.17*10^13*$T$8*$U$8^0.5*EXP(-67837/O30))/'Task2A)values_PHI_dependent'!$D$14*'Task2A)values_PHI_dependent'!$D$5*10^-6</f>
        <v>0</v>
      </c>
      <c r="Q30" s="74">
        <f>Q29*(N30/N29)^$N$27</f>
        <v>2439.2217282472366</v>
      </c>
      <c r="R30" s="73">
        <f>(4.17*10^13*$T$9*$U$9^0.5*EXP(-67837/Q30))/'Task2A)values_PHI_dependent'!$D$14*'Task2A)values_PHI_dependent'!$D$5*10^-6</f>
        <v>3.0321052594832503E-10</v>
      </c>
      <c r="S30" s="74">
        <f>S29*(N30/N29)^$N$27</f>
        <v>2423.2758311970515</v>
      </c>
      <c r="T30" s="73">
        <f>(4.17*10^13*$T$10*$U$10^0.5*EXP(-67837/S30))/'Task2A)values_PHI_dependent'!$D$14*'Task2A)values_PHI_dependent'!$D$5*10^-6</f>
        <v>3.5718168924951809E-10</v>
      </c>
      <c r="U30" s="74">
        <f>U29*(N30/N29)^$N$27</f>
        <v>2407.2579530251755</v>
      </c>
      <c r="V30" s="73">
        <f>(4.17*10^13*$T$11*$U$11^0.5*EXP(-67837/U30))/'Task2A)values_PHI_dependent'!$D$14*'Task2A)values_PHI_dependent'!$D$5*10^-6</f>
        <v>3.6320005325601736E-10</v>
      </c>
      <c r="W30" s="74">
        <f>W29*(N30/N29)^$N$27</f>
        <v>2391.1661354952425</v>
      </c>
      <c r="X30" s="73">
        <f>(4.17*10^13*$T$12*$U$12^0.5*EXP(-67837/W30))/'Task2A)values_PHI_dependent'!$D$14*'Task2A)values_PHI_dependent'!$D$5*10^-6</f>
        <v>3.4702568601089458E-10</v>
      </c>
      <c r="Y30" s="74">
        <f>Y29*(N30/N29)^$N$27</f>
        <v>2374.9984181350173</v>
      </c>
      <c r="Z30" s="73">
        <f>(4.17*10^13*$T$13*$U$13^0.5*EXP(-67837/Y30))/'Task2A)values_PHI_dependent'!$D$14*'Task2A)values_PHI_dependent'!$D$5*10^-6</f>
        <v>3.1992673560510297E-10</v>
      </c>
    </row>
    <row r="31" spans="1:42" x14ac:dyDescent="0.3">
      <c r="A31" s="74"/>
      <c r="B31" s="67" t="s">
        <v>47</v>
      </c>
      <c r="C31" s="67">
        <v>-393.5</v>
      </c>
      <c r="D31" s="73" t="s">
        <v>48</v>
      </c>
      <c r="M31" s="74">
        <v>2</v>
      </c>
      <c r="N31" s="80">
        <v>14</v>
      </c>
      <c r="O31" s="74">
        <f t="shared" ref="O31:O44" si="11">O30*(N31/N30)^$N$27</f>
        <v>2510.7073276804381</v>
      </c>
      <c r="P31" s="73">
        <f>(4.17*10^13*$T$8*$U$8^0.5*EXP(-67837/O31))/'Task2A)values_PHI_dependent'!$D$14*'Task2A)values_PHI_dependent'!$D$5*10^-6</f>
        <v>0</v>
      </c>
      <c r="Q31" s="74">
        <f>Q30*(N31/N30)^$N$27</f>
        <v>2494.471758177865</v>
      </c>
      <c r="R31" s="73">
        <f>(4.17*10^13*$T$9*$U$9^0.5*EXP(-67837/Q31))/'Task2A)values_PHI_dependent'!$D$14*'Task2A)values_PHI_dependent'!$D$5*10^-6</f>
        <v>5.6138736312591883E-10</v>
      </c>
      <c r="S31" s="74">
        <f t="shared" ref="S31:S44" si="12">S30*(N31/N30)^$N$27</f>
        <v>2478.1646757220683</v>
      </c>
      <c r="T31" s="73">
        <f>(4.17*10^13*$T$10*$U$10^0.5*EXP(-67837/S31))/'Task2A)values_PHI_dependent'!$D$14*'Task2A)values_PHI_dependent'!$D$5*10^-6</f>
        <v>6.6399972311002754E-10</v>
      </c>
      <c r="U31" s="74">
        <f>U30*(N31/N30)^$N$27</f>
        <v>2461.7839817232534</v>
      </c>
      <c r="V31" s="73">
        <f>(4.17*10^13*$T$11*$U$11^0.5*EXP(-67837/U31))/'Task2A)values_PHI_dependent'!$D$14*'Task2A)values_PHI_dependent'!$D$5*10^-6</f>
        <v>6.7797923662916621E-10</v>
      </c>
      <c r="W31" s="74">
        <f t="shared" ref="W31:W44" si="13">W30*(N31/N30)^$N$27</f>
        <v>2445.3276735896698</v>
      </c>
      <c r="X31" s="73">
        <f>(4.17*10^13*$T$12*$U$12^0.5*EXP(-67837/W31))/'Task2A)values_PHI_dependent'!$D$14*'Task2A)values_PHI_dependent'!$D$5*10^-6</f>
        <v>6.5051352886873597E-10</v>
      </c>
      <c r="Y31" s="74">
        <f t="shared" ref="Y31:Y43" si="14">Y30*(N31/N30)^$N$27</f>
        <v>2428.7937464430534</v>
      </c>
      <c r="Z31" s="73">
        <f>(4.17*10^13*$T$13*$U$13^0.5*EXP(-67837/Y31))/'Task2A)values_PHI_dependent'!$D$14*'Task2A)values_PHI_dependent'!$D$5*10^-6</f>
        <v>6.0228627626567272E-10</v>
      </c>
    </row>
    <row r="32" spans="1:42" x14ac:dyDescent="0.3">
      <c r="A32" s="74"/>
      <c r="B32" s="67" t="s">
        <v>62</v>
      </c>
      <c r="C32" s="67">
        <v>-285.8</v>
      </c>
      <c r="D32" s="73" t="s">
        <v>48</v>
      </c>
      <c r="M32" s="74">
        <v>3</v>
      </c>
      <c r="N32" s="80">
        <v>16</v>
      </c>
      <c r="O32" s="74">
        <f t="shared" si="11"/>
        <v>2559.8956975582537</v>
      </c>
      <c r="P32" s="73">
        <f>(4.17*10^13*$T$8*$U$8^0.5*EXP(-67837/O32))/'Task2A)values_PHI_dependent'!$D$14*'Task2A)values_PHI_dependent'!$D$5*10^-6</f>
        <v>0</v>
      </c>
      <c r="Q32" s="74">
        <f t="shared" ref="Q32:Q44" si="15">Q31*(N32/N31)^$N$27</f>
        <v>2543.3420498834203</v>
      </c>
      <c r="R32" s="73">
        <f>(4.17*10^13*$T$9*$U$9^0.5*EXP(-67837/Q32))/'Task2A)values_PHI_dependent'!$D$14*'Task2A)values_PHI_dependent'!$D$5*10^-6</f>
        <v>9.4668042427003856E-10</v>
      </c>
      <c r="S32" s="74">
        <f t="shared" si="12"/>
        <v>2526.7154882136902</v>
      </c>
      <c r="T32" s="73">
        <f>(4.17*10^13*$T$10*$U$10^0.5*EXP(-67837/S32))/'Task2A)values_PHI_dependent'!$D$14*'Task2A)values_PHI_dependent'!$D$5*10^-6</f>
        <v>1.1235748316344993E-9</v>
      </c>
      <c r="U32" s="74">
        <f t="shared" ref="U32:U44" si="16">U31*(N32/N31)^$N$27</f>
        <v>2510.0138728448751</v>
      </c>
      <c r="V32" s="73">
        <f>(4.17*10^13*$T$11*$U$11^0.5*EXP(-67837/U32))/'Task2A)values_PHI_dependent'!$D$14*'Task2A)values_PHI_dependent'!$D$5*10^-6</f>
        <v>1.1512522624610036E-9</v>
      </c>
      <c r="W32" s="74">
        <f t="shared" si="13"/>
        <v>2493.2351619515698</v>
      </c>
      <c r="X32" s="73">
        <f>(4.17*10^13*$T$12*$U$12^0.5*EXP(-67837/W32))/'Task2A)values_PHI_dependent'!$D$14*'Task2A)values_PHI_dependent'!$D$5*10^-6</f>
        <v>1.1085568171135264E-9</v>
      </c>
      <c r="Y32" s="74">
        <f t="shared" si="14"/>
        <v>2476.3773113770594</v>
      </c>
      <c r="Z32" s="73">
        <f>(4.17*10^13*$T$13*$U$13^0.5*EXP(-67837/Y32))/'Task2A)values_PHI_dependent'!$D$14*'Task2A)values_PHI_dependent'!$D$5*10^-6</f>
        <v>1.0301027116420514E-9</v>
      </c>
    </row>
    <row r="33" spans="1:26" x14ac:dyDescent="0.3">
      <c r="A33" s="74"/>
      <c r="B33" s="67" t="s">
        <v>63</v>
      </c>
      <c r="C33" s="67">
        <v>-241.8</v>
      </c>
      <c r="D33" s="73" t="s">
        <v>48</v>
      </c>
      <c r="M33" s="74">
        <v>4</v>
      </c>
      <c r="N33" s="80">
        <v>18</v>
      </c>
      <c r="O33" s="74">
        <f t="shared" si="11"/>
        <v>2604.0821954776811</v>
      </c>
      <c r="P33" s="73">
        <f>(4.17*10^13*$T$8*$U$8^0.5*EXP(-67837/O33))/'Task2A)values_PHI_dependent'!$D$14*'Task2A)values_PHI_dependent'!$D$5*10^-6</f>
        <v>0</v>
      </c>
      <c r="Q33" s="74">
        <f t="shared" si="15"/>
        <v>2587.2428143961156</v>
      </c>
      <c r="R33" s="73">
        <f>(4.17*10^13*$T$9*$U$9^0.5*EXP(-67837/Q33))/'Task2A)values_PHI_dependent'!$D$14*'Task2A)values_PHI_dependent'!$D$5*10^-6</f>
        <v>1.4885280602793896E-9</v>
      </c>
      <c r="S33" s="74">
        <f t="shared" si="12"/>
        <v>2570.3292607472481</v>
      </c>
      <c r="T33" s="73">
        <f>(4.17*10^13*$T$10*$U$10^0.5*EXP(-67837/S33))/'Task2A)values_PHI_dependent'!$D$14*'Task2A)values_PHI_dependent'!$D$5*10^-6</f>
        <v>1.7719400103706334E-9</v>
      </c>
      <c r="U33" s="74">
        <f t="shared" si="16"/>
        <v>2553.3393578933419</v>
      </c>
      <c r="V33" s="73">
        <f>(4.17*10^13*$T$11*$U$11^0.5*EXP(-67837/U33))/'Task2A)values_PHI_dependent'!$D$14*'Task2A)values_PHI_dependent'!$D$5*10^-6</f>
        <v>1.8211007853336813E-9</v>
      </c>
      <c r="W33" s="74">
        <f t="shared" si="13"/>
        <v>2536.2710287649325</v>
      </c>
      <c r="X33" s="73">
        <f>(4.17*10^13*$T$12*$U$12^0.5*EXP(-67837/W33))/'Task2A)values_PHI_dependent'!$D$14*'Task2A)values_PHI_dependent'!$D$5*10^-6</f>
        <v>1.7589834423775175E-9</v>
      </c>
      <c r="Y33" s="74">
        <f t="shared" si="14"/>
        <v>2519.1221939210054</v>
      </c>
      <c r="Z33" s="73">
        <f>(4.17*10^13*$T$13*$U$13^0.5*EXP(-67837/Y33))/'Task2A)values_PHI_dependent'!$D$14*'Task2A)values_PHI_dependent'!$D$5*10^-6</f>
        <v>1.6396428035866893E-9</v>
      </c>
    </row>
    <row r="34" spans="1:26" x14ac:dyDescent="0.3">
      <c r="A34" s="74"/>
      <c r="B34" s="67" t="s">
        <v>49</v>
      </c>
      <c r="C34" s="67">
        <v>-259.2</v>
      </c>
      <c r="D34" s="73" t="s">
        <v>48</v>
      </c>
      <c r="M34" s="74">
        <v>5</v>
      </c>
      <c r="N34" s="80">
        <v>20</v>
      </c>
      <c r="O34" s="74">
        <f t="shared" si="11"/>
        <v>2644.254258777175</v>
      </c>
      <c r="P34" s="73">
        <f>(4.17*10^13*$T$8*$U$8^0.5*EXP(-67837/O34))/'Task2A)values_PHI_dependent'!$D$14*'Task2A)values_PHI_dependent'!$D$5*10^-6</f>
        <v>0</v>
      </c>
      <c r="Q34" s="74">
        <f t="shared" si="15"/>
        <v>2627.1551037591694</v>
      </c>
      <c r="R34" s="73">
        <f>(4.17*10^13*$T$9*$U$9^0.5*EXP(-67837/Q34))/'Task2A)values_PHI_dependent'!$D$14*'Task2A)values_PHI_dependent'!$D$5*10^-6</f>
        <v>2.2169325307003747E-9</v>
      </c>
      <c r="S34" s="74">
        <f t="shared" si="12"/>
        <v>2609.9806319453601</v>
      </c>
      <c r="T34" s="73">
        <f>(4.17*10^13*$T$10*$U$10^0.5*EXP(-67837/S34))/'Task2A)values_PHI_dependent'!$D$14*'Task2A)values_PHI_dependent'!$D$5*10^-6</f>
        <v>2.6459572787730212E-9</v>
      </c>
      <c r="U34" s="74">
        <f t="shared" si="16"/>
        <v>2592.7286331199502</v>
      </c>
      <c r="V34" s="73">
        <f>(4.17*10^13*$T$11*$U$11^0.5*EXP(-67837/U34))/'Task2A)values_PHI_dependent'!$D$14*'Task2A)values_PHI_dependent'!$D$5*10^-6</f>
        <v>2.7266317036121615E-9</v>
      </c>
      <c r="W34" s="74">
        <f t="shared" si="13"/>
        <v>2575.3969981714122</v>
      </c>
      <c r="X34" s="73">
        <f>(4.17*10^13*$T$12*$U$12^0.5*EXP(-67837/W34))/'Task2A)values_PHI_dependent'!$D$14*'Task2A)values_PHI_dependent'!$D$5*10^-6</f>
        <v>2.6407902921226147E-9</v>
      </c>
      <c r="Y34" s="74">
        <f t="shared" si="14"/>
        <v>2557.9836155800831</v>
      </c>
      <c r="Z34" s="73">
        <f>(4.17*10^13*$T$13*$U$13^0.5*EXP(-67837/Y34))/'Task2A)values_PHI_dependent'!$D$14*'Task2A)values_PHI_dependent'!$D$5*10^-6</f>
        <v>2.4684409280876635E-9</v>
      </c>
    </row>
    <row r="35" spans="1:26" x14ac:dyDescent="0.3">
      <c r="A35" s="74"/>
      <c r="B35" s="76" t="s">
        <v>47</v>
      </c>
      <c r="C35" s="76">
        <v>-201.5</v>
      </c>
      <c r="D35" s="77" t="s">
        <v>48</v>
      </c>
      <c r="M35" s="74">
        <v>6</v>
      </c>
      <c r="N35" s="80">
        <v>22</v>
      </c>
      <c r="O35" s="74">
        <f t="shared" si="11"/>
        <v>2681.1279141382365</v>
      </c>
      <c r="P35" s="73">
        <f>(4.17*10^13*$T$8*$U$8^0.5*EXP(-67837/O35))/'Task2A)values_PHI_dependent'!$D$14*'Task2A)values_PHI_dependent'!$D$5*10^-6</f>
        <v>0</v>
      </c>
      <c r="Q35" s="74">
        <f t="shared" si="15"/>
        <v>2663.79031444457</v>
      </c>
      <c r="R35" s="73">
        <f>(4.17*10^13*$T$9*$U$9^0.5*EXP(-67837/Q35))/'Task2A)values_PHI_dependent'!$D$14*'Task2A)values_PHI_dependent'!$D$5*10^-6</f>
        <v>3.1621372148968776E-9</v>
      </c>
      <c r="S35" s="74">
        <f t="shared" si="12"/>
        <v>2646.3763476757772</v>
      </c>
      <c r="T35" s="73">
        <f>(4.17*10^13*$T$10*$U$10^0.5*EXP(-67837/S35))/'Task2A)values_PHI_dependent'!$D$14*'Task2A)values_PHI_dependent'!$D$5*10^-6</f>
        <v>3.7829093299165642E-9</v>
      </c>
      <c r="U35" s="74">
        <f t="shared" si="16"/>
        <v>2628.8837727949954</v>
      </c>
      <c r="V35" s="73">
        <f>(4.17*10^13*$T$11*$U$11^0.5*EXP(-67837/U35))/'Task2A)values_PHI_dependent'!$D$14*'Task2A)values_PHI_dependent'!$D$5*10^-6</f>
        <v>3.907532248747E-9</v>
      </c>
      <c r="W35" s="74">
        <f t="shared" si="13"/>
        <v>2611.3104512795112</v>
      </c>
      <c r="X35" s="73">
        <f>(4.17*10^13*$T$12*$U$12^0.5*EXP(-67837/W35))/'Task2A)values_PHI_dependent'!$D$14*'Task2A)values_PHI_dependent'!$D$5*10^-6</f>
        <v>3.7936887436178094E-9</v>
      </c>
      <c r="Y35" s="74">
        <f t="shared" si="14"/>
        <v>2593.654242164896</v>
      </c>
      <c r="Z35" s="73">
        <f>(4.17*10^13*$T$13*$U$13^0.5*EXP(-67837/Y35))/'Task2A)values_PHI_dependent'!$D$14*'Task2A)values_PHI_dependent'!$D$5*10^-6</f>
        <v>3.5548519895130991E-9</v>
      </c>
    </row>
    <row r="36" spans="1:26" x14ac:dyDescent="0.3">
      <c r="M36" s="74">
        <v>7</v>
      </c>
      <c r="N36" s="80">
        <v>24</v>
      </c>
      <c r="O36" s="74">
        <f t="shared" si="11"/>
        <v>2715.2397309408589</v>
      </c>
      <c r="P36" s="73">
        <f>(4.17*10^13*$T$8*$U$8^0.5*EXP(-67837/O36))/'Task2A)values_PHI_dependent'!$D$14*'Task2A)values_PHI_dependent'!$D$5*10^-6</f>
        <v>0</v>
      </c>
      <c r="Q36" s="74">
        <f t="shared" si="15"/>
        <v>2697.6815460891962</v>
      </c>
      <c r="R36" s="73">
        <f>(4.17*10^13*$T$9*$U$9^0.5*EXP(-67837/Q36))/'Task2A)values_PHI_dependent'!$D$14*'Task2A)values_PHI_dependent'!$D$5*10^-6</f>
        <v>4.3543887707660536E-9</v>
      </c>
      <c r="S36" s="74">
        <f t="shared" si="12"/>
        <v>2680.0460225490569</v>
      </c>
      <c r="T36" s="73">
        <f>(4.17*10^13*$T$10*$U$10^0.5*EXP(-67837/S36))/'Task2A)values_PHI_dependent'!$D$14*'Task2A)values_PHI_dependent'!$D$5*10^-6</f>
        <v>5.2201950740579235E-9</v>
      </c>
      <c r="U36" s="74">
        <f t="shared" si="16"/>
        <v>2662.3308907710107</v>
      </c>
      <c r="V36" s="73">
        <f>(4.17*10^13*$T$11*$U$11^0.5*EXP(-67837/U36))/'Task2A)values_PHI_dependent'!$D$14*'Task2A)values_PHI_dependent'!$D$5*10^-6</f>
        <v>5.4037345166311897E-9</v>
      </c>
      <c r="W36" s="74">
        <f t="shared" si="13"/>
        <v>2644.5339850240584</v>
      </c>
      <c r="X36" s="73">
        <f>(4.17*10^13*$T$12*$U$12^0.5*EXP(-67837/W36))/'Task2A)values_PHI_dependent'!$D$14*'Task2A)values_PHI_dependent'!$D$5*10^-6</f>
        <v>5.257758237982824E-9</v>
      </c>
      <c r="Y36" s="74">
        <f t="shared" si="14"/>
        <v>2626.6531371044202</v>
      </c>
      <c r="Z36" s="73">
        <f>(4.17*10^13*$T$13*$U$13^0.5*EXP(-67837/Y36))/'Task2A)values_PHI_dependent'!$D$14*'Task2A)values_PHI_dependent'!$D$5*10^-6</f>
        <v>4.9377070754754078E-9</v>
      </c>
    </row>
    <row r="37" spans="1:26" x14ac:dyDescent="0.3">
      <c r="M37" s="74">
        <v>8</v>
      </c>
      <c r="N37" s="80">
        <v>26</v>
      </c>
      <c r="O37" s="74">
        <f t="shared" si="11"/>
        <v>2747.0026867764668</v>
      </c>
      <c r="P37" s="73">
        <f>(4.17*10^13*$T$8*$U$8^0.5*EXP(-67837/O37))/'Task2A)values_PHI_dependent'!$D$14*'Task2A)values_PHI_dependent'!$D$5*10^-6</f>
        <v>0</v>
      </c>
      <c r="Q37" s="74">
        <f t="shared" si="15"/>
        <v>2729.2391057516261</v>
      </c>
      <c r="R37" s="73">
        <f>(4.17*10^13*$T$9*$U$9^0.5*EXP(-67837/Q37))/'Task2A)values_PHI_dependent'!$D$14*'Task2A)values_PHI_dependent'!$D$5*10^-6</f>
        <v>5.8237613751958335E-9</v>
      </c>
      <c r="S37" s="74">
        <f t="shared" si="12"/>
        <v>2711.3972813280102</v>
      </c>
      <c r="T37" s="73">
        <f>(4.17*10^13*$T$10*$U$10^0.5*EXP(-67837/S37))/'Task2A)values_PHI_dependent'!$D$14*'Task2A)values_PHI_dependent'!$D$5*10^-6</f>
        <v>6.995101814696006E-9</v>
      </c>
      <c r="U37" s="74">
        <f t="shared" si="16"/>
        <v>2693.474917406932</v>
      </c>
      <c r="V37" s="73">
        <f>(4.17*10^13*$T$11*$U$11^0.5*EXP(-67837/U37))/'Task2A)values_PHI_dependent'!$D$14*'Task2A)values_PHI_dependent'!$D$5*10^-6</f>
        <v>7.2551614770483524E-9</v>
      </c>
      <c r="W37" s="74">
        <f t="shared" si="13"/>
        <v>2675.4698229226065</v>
      </c>
      <c r="X37" s="73">
        <f>(4.17*10^13*$T$12*$U$12^0.5*EXP(-67837/W37))/'Task2A)values_PHI_dependent'!$D$14*'Task2A)values_PHI_dependent'!$D$5*10^-6</f>
        <v>7.0731810772762655E-9</v>
      </c>
      <c r="Y37" s="74">
        <f t="shared" si="14"/>
        <v>2657.3798043075403</v>
      </c>
      <c r="Z37" s="73">
        <f>(4.17*10^13*$T$13*$U$13^0.5*EXP(-67837/Y37))/'Task2A)values_PHI_dependent'!$D$14*'Task2A)values_PHI_dependent'!$D$5*10^-6</f>
        <v>6.6560470620004413E-9</v>
      </c>
    </row>
    <row r="38" spans="1:26" x14ac:dyDescent="0.3">
      <c r="M38" s="74">
        <v>9</v>
      </c>
      <c r="N38" s="80">
        <v>28</v>
      </c>
      <c r="O38" s="74">
        <f t="shared" si="11"/>
        <v>2776.7417562246005</v>
      </c>
      <c r="P38" s="73">
        <f>(4.17*10^13*$T$8*$U$8^0.5*EXP(-67837/O38))/'Task2A)values_PHI_dependent'!$D$14*'Task2A)values_PHI_dependent'!$D$5*10^-6</f>
        <v>0</v>
      </c>
      <c r="Q38" s="74">
        <f t="shared" si="15"/>
        <v>2758.7858665528524</v>
      </c>
      <c r="R38" s="73">
        <f>(4.17*10^13*$T$9*$U$9^0.5*EXP(-67837/Q38))/'Task2A)values_PHI_dependent'!$D$14*'Task2A)values_PHI_dependent'!$D$5*10^-6</f>
        <v>7.6000268562077586E-9</v>
      </c>
      <c r="S38" s="74">
        <f t="shared" si="12"/>
        <v>2740.7508864187707</v>
      </c>
      <c r="T38" s="73">
        <f>(4.17*10^13*$T$10*$U$10^0.5*EXP(-67837/S38))/'Task2A)values_PHI_dependent'!$D$14*'Task2A)values_PHI_dependent'!$D$5*10^-6</f>
        <v>9.144634559103209E-9</v>
      </c>
      <c r="U38" s="74">
        <f t="shared" si="16"/>
        <v>2722.634494866089</v>
      </c>
      <c r="V38" s="73">
        <f>(4.17*10^13*$T$11*$U$11^0.5*EXP(-67837/U38))/'Task2A)values_PHI_dependent'!$D$14*'Task2A)values_PHI_dependent'!$D$5*10^-6</f>
        <v>9.501534249327374E-9</v>
      </c>
      <c r="W38" s="74">
        <f t="shared" si="13"/>
        <v>2704.4344771085293</v>
      </c>
      <c r="X38" s="73">
        <f>(4.17*10^13*$T$12*$U$12^0.5*EXP(-67837/W38))/'Task2A)values_PHI_dependent'!$D$14*'Task2A)values_PHI_dependent'!$D$5*10^-6</f>
        <v>9.2800388176821753E-9</v>
      </c>
      <c r="Y38" s="74">
        <f t="shared" si="14"/>
        <v>2686.1486158310222</v>
      </c>
      <c r="Z38" s="73">
        <f>(4.17*10^13*$T$13*$U$13^0.5*EXP(-67837/Y38))/'Task2A)values_PHI_dependent'!$D$14*'Task2A)values_PHI_dependent'!$D$5*10^-6</f>
        <v>8.7489158402711152E-9</v>
      </c>
    </row>
    <row r="39" spans="1:26" x14ac:dyDescent="0.3">
      <c r="M39" s="74">
        <v>10</v>
      </c>
      <c r="N39" s="80">
        <v>30</v>
      </c>
      <c r="O39" s="74">
        <f t="shared" si="11"/>
        <v>2804.7174847747765</v>
      </c>
      <c r="P39" s="73">
        <f>(4.17*10^13*$T$8*$U$8^0.5*EXP(-67837/O39))/'Task2A)values_PHI_dependent'!$D$14*'Task2A)values_PHI_dependent'!$D$5*10^-6</f>
        <v>0</v>
      </c>
      <c r="Q39" s="74">
        <f t="shared" si="15"/>
        <v>2786.5806891566226</v>
      </c>
      <c r="R39" s="73">
        <f>(4.17*10^13*$T$9*$U$9^0.5*EXP(-67837/Q39))/'Task2A)values_PHI_dependent'!$D$14*'Task2A)values_PHI_dependent'!$D$5*10^-6</f>
        <v>9.7125591008229528E-9</v>
      </c>
      <c r="S39" s="74">
        <f t="shared" si="12"/>
        <v>2768.3640062381505</v>
      </c>
      <c r="T39" s="73">
        <f>(4.17*10^13*$T$10*$U$10^0.5*EXP(-67837/S39))/'Task2A)values_PHI_dependent'!$D$14*'Task2A)values_PHI_dependent'!$D$5*10^-6</f>
        <v>1.170538835202812E-8</v>
      </c>
      <c r="U39" s="74">
        <f t="shared" si="16"/>
        <v>2750.0650916794134</v>
      </c>
      <c r="V39" s="73">
        <f>(4.17*10^13*$T$11*$U$11^0.5*EXP(-67837/U39))/'Task2A)values_PHI_dependent'!$D$14*'Task2A)values_PHI_dependent'!$D$5*10^-6</f>
        <v>1.2182225884991432E-8</v>
      </c>
      <c r="W39" s="74">
        <f t="shared" si="13"/>
        <v>2731.6817083801166</v>
      </c>
      <c r="X39" s="73">
        <f>(4.17*10^13*$T$12*$U$12^0.5*EXP(-67837/W39))/'Task2A)values_PHI_dependent'!$D$14*'Task2A)values_PHI_dependent'!$D$5*10^-6</f>
        <v>1.1918155793527521E-8</v>
      </c>
      <c r="Y39" s="74">
        <f t="shared" si="14"/>
        <v>2713.2116166856977</v>
      </c>
      <c r="Z39" s="73">
        <f>(4.17*10^13*$T$13*$U$13^0.5*EXP(-67837/Y39))/'Task2A)values_PHI_dependent'!$D$14*'Task2A)values_PHI_dependent'!$D$5*10^-6</f>
        <v>1.1255199525654662E-8</v>
      </c>
    </row>
    <row r="40" spans="1:26" x14ac:dyDescent="0.3">
      <c r="M40" s="74">
        <v>11</v>
      </c>
      <c r="N40" s="80">
        <v>32</v>
      </c>
      <c r="O40" s="74">
        <f t="shared" si="11"/>
        <v>2831.1421234257177</v>
      </c>
      <c r="P40" s="73">
        <f>(4.17*10^13*$T$8*$U$8^0.5*EXP(-67837/O40))/'Task2A)values_PHI_dependent'!$D$14*'Task2A)values_PHI_dependent'!$D$5*10^-6</f>
        <v>0</v>
      </c>
      <c r="Q40" s="74">
        <f t="shared" si="15"/>
        <v>2812.834452033766</v>
      </c>
      <c r="R40" s="73">
        <f>(4.17*10^13*$T$9*$U$9^0.5*EXP(-67837/Q40))/'Task2A)values_PHI_dependent'!$D$14*'Task2A)values_PHI_dependent'!$D$5*10^-6</f>
        <v>1.2190264294808074E-8</v>
      </c>
      <c r="S40" s="74">
        <f t="shared" si="12"/>
        <v>2794.4461406834989</v>
      </c>
      <c r="T40" s="73">
        <f>(4.17*10^13*$T$10*$U$10^0.5*EXP(-67837/S40))/'Task2A)values_PHI_dependent'!$D$14*'Task2A)values_PHI_dependent'!$D$5*10^-6</f>
        <v>1.4713453295051716E-8</v>
      </c>
      <c r="U40" s="74">
        <f t="shared" si="16"/>
        <v>2775.9748229477773</v>
      </c>
      <c r="V40" s="73">
        <f>(4.17*10^13*$T$11*$U$11^0.5*EXP(-67837/U40))/'Task2A)values_PHI_dependent'!$D$14*'Task2A)values_PHI_dependent'!$D$5*10^-6</f>
        <v>1.5336150759575175E-8</v>
      </c>
      <c r="W40" s="74">
        <f t="shared" si="13"/>
        <v>2757.4182406494715</v>
      </c>
      <c r="X40" s="73">
        <f>(4.17*10^13*$T$12*$U$12^0.5*EXP(-67837/W40))/'Task2A)values_PHI_dependent'!$D$14*'Task2A)values_PHI_dependent'!$D$5*10^-6</f>
        <v>1.5026979004648672E-8</v>
      </c>
      <c r="Y40" s="74">
        <f t="shared" si="14"/>
        <v>2738.7741330331196</v>
      </c>
      <c r="Z40" s="73">
        <f>(4.17*10^13*$T$13*$U$13^0.5*EXP(-67837/Y40))/'Task2A)values_PHI_dependent'!$D$14*'Task2A)values_PHI_dependent'!$D$5*10^-6</f>
        <v>1.4213501411440775E-8</v>
      </c>
    </row>
    <row r="41" spans="1:26" x14ac:dyDescent="0.3">
      <c r="M41" s="74">
        <v>12</v>
      </c>
      <c r="N41" s="80">
        <v>34</v>
      </c>
      <c r="O41" s="74">
        <f t="shared" si="11"/>
        <v>2856.1909833316572</v>
      </c>
      <c r="P41" s="73">
        <f>(4.17*10^13*$T$8*$U$8^0.5*EXP(-67837/O41))/'Task2A)values_PHI_dependent'!$D$14*'Task2A)values_PHI_dependent'!$D$5*10^-6</f>
        <v>0</v>
      </c>
      <c r="Q41" s="74">
        <f t="shared" si="15"/>
        <v>2837.7213326833107</v>
      </c>
      <c r="R41" s="73">
        <f>(4.17*10^13*$T$9*$U$9^0.5*EXP(-67837/Q41))/'Task2A)values_PHI_dependent'!$D$14*'Task2A)values_PHI_dependent'!$D$5*10^-6</f>
        <v>1.5061530780391583E-8</v>
      </c>
      <c r="S41" s="74">
        <f t="shared" si="12"/>
        <v>2819.1703286052189</v>
      </c>
      <c r="T41" s="73">
        <f>(4.17*10^13*$T$10*$U$10^0.5*EXP(-67837/S41))/'Task2A)values_PHI_dependent'!$D$14*'Task2A)values_PHI_dependent'!$D$5*10^-6</f>
        <v>1.8204344589819686E-8</v>
      </c>
      <c r="U41" s="74">
        <f t="shared" si="16"/>
        <v>2800.5355837330026</v>
      </c>
      <c r="V41" s="73">
        <f>(4.17*10^13*$T$11*$U$11^0.5*EXP(-67837/U41))/'Task2A)values_PHI_dependent'!$D$14*'Task2A)values_PHI_dependent'!$D$5*10^-6</f>
        <v>1.9001681438381377E-8</v>
      </c>
      <c r="W41" s="74">
        <f t="shared" si="13"/>
        <v>2781.8148199100474</v>
      </c>
      <c r="X41" s="73">
        <f>(4.17*10^13*$T$12*$U$12^0.5*EXP(-67837/W41))/'Task2A)values_PHI_dependent'!$D$14*'Task2A)values_PHI_dependent'!$D$5*10^-6</f>
        <v>1.8645486270433766E-8</v>
      </c>
      <c r="Y41" s="74">
        <f t="shared" si="14"/>
        <v>2763.0057563785936</v>
      </c>
      <c r="Z41" s="73">
        <f>(4.17*10^13*$T$13*$U$13^0.5*EXP(-67837/Y41))/'Task2A)values_PHI_dependent'!$D$14*'Task2A)values_PHI_dependent'!$D$5*10^-6</f>
        <v>1.7662044911672186E-8</v>
      </c>
    </row>
    <row r="42" spans="1:26" x14ac:dyDescent="0.3">
      <c r="M42" s="74">
        <v>13</v>
      </c>
      <c r="N42" s="80">
        <v>36</v>
      </c>
      <c r="O42" s="74">
        <f t="shared" si="11"/>
        <v>2880.0106205545962</v>
      </c>
      <c r="P42" s="73">
        <f>(4.17*10^13*$T$8*$U$8^0.5*EXP(-67837/O42))/'Task2A)values_PHI_dependent'!$D$14*'Task2A)values_PHI_dependent'!$D$5*10^-6</f>
        <v>0</v>
      </c>
      <c r="Q42" s="74">
        <f t="shared" si="15"/>
        <v>2861.38693945778</v>
      </c>
      <c r="R42" s="73">
        <f>(4.17*10^13*$T$9*$U$9^0.5*EXP(-67837/Q42))/'Task2A)values_PHI_dependent'!$D$14*'Task2A)values_PHI_dependent'!$D$5*10^-6</f>
        <v>1.8354193907132782E-8</v>
      </c>
      <c r="S42" s="74">
        <f t="shared" si="12"/>
        <v>2842.6812264719715</v>
      </c>
      <c r="T42" s="73">
        <f>(4.17*10^13*$T$10*$U$10^0.5*EXP(-67837/S42))/'Task2A)values_PHI_dependent'!$D$14*'Task2A)values_PHI_dependent'!$D$5*10^-6</f>
        <v>2.2212951864531648E-8</v>
      </c>
      <c r="U42" s="74">
        <f t="shared" si="16"/>
        <v>2823.8910743230049</v>
      </c>
      <c r="V42" s="73">
        <f>(4.17*10^13*$T$11*$U$11^0.5*EXP(-67837/U42))/'Task2A)values_PHI_dependent'!$D$14*'Task2A)values_PHI_dependent'!$D$5*10^-6</f>
        <v>2.3216586879977737E-8</v>
      </c>
      <c r="W42" s="74">
        <f t="shared" si="13"/>
        <v>2805.0141858552338</v>
      </c>
      <c r="X42" s="73">
        <f>(4.17*10^13*$T$12*$U$12^0.5*EXP(-67837/W42))/'Task2A)values_PHI_dependent'!$D$14*'Task2A)values_PHI_dependent'!$D$5*10^-6</f>
        <v>2.2812116502266794E-8</v>
      </c>
      <c r="Y42" s="74">
        <f t="shared" si="14"/>
        <v>2786.0482612901733</v>
      </c>
      <c r="Z42" s="73">
        <f>(4.17*10^13*$T$13*$U$13^0.5*EXP(-67837/Y42))/'Task2A)values_PHI_dependent'!$D$14*'Task2A)values_PHI_dependent'!$D$5*10^-6</f>
        <v>2.1638598563632446E-8</v>
      </c>
    </row>
    <row r="43" spans="1:26" x14ac:dyDescent="0.3">
      <c r="M43" s="74">
        <v>14</v>
      </c>
      <c r="N43" s="80">
        <v>38</v>
      </c>
      <c r="O43" s="74">
        <f t="shared" si="11"/>
        <v>2902.7248604010247</v>
      </c>
      <c r="P43" s="73">
        <f>(4.17*10^13*$T$8*$U$8^0.5*EXP(-67837/O43))/'Task2A)values_PHI_dependent'!$D$14*'Task2A)values_PHI_dependent'!$D$5*10^-6</f>
        <v>0</v>
      </c>
      <c r="Q43" s="74">
        <f t="shared" si="15"/>
        <v>2883.954296943346</v>
      </c>
      <c r="R43" s="73">
        <f>(4.17*10^13*$T$9*$U$9^0.5*EXP(-67837/Q43))/'Task2A)values_PHI_dependent'!$D$14*'Task2A)values_PHI_dependent'!$D$5*10^-6</f>
        <v>2.2095512398402431E-8</v>
      </c>
      <c r="S43" s="74">
        <f t="shared" si="12"/>
        <v>2865.1010546226712</v>
      </c>
      <c r="T43" s="73">
        <f>(4.17*10^13*$T$10*$U$10^0.5*EXP(-67837/S43))/'Task2A)values_PHI_dependent'!$D$14*'Task2A)values_PHI_dependent'!$D$5*10^-6</f>
        <v>2.6773503439475159E-8</v>
      </c>
      <c r="U43" s="74">
        <f t="shared" si="16"/>
        <v>2846.1627071790008</v>
      </c>
      <c r="V43" s="73">
        <f>(4.17*10^13*$T$11*$U$11^0.5*EXP(-67837/U43))/'Task2A)values_PHI_dependent'!$D$14*'Task2A)values_PHI_dependent'!$D$5*10^-6</f>
        <v>2.801798730436412E-8</v>
      </c>
      <c r="W43" s="74">
        <f t="shared" si="13"/>
        <v>2827.1369393393447</v>
      </c>
      <c r="X43" s="73">
        <f>(4.17*10^13*$T$12*$U$12^0.5*EXP(-67837/W43))/'Task2A)values_PHI_dependent'!$D$14*'Task2A)values_PHI_dependent'!$D$5*10^-6</f>
        <v>2.7564717382441237E-8</v>
      </c>
      <c r="Y43" s="74">
        <f t="shared" si="14"/>
        <v>2808.0214331871866</v>
      </c>
      <c r="Z43" s="73">
        <f>(4.17*10^13*$T$13*$U$13^0.5*EXP(-67837/Y43))/'Task2A)values_PHI_dependent'!$D$14*'Task2A)values_PHI_dependent'!$D$5*10^-6</f>
        <v>2.6180418516899435E-8</v>
      </c>
    </row>
    <row r="44" spans="1:26" x14ac:dyDescent="0.3">
      <c r="M44" s="75">
        <v>16</v>
      </c>
      <c r="N44" s="76">
        <v>40</v>
      </c>
      <c r="O44" s="75">
        <f t="shared" si="11"/>
        <v>2924.4393137629195</v>
      </c>
      <c r="P44" s="77">
        <f>(4.17*10^13*$T$8*$U$8^0.5*EXP(-67837/O44))/'Task2A)values_PHI_dependent'!$D$14*'Task2A)values_PHI_dependent'!$D$5*10^-6</f>
        <v>0</v>
      </c>
      <c r="Q44" s="75">
        <f t="shared" si="15"/>
        <v>2905.5283330957636</v>
      </c>
      <c r="R44" s="77">
        <f>(4.17*10^13*$T$9*$U$9^0.5*EXP(-67837/Q44))/'Task2A)values_PHI_dependent'!$D$14*'Task2A)values_PHI_dependent'!$D$5*10^-6</f>
        <v>2.6312153594391077E-8</v>
      </c>
      <c r="S44" s="75">
        <f t="shared" si="12"/>
        <v>2886.5340550687156</v>
      </c>
      <c r="T44" s="77">
        <f>(4.17*10^13*$T$10*$U$10^0.5*EXP(-67837/S44))/'Task2A)values_PHI_dependent'!$D$14*'Task2A)values_PHI_dependent'!$D$5*10^-6</f>
        <v>3.1919542214270666E-8</v>
      </c>
      <c r="U44" s="75">
        <f t="shared" si="16"/>
        <v>2867.4540352716208</v>
      </c>
      <c r="V44" s="77">
        <f>(4.17*10^13*$T$11*$U$11^0.5*EXP(-67837/U44))/'Task2A)values_PHI_dependent'!$D$14*'Task2A)values_PHI_dependent'!$D$5*10^-6</f>
        <v>3.3442322135503248E-8</v>
      </c>
      <c r="W44" s="75">
        <f t="shared" si="13"/>
        <v>2848.2859411115942</v>
      </c>
      <c r="X44" s="77">
        <f>(4.17*10^13*$T$12*$U$12^0.5*EXP(-67837/W44))/'Task2A)values_PHI_dependent'!$D$14*'Task2A)values_PHI_dependent'!$D$5*10^-6</f>
        <v>3.2940506807458766E-8</v>
      </c>
      <c r="Y44" s="75">
        <f>Y43*(N44/N43)^$N$27</f>
        <v>2829.0274373324505</v>
      </c>
      <c r="Z44" s="77">
        <f>(4.17*10^13*$T$13*$U$13^0.5*EXP(-67837/Y44))/'Task2A)values_PHI_dependent'!$D$14*'Task2A)values_PHI_dependent'!$D$5*10^-6</f>
        <v>3.1324204952906125E-8</v>
      </c>
    </row>
    <row r="45" spans="1:26" x14ac:dyDescent="0.3">
      <c r="Y45" s="74"/>
    </row>
    <row r="47" spans="1:26" x14ac:dyDescent="0.3">
      <c r="M47" s="69"/>
      <c r="N47" s="70"/>
      <c r="O47" s="192">
        <v>0.94</v>
      </c>
      <c r="P47" s="193"/>
      <c r="Q47" s="192" t="s">
        <v>162</v>
      </c>
      <c r="R47" s="193"/>
      <c r="S47" s="192" t="s">
        <v>163</v>
      </c>
      <c r="T47" s="193"/>
      <c r="U47" s="192" t="s">
        <v>164</v>
      </c>
      <c r="V47" s="193"/>
      <c r="W47" s="192" t="s">
        <v>165</v>
      </c>
      <c r="X47" s="193"/>
      <c r="Y47" s="192" t="s">
        <v>166</v>
      </c>
      <c r="Z47" s="193"/>
    </row>
    <row r="48" spans="1:26" x14ac:dyDescent="0.3">
      <c r="M48" s="74" t="s">
        <v>147</v>
      </c>
      <c r="N48" s="80" t="s">
        <v>158</v>
      </c>
      <c r="O48" s="74" t="s">
        <v>150</v>
      </c>
      <c r="P48" s="89" t="s">
        <v>154</v>
      </c>
      <c r="Q48" s="74" t="s">
        <v>150</v>
      </c>
      <c r="R48" s="89" t="s">
        <v>154</v>
      </c>
      <c r="S48" s="74" t="s">
        <v>150</v>
      </c>
      <c r="T48" s="89" t="s">
        <v>154</v>
      </c>
      <c r="U48" s="74" t="s">
        <v>150</v>
      </c>
      <c r="V48" s="89" t="s">
        <v>154</v>
      </c>
      <c r="W48" s="74" t="s">
        <v>150</v>
      </c>
      <c r="X48" s="89" t="s">
        <v>154</v>
      </c>
      <c r="Y48" s="74" t="s">
        <v>150</v>
      </c>
      <c r="Z48" s="89" t="s">
        <v>154</v>
      </c>
    </row>
    <row r="49" spans="13:26" x14ac:dyDescent="0.3">
      <c r="M49" s="74">
        <v>0</v>
      </c>
      <c r="N49" s="80">
        <v>10</v>
      </c>
      <c r="O49" s="74">
        <f>$AA$14</f>
        <v>2297.0866276749784</v>
      </c>
      <c r="P49" s="73">
        <f>(4.17*10^13*$T$14*$U$14^0.5*EXP(-67837/O49))/'Task2A)values_PHI_dependent'!$D$14*'Task2A)values_PHI_dependent'!$D$5*10^-6</f>
        <v>1.3304828830497996E-10</v>
      </c>
      <c r="Q49" s="74">
        <f>$AA$15</f>
        <v>2281.1875404276766</v>
      </c>
      <c r="R49" s="73">
        <f>(4.17*10^13*$T$15*$U$15^0.5*EXP(-67837/Q49))/'Task2A)values_PHI_dependent'!$D$14*'Task2A)values_PHI_dependent'!$D$5*10^-6</f>
        <v>1.1700416879453199E-10</v>
      </c>
      <c r="S49" s="74">
        <f>$AA$16</f>
        <v>2265.2085130137571</v>
      </c>
      <c r="T49" s="73">
        <f>(4.17*10^13*$T$16*$U$16^0.5*EXP(-67837/S49))/'Task2A)values_PHI_dependent'!$D$14*'Task2A)values_PHI_dependent'!$D$5*10^-6</f>
        <v>1.0143836445503896E-10</v>
      </c>
      <c r="U49" s="74">
        <f>$AA$17</f>
        <v>2249.1475393407277</v>
      </c>
      <c r="V49" s="73">
        <f>(4.17*10^13*$T$17*$U$17^0.5*EXP(-67837/U49))/'Task2A)values_PHI_dependent'!$D$14*'Task2A)values_PHI_dependent'!$D$5*10^-6</f>
        <v>8.6898401034401465E-11</v>
      </c>
      <c r="W49" s="74">
        <f>$AA$18</f>
        <v>2233.002606461238</v>
      </c>
      <c r="X49" s="73">
        <f>(4.17*10^13*$T$18*U$18^0.5*EXP(-67837/W49))/'Task2A)values_PHI_dependent'!$D$14*'Task2A)values_PHI_dependent'!$D$5*10^-6</f>
        <v>7.3670196266218851E-11</v>
      </c>
      <c r="Y49" s="74">
        <f>$AA$19</f>
        <v>2150.9480914715368</v>
      </c>
      <c r="Z49" s="73">
        <f>(4.17*10^13*$T$19*$U$19^0.5*EXP(-67837/Y49))/'Task2A)values_PHI_dependent'!$D$14*'Task2A)values_PHI_dependent'!$D$5*10^-6</f>
        <v>2.8351004388571152E-11</v>
      </c>
    </row>
    <row r="50" spans="13:26" x14ac:dyDescent="0.3">
      <c r="M50" s="74">
        <v>1</v>
      </c>
      <c r="N50" s="80">
        <v>12</v>
      </c>
      <c r="O50" s="74">
        <f>O49*(N50/N49)^$N$27</f>
        <v>2358.7523235229255</v>
      </c>
      <c r="P50" s="73">
        <f>(4.17*10^13*$T$14*$U$14^0.5*EXP(-67837/O50))/'Task2A)values_PHI_dependent'!$D$14*'Task2A)values_PHI_dependent'!$D$5*10^-6</f>
        <v>2.8794550654144891E-10</v>
      </c>
      <c r="Q50" s="74">
        <f>Q49*(N50/N49)^$N$27</f>
        <v>2342.4264224730268</v>
      </c>
      <c r="R50" s="73">
        <f>(4.17*10^13*$T$15*$U$15^0.5*EXP(-67837/Q50))/'Task2A)values_PHI_dependent'!$D$14*'Task2A)values_PHI_dependent'!$D$5*10^-6</f>
        <v>2.5458879275663826E-10</v>
      </c>
      <c r="S50" s="74">
        <f>S49*(N50/N49)^$N$27</f>
        <v>2326.0184352486322</v>
      </c>
      <c r="T50" s="73">
        <f>(4.17*10^13*$T$16*$U$16^0.5*EXP(-67837/S50))/'Task2A)values_PHI_dependent'!$D$14*'Task2A)values_PHI_dependent'!$D$5*10^-6</f>
        <v>2.2193301800048602E-10</v>
      </c>
      <c r="U50" s="74">
        <f>U49*(N50/N49)^$N$27</f>
        <v>2309.5263019033418</v>
      </c>
      <c r="V50" s="73">
        <f>(4.17*10^13*$T$17*$U$17^0.5*EXP(-67837/U50))/'Task2A)values_PHI_dependent'!$D$14*'Task2A)values_PHI_dependent'!$D$5*10^-6</f>
        <v>1.9118751047109338E-10</v>
      </c>
      <c r="W50" s="74">
        <f>W49*(N50/N49)^$N$27</f>
        <v>2292.9479554518794</v>
      </c>
      <c r="X50" s="73">
        <f>(4.17*10^13*$T$18*U$18^0.5*EXP(-67837/W50))/'Task2A)values_PHI_dependent'!$D$14*'Task2A)values_PHI_dependent'!$D$5*10^-6</f>
        <v>1.6301047257277941E-10</v>
      </c>
      <c r="Y50" s="74">
        <f>Y49*(N50/N49)^$N$27</f>
        <v>2208.6906725285075</v>
      </c>
      <c r="Z50" s="73">
        <f>(4.17*10^13*$T$19*$U$19^0.5*EXP(-67837/Y50))/'Task2A)values_PHI_dependent'!$D$14*'Task2A)values_PHI_dependent'!$D$5*10^-6</f>
        <v>6.4662173857871799E-11</v>
      </c>
    </row>
    <row r="51" spans="13:26" x14ac:dyDescent="0.3">
      <c r="M51" s="74">
        <v>2</v>
      </c>
      <c r="N51" s="80">
        <v>14</v>
      </c>
      <c r="O51" s="74">
        <f t="shared" ref="O51:O64" si="17">O50*(N51/N50)^$N$27</f>
        <v>2412.1796667465474</v>
      </c>
      <c r="P51" s="73">
        <f>(4.17*10^13*$T$14*$U$14^0.5*EXP(-67837/O51))/'Task2A)values_PHI_dependent'!$D$14*'Task2A)values_PHI_dependent'!$D$5*10^-6</f>
        <v>5.4444638391388409E-10</v>
      </c>
      <c r="Q51" s="74">
        <f t="shared" ref="Q51:Q64" si="18">Q50*(N51/N50)^$N$27</f>
        <v>2395.4839729421788</v>
      </c>
      <c r="R51" s="73">
        <f>(4.17*10^13*$T$15*$U$15^0.5*EXP(-67837/Q51))/'Task2A)values_PHI_dependent'!$D$14*'Task2A)values_PHI_dependent'!$D$5*10^-6</f>
        <v>4.8351751678269354E-10</v>
      </c>
      <c r="S51" s="74">
        <f t="shared" ref="S51:S64" si="19">S50*(N51/N50)^$N$27</f>
        <v>2378.7043336556731</v>
      </c>
      <c r="T51" s="73">
        <f>(4.17*10^13*$T$16*$U$16^0.5*EXP(-67837/S51))/'Task2A)values_PHI_dependent'!$D$14*'Task2A)values_PHI_dependent'!$D$5*10^-6</f>
        <v>4.2340885201637127E-10</v>
      </c>
      <c r="U51" s="74">
        <f t="shared" ref="U51:U64" si="20">U50*(N51/N50)^$N$27</f>
        <v>2361.8386422814447</v>
      </c>
      <c r="V51" s="73">
        <f>(4.17*10^13*$T$17*$U$17^0.5*EXP(-67837/U51))/'Task2A)values_PHI_dependent'!$D$14*'Task2A)values_PHI_dependent'!$D$5*10^-6</f>
        <v>3.6643827568356582E-10</v>
      </c>
      <c r="W51" s="74">
        <f t="shared" ref="W51:W64" si="21">W50*(N51/N50)^$N$27</f>
        <v>2344.8847850155953</v>
      </c>
      <c r="X51" s="73">
        <f>(4.17*10^13*$T$18*U$18^0.5*EXP(-67837/W51))/'Task2A)values_PHI_dependent'!$D$14*'Task2A)values_PHI_dependent'!$D$5*10^-6</f>
        <v>3.1390601228765191E-10</v>
      </c>
      <c r="Y51" s="74">
        <f t="shared" ref="Y51:Y64" si="22">Y50*(N51/N50)^$N$27</f>
        <v>2258.7190173696254</v>
      </c>
      <c r="Z51" s="73">
        <f>(4.17*10^13*$T$19*$U$19^0.5*EXP(-67837/Y51))/'Task2A)values_PHI_dependent'!$D$14*'Task2A)values_PHI_dependent'!$D$5*10^-6</f>
        <v>1.2767055994244704E-10</v>
      </c>
    </row>
    <row r="52" spans="13:26" x14ac:dyDescent="0.3">
      <c r="M52" s="74">
        <v>3</v>
      </c>
      <c r="N52" s="80">
        <v>16</v>
      </c>
      <c r="O52" s="74">
        <f t="shared" si="17"/>
        <v>2459.4377379488542</v>
      </c>
      <c r="P52" s="73">
        <f>(4.17*10^13*$T$14*$U$14^0.5*EXP(-67837/O52))/'Task2A)values_PHI_dependent'!$D$14*'Task2A)values_PHI_dependent'!$D$5*10^-6</f>
        <v>9.3462634997112062E-10</v>
      </c>
      <c r="Q52" s="74">
        <f t="shared" si="18"/>
        <v>2442.414951474957</v>
      </c>
      <c r="R52" s="73">
        <f>(4.17*10^13*$T$15*$U$15^0.5*EXP(-67837/Q52))/'Task2A)values_PHI_dependent'!$D$14*'Task2A)values_PHI_dependent'!$D$5*10^-6</f>
        <v>8.3316453284112962E-10</v>
      </c>
      <c r="S52" s="74">
        <f t="shared" si="19"/>
        <v>2425.3065749061161</v>
      </c>
      <c r="T52" s="73">
        <f>(4.17*10^13*$T$16*$U$16^0.5*EXP(-67837/S52))/'Task2A)values_PHI_dependent'!$D$14*'Task2A)values_PHI_dependent'!$D$5*10^-6</f>
        <v>7.3239523835143903E-10</v>
      </c>
      <c r="U52" s="74">
        <f t="shared" si="20"/>
        <v>2408.1104603653102</v>
      </c>
      <c r="V52" s="73">
        <f>(4.17*10^13*$T$17*$U$17^0.5*EXP(-67837/U52))/'Task2A)values_PHI_dependent'!$D$14*'Task2A)values_PHI_dependent'!$D$5*10^-6</f>
        <v>6.3633504897674901E-10</v>
      </c>
      <c r="W52" s="74">
        <f t="shared" si="21"/>
        <v>2390.8244526361814</v>
      </c>
      <c r="X52" s="73">
        <f>(4.17*10^13*$T$18*U$18^0.5*EXP(-67837/W52))/'Task2A)values_PHI_dependent'!$D$14*'Task2A)values_PHI_dependent'!$D$5*10^-6</f>
        <v>5.4729011619116311E-10</v>
      </c>
      <c r="Y52" s="74">
        <f t="shared" si="22"/>
        <v>2302.9705735950488</v>
      </c>
      <c r="Z52" s="73">
        <f>(4.17*10^13*$T$19*$U$19^0.5*EXP(-67837/Y52))/'Task2A)values_PHI_dependent'!$D$14*'Task2A)values_PHI_dependent'!$D$5*10^-6</f>
        <v>2.2736225270067855E-10</v>
      </c>
    </row>
    <row r="53" spans="13:26" x14ac:dyDescent="0.3">
      <c r="M53" s="74">
        <v>4</v>
      </c>
      <c r="N53" s="80">
        <v>18</v>
      </c>
      <c r="O53" s="74">
        <f t="shared" si="17"/>
        <v>2501.8902256007914</v>
      </c>
      <c r="P53" s="73">
        <f>(4.17*10^13*$T$14*$U$14^0.5*EXP(-67837/O53))/'Task2A)values_PHI_dependent'!$D$14*'Task2A)values_PHI_dependent'!$D$5*10^-6</f>
        <v>1.4924408394510175E-9</v>
      </c>
      <c r="Q53" s="74">
        <f t="shared" si="18"/>
        <v>2484.5736078900086</v>
      </c>
      <c r="R53" s="73">
        <f>(4.17*10^13*$T$15*$U$15^0.5*EXP(-67837/Q53))/'Task2A)values_PHI_dependent'!$D$14*'Task2A)values_PHI_dependent'!$D$5*10^-6</f>
        <v>1.3347702654967246E-9</v>
      </c>
      <c r="S53" s="74">
        <f t="shared" si="19"/>
        <v>2467.1699227090298</v>
      </c>
      <c r="T53" s="73">
        <f>(4.17*10^13*$T$16*$U$16^0.5*EXP(-67837/S53))/'Task2A)values_PHI_dependent'!$D$14*'Task2A)values_PHI_dependent'!$D$5*10^-6</f>
        <v>1.1772401527008897E-9</v>
      </c>
      <c r="U53" s="74">
        <f t="shared" si="20"/>
        <v>2449.6769851062122</v>
      </c>
      <c r="V53" s="73">
        <f>(4.17*10^13*$T$17*$U$17^0.5*EXP(-67837/U53))/'Task2A)values_PHI_dependent'!$D$14*'Task2A)values_PHI_dependent'!$D$5*10^-6</f>
        <v>1.0263069769663669E-9</v>
      </c>
      <c r="W53" s="74">
        <f t="shared" si="21"/>
        <v>2432.0926026638922</v>
      </c>
      <c r="X53" s="73">
        <f>(4.17*10^13*$T$18*U$18^0.5*EXP(-67837/W53))/'Task2A)values_PHI_dependent'!$D$14*'Task2A)values_PHI_dependent'!$D$5*10^-6</f>
        <v>8.8574754641300397E-10</v>
      </c>
      <c r="Y53" s="74">
        <f t="shared" si="22"/>
        <v>2342.7222730708222</v>
      </c>
      <c r="Z53" s="73">
        <f>(4.17*10^13*$T$19*$U$19^0.5*EXP(-67837/Y53))/'Task2A)values_PHI_dependent'!$D$14*'Task2A)values_PHI_dependent'!$D$5*10^-6</f>
        <v>3.7478930202092501E-10</v>
      </c>
    </row>
    <row r="54" spans="13:26" x14ac:dyDescent="0.3">
      <c r="M54" s="74">
        <v>5</v>
      </c>
      <c r="N54" s="80">
        <v>20</v>
      </c>
      <c r="O54" s="74">
        <f t="shared" si="17"/>
        <v>2540.4858170478519</v>
      </c>
      <c r="P54" s="73">
        <f>(4.17*10^13*$T$14*$U$14^0.5*EXP(-67837/O54))/'Task2A)values_PHI_dependent'!$D$14*'Task2A)values_PHI_dependent'!$D$5*10^-6</f>
        <v>2.253172055691976E-9</v>
      </c>
      <c r="Q54" s="74">
        <f t="shared" si="18"/>
        <v>2522.9020632750739</v>
      </c>
      <c r="R54" s="73">
        <f>(4.17*10^13*$T$15*$U$15^0.5*EXP(-67837/Q54))/'Task2A)values_PHI_dependent'!$D$14*'Task2A)values_PHI_dependent'!$D$5*10^-6</f>
        <v>2.0209269100196518E-9</v>
      </c>
      <c r="S54" s="74">
        <f t="shared" si="19"/>
        <v>2505.2298988794419</v>
      </c>
      <c r="T54" s="73">
        <f>(4.17*10^13*$T$16*$U$16^0.5*EXP(-67837/S54))/'Task2A)values_PHI_dependent'!$D$14*'Task2A)values_PHI_dependent'!$D$5*10^-6</f>
        <v>1.7876393497395552E-9</v>
      </c>
      <c r="U54" s="74">
        <f t="shared" si="20"/>
        <v>2487.4671052029971</v>
      </c>
      <c r="V54" s="73">
        <f>(4.17*10^13*$T$17*$U$17^0.5*EXP(-67837/U54))/'Task2A)values_PHI_dependent'!$D$14*'Task2A)values_PHI_dependent'!$D$5*10^-6</f>
        <v>1.56310297225261E-9</v>
      </c>
      <c r="W54" s="74">
        <f t="shared" si="21"/>
        <v>2469.6114560065853</v>
      </c>
      <c r="X54" s="73">
        <f>(4.17*10^13*$T$18*U$18^0.5*EXP(-67837/W54))/'Task2A)values_PHI_dependent'!$D$14*'Task2A)values_PHI_dependent'!$D$5*10^-6</f>
        <v>1.353135498589236E-9</v>
      </c>
      <c r="Y54" s="74">
        <f t="shared" si="22"/>
        <v>2378.8624485270243</v>
      </c>
      <c r="Z54" s="73">
        <f>(4.17*10^13*$T$19*$U$19^0.5*EXP(-67837/Y54))/'Task2A)values_PHI_dependent'!$D$14*'Task2A)values_PHI_dependent'!$D$5*10^-6</f>
        <v>5.8188740276712371E-10</v>
      </c>
    </row>
    <row r="55" spans="13:26" x14ac:dyDescent="0.3">
      <c r="M55" s="74">
        <v>6</v>
      </c>
      <c r="N55" s="80">
        <v>22</v>
      </c>
      <c r="O55" s="74">
        <f t="shared" si="17"/>
        <v>2575.9124399440966</v>
      </c>
      <c r="P55" s="73">
        <f>(4.17*10^13*$T$14*$U$14^0.5*EXP(-67837/O55))/'Task2A)values_PHI_dependent'!$D$14*'Task2A)values_PHI_dependent'!$D$5*10^-6</f>
        <v>3.2530004628384498E-9</v>
      </c>
      <c r="Q55" s="74">
        <f t="shared" si="18"/>
        <v>2558.0834838522073</v>
      </c>
      <c r="R55" s="73">
        <f>(4.17*10^13*$T$15*$U$15^0.5*EXP(-67837/Q55))/'Task2A)values_PHI_dependent'!$D$14*'Task2A)values_PHI_dependent'!$D$5*10^-6</f>
        <v>2.925175747214523E-9</v>
      </c>
      <c r="S55" s="74">
        <f t="shared" si="19"/>
        <v>2540.1648842670525</v>
      </c>
      <c r="T55" s="73">
        <f>(4.17*10^13*$T$16*$U$16^0.5*EXP(-67837/S55))/'Task2A)values_PHI_dependent'!$D$14*'Task2A)values_PHI_dependent'!$D$5*10^-6</f>
        <v>2.5942639602681144E-9</v>
      </c>
      <c r="U55" s="74">
        <f t="shared" si="20"/>
        <v>2522.1543915918824</v>
      </c>
      <c r="V55" s="73">
        <f>(4.17*10^13*$T$17*$U$17^0.5*EXP(-67837/U55))/'Task2A)values_PHI_dependent'!$D$14*'Task2A)values_PHI_dependent'!$D$5*10^-6</f>
        <v>2.2744520017139285E-9</v>
      </c>
      <c r="W55" s="74">
        <f t="shared" si="21"/>
        <v>2504.0497485430333</v>
      </c>
      <c r="X55" s="73">
        <f>(4.17*10^13*$T$18*U$18^0.5*EXP(-67837/W55))/'Task2A)values_PHI_dependent'!$D$14*'Task2A)values_PHI_dependent'!$D$5*10^-6</f>
        <v>1.9742774606349478E-9</v>
      </c>
      <c r="Y55" s="74">
        <f t="shared" si="22"/>
        <v>2412.0352622937767</v>
      </c>
      <c r="Z55" s="73">
        <f>(4.17*10^13*$T$19*$U$19^0.5*EXP(-67837/Y55))/'Task2A)values_PHI_dependent'!$D$14*'Task2A)values_PHI_dependent'!$D$5*10^-6</f>
        <v>8.6132031472588955E-10</v>
      </c>
    </row>
    <row r="56" spans="13:26" x14ac:dyDescent="0.3">
      <c r="M56" s="74">
        <v>7</v>
      </c>
      <c r="N56" s="80">
        <v>24</v>
      </c>
      <c r="O56" s="74">
        <f t="shared" si="17"/>
        <v>2608.6856070830509</v>
      </c>
      <c r="P56" s="73">
        <f>(4.17*10^13*$T$14*$U$14^0.5*EXP(-67837/O56))/'Task2A)values_PHI_dependent'!$D$14*'Task2A)values_PHI_dependent'!$D$5*10^-6</f>
        <v>4.5286713854697924E-9</v>
      </c>
      <c r="Q56" s="74">
        <f t="shared" si="18"/>
        <v>2590.6298143375348</v>
      </c>
      <c r="R56" s="73">
        <f>(4.17*10^13*$T$15*$U$15^0.5*EXP(-67837/Q56))/'Task2A)values_PHI_dependent'!$D$14*'Task2A)values_PHI_dependent'!$D$5*10^-6</f>
        <v>4.0816907142280967E-9</v>
      </c>
      <c r="S56" s="74">
        <f t="shared" si="19"/>
        <v>2572.4832375703945</v>
      </c>
      <c r="T56" s="73">
        <f>(4.17*10^13*$T$16*$U$16^0.5*EXP(-67837/S56))/'Task2A)values_PHI_dependent'!$D$14*'Task2A)values_PHI_dependent'!$D$5*10^-6</f>
        <v>3.628464995119414E-9</v>
      </c>
      <c r="U56" s="74">
        <f t="shared" si="20"/>
        <v>2554.2435985634061</v>
      </c>
      <c r="V56" s="73">
        <f>(4.17*10^13*$T$17*$U$17^0.5*EXP(-67837/U56))/'Task2A)values_PHI_dependent'!$D$14*'Task2A)values_PHI_dependent'!$D$5*10^-6</f>
        <v>3.188790926501078E-9</v>
      </c>
      <c r="W56" s="74">
        <f t="shared" si="21"/>
        <v>2535.9086113136323</v>
      </c>
      <c r="X56" s="73">
        <f>(4.17*10^13*$T$18*U$18^0.5*EXP(-67837/W56))/'Task2A)values_PHI_dependent'!$D$14*'Task2A)values_PHI_dependent'!$D$5*10^-6</f>
        <v>2.774715596325188E-9</v>
      </c>
      <c r="Y56" s="74">
        <f t="shared" si="22"/>
        <v>2442.7234307153403</v>
      </c>
      <c r="Z56" s="73">
        <f>(4.17*10^13*$T$19*$U$19^0.5*EXP(-67837/Y56))/'Task2A)values_PHI_dependent'!$D$14*'Task2A)values_PHI_dependent'!$D$5*10^-6</f>
        <v>1.2263477970239476E-9</v>
      </c>
    </row>
    <row r="57" spans="13:26" x14ac:dyDescent="0.3">
      <c r="M57" s="74">
        <v>8</v>
      </c>
      <c r="N57" s="80">
        <v>26</v>
      </c>
      <c r="O57" s="74">
        <f t="shared" si="17"/>
        <v>2639.202089580916</v>
      </c>
      <c r="P57" s="73">
        <f>(4.17*10^13*$T$14*$U$14^0.5*EXP(-67837/O57))/'Task2A)values_PHI_dependent'!$D$14*'Task2A)values_PHI_dependent'!$D$5*10^-6</f>
        <v>6.117234473418368E-9</v>
      </c>
      <c r="Q57" s="74">
        <f t="shared" si="18"/>
        <v>2620.9350796301501</v>
      </c>
      <c r="R57" s="73">
        <f>(4.17*10^13*$T$15*$U$15^0.5*EXP(-67837/Q57))/'Task2A)values_PHI_dependent'!$D$14*'Task2A)values_PHI_dependent'!$D$5*10^-6</f>
        <v>5.5250287233571121E-9</v>
      </c>
      <c r="S57" s="74">
        <f t="shared" si="19"/>
        <v>2602.5762236635514</v>
      </c>
      <c r="T57" s="73">
        <f>(4.17*10^13*$T$16*$U$16^0.5*EXP(-67837/S57))/'Task2A)values_PHI_dependent'!$D$14*'Task2A)values_PHI_dependent'!$D$5*10^-6</f>
        <v>4.9220379801454417E-9</v>
      </c>
      <c r="U57" s="74">
        <f t="shared" si="20"/>
        <v>2584.1232168122306</v>
      </c>
      <c r="V57" s="73">
        <f>(4.17*10^13*$T$17*$U$17^0.5*EXP(-67837/U57))/'Task2A)values_PHI_dependent'!$D$14*'Task2A)values_PHI_dependent'!$D$5*10^-6</f>
        <v>4.3350457285187723E-9</v>
      </c>
      <c r="W57" s="74">
        <f t="shared" si="21"/>
        <v>2565.5737463315199</v>
      </c>
      <c r="X57" s="73">
        <f>(4.17*10^13*$T$18*U$18^0.5*EXP(-67837/W57))/'Task2A)values_PHI_dependent'!$D$14*'Task2A)values_PHI_dependent'!$D$5*10^-6</f>
        <v>3.7805099034294E-9</v>
      </c>
      <c r="Y57" s="74">
        <f t="shared" si="22"/>
        <v>2471.2984826948323</v>
      </c>
      <c r="Z57" s="73">
        <f>(4.17*10^13*$T$19*$U$19^0.5*EXP(-67837/Y57))/'Task2A)values_PHI_dependent'!$D$14*'Task2A)values_PHI_dependent'!$D$5*10^-6</f>
        <v>1.6907136647753009E-9</v>
      </c>
    </row>
    <row r="58" spans="13:26" x14ac:dyDescent="0.3">
      <c r="M58" s="74">
        <v>9</v>
      </c>
      <c r="N58" s="80">
        <v>28</v>
      </c>
      <c r="O58" s="74">
        <f t="shared" si="17"/>
        <v>2667.7741090432664</v>
      </c>
      <c r="P58" s="73">
        <f>(4.17*10^13*$T$14*$U$14^0.5*EXP(-67837/O58))/'Task2A)values_PHI_dependent'!$D$14*'Task2A)values_PHI_dependent'!$D$5*10^-6</f>
        <v>8.0558393819295145E-9</v>
      </c>
      <c r="Q58" s="74">
        <f t="shared" si="18"/>
        <v>2649.3093403206763</v>
      </c>
      <c r="R58" s="73">
        <f>(4.17*10^13*$T$15*$U$15^0.5*EXP(-67837/Q58))/'Task2A)values_PHI_dependent'!$D$14*'Task2A)values_PHI_dependent'!$D$5*10^-6</f>
        <v>7.2899319301826195E-9</v>
      </c>
      <c r="S58" s="74">
        <f t="shared" si="19"/>
        <v>2630.7517312566715</v>
      </c>
      <c r="T58" s="73">
        <f>(4.17*10^13*$T$16*$U$16^0.5*EXP(-67837/S58))/'Task2A)values_PHI_dependent'!$D$14*'Task2A)values_PHI_dependent'!$D$5*10^-6</f>
        <v>6.5070348113570487E-9</v>
      </c>
      <c r="U58" s="74">
        <f t="shared" si="20"/>
        <v>2612.0989520298376</v>
      </c>
      <c r="V58" s="73">
        <f>(4.17*10^13*$T$17*$U$17^0.5*EXP(-67837/U58))/'Task2A)values_PHI_dependent'!$D$14*'Task2A)values_PHI_dependent'!$D$5*10^-6</f>
        <v>5.7424550476381054E-9</v>
      </c>
      <c r="W58" s="74">
        <f t="shared" si="21"/>
        <v>2593.3486648577173</v>
      </c>
      <c r="X58" s="73">
        <f>(4.17*10^13*$T$18*U$18^0.5*EXP(-67837/W58))/'Task2A)values_PHI_dependent'!$D$14*'Task2A)values_PHI_dependent'!$D$5*10^-6</f>
        <v>5.0180747959222003E-9</v>
      </c>
      <c r="Y58" s="74">
        <f t="shared" si="22"/>
        <v>2498.0527765867587</v>
      </c>
      <c r="Z58" s="73">
        <f>(4.17*10^13*$T$19*$U$19^0.5*EXP(-67837/Y58))/'Task2A)values_PHI_dependent'!$D$14*'Task2A)values_PHI_dependent'!$D$5*10^-6</f>
        <v>2.2685508575682645E-9</v>
      </c>
    </row>
    <row r="59" spans="13:26" x14ac:dyDescent="0.3">
      <c r="M59" s="74">
        <v>10</v>
      </c>
      <c r="N59" s="80">
        <v>30</v>
      </c>
      <c r="O59" s="74">
        <f t="shared" si="17"/>
        <v>2694.6519863757471</v>
      </c>
      <c r="P59" s="73">
        <f>(4.17*10^13*$T$14*$U$14^0.5*EXP(-67837/O59))/'Task2A)values_PHI_dependent'!$D$14*'Task2A)values_PHI_dependent'!$D$5*10^-6</f>
        <v>1.038157515131449E-8</v>
      </c>
      <c r="Q59" s="74">
        <f t="shared" si="18"/>
        <v>2676.0011847401693</v>
      </c>
      <c r="R59" s="73">
        <f>(4.17*10^13*$T$15*$U$15^0.5*EXP(-67837/Q59))/'Task2A)values_PHI_dependent'!$D$14*'Task2A)values_PHI_dependent'!$D$5*10^-6</f>
        <v>9.411170707244536E-9</v>
      </c>
      <c r="S59" s="74">
        <f t="shared" si="19"/>
        <v>2657.2566073948865</v>
      </c>
      <c r="T59" s="73">
        <f>(4.17*10^13*$T$16*$U$16^0.5*EXP(-67837/S59))/'Task2A)values_PHI_dependent'!$D$14*'Task2A)values_PHI_dependent'!$D$5*10^-6</f>
        <v>8.4156129084218118E-9</v>
      </c>
      <c r="U59" s="74">
        <f t="shared" si="20"/>
        <v>2638.4159010454864</v>
      </c>
      <c r="V59" s="73">
        <f>(4.17*10^13*$T$17*$U$17^0.5*EXP(-67837/U59))/'Task2A)values_PHI_dependent'!$D$14*'Task2A)values_PHI_dependent'!$D$5*10^-6</f>
        <v>7.4404274133452759E-9</v>
      </c>
      <c r="W59" s="74">
        <f t="shared" si="21"/>
        <v>2619.4767043563074</v>
      </c>
      <c r="X59" s="73">
        <f>(4.17*10^13*$T$18*U$18^0.5*EXP(-67837/W59))/'Task2A)values_PHI_dependent'!$D$14*'Task2A)values_PHI_dependent'!$D$5*10^-6</f>
        <v>6.5140457388123129E-9</v>
      </c>
      <c r="Y59" s="74">
        <f t="shared" si="22"/>
        <v>2523.220708111231</v>
      </c>
      <c r="Z59" s="73">
        <f>(4.17*10^13*$T$19*$U$19^0.5*EXP(-67837/Y59))/'Task2A)values_PHI_dependent'!$D$14*'Task2A)values_PHI_dependent'!$D$5*10^-6</f>
        <v>2.974300821593132E-9</v>
      </c>
    </row>
    <row r="60" spans="13:26" x14ac:dyDescent="0.3">
      <c r="M60" s="74">
        <v>11</v>
      </c>
      <c r="N60" s="80">
        <v>32</v>
      </c>
      <c r="O60" s="74">
        <f t="shared" si="17"/>
        <v>2720.0396432133975</v>
      </c>
      <c r="P60" s="73">
        <f>(4.17*10^13*$T$14*$U$14^0.5*EXP(-67837/O60))/'Task2A)values_PHI_dependent'!$D$14*'Task2A)values_PHI_dependent'!$D$5*10^-6</f>
        <v>1.3131343810295842E-8</v>
      </c>
      <c r="Q60" s="74">
        <f t="shared" si="18"/>
        <v>2701.2131230976356</v>
      </c>
      <c r="R60" s="73">
        <f>(4.17*10^13*$T$15*$U$15^0.5*EXP(-67837/Q60))/'Task2A)values_PHI_dependent'!$D$14*'Task2A)values_PHI_dependent'!$D$5*10^-6</f>
        <v>1.1923418733483847E-8</v>
      </c>
      <c r="S60" s="74">
        <f t="shared" si="19"/>
        <v>2682.2919437645583</v>
      </c>
      <c r="T60" s="73">
        <f>(4.17*10^13*$T$16*$U$16^0.5*EXP(-67837/S60))/'Task2A)values_PHI_dependent'!$D$14*'Task2A)values_PHI_dependent'!$D$5*10^-6</f>
        <v>1.0679914014563651E-8</v>
      </c>
      <c r="U60" s="74">
        <f t="shared" si="20"/>
        <v>2663.2737297481954</v>
      </c>
      <c r="V60" s="73">
        <f>(4.17*10^13*$T$17*$U$17^0.5*EXP(-67837/U60))/'Task2A)values_PHI_dependent'!$D$14*'Task2A)values_PHI_dependent'!$D$5*10^-6</f>
        <v>9.4584254587120153E-9</v>
      </c>
      <c r="W60" s="74">
        <f t="shared" si="21"/>
        <v>2644.1560974655681</v>
      </c>
      <c r="X60" s="73">
        <f>(4.17*10^13*$T$18*U$18^0.5*EXP(-67837/W60))/'Task2A)values_PHI_dependent'!$D$14*'Task2A)values_PHI_dependent'!$D$5*10^-6</f>
        <v>8.2951701313291469E-9</v>
      </c>
      <c r="Y60" s="74">
        <f t="shared" si="22"/>
        <v>2546.9932255966296</v>
      </c>
      <c r="Z60" s="73">
        <f>(4.17*10^13*$T$19*$U$19^0.5*EXP(-67837/Y60))/'Task2A)values_PHI_dependent'!$D$14*'Task2A)values_PHI_dependent'!$D$5*10^-6</f>
        <v>3.8226449233181717E-9</v>
      </c>
    </row>
    <row r="61" spans="13:26" x14ac:dyDescent="0.3">
      <c r="M61" s="74">
        <v>12</v>
      </c>
      <c r="N61" s="80">
        <v>34</v>
      </c>
      <c r="O61" s="74">
        <f t="shared" si="17"/>
        <v>2744.1055109766912</v>
      </c>
      <c r="P61" s="73">
        <f>(4.17*10^13*$T$14*$U$14^0.5*EXP(-67837/O61))/'Task2A)values_PHI_dependent'!$D$14*'Task2A)values_PHI_dependent'!$D$5*10^-6</f>
        <v>1.6341760969562266E-8</v>
      </c>
      <c r="Q61" s="74">
        <f t="shared" si="18"/>
        <v>2725.112421029979</v>
      </c>
      <c r="R61" s="73">
        <f>(4.17*10^13*$T$15*$U$15^0.5*EXP(-67837/Q61))/'Task2A)values_PHI_dependent'!$D$14*'Task2A)values_PHI_dependent'!$D$5*10^-6</f>
        <v>1.4861153590487182E-8</v>
      </c>
      <c r="S61" s="74">
        <f t="shared" si="19"/>
        <v>2706.0238343574933</v>
      </c>
      <c r="T61" s="73">
        <f>(4.17*10^13*$T$16*$U$16^0.5*EXP(-67837/S61))/'Task2A)values_PHI_dependent'!$D$14*'Task2A)values_PHI_dependent'!$D$5*10^-6</f>
        <v>1.3331966707067631E-8</v>
      </c>
      <c r="U61" s="74">
        <f t="shared" si="20"/>
        <v>2686.8373544760525</v>
      </c>
      <c r="V61" s="73">
        <f>(4.17*10^13*$T$17*$U$17^0.5*EXP(-67837/U61))/'Task2A)values_PHI_dependent'!$D$14*'Task2A)values_PHI_dependent'!$D$5*10^-6</f>
        <v>1.1825871865147589E-8</v>
      </c>
      <c r="W61" s="74">
        <f t="shared" si="21"/>
        <v>2667.5505767136492</v>
      </c>
      <c r="X61" s="73">
        <f>(4.17*10^13*$T$18*U$18^0.5*EXP(-67837/W61))/'Task2A)values_PHI_dependent'!$D$14*'Task2A)values_PHI_dependent'!$D$5*10^-6</f>
        <v>1.0388217856010624E-8</v>
      </c>
      <c r="Y61" s="74">
        <f t="shared" si="22"/>
        <v>2569.5280450115411</v>
      </c>
      <c r="Z61" s="73">
        <f>(4.17*10^13*$T$19*$U$19^0.5*EXP(-67837/Y61))/'Task2A)values_PHI_dependent'!$D$14*'Task2A)values_PHI_dependent'!$D$5*10^-6</f>
        <v>4.8284459871504318E-9</v>
      </c>
    </row>
    <row r="62" spans="13:26" x14ac:dyDescent="0.3">
      <c r="M62" s="74">
        <v>13</v>
      </c>
      <c r="N62" s="80">
        <v>36</v>
      </c>
      <c r="O62" s="74">
        <f t="shared" si="17"/>
        <v>2766.9903944296484</v>
      </c>
      <c r="P62" s="73">
        <f>(4.17*10^13*$T$14*$U$14^0.5*EXP(-67837/O62))/'Task2A)values_PHI_dependent'!$D$14*'Task2A)values_PHI_dependent'!$D$5*10^-6</f>
        <v>2.0049077836944005E-8</v>
      </c>
      <c r="Q62" s="74">
        <f t="shared" si="18"/>
        <v>2747.8389087331725</v>
      </c>
      <c r="R62" s="73">
        <f>(4.17*10^13*$T$15*$U$15^0.5*EXP(-67837/Q62))/'Task2A)values_PHI_dependent'!$D$14*'Task2A)values_PHI_dependent'!$D$5*10^-6</f>
        <v>1.8258577741622485E-8</v>
      </c>
      <c r="S62" s="74">
        <f t="shared" si="19"/>
        <v>2728.5911299015174</v>
      </c>
      <c r="T62" s="73">
        <f>(4.17*10^13*$T$16*$U$16^0.5*EXP(-67837/S62))/'Task2A)values_PHI_dependent'!$D$14*'Task2A)values_PHI_dependent'!$D$5*10^-6</f>
        <v>1.6403607982766469E-8</v>
      </c>
      <c r="U62" s="74">
        <f t="shared" si="20"/>
        <v>2709.2446414656665</v>
      </c>
      <c r="V62" s="73">
        <f>(4.17*10^13*$T$17*$U$17^0.5*EXP(-67837/U62))/'Task2A)values_PHI_dependent'!$D$14*'Task2A)values_PHI_dependent'!$D$5*10^-6</f>
        <v>1.4572072905639153E-8</v>
      </c>
      <c r="W62" s="74">
        <f t="shared" si="21"/>
        <v>2689.7970186994871</v>
      </c>
      <c r="X62" s="73">
        <f>(4.17*10^13*$T$18*U$18^0.5*EXP(-67837/W62))/'Task2A)values_PHI_dependent'!$D$14*'Task2A)values_PHI_dependent'!$D$5*10^-6</f>
        <v>1.2819907859396247E-8</v>
      </c>
      <c r="Y62" s="74">
        <f t="shared" si="22"/>
        <v>2590.9570132505446</v>
      </c>
      <c r="Z62" s="73">
        <f>(4.17*10^13*$T$19*$U$19^0.5*EXP(-67837/Y62))/'Task2A)values_PHI_dependent'!$D$14*'Task2A)values_PHI_dependent'!$D$5*10^-6</f>
        <v>6.0066983703738541E-9</v>
      </c>
    </row>
    <row r="63" spans="13:26" x14ac:dyDescent="0.3">
      <c r="M63" s="74">
        <v>14</v>
      </c>
      <c r="N63" s="80">
        <v>38</v>
      </c>
      <c r="O63" s="74">
        <f t="shared" si="17"/>
        <v>2788.8132596035748</v>
      </c>
      <c r="P63" s="73">
        <f>(4.17*10^13*$T$14*$U$14^0.5*EXP(-67837/O63))/'Task2A)values_PHI_dependent'!$D$14*'Task2A)values_PHI_dependent'!$D$5*10^-6</f>
        <v>2.4289120331889189E-8</v>
      </c>
      <c r="Q63" s="74">
        <f t="shared" si="18"/>
        <v>2769.5107288253826</v>
      </c>
      <c r="R63" s="73">
        <f>(4.17*10^13*$T$15*$U$15^0.5*EXP(-67837/Q63))/'Task2A)values_PHI_dependent'!$D$14*'Task2A)values_PHI_dependent'!$D$5*10^-6</f>
        <v>2.2149555891040131E-8</v>
      </c>
      <c r="S63" s="74">
        <f t="shared" si="19"/>
        <v>2750.1111454615593</v>
      </c>
      <c r="T63" s="73">
        <f>(4.17*10^13*$T$16*$U$16^0.5*EXP(-67837/S63))/'Task2A)values_PHI_dependent'!$D$14*'Task2A)values_PHI_dependent'!$D$5*10^-6</f>
        <v>1.9926420272911402E-8</v>
      </c>
      <c r="U63" s="74">
        <f t="shared" si="20"/>
        <v>2730.6120739847356</v>
      </c>
      <c r="V63" s="73">
        <f>(4.17*10^13*$T$17*$U$17^0.5*EXP(-67837/U63))/'Task2A)values_PHI_dependent'!$D$14*'Task2A)values_PHI_dependent'!$D$5*10^-6</f>
        <v>1.7726156314557374E-8</v>
      </c>
      <c r="W63" s="74">
        <f t="shared" si="21"/>
        <v>2711.0110705453039</v>
      </c>
      <c r="X63" s="73">
        <f>(4.17*10^13*$T$18*U$18^0.5*EXP(-67837/W63))/'Task2A)values_PHI_dependent'!$D$14*'Task2A)values_PHI_dependent'!$D$5*10^-6</f>
        <v>1.5616847866424193E-8</v>
      </c>
      <c r="Y63" s="74">
        <f t="shared" si="22"/>
        <v>2611.3915278355726</v>
      </c>
      <c r="Z63" s="73">
        <f>(4.17*10^13*$T$19*$U$19^0.5*EXP(-67837/Y63))/'Task2A)values_PHI_dependent'!$D$14*'Task2A)values_PHI_dependent'!$D$5*10^-6</f>
        <v>7.3724852570802415E-9</v>
      </c>
    </row>
    <row r="64" spans="13:26" x14ac:dyDescent="0.3">
      <c r="M64" s="75">
        <v>16</v>
      </c>
      <c r="N64" s="76">
        <v>40</v>
      </c>
      <c r="O64" s="75">
        <f t="shared" si="17"/>
        <v>2809.6755729033375</v>
      </c>
      <c r="P64" s="77">
        <f>(4.17*10^13*$T$14*$U$14^0.5*EXP(-67837/O64))/'Task2A)values_PHI_dependent'!$D$14*'Task2A)values_PHI_dependent'!$D$5*10^-6</f>
        <v>2.909724191793063E-8</v>
      </c>
      <c r="Q64" s="75">
        <f t="shared" si="18"/>
        <v>2790.2286454204946</v>
      </c>
      <c r="R64" s="77">
        <f>(4.17*10^13*$T$15*$U$15^0.5*EXP(-67837/Q64))/'Task2A)values_PHI_dependent'!$D$14*'Task2A)values_PHI_dependent'!$D$5*10^-6</f>
        <v>2.6567565572007692E-8</v>
      </c>
      <c r="S64" s="75">
        <f t="shared" si="19"/>
        <v>2770.6839393294226</v>
      </c>
      <c r="T64" s="77">
        <f>(4.17*10^13*$T$16*$U$16^0.5*EXP(-67837/S64))/'Task2A)values_PHI_dependent'!$D$14*'Task2A)values_PHI_dependent'!$D$5*10^-6</f>
        <v>2.3931681000582586E-8</v>
      </c>
      <c r="U64" s="75">
        <f t="shared" si="20"/>
        <v>2751.0390008832696</v>
      </c>
      <c r="V64" s="77">
        <f>(4.17*10^13*$T$17*$U$17^0.5*EXP(-67837/U64))/'Task2A)values_PHI_dependent'!$D$14*'Task2A)values_PHI_dependent'!$D$5*10^-6</f>
        <v>2.1317020876867163E-8</v>
      </c>
      <c r="W64" s="75">
        <f t="shared" si="21"/>
        <v>2731.2913679506887</v>
      </c>
      <c r="X64" s="77">
        <f>(4.17*10^13*$T$18*U$18^0.5*EXP(-67837/W64))/'Task2A)values_PHI_dependent'!$D$14*'Task2A)values_PHI_dependent'!$D$5*10^-6</f>
        <v>1.8805484904583635E-8</v>
      </c>
      <c r="Y64" s="75">
        <f t="shared" si="22"/>
        <v>2630.9265999722402</v>
      </c>
      <c r="Z64" s="77">
        <f>(4.17*10^13*$T$19*$U$19^0.5*EXP(-67837/Y64))/'Task2A)values_PHI_dependent'!$D$14*'Task2A)values_PHI_dependent'!$D$5*10^-6</f>
        <v>8.9409420747831345E-9</v>
      </c>
    </row>
    <row r="65" spans="13:26" x14ac:dyDescent="0.3">
      <c r="X65" s="80"/>
      <c r="Y65" s="80"/>
    </row>
    <row r="67" spans="13:26" x14ac:dyDescent="0.3">
      <c r="M67" s="69"/>
      <c r="N67" s="70"/>
      <c r="O67" s="194" t="s">
        <v>167</v>
      </c>
      <c r="P67" s="194"/>
      <c r="Q67" s="194" t="s">
        <v>168</v>
      </c>
      <c r="R67" s="194"/>
      <c r="S67" s="194" t="s">
        <v>169</v>
      </c>
      <c r="T67" s="194"/>
      <c r="U67" s="194" t="s">
        <v>170</v>
      </c>
      <c r="V67" s="194"/>
      <c r="W67" s="194" t="s">
        <v>171</v>
      </c>
      <c r="X67" s="193"/>
      <c r="Y67" s="195"/>
      <c r="Z67" s="195"/>
    </row>
    <row r="68" spans="13:26" x14ac:dyDescent="0.3">
      <c r="M68" s="74" t="s">
        <v>147</v>
      </c>
      <c r="N68" s="80" t="s">
        <v>158</v>
      </c>
      <c r="O68" s="80" t="s">
        <v>150</v>
      </c>
      <c r="P68" s="96" t="s">
        <v>154</v>
      </c>
      <c r="Q68" s="80" t="s">
        <v>150</v>
      </c>
      <c r="R68" s="96" t="s">
        <v>154</v>
      </c>
      <c r="S68" s="80" t="s">
        <v>150</v>
      </c>
      <c r="T68" s="96" t="s">
        <v>154</v>
      </c>
      <c r="U68" s="80" t="s">
        <v>150</v>
      </c>
      <c r="V68" s="96" t="s">
        <v>154</v>
      </c>
      <c r="W68" s="80" t="s">
        <v>150</v>
      </c>
      <c r="X68" s="89" t="s">
        <v>154</v>
      </c>
      <c r="Y68" s="83" t="s">
        <v>218</v>
      </c>
      <c r="Z68" s="97"/>
    </row>
    <row r="69" spans="13:26" x14ac:dyDescent="0.3">
      <c r="M69" s="74">
        <v>0</v>
      </c>
      <c r="N69" s="80">
        <v>10</v>
      </c>
      <c r="O69" s="80">
        <f>$AA$20</f>
        <v>2066.4956911737395</v>
      </c>
      <c r="P69" s="80">
        <f>(4.17*10^13*$T$20*$U$20^0.5*EXP(-67837/O69))/'Task2A)values_PHI_dependent'!$D$14*'Task2A)values_PHI_dependent'!$D$5*10^-6</f>
        <v>9.032793495986129E-12</v>
      </c>
      <c r="Q69" s="80">
        <f>$AA$21</f>
        <v>1979.4126722136195</v>
      </c>
      <c r="R69" s="80">
        <f>(4.17*10^13*$T$21*$U$21^0.5*EXP(-67837/Q69))/'Task2A)values_PHI_dependent'!$D$14*'Task2A)values_PHI_dependent'!$D$5*10^-6</f>
        <v>2.3856493886631477E-12</v>
      </c>
      <c r="S69" s="80">
        <f>$AA$22</f>
        <v>1889.5020801843798</v>
      </c>
      <c r="T69" s="80">
        <f>(4.17*10^13*$T$22*$U$22^0.5*EXP(-67837/S69))/'Task2A)values_PHI_dependent'!$D$14*'Task2A)values_PHI_dependent'!$D$5*10^-6</f>
        <v>5.1227356391927405E-13</v>
      </c>
      <c r="U69" s="80">
        <f>$AA$23</f>
        <v>1796.6279576678323</v>
      </c>
      <c r="V69" s="80">
        <f>(4.17*10^13*$T$23*$U$23^0.5*EXP(-67837/U69))/'Task2A)values_PHI_dependent'!$D$14*'Task2A)values_PHI_dependent'!$D$5*10^-6</f>
        <v>8.6597861227451891E-14</v>
      </c>
      <c r="W69" s="80">
        <f>$AA$24</f>
        <v>1700.74283753246</v>
      </c>
      <c r="X69" s="73">
        <f>(4.17*10^13*$T$24*$U$24^0.5*EXP(-67837/W69))/'Task2A)values_PHI_dependent'!$D$14*'Task2A)values_PHI_dependent'!$D$5*10^-6</f>
        <v>1.1029306247322158E-14</v>
      </c>
      <c r="Y69" s="83"/>
      <c r="Z69" s="83"/>
    </row>
    <row r="70" spans="13:26" x14ac:dyDescent="0.3">
      <c r="M70" s="74">
        <v>1</v>
      </c>
      <c r="N70" s="80">
        <v>12</v>
      </c>
      <c r="O70" s="80">
        <f>O69*(N70/N69)^$N$27</f>
        <v>2121.9711326428296</v>
      </c>
      <c r="P70" s="80">
        <f>(4.17*10^13*$T$20*$U$20^0.5*EXP(-67837/O70))/'Task2A)values_PHI_dependent'!$D$14*'Task2A)values_PHI_dependent'!$D$5*10^-6</f>
        <v>2.1307761351474792E-11</v>
      </c>
      <c r="Q70" s="80">
        <f>Q69*(N70/N69)^$N$27</f>
        <v>2032.5503546726584</v>
      </c>
      <c r="R70" s="80">
        <f>(4.17*10^13*$T$15*$U$15^0.5*EXP(-67837/Q70))/'Task2A)values_PHI_dependent'!$D$14*'Task2A)values_PHI_dependent'!$D$5*10^-6</f>
        <v>3.0786155307430785E-12</v>
      </c>
      <c r="S70" s="80">
        <f>S69*(N70/N69)^$N$27</f>
        <v>1940.2260969353927</v>
      </c>
      <c r="T70" s="80">
        <f>(4.17*10^13*$T$22*$U$22^0.5*EXP(-67837/S70))/'Task2A)values_PHI_dependent'!$D$14*'Task2A)values_PHI_dependent'!$D$5*10^-6</f>
        <v>1.309576128003523E-12</v>
      </c>
      <c r="U70" s="80">
        <f>U69*(N70/N69)^$N$27</f>
        <v>1844.8587522119635</v>
      </c>
      <c r="V70" s="80">
        <f>(4.17*10^13*$T$23*$U$23^0.5*EXP(-67837/U70))/'Task2A)values_PHI_dependent'!$D$14*'Task2A)values_PHI_dependent'!$D$5*10^-6</f>
        <v>2.3238482337194106E-13</v>
      </c>
      <c r="W70" s="80">
        <f>W69*(N70/N69)^$N$27</f>
        <v>1746.3995791073323</v>
      </c>
      <c r="X70" s="73">
        <f>(4.17*10^13*$T$24*$U$24^0.5*EXP(-67837/W70))/'Task2A)values_PHI_dependent'!$D$14*'Task2A)values_PHI_dependent'!$D$5*10^-6</f>
        <v>3.1290912996239631E-14</v>
      </c>
      <c r="Y70" s="83"/>
      <c r="Z70" s="83"/>
    </row>
    <row r="71" spans="13:26" x14ac:dyDescent="0.3">
      <c r="M71" s="74">
        <v>2</v>
      </c>
      <c r="N71" s="80">
        <v>14</v>
      </c>
      <c r="O71" s="80">
        <f t="shared" ref="O71:O84" si="23">O70*(N71/N70)^$N$27</f>
        <v>2170.0352209677112</v>
      </c>
      <c r="P71" s="80">
        <f>(4.17*10^13*$T$20*$U$20^0.5*EXP(-67837/O71))/'Task2A)values_PHI_dependent'!$D$14*'Task2A)values_PHI_dependent'!$D$5*10^-6</f>
        <v>4.3256580343260274E-11</v>
      </c>
      <c r="Q71" s="80">
        <f t="shared" ref="Q71:Q84" si="24">Q70*(N71/N70)^$N$27</f>
        <v>2078.5890016028284</v>
      </c>
      <c r="R71" s="80">
        <f>(4.17*10^13*$T$15*$U$15^0.5*EXP(-67837/Q71))/'Task2A)values_PHI_dependent'!$D$14*'Task2A)values_PHI_dependent'!$D$5*10^-6</f>
        <v>6.4476093515061269E-12</v>
      </c>
      <c r="S71" s="80">
        <f t="shared" ref="S71:S84" si="25">S70*(N71/N70)^$N$27</f>
        <v>1984.1735366808136</v>
      </c>
      <c r="T71" s="80">
        <f>(4.17*10^13*$T$22*$U$22^0.5*EXP(-67837/S71))/'Task2A)values_PHI_dependent'!$D$14*'Task2A)values_PHI_dependent'!$D$5*10^-6</f>
        <v>2.8408651693251361E-12</v>
      </c>
      <c r="U71" s="80">
        <f t="shared" ref="U71:U84" si="26">U70*(N71/N70)^$N$27</f>
        <v>1886.6460567842034</v>
      </c>
      <c r="V71" s="80">
        <f>(4.17*10^13*$T$23*$U$23^0.5*EXP(-67837/U71))/'Task2A)values_PHI_dependent'!$D$14*'Task2A)values_PHI_dependent'!$D$5*10^-6</f>
        <v>5.2470259319815376E-13</v>
      </c>
      <c r="W71" s="80">
        <f t="shared" ref="W71:W84" si="27">W70*(N71/N70)^$N$27</f>
        <v>1785.9567164922355</v>
      </c>
      <c r="X71" s="73">
        <f>(4.17*10^13*$T$24*$U$24^0.5*EXP(-67837/W71))/'Task2A)values_PHI_dependent'!$D$14*'Task2A)values_PHI_dependent'!$D$5*10^-6</f>
        <v>7.3971601769367175E-14</v>
      </c>
      <c r="Y71" s="83"/>
      <c r="Z71" s="83"/>
    </row>
    <row r="72" spans="13:26" x14ac:dyDescent="0.3">
      <c r="M72" s="74">
        <v>3</v>
      </c>
      <c r="N72" s="80">
        <v>16</v>
      </c>
      <c r="O72" s="80">
        <f t="shared" si="23"/>
        <v>2212.5493339907775</v>
      </c>
      <c r="P72" s="80">
        <f>(4.17*10^13*$T$20*$U$20^0.5*EXP(-67837/O72))/'Task2A)values_PHI_dependent'!$D$14*'Task2A)values_PHI_dependent'!$D$5*10^-6</f>
        <v>7.8871898283088766E-11</v>
      </c>
      <c r="Q72" s="80">
        <f t="shared" si="24"/>
        <v>2119.3115515821037</v>
      </c>
      <c r="R72" s="80">
        <f>(4.17*10^13*$T$15*$U$15^0.5*EXP(-67837/Q72))/'Task2A)values_PHI_dependent'!$D$14*'Task2A)values_PHI_dependent'!$D$5*10^-6</f>
        <v>1.2071066533312596E-11</v>
      </c>
      <c r="S72" s="80">
        <f t="shared" si="25"/>
        <v>2023.0463518225918</v>
      </c>
      <c r="T72" s="80">
        <f>(4.17*10^13*$T$22*$U$22^0.5*EXP(-67837/S72))/'Task2A)values_PHI_dependent'!$D$14*'Task2A)values_PHI_dependent'!$D$5*10^-6</f>
        <v>5.4797025050822207E-12</v>
      </c>
      <c r="U72" s="80">
        <f t="shared" si="26"/>
        <v>1923.6081682364211</v>
      </c>
      <c r="V72" s="80">
        <f>(4.17*10^13*$T$23*$U$23^0.5*EXP(-67837/U72))/'Task2A)values_PHI_dependent'!$D$14*'Task2A)values_PHI_dependent'!$D$5*10^-6</f>
        <v>1.0470515772662026E-12</v>
      </c>
      <c r="W72" s="80">
        <f t="shared" si="27"/>
        <v>1820.9461788593007</v>
      </c>
      <c r="X72" s="73">
        <f>(4.17*10^13*$T$24*$U$24^0.5*EXP(-67837/W72))/'Task2A)values_PHI_dependent'!$D$14*'Task2A)values_PHI_dependent'!$D$5*10^-6</f>
        <v>1.5347459424378694E-13</v>
      </c>
      <c r="Y72" s="83"/>
      <c r="Z72" s="83"/>
    </row>
    <row r="73" spans="13:26" x14ac:dyDescent="0.3">
      <c r="M73" s="74">
        <v>4</v>
      </c>
      <c r="N73" s="80">
        <v>18</v>
      </c>
      <c r="O73" s="80">
        <f t="shared" si="23"/>
        <v>2250.7402675652456</v>
      </c>
      <c r="P73" s="80">
        <f>(4.17*10^13*$T$20*$U$20^0.5*EXP(-67837/O73))/'Task2A)values_PHI_dependent'!$D$14*'Task2A)values_PHI_dependent'!$D$5*10^-6</f>
        <v>1.3269732376779106E-10</v>
      </c>
      <c r="Q73" s="80">
        <f t="shared" si="24"/>
        <v>2155.8931027577723</v>
      </c>
      <c r="R73" s="80">
        <f>(4.17*10^13*$T$15*$U$15^0.5*EXP(-67837/Q73))/'Task2A)values_PHI_dependent'!$D$14*'Task2A)values_PHI_dependent'!$D$5*10^-6</f>
        <v>2.0779045648900572E-11</v>
      </c>
      <c r="S73" s="80">
        <f t="shared" si="25"/>
        <v>2057.9662641850291</v>
      </c>
      <c r="T73" s="80">
        <f>(4.17*10^13*$T$22*$U$22^0.5*EXP(-67837/S73))/'Task2A)values_PHI_dependent'!$D$14*'Task2A)values_PHI_dependent'!$D$5*10^-6</f>
        <v>9.679682488465094E-12</v>
      </c>
      <c r="U73" s="80">
        <f t="shared" si="26"/>
        <v>1956.8116727403924</v>
      </c>
      <c r="V73" s="80">
        <f>(4.17*10^13*$T$23*$U$23^0.5*EXP(-67837/U73))/'Task2A)values_PHI_dependent'!$D$14*'Task2A)values_PHI_dependent'!$D$5*10^-6</f>
        <v>1.9047847354808592E-12</v>
      </c>
      <c r="W73" s="80">
        <f t="shared" si="27"/>
        <v>1852.3776292189009</v>
      </c>
      <c r="X73" s="73">
        <f>(4.17*10^13*$T$24*$U$24^0.5*EXP(-67837/W73))/'Task2A)values_PHI_dependent'!$D$14*'Task2A)values_PHI_dependent'!$D$5*10^-6</f>
        <v>2.8877913458519487E-13</v>
      </c>
      <c r="Y73" s="83"/>
      <c r="Z73" s="83"/>
    </row>
    <row r="74" spans="13:26" x14ac:dyDescent="0.3">
      <c r="M74" s="74">
        <v>5</v>
      </c>
      <c r="N74" s="80">
        <v>20</v>
      </c>
      <c r="O74" s="80">
        <f t="shared" si="23"/>
        <v>2285.4614759266296</v>
      </c>
      <c r="P74" s="80">
        <f>(4.17*10^13*$T$20*$U$20^0.5*EXP(-67837/O74))/'Task2A)values_PHI_dependent'!$D$14*'Task2A)values_PHI_dependent'!$D$5*10^-6</f>
        <v>2.0975954452525706E-10</v>
      </c>
      <c r="Q74" s="80">
        <f t="shared" si="24"/>
        <v>2189.1511444360772</v>
      </c>
      <c r="R74" s="80">
        <f>(4.17*10^13*$T$15*$U$15^0.5*EXP(-67837/Q74))/'Task2A)values_PHI_dependent'!$D$14*'Task2A)values_PHI_dependent'!$D$5*10^-6</f>
        <v>3.3514586562483586E-11</v>
      </c>
      <c r="S74" s="80">
        <f t="shared" si="25"/>
        <v>2089.713630369029</v>
      </c>
      <c r="T74" s="80">
        <f>(4.17*10^13*$T$22*$U$22^0.5*EXP(-67837/S74))/'Task2A)values_PHI_dependent'!$D$14*'Task2A)values_PHI_dependent'!$D$5*10^-6</f>
        <v>1.5971594320662642E-11</v>
      </c>
      <c r="U74" s="80">
        <f t="shared" si="26"/>
        <v>1986.9985702657589</v>
      </c>
      <c r="V74" s="80">
        <f>(4.17*10^13*$T$23*$U$23^0.5*EXP(-67837/U74))/'Task2A)values_PHI_dependent'!$D$14*'Task2A)values_PHI_dependent'!$D$5*10^-6</f>
        <v>3.2253418337300859E-12</v>
      </c>
      <c r="W74" s="80">
        <f t="shared" si="27"/>
        <v>1880.9534673797614</v>
      </c>
      <c r="X74" s="73">
        <f>(4.17*10^13*$T$24*$U$24^0.5*EXP(-67837/W74))/'Task2A)values_PHI_dependent'!$D$14*'Task2A)values_PHI_dependent'!$D$5*10^-6</f>
        <v>5.0372218150829153E-13</v>
      </c>
      <c r="Y74" s="83"/>
      <c r="Z74" s="83"/>
    </row>
    <row r="75" spans="13:26" x14ac:dyDescent="0.3">
      <c r="M75" s="74">
        <v>6</v>
      </c>
      <c r="N75" s="80">
        <v>22</v>
      </c>
      <c r="O75" s="80">
        <f t="shared" si="23"/>
        <v>2317.3318297417254</v>
      </c>
      <c r="P75" s="80">
        <f>(4.17*10^13*$T$20*$U$20^0.5*EXP(-67837/O75))/'Task2A)values_PHI_dependent'!$D$14*'Task2A)values_PHI_dependent'!$D$5*10^-6</f>
        <v>3.1550645150273083E-10</v>
      </c>
      <c r="Q75" s="80">
        <f t="shared" si="24"/>
        <v>2219.678467807219</v>
      </c>
      <c r="R75" s="80">
        <f>(4.17*10^13*$T$15*$U$15^0.5*EXP(-67837/Q75))/'Task2A)values_PHI_dependent'!$D$14*'Task2A)values_PHI_dependent'!$D$5*10^-6</f>
        <v>5.1323939937456942E-11</v>
      </c>
      <c r="S75" s="80">
        <f t="shared" si="25"/>
        <v>2118.8543152913535</v>
      </c>
      <c r="T75" s="80">
        <f>(4.17*10^13*$T$22*$U$22^0.5*EXP(-67837/S75))/'Task2A)values_PHI_dependent'!$D$14*'Task2A)values_PHI_dependent'!$D$5*10^-6</f>
        <v>2.4959827627791237E-11</v>
      </c>
      <c r="U75" s="80">
        <f t="shared" si="26"/>
        <v>2014.706911942699</v>
      </c>
      <c r="V75" s="80">
        <f>(4.17*10^13*$T$23*$U$23^0.5*EXP(-67837/U75))/'Task2A)values_PHI_dependent'!$D$14*'Task2A)values_PHI_dependent'!$D$5*10^-6</f>
        <v>5.1581278125468241E-12</v>
      </c>
      <c r="W75" s="80">
        <f t="shared" si="27"/>
        <v>1907.1830289569562</v>
      </c>
      <c r="X75" s="73">
        <f>(4.17*10^13*$T$24*$U$24^0.5*EXP(-67837/W75))/'Task2A)values_PHI_dependent'!$D$14*'Task2A)values_PHI_dependent'!$D$5*10^-6</f>
        <v>8.2718737619155946E-13</v>
      </c>
      <c r="Y75" s="83"/>
      <c r="Z75" s="83"/>
    </row>
    <row r="76" spans="13:26" x14ac:dyDescent="0.3">
      <c r="M76" s="74">
        <v>7</v>
      </c>
      <c r="N76" s="80">
        <v>24</v>
      </c>
      <c r="O76" s="80">
        <f t="shared" si="23"/>
        <v>2346.8150925245991</v>
      </c>
      <c r="P76" s="80">
        <f>(4.17*10^13*$T$20*$U$20^0.5*EXP(-67837/O76))/'Task2A)values_PHI_dependent'!$D$14*'Task2A)values_PHI_dependent'!$D$5*10^-6</f>
        <v>4.5575167790036351E-10</v>
      </c>
      <c r="Q76" s="80">
        <f t="shared" si="24"/>
        <v>2247.9192931909279</v>
      </c>
      <c r="R76" s="80">
        <f>(4.17*10^13*$T$15*$U$15^0.5*EXP(-67837/Q76))/'Task2A)values_PHI_dependent'!$D$14*'Task2A)values_PHI_dependent'!$D$5*10^-6</f>
        <v>7.5347145308733909E-11</v>
      </c>
      <c r="S76" s="80">
        <f t="shared" si="25"/>
        <v>2145.8123615126938</v>
      </c>
      <c r="T76" s="80">
        <f>(4.17*10^13*$T$22*$U$22^0.5*EXP(-67837/S76))/'Task2A)values_PHI_dependent'!$D$14*'Task2A)values_PHI_dependent'!$D$5*10^-6</f>
        <v>3.7318392081752001E-11</v>
      </c>
      <c r="U76" s="80">
        <f t="shared" si="26"/>
        <v>2040.3398974965626</v>
      </c>
      <c r="V76" s="80">
        <f>(4.17*10^13*$T$23*$U$23^0.5*EXP(-67837/U76))/'Task2A)values_PHI_dependent'!$D$14*'Task2A)values_PHI_dependent'!$D$5*10^-6</f>
        <v>7.874143837179848E-12</v>
      </c>
      <c r="W76" s="80">
        <f t="shared" si="27"/>
        <v>1931.4479951116055</v>
      </c>
      <c r="X76" s="73">
        <f>(4.17*10^13*$T$24*$U$24^0.5*EXP(-67837/W76))/'Task2A)values_PHI_dependent'!$D$14*'Task2A)values_PHI_dependent'!$D$5*10^-6</f>
        <v>1.2932202136955912E-12</v>
      </c>
      <c r="Y76" s="83"/>
      <c r="Z76" s="83"/>
    </row>
    <row r="77" spans="13:26" x14ac:dyDescent="0.3">
      <c r="M77" s="74">
        <v>8</v>
      </c>
      <c r="N77" s="80">
        <v>26</v>
      </c>
      <c r="O77" s="80">
        <f t="shared" si="23"/>
        <v>2374.268205886478</v>
      </c>
      <c r="P77" s="80">
        <f>(4.17*10^13*$T$20*$U$20^0.5*EXP(-67837/O77))/'Task2A)values_PHI_dependent'!$D$14*'Task2A)values_PHI_dependent'!$D$5*10^-6</f>
        <v>6.3662532496783246E-10</v>
      </c>
      <c r="Q77" s="80">
        <f t="shared" si="24"/>
        <v>2274.2155205251138</v>
      </c>
      <c r="R77" s="80">
        <f>(4.17*10^13*$T$15*$U$15^0.5*EXP(-67837/Q77))/'Task2A)values_PHI_dependent'!$D$14*'Task2A)values_PHI_dependent'!$D$5*10^-6</f>
        <v>1.068091523590289E-10</v>
      </c>
      <c r="S77" s="80">
        <f t="shared" si="25"/>
        <v>2170.9141388966791</v>
      </c>
      <c r="T77" s="80">
        <f>(4.17*10^13*$T$22*$U$22^0.5*EXP(-67837/S77))/'Task2A)values_PHI_dependent'!$D$14*'Task2A)values_PHI_dependent'!$D$5*10^-6</f>
        <v>5.3786785467213189E-11</v>
      </c>
      <c r="U77" s="80">
        <f t="shared" si="26"/>
        <v>2064.2078548320851</v>
      </c>
      <c r="V77" s="80">
        <f>(4.17*10^13*$T$23*$U$23^0.5*EXP(-67837/U77))/'Task2A)values_PHI_dependent'!$D$14*'Task2A)values_PHI_dependent'!$D$5*10^-6</f>
        <v>1.1565449141918867E-11</v>
      </c>
      <c r="W77" s="80">
        <f t="shared" si="27"/>
        <v>1954.0421317060363</v>
      </c>
      <c r="X77" s="73">
        <f>(4.17*10^13*$T$24*$U$24^0.5*EXP(-67837/W77))/'Task2A)values_PHI_dependent'!$D$14*'Task2A)values_PHI_dependent'!$D$5*10^-6</f>
        <v>1.9410848947028667E-12</v>
      </c>
      <c r="Y77" s="83"/>
      <c r="Z77" s="83"/>
    </row>
    <row r="78" spans="13:26" x14ac:dyDescent="0.3">
      <c r="M78" s="74">
        <v>9</v>
      </c>
      <c r="N78" s="80">
        <v>28</v>
      </c>
      <c r="O78" s="80">
        <f t="shared" si="23"/>
        <v>2399.9720493531222</v>
      </c>
      <c r="P78" s="80">
        <f>(4.17*10^13*$T$20*$U$20^0.5*EXP(-67837/O78))/'Task2A)values_PHI_dependent'!$D$14*'Task2A)values_PHI_dependent'!$D$5*10^-6</f>
        <v>8.6453038257681769E-10</v>
      </c>
      <c r="Q78" s="80">
        <f t="shared" si="24"/>
        <v>2298.8361929512794</v>
      </c>
      <c r="R78" s="80">
        <f>(4.17*10^13*$T$15*$U$15^0.5*EXP(-67837/Q78))/'Task2A)values_PHI_dependent'!$D$14*'Task2A)values_PHI_dependent'!$D$5*10^-6</f>
        <v>1.4701156797954234E-10</v>
      </c>
      <c r="S78" s="80">
        <f t="shared" si="25"/>
        <v>2194.4164698748641</v>
      </c>
      <c r="T78" s="80">
        <f>(4.17*10^13*$T$22*$U$22^0.5*EXP(-67837/S78))/'Task2A)values_PHI_dependent'!$D$14*'Task2A)values_PHI_dependent'!$D$5*10^-6</f>
        <v>7.5165857846371658E-11</v>
      </c>
      <c r="U78" s="80">
        <f t="shared" si="26"/>
        <v>2086.5549828657572</v>
      </c>
      <c r="V78" s="80">
        <f>(4.17*10^13*$T$23*$U$23^0.5*EXP(-67837/U78))/'Task2A)values_PHI_dependent'!$D$14*'Task2A)values_PHI_dependent'!$D$5*10^-6</f>
        <v>1.6444509949374326E-11</v>
      </c>
      <c r="W78" s="80">
        <f t="shared" si="27"/>
        <v>1975.196604884793</v>
      </c>
      <c r="X78" s="73">
        <f>(4.17*10^13*$T$24*$U$24^0.5*EXP(-67837/W78))/'Task2A)values_PHI_dependent'!$D$14*'Task2A)values_PHI_dependent'!$D$5*10^-6</f>
        <v>2.815275319305142E-12</v>
      </c>
      <c r="Y78" s="83"/>
      <c r="Z78" s="83"/>
    </row>
    <row r="79" spans="13:26" x14ac:dyDescent="0.3">
      <c r="M79" s="74">
        <v>10</v>
      </c>
      <c r="N79" s="80">
        <v>30</v>
      </c>
      <c r="O79" s="80">
        <f t="shared" si="23"/>
        <v>2424.1518155954104</v>
      </c>
      <c r="P79" s="80">
        <f>(4.17*10^13*$T$20*$U$20^0.5*EXP(-67837/O79))/'Task2A)values_PHI_dependent'!$D$14*'Task2A)values_PHI_dependent'!$D$5*10^-6</f>
        <v>1.1461042674414665E-9</v>
      </c>
      <c r="Q79" s="80">
        <f t="shared" si="24"/>
        <v>2321.997013424108</v>
      </c>
      <c r="R79" s="80">
        <f>(4.17*10^13*$T$15*$U$15^0.5*EXP(-67837/Q79))/'Task2A)values_PHI_dependent'!$D$14*'Task2A)values_PHI_dependent'!$D$5*10^-6</f>
        <v>1.9732504930654642E-10</v>
      </c>
      <c r="S79" s="80">
        <f t="shared" si="25"/>
        <v>2216.5252595560205</v>
      </c>
      <c r="T79" s="80">
        <f>(4.17*10^13*$T$22*$U$22^0.5*EXP(-67837/S79))/'Task2A)values_PHI_dependent'!$D$14*'Task2A)values_PHI_dependent'!$D$5*10^-6</f>
        <v>1.0231376365913439E-10</v>
      </c>
      <c r="U79" s="80">
        <f t="shared" si="26"/>
        <v>2107.5770659150057</v>
      </c>
      <c r="V79" s="80">
        <f>(4.17*10^13*$T$23*$U$23^0.5*EXP(-67837/U79))/'Task2A)values_PHI_dependent'!$D$14*'Task2A)values_PHI_dependent'!$D$5*10^-6</f>
        <v>2.2743476108654591E-11</v>
      </c>
      <c r="W79" s="80">
        <f t="shared" si="27"/>
        <v>1995.0967500558791</v>
      </c>
      <c r="X79" s="73">
        <f>(4.17*10^13*$T$24*$U$24^0.5*EXP(-67837/W79))/'Task2A)values_PHI_dependent'!$D$14*'Task2A)values_PHI_dependent'!$D$5*10^-6</f>
        <v>3.9654901896060964E-12</v>
      </c>
      <c r="Y79" s="83"/>
      <c r="Z79" s="83"/>
    </row>
    <row r="80" spans="13:26" x14ac:dyDescent="0.3">
      <c r="M80" s="74">
        <v>11</v>
      </c>
      <c r="N80" s="80">
        <v>32</v>
      </c>
      <c r="O80" s="80">
        <f t="shared" si="23"/>
        <v>2446.9909557618844</v>
      </c>
      <c r="P80" s="80">
        <f>(4.17*10^13*$T$20*$U$20^0.5*EXP(-67837/O80))/'Task2A)values_PHI_dependent'!$D$14*'Task2A)values_PHI_dependent'!$D$5*10^-6</f>
        <v>1.4881849011513751E-9</v>
      </c>
      <c r="Q80" s="80">
        <f t="shared" si="24"/>
        <v>2343.8737023816857</v>
      </c>
      <c r="R80" s="80">
        <f>(4.17*10^13*$T$15*$U$15^0.5*EXP(-67837/Q80))/'Task2A)values_PHI_dependent'!$D$14*'Task2A)values_PHI_dependent'!$D$5*10^-6</f>
        <v>2.5918232874537512E-10</v>
      </c>
      <c r="S80" s="80">
        <f t="shared" si="25"/>
        <v>2237.4082466527243</v>
      </c>
      <c r="T80" s="80">
        <f>(4.17*10^13*$T$22*$U$22^0.5*EXP(-67837/S80))/'Task2A)values_PHI_dependent'!$D$14*'Task2A)values_PHI_dependent'!$D$5*10^-6</f>
        <v>1.3614205734642991E-10</v>
      </c>
      <c r="U80" s="80">
        <f t="shared" si="26"/>
        <v>2127.4335978823556</v>
      </c>
      <c r="V80" s="80">
        <f>(4.17*10^13*$T$23*$U$23^0.5*EXP(-67837/U80))/'Task2A)values_PHI_dependent'!$D$14*'Task2A)values_PHI_dependent'!$D$5*10^-6</f>
        <v>3.0713414853434514E-11</v>
      </c>
      <c r="W80" s="80">
        <f t="shared" si="27"/>
        <v>2013.8935490133781</v>
      </c>
      <c r="X80" s="73">
        <f>(4.17*10^13*$T$24*$U$24^0.5*EXP(-67837/W80))/'Task2A)values_PHI_dependent'!$D$14*'Task2A)values_PHI_dependent'!$D$5*10^-6</f>
        <v>5.4465801731538901E-12</v>
      </c>
      <c r="Y80" s="83"/>
      <c r="Z80" s="83"/>
    </row>
    <row r="81" spans="13:26" x14ac:dyDescent="0.3">
      <c r="M81" s="74">
        <v>12</v>
      </c>
      <c r="N81" s="80">
        <v>34</v>
      </c>
      <c r="O81" s="80">
        <f t="shared" si="23"/>
        <v>2468.6409934391922</v>
      </c>
      <c r="P81" s="80">
        <f>(4.17*10^13*$T$20*$U$20^0.5*EXP(-67837/O81))/'Task2A)values_PHI_dependent'!$D$14*'Task2A)values_PHI_dependent'!$D$5*10^-6</f>
        <v>1.8977807873711713E-9</v>
      </c>
      <c r="Q81" s="80">
        <f t="shared" si="24"/>
        <v>2364.6113981414214</v>
      </c>
      <c r="R81" s="80">
        <f>(4.17*10^13*$T$15*$U$15^0.5*EXP(-67837/Q81))/'Task2A)values_PHI_dependent'!$D$14*'Task2A)values_PHI_dependent'!$D$5*10^-6</f>
        <v>3.3407183905135411E-10</v>
      </c>
      <c r="S81" s="80">
        <f t="shared" si="25"/>
        <v>2257.2039768843747</v>
      </c>
      <c r="T81" s="80">
        <f>(4.17*10^13*$T$22*$U$22^0.5*EXP(-67837/S81))/'Task2A)values_PHI_dependent'!$D$14*'Task2A)values_PHI_dependent'!$D$5*10^-6</f>
        <v>1.7761196438856904E-10</v>
      </c>
      <c r="U81" s="80">
        <f t="shared" si="26"/>
        <v>2146.2563145914914</v>
      </c>
      <c r="V81" s="80">
        <f>(4.17*10^13*$T$23*$U$23^0.5*EXP(-67837/U81))/'Task2A)values_PHI_dependent'!$D$14*'Task2A)values_PHI_dependent'!$D$5*10^-6</f>
        <v>4.0623522950923945E-11</v>
      </c>
      <c r="W81" s="80">
        <f t="shared" si="27"/>
        <v>2031.7117069070805</v>
      </c>
      <c r="X81" s="73">
        <f>(4.17*10^13*$T$24*$U$24^0.5*EXP(-67837/W81))/'Task2A)values_PHI_dependent'!$D$14*'Task2A)values_PHI_dependent'!$D$5*10^-6</f>
        <v>7.3184734701108832E-12</v>
      </c>
      <c r="Y81" s="83"/>
      <c r="Z81" s="83"/>
    </row>
    <row r="82" spans="13:26" x14ac:dyDescent="0.3">
      <c r="M82" s="74">
        <v>13</v>
      </c>
      <c r="N82" s="80">
        <v>36</v>
      </c>
      <c r="O82" s="80">
        <f t="shared" si="23"/>
        <v>2489.228598834125</v>
      </c>
      <c r="P82" s="80">
        <f>(4.17*10^13*$T$20*$U$20^0.5*EXP(-67837/O82))/'Task2A)values_PHI_dependent'!$D$14*'Task2A)values_PHI_dependent'!$D$5*10^-6</f>
        <v>2.3820445994764712E-9</v>
      </c>
      <c r="Q82" s="80">
        <f t="shared" si="24"/>
        <v>2384.3314329730051</v>
      </c>
      <c r="R82" s="80">
        <f>(4.17*10^13*$T$15*$U$15^0.5*EXP(-67837/Q82))/'Task2A)values_PHI_dependent'!$D$14*'Task2A)values_PHI_dependent'!$D$5*10^-6</f>
        <v>4.2353189800365255E-10</v>
      </c>
      <c r="S82" s="80">
        <f t="shared" si="25"/>
        <v>2276.0282712615121</v>
      </c>
      <c r="T82" s="80">
        <f>(4.17*10^13*$T$22*$U$22^0.5*EXP(-67837/S82))/'Task2A)values_PHI_dependent'!$D$14*'Task2A)values_PHI_dependent'!$D$5*10^-6</f>
        <v>2.2773084411967132E-10</v>
      </c>
      <c r="U82" s="80">
        <f t="shared" si="26"/>
        <v>2164.1553441379601</v>
      </c>
      <c r="V82" s="80">
        <f>(4.17*10^13*$T$23*$U$23^0.5*EXP(-67837/U82))/'Task2A)values_PHI_dependent'!$D$14*'Task2A)values_PHI_dependent'!$D$5*10^-6</f>
        <v>5.2760332597775768E-11</v>
      </c>
      <c r="W82" s="80">
        <f t="shared" si="27"/>
        <v>2048.6554743520969</v>
      </c>
      <c r="X82" s="73">
        <f>(4.17*10^13*$T$24*$U$24^0.5*EXP(-67837/W82))/'Task2A)values_PHI_dependent'!$D$14*'Task2A)values_PHI_dependent'!$D$5*10^-6</f>
        <v>9.6460848475107425E-12</v>
      </c>
      <c r="Y82" s="83"/>
      <c r="Z82" s="83"/>
    </row>
    <row r="83" spans="13:26" x14ac:dyDescent="0.3">
      <c r="M83" s="74">
        <v>14</v>
      </c>
      <c r="N83" s="80">
        <v>38</v>
      </c>
      <c r="O83" s="80">
        <f t="shared" si="23"/>
        <v>2508.8607956819337</v>
      </c>
      <c r="P83" s="80">
        <f>(4.17*10^13*$T$20*$U$20^0.5*EXP(-67837/O83))/'Task2A)values_PHI_dependent'!$D$14*'Task2A)values_PHI_dependent'!$D$5*10^-6</f>
        <v>2.9482498451025043E-9</v>
      </c>
      <c r="Q83" s="80">
        <f t="shared" si="24"/>
        <v>2403.1363205853636</v>
      </c>
      <c r="R83" s="80">
        <f>(4.17*10^13*$T$15*$U$15^0.5*EXP(-67837/Q83))/'Task2A)values_PHI_dependent'!$D$14*'Task2A)values_PHI_dependent'!$D$5*10^-6</f>
        <v>5.2914540911438456E-10</v>
      </c>
      <c r="S83" s="80">
        <f t="shared" si="25"/>
        <v>2293.9789870268346</v>
      </c>
      <c r="T83" s="80">
        <f>(4.17*10^13*$T$22*$U$22^0.5*EXP(-67837/S83))/'Task2A)values_PHI_dependent'!$D$14*'Task2A)values_PHI_dependent'!$D$5*10^-6</f>
        <v>2.8754885052088142E-10</v>
      </c>
      <c r="U83" s="80">
        <f t="shared" si="26"/>
        <v>2181.2237338170971</v>
      </c>
      <c r="V83" s="80">
        <f>(4.17*10^13*$T$23*$U$23^0.5*EXP(-67837/U83))/'Task2A)values_PHI_dependent'!$D$14*'Task2A)values_PHI_dependent'!$D$5*10^-6</f>
        <v>6.7426922090498755E-11</v>
      </c>
      <c r="W83" s="80">
        <f t="shared" si="27"/>
        <v>2064.8129327569454</v>
      </c>
      <c r="X83" s="73">
        <f>(4.17*10^13*$T$24*$U$24^0.5*EXP(-67837/W83))/'Task2A)values_PHI_dependent'!$D$14*'Task2A)values_PHI_dependent'!$D$5*10^-6</f>
        <v>1.2499212187266417E-11</v>
      </c>
      <c r="Y83" s="83"/>
      <c r="Z83" s="83"/>
    </row>
    <row r="84" spans="13:26" x14ac:dyDescent="0.3">
      <c r="M84" s="75">
        <v>16</v>
      </c>
      <c r="N84" s="76">
        <v>40</v>
      </c>
      <c r="O84" s="76">
        <f t="shared" si="23"/>
        <v>2527.6288647753977</v>
      </c>
      <c r="P84" s="76">
        <f>(4.17*10^13*$T$20*$U$20^0.5*EXP(-67837/O84))/'Task2A)values_PHI_dependent'!$D$14*'Task2A)values_PHI_dependent'!$D$5*10^-6</f>
        <v>3.6037702271347777E-9</v>
      </c>
      <c r="Q84" s="76">
        <f t="shared" si="24"/>
        <v>2421.1134951593317</v>
      </c>
      <c r="R84" s="76">
        <f>(4.17*10^13*$T$15*$U$15^0.5*EXP(-67837/Q84))/'Task2A)values_PHI_dependent'!$D$14*'Task2A)values_PHI_dependent'!$D$5*10^-6</f>
        <v>6.5253503482330203E-10</v>
      </c>
      <c r="S84" s="76">
        <f t="shared" si="25"/>
        <v>2311.1395868502982</v>
      </c>
      <c r="T84" s="76">
        <f>(4.17*10^13*$T$22*$U$22^0.5*EXP(-67837/S84))/'Task2A)values_PHI_dependent'!$D$14*'Task2A)values_PHI_dependent'!$D$5*10^-6</f>
        <v>3.5815579060607419E-10</v>
      </c>
      <c r="U84" s="76">
        <f t="shared" si="26"/>
        <v>2197.540843883563</v>
      </c>
      <c r="V84" s="76">
        <f>(4.17*10^13*$T$23*$U$23^0.5*EXP(-67837/U84))/'Task2A)values_PHI_dependent'!$D$14*'Task2A)values_PHI_dependent'!$D$5*10^-6</f>
        <v>8.4942139114225959E-11</v>
      </c>
      <c r="W84" s="76">
        <f t="shared" si="27"/>
        <v>2080.2592069598659</v>
      </c>
      <c r="X84" s="77">
        <f>(4.17*10^13*$T$24*$U$24^0.5*EXP(-67837/W84))/'Task2A)values_PHI_dependent'!$D$14*'Task2A)values_PHI_dependent'!$D$5*10^-6</f>
        <v>1.5952423785844397E-11</v>
      </c>
      <c r="Y84" s="83"/>
      <c r="Z84" s="83"/>
    </row>
    <row r="85" spans="13:26" x14ac:dyDescent="0.3">
      <c r="Y85" s="80"/>
      <c r="Z85" s="80"/>
    </row>
    <row r="88" spans="13:26" ht="24" customHeight="1" x14ac:dyDescent="0.3">
      <c r="O88" s="147" t="s">
        <v>139</v>
      </c>
      <c r="P88" s="141" t="s">
        <v>216</v>
      </c>
      <c r="Q88" s="141" t="s">
        <v>213</v>
      </c>
      <c r="R88" s="148" t="s">
        <v>173</v>
      </c>
    </row>
    <row r="89" spans="13:26" x14ac:dyDescent="0.3">
      <c r="O89" s="90"/>
      <c r="P89" s="80" t="s">
        <v>215</v>
      </c>
      <c r="Q89" s="80" t="s">
        <v>214</v>
      </c>
      <c r="R89" s="91" t="s">
        <v>217</v>
      </c>
    </row>
    <row r="90" spans="13:26" x14ac:dyDescent="0.3">
      <c r="O90" s="90">
        <v>1</v>
      </c>
      <c r="P90" s="80">
        <f>SUM(P29:P44)</f>
        <v>0</v>
      </c>
      <c r="Q90" s="80">
        <f t="shared" ref="Q90:Q106" si="28">V8</f>
        <v>6.948114096257204E-6</v>
      </c>
      <c r="R90" s="73">
        <f>(P90/Q90)*10^6</f>
        <v>0</v>
      </c>
    </row>
    <row r="91" spans="13:26" x14ac:dyDescent="0.3">
      <c r="O91" s="90">
        <v>0.99</v>
      </c>
      <c r="P91" s="80">
        <f>SUM(R29:R44)</f>
        <v>1.3032698308071151E-7</v>
      </c>
      <c r="Q91" s="80">
        <f t="shared" si="28"/>
        <v>6.9443765343653996E-6</v>
      </c>
      <c r="R91" s="73">
        <f>(P91/Q91)*10^6</f>
        <v>18767.269089711193</v>
      </c>
    </row>
    <row r="92" spans="13:26" x14ac:dyDescent="0.3">
      <c r="O92" s="90">
        <v>0.98</v>
      </c>
      <c r="P92" s="80">
        <f>SUM(T29:T44)</f>
        <v>1.5740314554881143E-7</v>
      </c>
      <c r="Q92" s="80">
        <f t="shared" si="28"/>
        <v>6.9406377365073615E-6</v>
      </c>
      <c r="R92" s="73">
        <f t="shared" ref="R92:R106" si="29">(P92/Q92)*10^6</f>
        <v>22678.484531886719</v>
      </c>
    </row>
    <row r="93" spans="13:26" x14ac:dyDescent="0.3">
      <c r="O93" s="90">
        <v>0.97</v>
      </c>
      <c r="P93" s="80">
        <f>SUM(V29:V44)</f>
        <v>1.6417553255020253E-7</v>
      </c>
      <c r="Q93" s="80">
        <f t="shared" si="28"/>
        <v>6.9368977020699098E-6</v>
      </c>
      <c r="R93" s="149">
        <f t="shared" si="29"/>
        <v>23666.996343511593</v>
      </c>
    </row>
    <row r="94" spans="13:26" x14ac:dyDescent="0.3">
      <c r="O94" s="90">
        <v>0.96</v>
      </c>
      <c r="P94" s="80">
        <f>SUM(X29:X44)</f>
        <v>1.6098053228350246E-7</v>
      </c>
      <c r="Q94" s="80">
        <f t="shared" si="28"/>
        <v>6.9331564304394573E-6</v>
      </c>
      <c r="R94" s="73">
        <f t="shared" si="29"/>
        <v>23218.938429937996</v>
      </c>
    </row>
    <row r="95" spans="13:26" x14ac:dyDescent="0.3">
      <c r="O95" s="90">
        <v>0.95</v>
      </c>
      <c r="P95" s="80">
        <f>SUM(Z29:Z44)</f>
        <v>1.5238049762845143E-7</v>
      </c>
      <c r="Q95" s="80">
        <f t="shared" si="28"/>
        <v>6.9294139210020143E-6</v>
      </c>
      <c r="R95" s="73">
        <f t="shared" si="29"/>
        <v>21990.387551623808</v>
      </c>
    </row>
    <row r="96" spans="13:26" x14ac:dyDescent="0.3">
      <c r="O96" s="90">
        <v>0.94</v>
      </c>
      <c r="P96" s="80">
        <f>SUM(P49:P64)</f>
        <v>1.4089054514546695E-7</v>
      </c>
      <c r="Q96" s="80">
        <f t="shared" si="28"/>
        <v>6.925670173143183E-6</v>
      </c>
      <c r="R96" s="73">
        <f t="shared" si="29"/>
        <v>20343.236340047137</v>
      </c>
    </row>
    <row r="97" spans="15:18" x14ac:dyDescent="0.3">
      <c r="O97" s="90">
        <v>0.93</v>
      </c>
      <c r="P97" s="80">
        <f>SUM(R49:R64)</f>
        <v>1.2803724153755958E-7</v>
      </c>
      <c r="Q97" s="80">
        <f t="shared" si="28"/>
        <v>6.9219251862481572E-6</v>
      </c>
      <c r="R97" s="73">
        <f t="shared" si="29"/>
        <v>18497.345477228238</v>
      </c>
    </row>
    <row r="98" spans="15:18" x14ac:dyDescent="0.3">
      <c r="O98" s="90">
        <v>0.92</v>
      </c>
      <c r="P98" s="80">
        <f>SUM(T49:T64)</f>
        <v>1.1478505960846734E-7</v>
      </c>
      <c r="Q98" s="80">
        <f t="shared" si="28"/>
        <v>6.9181789597017267E-6</v>
      </c>
      <c r="R98" s="73">
        <f t="shared" si="29"/>
        <v>16591.802593874534</v>
      </c>
    </row>
    <row r="99" spans="15:18" x14ac:dyDescent="0.3">
      <c r="O99" s="90">
        <v>0.91</v>
      </c>
      <c r="P99" s="80">
        <f>SUM(V49:V64)</f>
        <v>1.0175098772402524E-7</v>
      </c>
      <c r="Q99" s="80">
        <f t="shared" si="28"/>
        <v>6.9144314928882721E-6</v>
      </c>
      <c r="R99" s="73">
        <f t="shared" si="29"/>
        <v>14715.741681536594</v>
      </c>
    </row>
    <row r="100" spans="15:18" x14ac:dyDescent="0.3">
      <c r="O100" s="90">
        <v>0.9</v>
      </c>
      <c r="P100" s="80">
        <f>SUM(X49:X64)</f>
        <v>8.932401195518795E-8</v>
      </c>
      <c r="Q100" s="80">
        <f t="shared" si="28"/>
        <v>6.9106827851917669E-6</v>
      </c>
      <c r="R100" s="73">
        <f t="shared" si="29"/>
        <v>12925.497339653864</v>
      </c>
    </row>
    <row r="101" spans="15:18" x14ac:dyDescent="0.3">
      <c r="O101" s="90">
        <v>0.85</v>
      </c>
      <c r="P101" s="80">
        <f>SUM(Z49:Z64)</f>
        <v>4.1397172764069986E-8</v>
      </c>
      <c r="Q101" s="80">
        <f t="shared" si="28"/>
        <v>6.8919206118739622E-6</v>
      </c>
      <c r="R101" s="73">
        <f t="shared" si="29"/>
        <v>6006.6235662592462</v>
      </c>
    </row>
    <row r="102" spans="15:18" x14ac:dyDescent="0.3">
      <c r="O102" s="90">
        <v>0.8</v>
      </c>
      <c r="P102" s="80">
        <f>SUM(P69:P84)</f>
        <v>1.6233474366392366E-8</v>
      </c>
      <c r="Q102" s="80">
        <f t="shared" si="28"/>
        <v>6.8731273238408712E-6</v>
      </c>
      <c r="R102" s="73">
        <f t="shared" si="29"/>
        <v>2361.8759847621595</v>
      </c>
    </row>
    <row r="103" spans="15:18" x14ac:dyDescent="0.3">
      <c r="O103" s="90">
        <v>0.75</v>
      </c>
      <c r="P103" s="80">
        <f>SUM(R69:R84)</f>
        <v>2.854559937644986E-9</v>
      </c>
      <c r="Q103" s="80">
        <f t="shared" si="28"/>
        <v>6.854302843628473E-6</v>
      </c>
      <c r="R103" s="73">
        <f t="shared" si="29"/>
        <v>416.46247660307102</v>
      </c>
    </row>
    <row r="104" spans="15:18" x14ac:dyDescent="0.3">
      <c r="O104" s="90">
        <v>0.7</v>
      </c>
      <c r="P104" s="80">
        <f>SUM(T69:T84)</f>
        <v>1.5165278278393463E-9</v>
      </c>
      <c r="Q104" s="80">
        <f t="shared" si="28"/>
        <v>6.8354470935153885E-6</v>
      </c>
      <c r="R104" s="73">
        <f t="shared" si="29"/>
        <v>221.86227280992884</v>
      </c>
    </row>
    <row r="105" spans="15:18" x14ac:dyDescent="0.3">
      <c r="O105" s="90">
        <v>0.65</v>
      </c>
      <c r="P105" s="80">
        <f>SUM(V69:V84)</f>
        <v>3.472729018808081E-10</v>
      </c>
      <c r="Q105" s="80">
        <f t="shared" si="28"/>
        <v>6.8165599955218171E-6</v>
      </c>
      <c r="R105" s="73">
        <f t="shared" si="29"/>
        <v>50.945477206824442</v>
      </c>
    </row>
    <row r="106" spans="15:18" x14ac:dyDescent="0.3">
      <c r="O106" s="103">
        <v>0.6</v>
      </c>
      <c r="P106" s="76">
        <f>SUM(X69:X84)</f>
        <v>6.2767300188737786E-11</v>
      </c>
      <c r="Q106" s="76">
        <f t="shared" si="28"/>
        <v>6.7976414714084564E-6</v>
      </c>
      <c r="R106" s="77">
        <f t="shared" si="29"/>
        <v>9.2336879567336965</v>
      </c>
    </row>
  </sheetData>
  <mergeCells count="27">
    <mergeCell ref="C2:D2"/>
    <mergeCell ref="C20:F20"/>
    <mergeCell ref="U27:V27"/>
    <mergeCell ref="W27:X27"/>
    <mergeCell ref="Y27:Z27"/>
    <mergeCell ref="O27:P27"/>
    <mergeCell ref="Q27:R27"/>
    <mergeCell ref="S27:T27"/>
    <mergeCell ref="I6:K6"/>
    <mergeCell ref="I5:O5"/>
    <mergeCell ref="Y47:Z47"/>
    <mergeCell ref="O67:P67"/>
    <mergeCell ref="Q67:R67"/>
    <mergeCell ref="S67:T67"/>
    <mergeCell ref="U67:V67"/>
    <mergeCell ref="W67:X67"/>
    <mergeCell ref="Y67:Z67"/>
    <mergeCell ref="O47:P47"/>
    <mergeCell ref="Q47:R47"/>
    <mergeCell ref="S47:T47"/>
    <mergeCell ref="U47:V47"/>
    <mergeCell ref="W47:X47"/>
    <mergeCell ref="AI8:AJ8"/>
    <mergeCell ref="AI7:AJ7"/>
    <mergeCell ref="AI10:AJ10"/>
    <mergeCell ref="AI11:AJ11"/>
    <mergeCell ref="AI9:AJ9"/>
  </mergeCells>
  <dataValidations disablePrompts="1" count="1">
    <dataValidation type="list" allowBlank="1" showInputMessage="1" showErrorMessage="1" sqref="T12 R2" xr:uid="{B8782219-4BA4-4F40-BECF-CB9CDBA6EA39}">
      <formula1>$M$8:$M$24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A9E31-069B-4719-8547-7E9FD1A58513}">
  <dimension ref="B2:U59"/>
  <sheetViews>
    <sheetView tabSelected="1" topLeftCell="A58" zoomScale="70" zoomScaleNormal="70" workbookViewId="0">
      <selection activeCell="M23" sqref="M23"/>
    </sheetView>
  </sheetViews>
  <sheetFormatPr defaultRowHeight="14.4" x14ac:dyDescent="0.3"/>
  <cols>
    <col min="2" max="2" width="13.109375" customWidth="1"/>
    <col min="3" max="5" width="12" bestFit="1" customWidth="1"/>
    <col min="8" max="8" width="12" bestFit="1" customWidth="1"/>
    <col min="9" max="9" width="15.33203125" customWidth="1"/>
    <col min="10" max="10" width="12.33203125" customWidth="1"/>
    <col min="11" max="11" width="12" bestFit="1" customWidth="1"/>
    <col min="13" max="13" width="9.88671875" customWidth="1"/>
    <col min="14" max="14" width="9.5546875" bestFit="1" customWidth="1"/>
    <col min="15" max="15" width="12.44140625" customWidth="1"/>
    <col min="16" max="16" width="12" bestFit="1" customWidth="1"/>
    <col min="17" max="17" width="14.21875" customWidth="1"/>
    <col min="18" max="18" width="13.33203125" customWidth="1"/>
    <col min="21" max="21" width="12.88671875" customWidth="1"/>
  </cols>
  <sheetData>
    <row r="2" spans="2:21" x14ac:dyDescent="0.3">
      <c r="B2" s="22" t="s">
        <v>175</v>
      </c>
      <c r="C2" s="159">
        <v>0.05</v>
      </c>
      <c r="D2" s="4">
        <v>1.05</v>
      </c>
    </row>
    <row r="3" spans="2:21" x14ac:dyDescent="0.3">
      <c r="B3" s="5"/>
      <c r="C3" s="160">
        <v>0.1</v>
      </c>
      <c r="D3" s="7">
        <v>1.1000000000000001</v>
      </c>
    </row>
    <row r="4" spans="2:21" x14ac:dyDescent="0.3">
      <c r="B4" s="5"/>
      <c r="C4" s="161">
        <v>0.15</v>
      </c>
      <c r="D4" s="7">
        <v>1.1499999999999999</v>
      </c>
    </row>
    <row r="5" spans="2:21" x14ac:dyDescent="0.3">
      <c r="B5" s="11"/>
      <c r="C5" s="162">
        <v>0.2</v>
      </c>
      <c r="D5" s="13">
        <v>1.2</v>
      </c>
      <c r="E5" s="207" t="s">
        <v>184</v>
      </c>
      <c r="F5" s="208"/>
      <c r="G5" s="208"/>
      <c r="H5" s="208"/>
      <c r="I5" s="208"/>
      <c r="J5" s="208"/>
      <c r="K5" s="208"/>
      <c r="L5" s="208"/>
      <c r="M5" s="208"/>
      <c r="N5" s="208"/>
      <c r="O5" s="209"/>
    </row>
    <row r="7" spans="2:21" x14ac:dyDescent="0.3">
      <c r="B7" s="92" t="s">
        <v>177</v>
      </c>
      <c r="C7" s="3"/>
      <c r="D7" s="3"/>
      <c r="E7" s="3"/>
      <c r="F7" s="70" t="s">
        <v>101</v>
      </c>
      <c r="G7" s="70"/>
      <c r="H7" s="69" t="s">
        <v>104</v>
      </c>
      <c r="I7" s="70" t="s">
        <v>105</v>
      </c>
      <c r="J7" s="70" t="s">
        <v>106</v>
      </c>
      <c r="K7" s="71" t="s">
        <v>107</v>
      </c>
      <c r="L7" s="70"/>
      <c r="M7" s="70"/>
      <c r="N7" s="70"/>
      <c r="O7" s="70"/>
      <c r="P7" s="3"/>
      <c r="Q7" s="3"/>
      <c r="R7" s="4"/>
      <c r="S7" s="3"/>
      <c r="T7" s="3" t="s">
        <v>186</v>
      </c>
      <c r="U7" s="4"/>
    </row>
    <row r="8" spans="2:21" x14ac:dyDescent="0.3">
      <c r="B8" s="74" t="s">
        <v>6</v>
      </c>
      <c r="C8" s="80" t="s">
        <v>7</v>
      </c>
      <c r="D8" s="80" t="s">
        <v>34</v>
      </c>
      <c r="E8" s="80" t="s">
        <v>16</v>
      </c>
      <c r="F8" s="82" t="s">
        <v>96</v>
      </c>
      <c r="G8" s="80"/>
      <c r="H8" s="74" t="s">
        <v>102</v>
      </c>
      <c r="I8" s="80" t="s">
        <v>103</v>
      </c>
      <c r="J8" s="80" t="s">
        <v>0</v>
      </c>
      <c r="K8" s="73" t="s">
        <v>1</v>
      </c>
      <c r="L8" s="80" t="s">
        <v>108</v>
      </c>
      <c r="M8" s="87" t="s">
        <v>114</v>
      </c>
      <c r="N8" s="87" t="s">
        <v>115</v>
      </c>
      <c r="O8" s="80" t="s">
        <v>142</v>
      </c>
      <c r="P8" s="6"/>
      <c r="Q8" s="6" t="s">
        <v>174</v>
      </c>
      <c r="R8" s="73" t="s">
        <v>180</v>
      </c>
      <c r="S8" s="150" t="s">
        <v>191</v>
      </c>
      <c r="T8" s="158"/>
      <c r="U8" s="7"/>
    </row>
    <row r="9" spans="2:21" x14ac:dyDescent="0.3">
      <c r="B9" s="11">
        <f>8*$F$9</f>
        <v>7.76</v>
      </c>
      <c r="C9" s="12">
        <f>18*$F$9</f>
        <v>17.46</v>
      </c>
      <c r="D9" s="12">
        <v>25</v>
      </c>
      <c r="E9" s="12">
        <f>12.5</f>
        <v>12.5</v>
      </c>
      <c r="F9" s="84">
        <v>0.97</v>
      </c>
      <c r="G9" s="76"/>
      <c r="H9" s="156">
        <f>B9*$D$2</f>
        <v>8.1479999999999997</v>
      </c>
      <c r="I9" s="101">
        <f>(C9/2)*$D$2</f>
        <v>9.166500000000001</v>
      </c>
      <c r="J9" s="101">
        <f>($E$9*(1-$F$9)*$D$2)</f>
        <v>0.39375000000000038</v>
      </c>
      <c r="K9" s="157">
        <f>$E$9*3.76*$D$2</f>
        <v>49.35</v>
      </c>
      <c r="L9" s="102">
        <f>'Task2A)values_PHI_dependent'!$S$11</f>
        <v>1.0861814299021231E-7</v>
      </c>
      <c r="M9" s="88">
        <f>(K9*L9)/('Task2A)values_PHI_dependent'!$D$5*10^-6)</f>
        <v>0.13400763391417447</v>
      </c>
      <c r="N9" s="88">
        <f>(J9*L9)/('Task2A)values_PHI_dependent'!$D$5*10^-6)</f>
        <v>1.0692098450599036E-3</v>
      </c>
      <c r="O9" s="85">
        <f>'Task2A)values_PHI_dependent'!$W$11</f>
        <v>4913.05</v>
      </c>
      <c r="P9" s="12"/>
      <c r="Q9" s="12">
        <f>$L$9*($H$9+$I$9+$J$9+$K$9)</f>
        <v>7.2837425871734053E-6</v>
      </c>
      <c r="R9" s="31">
        <v>2258.0507382385413</v>
      </c>
      <c r="S9" s="151">
        <f>(H9*$R$17)+(I9*$R$18)+(J9*$R$19)+(K9*$R$20)</f>
        <v>4913.0499934566542</v>
      </c>
      <c r="T9" s="92" t="s">
        <v>177</v>
      </c>
      <c r="U9" s="7">
        <v>5</v>
      </c>
    </row>
    <row r="10" spans="2:21" x14ac:dyDescent="0.3">
      <c r="B10" s="152" t="s">
        <v>176</v>
      </c>
      <c r="C10" s="6"/>
      <c r="D10" s="6"/>
      <c r="E10" s="6"/>
      <c r="F10" s="6"/>
      <c r="G10" s="83"/>
      <c r="H10" s="156"/>
      <c r="I10" s="101"/>
      <c r="J10" s="101"/>
      <c r="K10" s="157"/>
      <c r="L10" s="101"/>
      <c r="M10" s="88"/>
      <c r="N10" s="88"/>
      <c r="O10" s="85"/>
      <c r="P10" s="6"/>
      <c r="Q10" s="12"/>
      <c r="R10" s="6"/>
      <c r="S10" s="151">
        <f>(H10*$R$17)+(I10*$R$18)+(J10*$R$19)+(K10*$R$20)</f>
        <v>0</v>
      </c>
      <c r="T10" s="151"/>
      <c r="U10" s="7"/>
    </row>
    <row r="11" spans="2:21" x14ac:dyDescent="0.3">
      <c r="B11" s="5">
        <f>$B$9</f>
        <v>7.76</v>
      </c>
      <c r="C11" s="6">
        <f>$C$9</f>
        <v>17.46</v>
      </c>
      <c r="D11" s="6">
        <f>$D$9</f>
        <v>25</v>
      </c>
      <c r="E11" s="6">
        <f>$E$9</f>
        <v>12.5</v>
      </c>
      <c r="F11" s="84">
        <v>0.97</v>
      </c>
      <c r="G11" s="83"/>
      <c r="H11" s="156">
        <f>B11*$D$3</f>
        <v>8.5359999999999996</v>
      </c>
      <c r="I11" s="101">
        <f>(C11/2)*$D$3</f>
        <v>9.6030000000000015</v>
      </c>
      <c r="J11" s="101">
        <f>($E$9*(1-$F$9)*$D$3)</f>
        <v>0.41250000000000042</v>
      </c>
      <c r="K11" s="157">
        <f>$E$9*3.76*$D$3</f>
        <v>51.7</v>
      </c>
      <c r="L11" s="102">
        <f>'Task2A)values_PHI_dependent'!$S$11</f>
        <v>1.0861814299021231E-7</v>
      </c>
      <c r="M11" s="88">
        <f>(K11*L11)/('Task2A)values_PHI_dependent'!$D$5*10^-6)</f>
        <v>0.14038894981484942</v>
      </c>
      <c r="N11" s="88">
        <f>(J11*L11)/('Task2A)values_PHI_dependent'!$D$5*10^-6)</f>
        <v>1.1201245995865658E-3</v>
      </c>
      <c r="O11" s="85">
        <f>'Task2A)values_PHI_dependent'!$W$11</f>
        <v>4913.05</v>
      </c>
      <c r="P11" s="6"/>
      <c r="Q11" s="12">
        <f>L11*($H$11+$I$11+$J$11+$K$11)</f>
        <v>7.6305874722769016E-6</v>
      </c>
      <c r="R11" s="31">
        <v>2179.0169979337697</v>
      </c>
      <c r="S11" s="151">
        <f>(H11*$R$21)+(I11*$R$22)+(J11*$R$23)+(K11*$R$24)</f>
        <v>4913.0499996802191</v>
      </c>
      <c r="T11" s="152" t="s">
        <v>176</v>
      </c>
      <c r="U11" s="7">
        <v>10</v>
      </c>
    </row>
    <row r="12" spans="2:21" x14ac:dyDescent="0.3">
      <c r="B12" s="153" t="s">
        <v>178</v>
      </c>
      <c r="C12" s="6"/>
      <c r="D12" s="6"/>
      <c r="E12" s="6"/>
      <c r="F12" s="6"/>
      <c r="G12" s="83"/>
      <c r="H12" s="156"/>
      <c r="I12" s="101"/>
      <c r="J12" s="101"/>
      <c r="K12" s="157"/>
      <c r="L12" s="101"/>
      <c r="M12" s="88"/>
      <c r="N12" s="88"/>
      <c r="O12" s="85"/>
      <c r="P12" s="6"/>
      <c r="Q12" s="12"/>
      <c r="R12" s="6"/>
      <c r="S12" s="151">
        <f>(H12*$R$17)+(I12*$R$18)+(J12*$R$19)+(K12*$R$20)</f>
        <v>0</v>
      </c>
      <c r="T12" s="6"/>
      <c r="U12" s="7"/>
    </row>
    <row r="13" spans="2:21" x14ac:dyDescent="0.3">
      <c r="B13" s="5">
        <f>$B$9</f>
        <v>7.76</v>
      </c>
      <c r="C13" s="6">
        <f>$C$9</f>
        <v>17.46</v>
      </c>
      <c r="D13" s="6">
        <f>$D$9</f>
        <v>25</v>
      </c>
      <c r="E13" s="6">
        <f>$E$9</f>
        <v>12.5</v>
      </c>
      <c r="F13" s="84">
        <v>0.97</v>
      </c>
      <c r="G13" s="83"/>
      <c r="H13" s="156">
        <f>B13*$D$4</f>
        <v>8.9239999999999995</v>
      </c>
      <c r="I13" s="101">
        <f>(C13/2)*$D$4</f>
        <v>10.0395</v>
      </c>
      <c r="J13" s="101">
        <f>($E$9*(1-$F$9)*$D$4)</f>
        <v>0.43125000000000036</v>
      </c>
      <c r="K13" s="157">
        <f>$E$9*3.76*$D$4</f>
        <v>54.05</v>
      </c>
      <c r="L13" s="102">
        <f>'Task2A)values_PHI_dependent'!$S$11</f>
        <v>1.0861814299021231E-7</v>
      </c>
      <c r="M13" s="88">
        <f>(K13*L13)/('Task2A)values_PHI_dependent'!$D$5*10^-6)</f>
        <v>0.14677026571552437</v>
      </c>
      <c r="N13" s="88">
        <f>(J13*L13)/('Task2A)values_PHI_dependent'!$D$5*10^-6)</f>
        <v>1.1710393541132275E-3</v>
      </c>
      <c r="O13" s="85">
        <f>'Task2A)values_PHI_dependent'!$W$11</f>
        <v>4913.05</v>
      </c>
      <c r="P13" s="6"/>
      <c r="Q13" s="12">
        <f>L13*($H$13+$I$13+$J$13+$K$13)</f>
        <v>7.9774323573803953E-6</v>
      </c>
      <c r="R13" s="31">
        <v>2106.2129091782363</v>
      </c>
      <c r="S13" s="151">
        <f>(H13*$R$25)+(I13*$R$26)+(J13*$R$27)+(K13*$R$28)</f>
        <v>4913.0499863752757</v>
      </c>
      <c r="T13" s="153" t="s">
        <v>178</v>
      </c>
      <c r="U13" s="7">
        <v>15</v>
      </c>
    </row>
    <row r="14" spans="2:21" x14ac:dyDescent="0.3">
      <c r="B14" s="154" t="s">
        <v>179</v>
      </c>
      <c r="C14" s="6"/>
      <c r="D14" s="6"/>
      <c r="E14" s="6"/>
      <c r="F14" s="6"/>
      <c r="G14" s="83"/>
      <c r="H14" s="156"/>
      <c r="I14" s="101"/>
      <c r="J14" s="101"/>
      <c r="K14" s="157"/>
      <c r="L14" s="101"/>
      <c r="M14" s="88"/>
      <c r="N14" s="88"/>
      <c r="O14" s="85"/>
      <c r="P14" s="6"/>
      <c r="Q14" s="12"/>
      <c r="R14" s="6"/>
      <c r="S14" s="151">
        <f>(H14*$R$17)+(I14*$R$18)+(J14*$R$19)+(K14*$R$20)</f>
        <v>0</v>
      </c>
      <c r="T14" s="6"/>
      <c r="U14" s="7"/>
    </row>
    <row r="15" spans="2:21" x14ac:dyDescent="0.3">
      <c r="B15" s="11">
        <f>$B$9</f>
        <v>7.76</v>
      </c>
      <c r="C15" s="12">
        <f>$C$9</f>
        <v>17.46</v>
      </c>
      <c r="D15" s="12">
        <f>$D$9</f>
        <v>25</v>
      </c>
      <c r="E15" s="12">
        <f>$E$9</f>
        <v>12.5</v>
      </c>
      <c r="F15" s="84">
        <v>0.97</v>
      </c>
      <c r="G15" s="98"/>
      <c r="H15" s="156">
        <f>B15*$D$5</f>
        <v>9.3119999999999994</v>
      </c>
      <c r="I15" s="101">
        <f>(C15/2)*$D$5</f>
        <v>10.476000000000001</v>
      </c>
      <c r="J15" s="101">
        <f>($E$9*(1-$F$9)*$D$5)</f>
        <v>0.4500000000000004</v>
      </c>
      <c r="K15" s="157">
        <f>$E$9*3.76*$D$5</f>
        <v>56.4</v>
      </c>
      <c r="L15" s="102">
        <f>'Task2A)values_PHI_dependent'!$S$11</f>
        <v>1.0861814299021231E-7</v>
      </c>
      <c r="M15" s="88">
        <f>(K15*L15)/('Task2A)values_PHI_dependent'!$D$5*10^-6)</f>
        <v>0.15315158161619938</v>
      </c>
      <c r="N15" s="88">
        <f>(J15*L15)/('Task2A)values_PHI_dependent'!$D$5*10^-6)</f>
        <v>1.2219541086398898E-3</v>
      </c>
      <c r="O15" s="85">
        <f>'Task2A)values_PHI_dependent'!$W$11</f>
        <v>4913.05</v>
      </c>
      <c r="P15" s="12"/>
      <c r="Q15" s="12">
        <f>L15*($H$15+$I$15+$J$15+$K$15)</f>
        <v>8.3242772424838925E-6</v>
      </c>
      <c r="R15" s="163">
        <v>2038.8455277181558</v>
      </c>
      <c r="S15" s="155">
        <f>(H15*$R$29)+(I15*$R$30)+(J15*$R$31)+(K15*$R$32)</f>
        <v>4913.0499986065706</v>
      </c>
      <c r="T15" s="154" t="s">
        <v>179</v>
      </c>
      <c r="U15" s="13">
        <v>20</v>
      </c>
    </row>
    <row r="16" spans="2:21" x14ac:dyDescent="0.3">
      <c r="E16" s="83"/>
      <c r="F16" s="83"/>
      <c r="G16" s="83"/>
      <c r="H16" s="83"/>
      <c r="I16" s="83"/>
      <c r="J16" s="83"/>
      <c r="K16" s="83"/>
      <c r="L16" s="83"/>
      <c r="M16" s="83"/>
      <c r="O16" s="86" t="s">
        <v>185</v>
      </c>
    </row>
    <row r="17" spans="2:19" x14ac:dyDescent="0.3">
      <c r="E17" s="83"/>
      <c r="F17" s="83"/>
      <c r="G17" s="83"/>
      <c r="H17" s="83"/>
      <c r="I17" s="83"/>
      <c r="J17" s="83"/>
      <c r="K17" s="83"/>
      <c r="L17" s="83"/>
      <c r="M17" s="83"/>
      <c r="N17" s="86"/>
      <c r="Q17" s="22" t="s">
        <v>187</v>
      </c>
      <c r="R17" s="4">
        <f>((8.5770134353*10^-19)*(R9^6))-((1.0374875556*10^-14)*(R9^5))+((4.9689475953*10^-11)*(R9^4))-((1.2019118054*10^-7)*(R9^3))+((1.5650954893*10^-4)*(R9^2))-((4.8239362033*10^-2)*(R9))+(5.2084519626)</f>
        <v>106.94823556838136</v>
      </c>
      <c r="S17" t="s">
        <v>177</v>
      </c>
    </row>
    <row r="18" spans="2:19" x14ac:dyDescent="0.3">
      <c r="E18" s="83"/>
      <c r="F18" s="83"/>
      <c r="G18" s="83"/>
      <c r="H18" s="83"/>
      <c r="I18" s="83"/>
      <c r="J18" s="83"/>
      <c r="K18" s="83"/>
      <c r="L18" s="83"/>
      <c r="M18" s="83"/>
      <c r="N18" s="86"/>
      <c r="Q18" s="5" t="s">
        <v>188</v>
      </c>
      <c r="R18" s="7">
        <f>((6.6506859177*10^-19)*($R$9^6))-((7.8984343104*10^-15)*($R$9^5))+((3.6879849877*10^-11)*($R$9^4))-((8.6386228559*10^-8)*($R$9^3))+((1.1074017861*10^-4)*($R$9^2))-((3.1241611608*10^-2)*($R$9))+(3.3006694533)</f>
        <v>86.083147478326822</v>
      </c>
    </row>
    <row r="19" spans="2:19" x14ac:dyDescent="0.3">
      <c r="B19" s="104" t="s">
        <v>152</v>
      </c>
      <c r="C19" s="105">
        <f>1.17</f>
        <v>1.17</v>
      </c>
      <c r="D19" s="67"/>
      <c r="E19" s="67"/>
      <c r="F19" s="83"/>
      <c r="G19" s="104" t="s">
        <v>152</v>
      </c>
      <c r="H19" s="105">
        <f>1.17</f>
        <v>1.17</v>
      </c>
      <c r="I19" s="67"/>
      <c r="J19" s="67"/>
      <c r="K19" s="83"/>
      <c r="Q19" s="5" t="s">
        <v>189</v>
      </c>
      <c r="R19" s="7">
        <f>((6.4958291549*10^-19)*($R$9^6)) -((7.8224528491*10^-15)*($R$9^5)) + ((3.7120417697*10^-11)*($R$9^4)) -((8.798317617*10^-8)*($R$9^3)) + ((1.0982327235*10^-4)*($R$9^2)) -((3.2606444641*10^-2)*($R$9))+(3.5786489003)</f>
        <v>68.879858009657141</v>
      </c>
    </row>
    <row r="20" spans="2:19" x14ac:dyDescent="0.3">
      <c r="B20" s="69" t="s">
        <v>153</v>
      </c>
      <c r="C20" s="70">
        <f>($C$19-1)/$C$19</f>
        <v>0.14529914529914525</v>
      </c>
      <c r="D20" s="210" t="s">
        <v>181</v>
      </c>
      <c r="E20" s="211"/>
      <c r="F20" s="83"/>
      <c r="G20" s="69" t="s">
        <v>153</v>
      </c>
      <c r="H20" s="70">
        <f>($C$19-1)/$C$19</f>
        <v>0.14529914529914525</v>
      </c>
      <c r="I20" s="212" t="s">
        <v>192</v>
      </c>
      <c r="J20" s="213"/>
      <c r="K20" s="83"/>
      <c r="P20" s="6"/>
      <c r="Q20" s="11" t="s">
        <v>190</v>
      </c>
      <c r="R20" s="13">
        <f>(((5.9376621671*(10^-19)*($R$9^6))-((7.1020711589*10^-15)*($R$9^5))+((3.3460896805*10^-11)*($R$9^4))-((7.8909601634*10^-8)*($R$9^3))+((9.8599769212*10^-5)*($R$9^2))-((2.8172899156*10^-2)*($R$9))+((3.05378908))))</f>
        <v>65.358321268370759</v>
      </c>
    </row>
    <row r="21" spans="2:19" x14ac:dyDescent="0.3">
      <c r="B21" s="74" t="s">
        <v>147</v>
      </c>
      <c r="C21" s="80" t="s">
        <v>158</v>
      </c>
      <c r="D21" s="74" t="s">
        <v>150</v>
      </c>
      <c r="E21" s="89" t="s">
        <v>154</v>
      </c>
      <c r="F21" s="83"/>
      <c r="G21" s="74" t="s">
        <v>147</v>
      </c>
      <c r="H21" s="80" t="s">
        <v>158</v>
      </c>
      <c r="I21" s="74" t="s">
        <v>150</v>
      </c>
      <c r="J21" s="89" t="s">
        <v>154</v>
      </c>
      <c r="K21" s="83"/>
      <c r="P21" s="6"/>
      <c r="Q21" s="22" t="s">
        <v>187</v>
      </c>
      <c r="R21" s="4">
        <f>((8.5770134353*10^-19)*($R$11^6))-((1.0374875556*10^-14)*($R$11^5))+((4.9689475953*10^-11)*($R$11^4))-((1.2019118054*10^-7)*($R$11^3))+((1.5650954893*10^-4)*($R$11^2))-((4.8239362033*10^-2)*($R$11))+(5.2084519626)</f>
        <v>102.0694931080844</v>
      </c>
      <c r="S21" t="s">
        <v>176</v>
      </c>
    </row>
    <row r="22" spans="2:19" x14ac:dyDescent="0.3">
      <c r="B22" s="74">
        <v>0</v>
      </c>
      <c r="C22" s="80">
        <v>10</v>
      </c>
      <c r="D22" s="74">
        <f>$R$9</f>
        <v>2258.0507382385413</v>
      </c>
      <c r="E22" s="73">
        <f>(4.17*10^13*$M$9*$N$9^0.5*EXP(-67837/D22))/'Task2A)values_PHI_dependent'!$D$14*'Task2A)values_PHI_dependent'!$D$5*10^-6</f>
        <v>6.0706534369268372E-11</v>
      </c>
      <c r="F22" s="83"/>
      <c r="G22" s="74">
        <v>0</v>
      </c>
      <c r="H22" s="80">
        <v>10</v>
      </c>
      <c r="I22" s="74">
        <f>R11</f>
        <v>2179.0169979337697</v>
      </c>
      <c r="J22" s="73">
        <f>(4.17*10^13*$M$9*$N$9^0.5*EXP(-67837/I22))/'Task2A)values_PHI_dependent'!$D$14*'Task2A)values_PHI_dependent'!$D$5*10^-6</f>
        <v>2.0417794150190233E-11</v>
      </c>
      <c r="K22" s="83"/>
      <c r="P22" s="6"/>
      <c r="Q22" s="5" t="s">
        <v>188</v>
      </c>
      <c r="R22" s="7">
        <f>((6.6506859177*10^-19)*(R11^6))-((7.8984343104*10^-15)*(R11^5))+((3.6879849877*10^-11)*(R11^4))-((8.6386228559*10^-8)*(R11^3))+((1.1074017861*10^-4)*(R11^2))-((3.1241611608*10^-2)*(R11))+(3.3006694533)</f>
        <v>81.882670886400916</v>
      </c>
    </row>
    <row r="23" spans="2:19" x14ac:dyDescent="0.3">
      <c r="B23" s="74">
        <v>1</v>
      </c>
      <c r="C23" s="80">
        <v>12</v>
      </c>
      <c r="D23" s="74">
        <f>D22*(C23/C22)^$C$20</f>
        <v>2318.6685087465644</v>
      </c>
      <c r="E23" s="73">
        <f>(4.17*10^13*$M$9*$N$9^0.5*EXP(-67837/D23))/'Task2A)values_PHI_dependent'!$D$14*'Task2A)values_PHI_dependent'!$D$5*10^-6</f>
        <v>1.3314747858087265E-10</v>
      </c>
      <c r="F23" s="6"/>
      <c r="G23" s="74">
        <v>1</v>
      </c>
      <c r="H23" s="80">
        <v>12</v>
      </c>
      <c r="I23" s="74">
        <f>I22*(H23/H22)^$C$20</f>
        <v>2237.5130937375643</v>
      </c>
      <c r="J23" s="73">
        <f>(4.17*10^13*$M$9*$N$9^0.5*EXP(-67837/I23))/'Task2A)values_PHI_dependent'!$D$14*'Task2A)values_PHI_dependent'!$D$5*10^-6</f>
        <v>4.6076348873591341E-11</v>
      </c>
      <c r="K23" s="6"/>
      <c r="P23" s="6"/>
      <c r="Q23" s="5" t="s">
        <v>189</v>
      </c>
      <c r="R23" s="7">
        <f>((6.4958291549*10^-19)*($R$11^6)) -((7.8224528491*10^-15)*($R$11^5)) + ((3.7120417697*10^-11)*($R$11^4)) -((8.798317617*10^-8)*($R$11^3)) + ((1.0982327235*10^-4)*($R$11^2)) -((3.2606444641*10^-2)*($R$11))+(3.5786489003)</f>
        <v>65.809146999781618</v>
      </c>
    </row>
    <row r="24" spans="2:19" x14ac:dyDescent="0.3">
      <c r="B24" s="74">
        <v>2</v>
      </c>
      <c r="C24" s="80">
        <v>14</v>
      </c>
      <c r="D24" s="74">
        <f t="shared" ref="D24:D37" si="0">D23*(C24/C23)^$C$20</f>
        <v>2371.1879263230499</v>
      </c>
      <c r="E24" s="73">
        <f>(4.17*10^13*$M$9*$N$9^0.5*EXP(-67837/D24))/'Task2A)values_PHI_dependent'!$D$14*'Task2A)values_PHI_dependent'!$D$5*10^-6</f>
        <v>2.5454245934708802E-10</v>
      </c>
      <c r="F24" s="6"/>
      <c r="G24" s="74">
        <v>2</v>
      </c>
      <c r="H24" s="80">
        <v>14</v>
      </c>
      <c r="I24" s="74">
        <f t="shared" ref="I24:I37" si="1">I23*(H24/H23)^$C$20</f>
        <v>2288.194286007857</v>
      </c>
      <c r="J24" s="73">
        <f>(4.17*10^13*$M$9*$N$9^0.5*EXP(-67837/I24))/'Task2A)values_PHI_dependent'!$D$14*'Task2A)values_PHI_dependent'!$D$5*10^-6</f>
        <v>9.0180537090504389E-11</v>
      </c>
      <c r="K24" s="6"/>
      <c r="P24" s="6"/>
      <c r="Q24" s="11" t="s">
        <v>190</v>
      </c>
      <c r="R24" s="13">
        <f>(((5.9376621671*(10^-19)*($R$11^6))-((7.1020711589*10^-15)*($R$11^5))+((3.3460896805*10^-11)*($R$11^4))-((7.8909601634*10^-8)*($R$11^3))+((9.8599769212*10^-5)*($R$11^2))-((2.8172899156*10^-2)*($R$11))+((3.05378908))))</f>
        <v>62.443312279498898</v>
      </c>
    </row>
    <row r="25" spans="2:19" x14ac:dyDescent="0.3">
      <c r="B25" s="74">
        <v>3</v>
      </c>
      <c r="C25" s="80">
        <v>16</v>
      </c>
      <c r="D25" s="74">
        <f t="shared" si="0"/>
        <v>2417.6429103364771</v>
      </c>
      <c r="E25" s="73">
        <f>(4.17*10^13*$M$9*$N$9^0.5*EXP(-67837/D25))/'Task2A)values_PHI_dependent'!$D$14*'Task2A)values_PHI_dependent'!$D$5*10^-6</f>
        <v>4.4106256921919604E-10</v>
      </c>
      <c r="F25" s="6"/>
      <c r="G25" s="74">
        <v>3</v>
      </c>
      <c r="H25" s="80">
        <v>16</v>
      </c>
      <c r="I25" s="74">
        <f t="shared" si="1"/>
        <v>2333.0233051657542</v>
      </c>
      <c r="J25" s="73">
        <f>(4.17*10^13*$M$9*$N$9^0.5*EXP(-67837/I25))/'Task2A)values_PHI_dependent'!$D$14*'Task2A)values_PHI_dependent'!$D$5*10^-6</f>
        <v>1.5940868167951223E-10</v>
      </c>
      <c r="K25" s="6"/>
      <c r="P25" s="6"/>
      <c r="Q25" s="22" t="s">
        <v>187</v>
      </c>
      <c r="R25" s="4">
        <f>((8.5770134353*10^-19)*($R$13^6))-((1.0374875556*10^-14)*($R$13^5))+((4.9689475953*10^-11)*($R$13^4))-((1.2019118054*10^-7)*($R$13^3))+((1.5650954893*10^-4)*(R13^2))-((4.8239362033*10^-2)*($R$13))+(5.2084519626)</f>
        <v>97.60863601409531</v>
      </c>
      <c r="S25" t="s">
        <v>178</v>
      </c>
    </row>
    <row r="26" spans="2:19" x14ac:dyDescent="0.3">
      <c r="B26" s="74">
        <v>4</v>
      </c>
      <c r="C26" s="80">
        <v>18</v>
      </c>
      <c r="D26" s="74">
        <f t="shared" si="0"/>
        <v>2459.3739752112679</v>
      </c>
      <c r="E26" s="73">
        <f>(4.17*10^13*$M$9*$N$9^0.5*EXP(-67837/D26))/'Task2A)values_PHI_dependent'!$D$14*'Task2A)values_PHI_dependent'!$D$5*10^-6</f>
        <v>7.1002417150226056E-10</v>
      </c>
      <c r="F26" s="6"/>
      <c r="G26" s="74">
        <v>4</v>
      </c>
      <c r="H26" s="80">
        <v>18</v>
      </c>
      <c r="I26" s="74">
        <f t="shared" si="1"/>
        <v>2373.2937464645979</v>
      </c>
      <c r="J26" s="73">
        <f>(4.17*10^13*$M$9*$N$9^0.5*EXP(-67837/I26))/'Task2A)values_PHI_dependent'!$D$14*'Task2A)values_PHI_dependent'!$D$5*10^-6</f>
        <v>2.6108662874333238E-10</v>
      </c>
      <c r="K26" s="6"/>
      <c r="P26" s="6"/>
      <c r="Q26" s="5" t="s">
        <v>188</v>
      </c>
      <c r="R26" s="7">
        <f>((6.6506859177*10^-19)*($R$13^6))-((7.8984343104*10^-15)*($R$13^5))+((3.6879849877*10^-11)*($R$13^4))-((8.6386228559*10^-8)*($R$13^3))+((1.1074017861*10^-4)*($R$13^2))-((3.1241611608*10^-2)*($R$13))+(3.3006694533)</f>
        <v>78.061688922102903</v>
      </c>
    </row>
    <row r="27" spans="2:19" x14ac:dyDescent="0.3">
      <c r="B27" s="74">
        <v>5</v>
      </c>
      <c r="C27" s="80">
        <v>20</v>
      </c>
      <c r="D27" s="74">
        <f t="shared" si="0"/>
        <v>2497.3136866308578</v>
      </c>
      <c r="E27" s="73">
        <f>(4.17*10^13*$M$9*$N$9^0.5*EXP(-67837/D27))/'Task2A)values_PHI_dependent'!$D$14*'Task2A)values_PHI_dependent'!$D$5*10^-6</f>
        <v>1.0796004042064516E-9</v>
      </c>
      <c r="F27" s="6"/>
      <c r="G27" s="74">
        <v>5</v>
      </c>
      <c r="H27" s="80">
        <v>20</v>
      </c>
      <c r="I27" s="74">
        <f t="shared" si="1"/>
        <v>2409.9055349775872</v>
      </c>
      <c r="J27" s="73">
        <f>(4.17*10^13*$M$9*$N$9^0.5*EXP(-67837/I27))/'Task2A)values_PHI_dependent'!$D$14*'Task2A)values_PHI_dependent'!$D$5*10^-6</f>
        <v>4.0306526671491285E-10</v>
      </c>
      <c r="K27" s="6"/>
      <c r="P27" s="6"/>
      <c r="Q27" s="5" t="s">
        <v>189</v>
      </c>
      <c r="R27" s="7">
        <f>((6.4958291549*10^-19)*(R13^6)) -((7.8224528491*10^-15)*(R13^5)) + ((3.7120417697*10^-11)*(R13^4)) -((8.798317617*10^-8)*(R13^3)) + ((1.0982327235*10^-4)*(R13^2)) -((3.2606444641*10^-2)*(R13))+(3.5786489003)</f>
        <v>63.008175445863337</v>
      </c>
    </row>
    <row r="28" spans="2:19" x14ac:dyDescent="0.3">
      <c r="B28" s="74">
        <v>6</v>
      </c>
      <c r="C28" s="80">
        <v>22</v>
      </c>
      <c r="D28" s="74">
        <f t="shared" si="0"/>
        <v>2532.1382818465513</v>
      </c>
      <c r="E28" s="73">
        <f>(4.17*10^13*$M$9*$N$9^0.5*EXP(-67837/D28))/'Task2A)values_PHI_dependent'!$D$14*'Task2A)values_PHI_dependent'!$D$5*10^-6</f>
        <v>1.5685919253427535E-9</v>
      </c>
      <c r="F28" s="6"/>
      <c r="G28" s="74">
        <v>6</v>
      </c>
      <c r="H28" s="80">
        <v>22</v>
      </c>
      <c r="I28" s="74">
        <f t="shared" si="1"/>
        <v>2443.5112390639151</v>
      </c>
      <c r="J28" s="73">
        <f>(4.17*10^13*$M$9*$N$9^0.5*EXP(-67837/I28))/'Task2A)values_PHI_dependent'!$D$14*'Task2A)values_PHI_dependent'!$D$5*10^-6</f>
        <v>5.9361800827893523E-10</v>
      </c>
      <c r="K28" s="6"/>
      <c r="P28" s="6"/>
      <c r="Q28" s="11" t="s">
        <v>190</v>
      </c>
      <c r="R28" s="13">
        <f>(((5.9376621671*(10^-19)*($R$13^6))-((7.1020711589*10^-15)*($R$13^5))+((3.3460896805*10^-11)*($R$13^4))-((7.8909601634*10^-8)*($R$13^3))+((9.8599769212*10^-5)*($R$13^2))-((2.8172899156*10^-2)*($R$13))+((3.05378908))))</f>
        <v>59.780164976706907</v>
      </c>
    </row>
    <row r="29" spans="2:19" x14ac:dyDescent="0.3">
      <c r="B29" s="74">
        <v>7</v>
      </c>
      <c r="C29" s="80">
        <v>24</v>
      </c>
      <c r="D29" s="74">
        <f t="shared" si="0"/>
        <v>2564.3545132071572</v>
      </c>
      <c r="E29" s="73">
        <f>(4.17*10^13*$M$9*$N$9^0.5*EXP(-67837/D29))/'Task2A)values_PHI_dependent'!$D$14*'Task2A)values_PHI_dependent'!$D$5*10^-6</f>
        <v>2.1962442183953222E-9</v>
      </c>
      <c r="G29" s="74">
        <v>7</v>
      </c>
      <c r="H29" s="80">
        <v>24</v>
      </c>
      <c r="I29" s="74">
        <f t="shared" si="1"/>
        <v>2474.5998742993165</v>
      </c>
      <c r="J29" s="73">
        <f>(4.17*10^13*$M$9*$N$9^0.5*EXP(-67837/I29))/'Task2A)values_PHI_dependent'!$D$14*'Task2A)values_PHI_dependent'!$D$5*10^-6</f>
        <v>8.413552064294346E-10</v>
      </c>
      <c r="Q29" s="22" t="s">
        <v>187</v>
      </c>
      <c r="R29" s="4">
        <f>((8.5770134353*10^-19)*($R$15^6))-((1.0374875556*10^-14)*($R$15^5))+((4.9689475953*10^-11)*($R$15^4))-((1.2019118054*10^-7)*($R$15^3))+((1.5650954893*10^-4)*($R$15^2))-((4.8239362033*10^-2)*($R$15))+(5.2084519626)</f>
        <v>93.51331318000797</v>
      </c>
      <c r="S29" t="s">
        <v>179</v>
      </c>
    </row>
    <row r="30" spans="2:19" x14ac:dyDescent="0.3">
      <c r="B30" s="74">
        <v>8</v>
      </c>
      <c r="C30" s="80">
        <v>26</v>
      </c>
      <c r="D30" s="74">
        <f t="shared" si="0"/>
        <v>2594.3524092388338</v>
      </c>
      <c r="E30" s="73">
        <f>(4.17*10^13*$M$9*$N$9^0.5*EXP(-67837/D30))/'Task2A)values_PHI_dependent'!$D$14*'Task2A)values_PHI_dependent'!$D$5*10^-6</f>
        <v>2.982101474561581E-9</v>
      </c>
      <c r="G30" s="74">
        <v>8</v>
      </c>
      <c r="H30" s="80">
        <v>26</v>
      </c>
      <c r="I30" s="74">
        <f t="shared" si="1"/>
        <v>2503.547817872216</v>
      </c>
      <c r="J30" s="73">
        <f>(4.17*10^13*$M$9*$N$9^0.5*EXP(-67837/I30))/'Task2A)values_PHI_dependent'!$D$14*'Task2A)values_PHI_dependent'!$D$5*10^-6</f>
        <v>1.1551526873457599E-9</v>
      </c>
      <c r="Q30" s="5" t="s">
        <v>188</v>
      </c>
      <c r="R30" s="7">
        <f>((6.6506859177*10^-19)*($R$15^6))-((7.8984343104*10^-15)*($R$15^5))+((3.6879849877*10^-11)*($R$15^4))-((8.6386228559*10^-8)*($R$15^3))+((1.1074017861*10^-4)*($R$15^2))-((3.1241611608*10^-2)*($R$15))+(3.3006694533)</f>
        <v>74.571708949877689</v>
      </c>
    </row>
    <row r="31" spans="2:19" x14ac:dyDescent="0.3">
      <c r="B31" s="74">
        <v>9</v>
      </c>
      <c r="C31" s="80">
        <v>28</v>
      </c>
      <c r="D31" s="74">
        <f t="shared" si="0"/>
        <v>2622.4388857620238</v>
      </c>
      <c r="E31" s="73">
        <f>(4.17*10^13*$M$9*$N$9^0.5*EXP(-67837/D31))/'Task2A)values_PHI_dependent'!$D$14*'Task2A)values_PHI_dependent'!$D$5*10^-6</f>
        <v>3.9458893153333962E-9</v>
      </c>
      <c r="G31" s="74">
        <v>9</v>
      </c>
      <c r="H31" s="80">
        <v>28</v>
      </c>
      <c r="I31" s="74">
        <f t="shared" si="1"/>
        <v>2530.6512432823288</v>
      </c>
      <c r="J31" s="73">
        <f>(4.17*10^13*$M$9*$N$9^0.5*EXP(-67837/I31))/'Task2A)values_PHI_dependent'!$D$14*'Task2A)values_PHI_dependent'!$D$5*10^-6</f>
        <v>1.544091975062155E-9</v>
      </c>
      <c r="Q31" s="5" t="s">
        <v>189</v>
      </c>
      <c r="R31" s="7">
        <f>((6.4958291549*10^-19)*($R$15^6)) -((7.8224528491*10^-15)*($R$15^5)) + ((3.7120417697*10^-11)*($R$15^4)) -((8.798317617*10^-8)*($R$15^3)) + ((1.0982327235*10^-4)*($R$15^2)) -((3.2606444641*10^-2)*($R$15))+(3.5786489003)</f>
        <v>60.442477012632089</v>
      </c>
    </row>
    <row r="32" spans="2:19" x14ac:dyDescent="0.3">
      <c r="B32" s="74">
        <v>10</v>
      </c>
      <c r="C32" s="80">
        <v>30</v>
      </c>
      <c r="D32" s="74">
        <f t="shared" si="0"/>
        <v>2648.8600098161578</v>
      </c>
      <c r="E32" s="73">
        <f>(4.17*10^13*$M$9*$N$9^0.5*EXP(-67837/D32))/'Task2A)values_PHI_dependent'!$D$14*'Task2A)values_PHI_dependent'!$D$5*10^-6</f>
        <v>5.1074203782651501E-9</v>
      </c>
      <c r="G32" s="74">
        <v>10</v>
      </c>
      <c r="H32" s="80">
        <v>30</v>
      </c>
      <c r="I32" s="74">
        <f t="shared" si="1"/>
        <v>2556.1476050086317</v>
      </c>
      <c r="J32" s="73">
        <f>(4.17*10^13*$M$9*$N$9^0.5*EXP(-67837/I32))/'Task2A)values_PHI_dependent'!$D$14*'Task2A)values_PHI_dependent'!$D$5*10^-6</f>
        <v>2.0174101871491673E-9</v>
      </c>
      <c r="Q32" s="11" t="s">
        <v>190</v>
      </c>
      <c r="R32" s="13">
        <f>(((5.9376621671*(10^-19)*($R$15^6))-((7.1020711589*10^-15)*($R$15^5))+((3.3460896805*10^-11)*($R$15^4))-((7.8909601634*10^-8)*($R$15^3))+((9.8599769212*10^-5)*($R$15^2))-((2.8172899156*10^-2)*($R$15))+((3.05378908))))</f>
        <v>57.337618593257687</v>
      </c>
    </row>
    <row r="33" spans="2:21" x14ac:dyDescent="0.3">
      <c r="B33" s="74">
        <v>11</v>
      </c>
      <c r="C33" s="80">
        <v>32</v>
      </c>
      <c r="D33" s="74">
        <f t="shared" si="0"/>
        <v>2673.8162376630926</v>
      </c>
      <c r="E33" s="73">
        <f>(4.17*10^13*$M$9*$N$9^0.5*EXP(-67837/D33))/'Task2A)values_PHI_dependent'!$D$14*'Task2A)values_PHI_dependent'!$D$5*10^-6</f>
        <v>6.486518135854505E-9</v>
      </c>
      <c r="G33" s="74">
        <v>11</v>
      </c>
      <c r="H33" s="80">
        <v>32</v>
      </c>
      <c r="I33" s="74">
        <f t="shared" si="1"/>
        <v>2580.2303431694222</v>
      </c>
      <c r="J33" s="73">
        <f>(4.17*10^13*$M$9*$N$9^0.5*EXP(-67837/I33))/'Task2A)values_PHI_dependent'!$D$14*'Task2A)values_PHI_dependent'!$D$5*10^-6</f>
        <v>2.5844579408825818E-9</v>
      </c>
    </row>
    <row r="34" spans="2:21" x14ac:dyDescent="0.3">
      <c r="B34" s="74">
        <v>12</v>
      </c>
      <c r="C34" s="80">
        <v>34</v>
      </c>
      <c r="D34" s="74">
        <f t="shared" si="0"/>
        <v>2697.4731384584534</v>
      </c>
      <c r="E34" s="73">
        <f>(4.17*10^13*$M$9*$N$9^0.5*EXP(-67837/D34))/'Task2A)values_PHI_dependent'!$D$14*'Task2A)values_PHI_dependent'!$D$5*10^-6</f>
        <v>8.1029553423089256E-9</v>
      </c>
      <c r="G34" s="74">
        <v>12</v>
      </c>
      <c r="H34" s="80">
        <v>34</v>
      </c>
      <c r="I34" s="74">
        <f t="shared" si="1"/>
        <v>2603.059231855837</v>
      </c>
      <c r="J34" s="73">
        <f>(4.17*10^13*$M$9*$N$9^0.5*EXP(-67837/I34))/'Task2A)values_PHI_dependent'!$D$14*'Task2A)values_PHI_dependent'!$D$5*10^-6</f>
        <v>3.2546639125735287E-9</v>
      </c>
    </row>
    <row r="35" spans="2:21" x14ac:dyDescent="0.3">
      <c r="B35" s="74">
        <v>13</v>
      </c>
      <c r="C35" s="80">
        <v>36</v>
      </c>
      <c r="D35" s="74">
        <f t="shared" si="0"/>
        <v>2719.969124179182</v>
      </c>
      <c r="E35" s="73">
        <f>(4.17*10^13*$M$9*$N$9^0.5*EXP(-67837/D35))/'Task2A)values_PHI_dependent'!$D$14*'Task2A)values_PHI_dependent'!$D$5*10^-6</f>
        <v>9.9764042832679156E-9</v>
      </c>
      <c r="G35" s="74">
        <v>13</v>
      </c>
      <c r="H35" s="80">
        <v>36</v>
      </c>
      <c r="I35" s="74">
        <f t="shared" si="1"/>
        <v>2624.7678385052081</v>
      </c>
      <c r="J35" s="73">
        <f>(4.17*10^13*$M$9*$N$9^0.5*EXP(-67837/I35))/'Task2A)values_PHI_dependent'!$D$14*'Task2A)values_PHI_dependent'!$D$5*10^-6</f>
        <v>4.0375049414259492E-9</v>
      </c>
    </row>
    <row r="36" spans="2:21" x14ac:dyDescent="0.3">
      <c r="B36" s="74">
        <v>14</v>
      </c>
      <c r="C36" s="80">
        <v>38</v>
      </c>
      <c r="D36" s="74">
        <f t="shared" si="0"/>
        <v>2741.4211391893173</v>
      </c>
      <c r="E36" s="73">
        <f>(4.17*10^13*$M$9*$N$9^0.5*EXP(-67837/D36))/'Task2A)values_PHI_dependent'!$D$14*'Task2A)values_PHI_dependent'!$D$5*10^-6</f>
        <v>1.2126396600175904E-8</v>
      </c>
      <c r="G36" s="74">
        <v>14</v>
      </c>
      <c r="H36" s="80">
        <v>38</v>
      </c>
      <c r="I36" s="74">
        <f t="shared" si="1"/>
        <v>2645.4690143270941</v>
      </c>
      <c r="J36" s="73">
        <f>(4.17*10^13*$M$9*$N$9^0.5*EXP(-67837/I36))/'Task2A)values_PHI_dependent'!$D$14*'Task2A)values_PHI_dependent'!$D$5*10^-6</f>
        <v>4.9424807709273427E-9</v>
      </c>
    </row>
    <row r="37" spans="2:21" x14ac:dyDescent="0.3">
      <c r="B37" s="75">
        <v>16</v>
      </c>
      <c r="C37" s="76">
        <v>40</v>
      </c>
      <c r="D37" s="74">
        <f t="shared" si="0"/>
        <v>2761.928925609011</v>
      </c>
      <c r="E37" s="73">
        <f>(4.17*10^13*$M$9*$N$9^0.5*EXP(-67837/D37))/'Task2A)values_PHI_dependent'!$D$14*'Task2A)values_PHI_dependent'!$D$5*10^-6</f>
        <v>1.4572290919882381E-8</v>
      </c>
      <c r="G37" s="75">
        <v>16</v>
      </c>
      <c r="H37" s="76">
        <v>40</v>
      </c>
      <c r="I37" s="75">
        <f t="shared" si="1"/>
        <v>2665.259010380667</v>
      </c>
      <c r="J37" s="77">
        <f>(4.17*10^13*$M$9*$N$9^0.5*EXP(-67837/I37))/'Task2A)values_PHI_dependent'!$D$14*'Task2A)values_PHI_dependent'!$D$5*10^-6</f>
        <v>5.9790926835482452E-9</v>
      </c>
    </row>
    <row r="38" spans="2:21" x14ac:dyDescent="0.3">
      <c r="B38" s="67"/>
      <c r="C38" s="67"/>
      <c r="D38" s="67"/>
      <c r="E38" s="67"/>
    </row>
    <row r="39" spans="2:21" x14ac:dyDescent="0.3">
      <c r="O39" s="214" t="s">
        <v>193</v>
      </c>
      <c r="P39" s="215"/>
      <c r="Q39" s="70"/>
      <c r="R39" s="71"/>
      <c r="S39" s="164"/>
      <c r="T39" s="3"/>
      <c r="U39" s="4"/>
    </row>
    <row r="40" spans="2:21" x14ac:dyDescent="0.3">
      <c r="O40" s="69" t="s">
        <v>183</v>
      </c>
      <c r="P40" s="70" t="s">
        <v>172</v>
      </c>
      <c r="Q40" s="70" t="s">
        <v>195</v>
      </c>
      <c r="R40" s="71" t="s">
        <v>173</v>
      </c>
      <c r="S40" s="167" t="s">
        <v>220</v>
      </c>
      <c r="T40" s="222" t="s">
        <v>221</v>
      </c>
      <c r="U40" s="223"/>
    </row>
    <row r="41" spans="2:21" x14ac:dyDescent="0.3">
      <c r="B41" s="104" t="s">
        <v>152</v>
      </c>
      <c r="C41" s="105">
        <f>1.17</f>
        <v>1.17</v>
      </c>
      <c r="D41" s="67"/>
      <c r="E41" s="67"/>
      <c r="G41" s="104" t="s">
        <v>152</v>
      </c>
      <c r="H41" s="105">
        <f>1.17</f>
        <v>1.17</v>
      </c>
      <c r="I41" s="67"/>
      <c r="J41" s="67"/>
      <c r="O41" s="74" t="s">
        <v>182</v>
      </c>
      <c r="P41" s="80">
        <f>'Task2A)values_PHI_dependent'!$P$93</f>
        <v>1.6417553255020253E-7</v>
      </c>
      <c r="Q41" s="80">
        <f>'Task2A)values_PHI_dependent'!$Q$93</f>
        <v>6.9368977020699098E-6</v>
      </c>
      <c r="R41" s="73">
        <f>'Task2A)values_PHI_dependent'!$R$93</f>
        <v>23666.996343511593</v>
      </c>
      <c r="S41" s="165">
        <f>(($R$41-R41)/$R$41)*100</f>
        <v>0</v>
      </c>
      <c r="T41" s="172">
        <v>0</v>
      </c>
      <c r="U41" s="176"/>
    </row>
    <row r="42" spans="2:21" x14ac:dyDescent="0.3">
      <c r="B42" s="69" t="s">
        <v>153</v>
      </c>
      <c r="C42" s="70">
        <f>($C$19-1)/$C$19</f>
        <v>0.14529914529914525</v>
      </c>
      <c r="D42" s="216" t="s">
        <v>219</v>
      </c>
      <c r="E42" s="217"/>
      <c r="G42" s="69" t="s">
        <v>153</v>
      </c>
      <c r="H42" s="70">
        <f>($C$19-1)/$C$19</f>
        <v>0.14529914529914525</v>
      </c>
      <c r="I42" s="218" t="s">
        <v>194</v>
      </c>
      <c r="J42" s="219"/>
      <c r="O42" s="90" t="s">
        <v>177</v>
      </c>
      <c r="P42" s="80">
        <f>SUM(E22:E37)</f>
        <v>6.9743896210612981E-8</v>
      </c>
      <c r="Q42" s="80">
        <f>$Q$9</f>
        <v>7.2837425871734053E-6</v>
      </c>
      <c r="R42" s="73">
        <f>(P42/Q42)*10^6</f>
        <v>9575.2829504753845</v>
      </c>
      <c r="S42" s="165">
        <f t="shared" ref="S42:S45" si="2">(($R$41-R42)/$R$41)*100</f>
        <v>59.541621541254472</v>
      </c>
      <c r="T42" s="172">
        <f>S42-S41</f>
        <v>59.541621541254472</v>
      </c>
      <c r="U42" s="176"/>
    </row>
    <row r="43" spans="2:21" x14ac:dyDescent="0.3">
      <c r="B43" s="74" t="s">
        <v>147</v>
      </c>
      <c r="C43" s="80" t="s">
        <v>158</v>
      </c>
      <c r="D43" s="74" t="s">
        <v>150</v>
      </c>
      <c r="E43" s="89" t="s">
        <v>154</v>
      </c>
      <c r="G43" s="74" t="s">
        <v>147</v>
      </c>
      <c r="H43" s="80" t="s">
        <v>158</v>
      </c>
      <c r="I43" s="74" t="s">
        <v>150</v>
      </c>
      <c r="J43" s="89" t="s">
        <v>154</v>
      </c>
      <c r="O43" s="90" t="s">
        <v>176</v>
      </c>
      <c r="P43" s="80">
        <f>SUM(J22:J37)</f>
        <v>2.7930063570875146E-8</v>
      </c>
      <c r="Q43" s="80">
        <f>$Q$11</f>
        <v>7.6305874722769016E-6</v>
      </c>
      <c r="R43" s="73">
        <f t="shared" ref="R43:R45" si="3">(P43/Q43)*10^6</f>
        <v>3660.2769671862575</v>
      </c>
      <c r="S43" s="165">
        <f t="shared" si="2"/>
        <v>84.534256421644571</v>
      </c>
      <c r="T43" s="172">
        <f>S43-S42</f>
        <v>24.992634880390099</v>
      </c>
      <c r="U43" s="176"/>
    </row>
    <row r="44" spans="2:21" x14ac:dyDescent="0.3">
      <c r="B44" s="74">
        <v>0</v>
      </c>
      <c r="C44" s="80">
        <v>10</v>
      </c>
      <c r="D44" s="74">
        <f>$R$13</f>
        <v>2106.2129091782363</v>
      </c>
      <c r="E44" s="73">
        <f>(4.17*10^13*$M$9*$N$9^0.5*EXP(-67837/D44))/'Task2A)values_PHI_dependent'!$D$14*'Task2A)values_PHI_dependent'!$D$5*10^-6</f>
        <v>6.9607673856231734E-12</v>
      </c>
      <c r="G44" s="74">
        <v>0</v>
      </c>
      <c r="H44" s="80">
        <v>10</v>
      </c>
      <c r="I44" s="74">
        <f>$R$15</f>
        <v>2038.8455277181558</v>
      </c>
      <c r="J44" s="73">
        <f>(4.17*10^13*$M$9*$N$9^0.5*EXP(-67837/I44))/'Task2A)values_PHI_dependent'!$D$14*'Task2A)values_PHI_dependent'!$D$5*10^-6</f>
        <v>2.4014528610433891E-12</v>
      </c>
      <c r="O44" s="90" t="s">
        <v>178</v>
      </c>
      <c r="P44" s="80">
        <f>SUM(E44:E59)</f>
        <v>1.1320858554718077E-8</v>
      </c>
      <c r="Q44" s="80">
        <f>$Q$13</f>
        <v>7.9774323573803953E-6</v>
      </c>
      <c r="R44" s="73">
        <f t="shared" si="3"/>
        <v>1419.1105668535665</v>
      </c>
      <c r="S44" s="165">
        <f t="shared" si="2"/>
        <v>94.003841694754726</v>
      </c>
      <c r="T44" s="172">
        <f>S44-S43</f>
        <v>9.4695852731101553</v>
      </c>
      <c r="U44" s="176"/>
    </row>
    <row r="45" spans="2:21" x14ac:dyDescent="0.3">
      <c r="B45" s="74">
        <v>1</v>
      </c>
      <c r="C45" s="80">
        <v>12</v>
      </c>
      <c r="D45" s="74">
        <f>D44*(C45/C44)^$C$20</f>
        <v>2162.7545663728829</v>
      </c>
      <c r="E45" s="73">
        <f>(4.17*10^13*$M$9*$N$9^0.5*EXP(-67837/D45))/'Task2A)values_PHI_dependent'!$D$14*'Task2A)values_PHI_dependent'!$D$5*10^-6</f>
        <v>1.6156396337634931E-11</v>
      </c>
      <c r="G45" s="74">
        <v>1</v>
      </c>
      <c r="H45" s="80">
        <v>12</v>
      </c>
      <c r="I45" s="74">
        <f>I44*(H45/H44)^$C$20</f>
        <v>2093.5786956703246</v>
      </c>
      <c r="J45" s="73">
        <f>(4.17*10^13*$M$9*$N$9^0.5*EXP(-67837/I45))/'Task2A)values_PHI_dependent'!$D$14*'Task2A)values_PHI_dependent'!$D$5*10^-6</f>
        <v>5.7311854127404427E-12</v>
      </c>
      <c r="O45" s="103" t="s">
        <v>179</v>
      </c>
      <c r="P45" s="12">
        <f>SUM(J44:J59)</f>
        <v>4.6377796188659573E-9</v>
      </c>
      <c r="Q45" s="12">
        <f>$Q$15</f>
        <v>8.3242772424838925E-6</v>
      </c>
      <c r="R45" s="77">
        <f t="shared" si="3"/>
        <v>557.13901444758756</v>
      </c>
      <c r="S45" s="166">
        <f t="shared" si="2"/>
        <v>97.645924280542133</v>
      </c>
      <c r="T45" s="220">
        <f>S45-S44</f>
        <v>3.6420825857874064</v>
      </c>
      <c r="U45" s="221"/>
    </row>
    <row r="46" spans="2:21" x14ac:dyDescent="0.3">
      <c r="B46" s="74">
        <v>2</v>
      </c>
      <c r="C46" s="80">
        <v>14</v>
      </c>
      <c r="D46" s="74">
        <f t="shared" ref="D46:D59" si="4">D45*(C46/C45)^$C$20</f>
        <v>2211.7424271896894</v>
      </c>
      <c r="E46" s="73">
        <f>(4.17*10^13*$M$9*$N$9^0.5*EXP(-67837/D46))/'Task2A)values_PHI_dependent'!$D$14*'Task2A)values_PHI_dependent'!$D$5*10^-6</f>
        <v>3.2363837109736058E-11</v>
      </c>
      <c r="G46" s="74">
        <v>2</v>
      </c>
      <c r="H46" s="80">
        <v>14</v>
      </c>
      <c r="I46" s="74">
        <f t="shared" ref="I46:I59" si="5">I45*(H46/H45)^$C$20</f>
        <v>2140.9996760012227</v>
      </c>
      <c r="J46" s="73">
        <f>(4.17*10^13*$M$9*$N$9^0.5*EXP(-67837/I46))/'Task2A)values_PHI_dependent'!$D$14*'Task2A)values_PHI_dependent'!$D$5*10^-6</f>
        <v>1.1747061116454044E-11</v>
      </c>
    </row>
    <row r="47" spans="2:21" x14ac:dyDescent="0.3">
      <c r="B47" s="74">
        <v>3</v>
      </c>
      <c r="C47" s="80">
        <v>16</v>
      </c>
      <c r="D47" s="74">
        <f t="shared" si="4"/>
        <v>2255.0736444063027</v>
      </c>
      <c r="E47" s="73">
        <f>(4.17*10^13*$M$9*$N$9^0.5*EXP(-67837/D47))/'Task2A)values_PHI_dependent'!$D$14*'Task2A)values_PHI_dependent'!$D$5*10^-6</f>
        <v>5.8345967336386531E-11</v>
      </c>
      <c r="G47" s="74">
        <v>3</v>
      </c>
      <c r="H47" s="80">
        <v>16</v>
      </c>
      <c r="I47" s="74">
        <f t="shared" si="5"/>
        <v>2182.9449409113813</v>
      </c>
      <c r="J47" s="73">
        <f>(4.17*10^13*$M$9*$N$9^0.5*EXP(-67837/I47))/'Task2A)values_PHI_dependent'!$D$14*'Task2A)values_PHI_dependent'!$D$5*10^-6</f>
        <v>2.159420274525528E-11</v>
      </c>
    </row>
    <row r="48" spans="2:21" x14ac:dyDescent="0.3">
      <c r="B48" s="74">
        <v>4</v>
      </c>
      <c r="C48" s="80">
        <v>18</v>
      </c>
      <c r="D48" s="74">
        <f t="shared" si="4"/>
        <v>2293.9985923999884</v>
      </c>
      <c r="E48" s="73">
        <f>(4.17*10^13*$M$9*$N$9^0.5*EXP(-67837/D48))/'Task2A)values_PHI_dependent'!$D$14*'Task2A)values_PHI_dependent'!$D$5*10^-6</f>
        <v>9.7205341031206227E-11</v>
      </c>
      <c r="G48" s="74">
        <v>4</v>
      </c>
      <c r="H48" s="80">
        <v>18</v>
      </c>
      <c r="I48" s="74">
        <f t="shared" si="5"/>
        <v>2220.6248714576964</v>
      </c>
      <c r="J48" s="73">
        <f>(4.17*10^13*$M$9*$N$9^0.5*EXP(-67837/I48))/'Task2A)values_PHI_dependent'!$D$14*'Task2A)values_PHI_dependent'!$D$5*10^-6</f>
        <v>3.6588210467774579E-11</v>
      </c>
    </row>
    <row r="49" spans="2:10" x14ac:dyDescent="0.3">
      <c r="B49" s="74">
        <v>5</v>
      </c>
      <c r="C49" s="80">
        <v>20</v>
      </c>
      <c r="D49" s="74">
        <f t="shared" si="4"/>
        <v>2329.3871284542192</v>
      </c>
      <c r="E49" s="73">
        <f>(4.17*10^13*$M$9*$N$9^0.5*EXP(-67837/D49))/'Task2A)values_PHI_dependent'!$D$14*'Task2A)values_PHI_dependent'!$D$5*10^-6</f>
        <v>1.5233502440981214E-10</v>
      </c>
      <c r="G49" s="74">
        <v>5</v>
      </c>
      <c r="H49" s="80">
        <v>20</v>
      </c>
      <c r="I49" s="74">
        <f t="shared" si="5"/>
        <v>2254.8815024717055</v>
      </c>
      <c r="J49" s="73">
        <f>(4.17*10^13*$M$9*$N$9^0.5*EXP(-67837/I49))/'Task2A)values_PHI_dependent'!$D$14*'Task2A)values_PHI_dependent'!$D$5*10^-6</f>
        <v>5.8196598952162482E-11</v>
      </c>
    </row>
    <row r="50" spans="2:10" x14ac:dyDescent="0.3">
      <c r="B50" s="74">
        <v>6</v>
      </c>
      <c r="C50" s="80">
        <v>22</v>
      </c>
      <c r="D50" s="74">
        <f t="shared" si="4"/>
        <v>2361.8700176816851</v>
      </c>
      <c r="E50" s="73">
        <f>(4.17*10^13*$M$9*$N$9^0.5*EXP(-67837/D50))/'Task2A)values_PHI_dependent'!$D$14*'Task2A)values_PHI_dependent'!$D$5*10^-6</f>
        <v>2.2737523303080387E-10</v>
      </c>
      <c r="G50" s="74">
        <v>6</v>
      </c>
      <c r="H50" s="80">
        <v>22</v>
      </c>
      <c r="I50" s="74">
        <f t="shared" si="5"/>
        <v>2286.3254239955854</v>
      </c>
      <c r="J50" s="73">
        <f>(4.17*10^13*$M$9*$N$9^0.5*EXP(-67837/I50))/'Task2A)values_PHI_dependent'!$D$14*'Task2A)values_PHI_dependent'!$D$5*10^-6</f>
        <v>8.802143005326779E-11</v>
      </c>
    </row>
    <row r="51" spans="2:10" x14ac:dyDescent="0.3">
      <c r="B51" s="74">
        <v>7</v>
      </c>
      <c r="C51" s="80">
        <v>24</v>
      </c>
      <c r="D51" s="74">
        <f t="shared" si="4"/>
        <v>2391.919936945108</v>
      </c>
      <c r="E51" s="73">
        <f>(4.17*10^13*$M$9*$N$9^0.5*EXP(-67837/D51))/'Task2A)values_PHI_dependent'!$D$14*'Task2A)values_PHI_dependent'!$D$5*10^-6</f>
        <v>3.2617548829244044E-10</v>
      </c>
      <c r="G51" s="74">
        <v>7</v>
      </c>
      <c r="H51" s="80">
        <v>24</v>
      </c>
      <c r="I51" s="74">
        <f t="shared" si="5"/>
        <v>2315.4141942863466</v>
      </c>
      <c r="J51" s="73">
        <f>(4.17*10^13*$M$9*$N$9^0.5*EXP(-67837/I51))/'Task2A)values_PHI_dependent'!$D$14*'Task2A)values_PHI_dependent'!$D$5*10^-6</f>
        <v>1.2778342475626431E-10</v>
      </c>
    </row>
    <row r="52" spans="2:10" x14ac:dyDescent="0.3">
      <c r="B52" s="74">
        <v>8</v>
      </c>
      <c r="C52" s="80">
        <v>26</v>
      </c>
      <c r="D52" s="74">
        <f t="shared" si="4"/>
        <v>2419.9006881302612</v>
      </c>
      <c r="E52" s="73">
        <f>(4.17*10^13*$M$9*$N$9^0.5*EXP(-67837/D52))/'Task2A)values_PHI_dependent'!$D$14*'Task2A)values_PHI_dependent'!$D$5*10^-6</f>
        <v>4.5276175133268561E-10</v>
      </c>
      <c r="G52" s="74">
        <v>8</v>
      </c>
      <c r="H52" s="80">
        <v>26</v>
      </c>
      <c r="I52" s="74">
        <f t="shared" si="5"/>
        <v>2342.4999789985395</v>
      </c>
      <c r="J52" s="73">
        <f>(4.17*10^13*$M$9*$N$9^0.5*EXP(-67837/I52))/'Task2A)values_PHI_dependent'!$D$14*'Task2A)values_PHI_dependent'!$D$5*10^-6</f>
        <v>1.7930760592330681E-10</v>
      </c>
    </row>
    <row r="53" spans="2:10" x14ac:dyDescent="0.3">
      <c r="B53" s="74">
        <v>9</v>
      </c>
      <c r="C53" s="80">
        <v>28</v>
      </c>
      <c r="D53" s="74">
        <f t="shared" si="4"/>
        <v>2446.0985491546862</v>
      </c>
      <c r="E53" s="73">
        <f>(4.17*10^13*$M$9*$N$9^0.5*EXP(-67837/D53))/'Task2A)values_PHI_dependent'!$D$14*'Task2A)values_PHI_dependent'!$D$5*10^-6</f>
        <v>6.1130793272156309E-10</v>
      </c>
      <c r="G53" s="74">
        <v>9</v>
      </c>
      <c r="H53" s="80">
        <v>28</v>
      </c>
      <c r="I53" s="74">
        <f t="shared" si="5"/>
        <v>2367.8598994285549</v>
      </c>
      <c r="J53" s="73">
        <f>(4.17*10^13*$M$9*$N$9^0.5*EXP(-67837/I53))/'Task2A)values_PHI_dependent'!$D$14*'Task2A)values_PHI_dependent'!$D$5*10^-6</f>
        <v>2.4451041282070867E-10</v>
      </c>
    </row>
    <row r="54" spans="2:10" x14ac:dyDescent="0.3">
      <c r="B54" s="74">
        <v>10</v>
      </c>
      <c r="C54" s="80">
        <v>30</v>
      </c>
      <c r="D54" s="74">
        <f t="shared" si="4"/>
        <v>2470.7430408020382</v>
      </c>
      <c r="E54" s="73">
        <f>(4.17*10^13*$M$9*$N$9^0.5*EXP(-67837/D54))/'Task2A)values_PHI_dependent'!$D$14*'Task2A)values_PHI_dependent'!$D$5*10^-6</f>
        <v>8.0611120067583933E-10</v>
      </c>
      <c r="G54" s="74">
        <v>10</v>
      </c>
      <c r="H54" s="80">
        <v>30</v>
      </c>
      <c r="I54" s="74">
        <f t="shared" si="5"/>
        <v>2391.7161351201762</v>
      </c>
      <c r="J54" s="73">
        <f>(4.17*10^13*$M$9*$N$9^0.5*EXP(-67837/I54))/'Task2A)values_PHI_dependent'!$D$14*'Task2A)values_PHI_dependent'!$D$5*10^-6</f>
        <v>3.2538817953475145E-10</v>
      </c>
    </row>
    <row r="55" spans="2:10" x14ac:dyDescent="0.3">
      <c r="B55" s="74">
        <v>11</v>
      </c>
      <c r="C55" s="80">
        <v>32</v>
      </c>
      <c r="D55" s="74">
        <f t="shared" si="4"/>
        <v>2494.0211400783242</v>
      </c>
      <c r="E55" s="73">
        <f>(4.17*10^13*$M$9*$N$9^0.5*EXP(-67837/D55))/'Task2A)values_PHI_dependent'!$D$14*'Task2A)values_PHI_dependent'!$D$5*10^-6</f>
        <v>1.0415705666952863E-9</v>
      </c>
      <c r="G55" s="74">
        <v>11</v>
      </c>
      <c r="H55" s="80">
        <v>32</v>
      </c>
      <c r="I55" s="74">
        <f t="shared" si="5"/>
        <v>2414.2496826055308</v>
      </c>
      <c r="J55" s="73">
        <f>(4.17*10^13*$M$9*$N$9^0.5*EXP(-67837/I55))/'Task2A)values_PHI_dependent'!$D$14*'Task2A)values_PHI_dependent'!$D$5*10^-6</f>
        <v>4.2400685205996391E-10</v>
      </c>
    </row>
    <row r="56" spans="2:10" x14ac:dyDescent="0.3">
      <c r="B56" s="74">
        <v>12</v>
      </c>
      <c r="C56" s="80">
        <v>34</v>
      </c>
      <c r="D56" s="74">
        <f t="shared" si="4"/>
        <v>2516.0872827927283</v>
      </c>
      <c r="E56" s="73">
        <f>(4.17*10^13*$M$9*$N$9^0.5*EXP(-67837/D56))/'Task2A)values_PHI_dependent'!$D$14*'Task2A)values_PHI_dependent'!$D$5*10^-6</f>
        <v>1.3221682920644964E-9</v>
      </c>
      <c r="G56" s="74">
        <v>12</v>
      </c>
      <c r="H56" s="80">
        <v>34</v>
      </c>
      <c r="I56" s="74">
        <f t="shared" si="5"/>
        <v>2435.6100380526004</v>
      </c>
      <c r="J56" s="73">
        <f>(4.17*10^13*$M$9*$N$9^0.5*EXP(-67837/I56))/'Task2A)values_PHI_dependent'!$D$14*'Task2A)values_PHI_dependent'!$D$5*10^-6</f>
        <v>5.4249281747432281E-10</v>
      </c>
    </row>
    <row r="57" spans="2:10" x14ac:dyDescent="0.3">
      <c r="B57" s="74">
        <v>13</v>
      </c>
      <c r="C57" s="80">
        <v>36</v>
      </c>
      <c r="D57" s="74">
        <f t="shared" si="4"/>
        <v>2537.0705737025901</v>
      </c>
      <c r="E57" s="73">
        <f>(4.17*10^13*$M$9*$N$9^0.5*EXP(-67837/D57))/'Task2A)values_PHI_dependent'!$D$14*'Task2A)values_PHI_dependent'!$D$5*10^-6</f>
        <v>1.6524537213512444E-9</v>
      </c>
      <c r="G57" s="74">
        <v>13</v>
      </c>
      <c r="H57" s="80">
        <v>36</v>
      </c>
      <c r="I57" s="74">
        <f t="shared" si="5"/>
        <v>2455.9221767931576</v>
      </c>
      <c r="J57" s="73">
        <f>(4.17*10^13*$M$9*$N$9^0.5*EXP(-67837/I57))/'Task2A)values_PHI_dependent'!$D$14*'Task2A)values_PHI_dependent'!$D$5*10^-6</f>
        <v>6.8302472499971611E-10</v>
      </c>
    </row>
    <row r="58" spans="2:10" x14ac:dyDescent="0.3">
      <c r="B58" s="74">
        <v>14</v>
      </c>
      <c r="C58" s="80">
        <v>38</v>
      </c>
      <c r="D58" s="74">
        <f t="shared" si="4"/>
        <v>2557.0800934964091</v>
      </c>
      <c r="E58" s="73">
        <f>(4.17*10^13*$M$9*$N$9^0.5*EXP(-67837/D58))/'Task2A)values_PHI_dependent'!$D$14*'Task2A)values_PHI_dependent'!$D$5*10^-6</f>
        <v>2.0370292057975498E-9</v>
      </c>
      <c r="G58" s="74">
        <v>14</v>
      </c>
      <c r="H58" s="80">
        <v>38</v>
      </c>
      <c r="I58" s="74">
        <f t="shared" si="5"/>
        <v>2475.2916905615134</v>
      </c>
      <c r="J58" s="73">
        <f>(4.17*10^13*$M$9*$N$9^0.5*EXP(-67837/I58))/'Task2A)values_PHI_dependent'!$D$14*'Task2A)values_PHI_dependent'!$D$5*10^-6</f>
        <v>8.4782618853549766E-10</v>
      </c>
    </row>
    <row r="59" spans="2:10" x14ac:dyDescent="0.3">
      <c r="B59" s="75">
        <v>16</v>
      </c>
      <c r="C59" s="76">
        <v>40</v>
      </c>
      <c r="D59" s="75">
        <f t="shared" si="4"/>
        <v>2576.2088773471755</v>
      </c>
      <c r="E59" s="77">
        <f>(4.17*10^13*$M$9*$N$9^0.5*EXP(-67837/D59))/'Task2A)values_PHI_dependent'!$D$14*'Task2A)values_PHI_dependent'!$D$5*10^-6</f>
        <v>2.4805378291457696E-9</v>
      </c>
      <c r="G59" s="75">
        <v>16</v>
      </c>
      <c r="H59" s="76">
        <v>40</v>
      </c>
      <c r="I59" s="75">
        <f t="shared" si="5"/>
        <v>2493.8086387935132</v>
      </c>
      <c r="J59" s="77">
        <f>(4.17*10^13*$M$9*$N$9^0.5*EXP(-67837/I59))/'Task2A)values_PHI_dependent'!$D$14*'Task2A)values_PHI_dependent'!$D$5*10^-6</f>
        <v>1.0391592711527279E-9</v>
      </c>
    </row>
  </sheetData>
  <mergeCells count="12">
    <mergeCell ref="T45:U45"/>
    <mergeCell ref="T40:U40"/>
    <mergeCell ref="T41:U41"/>
    <mergeCell ref="T42:U42"/>
    <mergeCell ref="T43:U43"/>
    <mergeCell ref="T44:U44"/>
    <mergeCell ref="E5:O5"/>
    <mergeCell ref="D20:E20"/>
    <mergeCell ref="I20:J20"/>
    <mergeCell ref="O39:P39"/>
    <mergeCell ref="D42:E42"/>
    <mergeCell ref="I42:J4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8D21C-907A-4395-A928-AA74EDE0C41E}">
  <dimension ref="A1:BH95"/>
  <sheetViews>
    <sheetView zoomScale="82" zoomScaleNormal="82" workbookViewId="0">
      <selection activeCell="D3" sqref="D3"/>
    </sheetView>
  </sheetViews>
  <sheetFormatPr defaultRowHeight="14.4" x14ac:dyDescent="0.3"/>
  <cols>
    <col min="2" max="2" width="15" customWidth="1"/>
    <col min="3" max="4" width="17" customWidth="1"/>
    <col min="5" max="5" width="14.5546875" customWidth="1"/>
    <col min="6" max="6" width="11.88671875" customWidth="1"/>
    <col min="11" max="11" width="15.109375" customWidth="1"/>
    <col min="17" max="18" width="18.109375" customWidth="1"/>
    <col min="19" max="19" width="14" customWidth="1"/>
    <col min="20" max="20" width="12.5546875" customWidth="1"/>
    <col min="24" max="24" width="15.88671875" customWidth="1"/>
    <col min="25" max="25" width="18.77734375" customWidth="1"/>
  </cols>
  <sheetData>
    <row r="1" spans="1:60" x14ac:dyDescent="0.3">
      <c r="A1" s="224" t="s">
        <v>103</v>
      </c>
      <c r="B1" s="225"/>
      <c r="C1" s="225"/>
      <c r="D1" s="225"/>
      <c r="E1" s="225"/>
      <c r="F1" s="225"/>
      <c r="H1" s="224" t="s">
        <v>1</v>
      </c>
      <c r="I1" s="225"/>
      <c r="J1" s="225"/>
      <c r="K1" s="225"/>
      <c r="L1" s="225"/>
      <c r="M1" s="225"/>
      <c r="O1" s="224" t="s">
        <v>0</v>
      </c>
      <c r="P1" s="225"/>
      <c r="Q1" s="225"/>
      <c r="R1" s="225"/>
      <c r="S1" s="225"/>
      <c r="T1" s="225"/>
      <c r="V1" s="224" t="s">
        <v>102</v>
      </c>
      <c r="W1" s="225"/>
      <c r="X1" s="225"/>
      <c r="Y1" s="225"/>
      <c r="Z1" s="225"/>
      <c r="AA1" s="225"/>
      <c r="AD1" t="s">
        <v>143</v>
      </c>
      <c r="AE1" s="22"/>
      <c r="AF1" s="174" t="s">
        <v>209</v>
      </c>
      <c r="AG1" s="174"/>
      <c r="AH1" s="174"/>
      <c r="AI1" s="174"/>
      <c r="AJ1" s="177"/>
      <c r="AL1" t="s">
        <v>144</v>
      </c>
      <c r="AM1" s="22"/>
      <c r="AN1" s="174" t="s">
        <v>210</v>
      </c>
      <c r="AO1" s="174"/>
      <c r="AP1" s="174"/>
      <c r="AQ1" s="174"/>
      <c r="AR1" s="177"/>
      <c r="AT1" t="s">
        <v>145</v>
      </c>
      <c r="AU1" s="22"/>
      <c r="AV1" s="174" t="s">
        <v>123</v>
      </c>
      <c r="AW1" s="174"/>
      <c r="AX1" s="174"/>
      <c r="AY1" s="174"/>
      <c r="AZ1" s="177"/>
      <c r="BB1" t="s">
        <v>146</v>
      </c>
      <c r="BC1" s="22"/>
      <c r="BD1" s="174" t="s">
        <v>123</v>
      </c>
      <c r="BE1" s="174"/>
      <c r="BF1" s="174"/>
      <c r="BG1" s="174"/>
      <c r="BH1" s="177"/>
    </row>
    <row r="2" spans="1:60" x14ac:dyDescent="0.3">
      <c r="A2" s="44" t="s">
        <v>113</v>
      </c>
      <c r="B2" s="44" t="s">
        <v>112</v>
      </c>
      <c r="C2" s="44" t="s">
        <v>111</v>
      </c>
      <c r="D2" s="50" t="s">
        <v>118</v>
      </c>
      <c r="E2" s="44" t="s">
        <v>110</v>
      </c>
      <c r="F2" s="44" t="s">
        <v>109</v>
      </c>
      <c r="H2" s="44" t="s">
        <v>113</v>
      </c>
      <c r="I2" s="44" t="s">
        <v>112</v>
      </c>
      <c r="J2" s="44" t="s">
        <v>111</v>
      </c>
      <c r="K2" s="50" t="s">
        <v>119</v>
      </c>
      <c r="L2" s="44" t="s">
        <v>110</v>
      </c>
      <c r="M2" s="44" t="s">
        <v>109</v>
      </c>
      <c r="O2" s="44" t="s">
        <v>113</v>
      </c>
      <c r="P2" s="44" t="s">
        <v>112</v>
      </c>
      <c r="Q2" s="44" t="s">
        <v>111</v>
      </c>
      <c r="R2" s="50" t="s">
        <v>119</v>
      </c>
      <c r="S2" s="44" t="s">
        <v>110</v>
      </c>
      <c r="T2" s="44" t="s">
        <v>109</v>
      </c>
      <c r="V2" s="44" t="s">
        <v>113</v>
      </c>
      <c r="W2" s="44" t="s">
        <v>112</v>
      </c>
      <c r="X2" s="44" t="s">
        <v>111</v>
      </c>
      <c r="Y2" s="50" t="s">
        <v>119</v>
      </c>
      <c r="Z2" s="44" t="s">
        <v>110</v>
      </c>
      <c r="AA2" s="44" t="s">
        <v>109</v>
      </c>
      <c r="AE2" s="23" t="s">
        <v>124</v>
      </c>
      <c r="AF2" s="5" t="s">
        <v>126</v>
      </c>
      <c r="AG2" s="6" t="s">
        <v>125</v>
      </c>
      <c r="AH2" s="6" t="s">
        <v>1</v>
      </c>
      <c r="AI2" s="6" t="s">
        <v>0</v>
      </c>
      <c r="AJ2" s="7" t="s">
        <v>102</v>
      </c>
      <c r="AM2" s="23" t="s">
        <v>124</v>
      </c>
      <c r="AN2" s="5" t="s">
        <v>126</v>
      </c>
      <c r="AO2" s="6" t="s">
        <v>125</v>
      </c>
      <c r="AP2" s="6" t="s">
        <v>1</v>
      </c>
      <c r="AQ2" s="6" t="s">
        <v>0</v>
      </c>
      <c r="AR2" s="7" t="s">
        <v>102</v>
      </c>
      <c r="AU2" s="23" t="s">
        <v>124</v>
      </c>
      <c r="AV2" s="5" t="s">
        <v>126</v>
      </c>
      <c r="AW2" s="6" t="s">
        <v>125</v>
      </c>
      <c r="AX2" s="6" t="s">
        <v>1</v>
      </c>
      <c r="AY2" s="6" t="s">
        <v>0</v>
      </c>
      <c r="AZ2" s="7" t="s">
        <v>102</v>
      </c>
      <c r="BC2" s="23" t="s">
        <v>124</v>
      </c>
      <c r="BD2" s="5" t="s">
        <v>126</v>
      </c>
      <c r="BE2" s="6" t="s">
        <v>125</v>
      </c>
      <c r="BF2" s="6" t="s">
        <v>1</v>
      </c>
      <c r="BG2" s="6" t="s">
        <v>0</v>
      </c>
      <c r="BH2" s="7" t="s">
        <v>102</v>
      </c>
    </row>
    <row r="3" spans="1:60" x14ac:dyDescent="0.3">
      <c r="A3">
        <v>200</v>
      </c>
      <c r="B3">
        <v>32.25</v>
      </c>
      <c r="C3">
        <v>3.23</v>
      </c>
      <c r="D3" s="52">
        <f>((6.6506859177*10^-19)*(A3^6))-((7.8984343104*10^-15)*(A3^5))+((3.6879849877*10^-11)*(A3^4))-((8.6386228559*10^-8)*(A3^3))+((1.1074017861*10^-4)*(A3^2))-((3.1241611608*10^-2)*(A3))+(3.3006694533)</f>
        <v>0.84738727284174553</v>
      </c>
      <c r="E3">
        <v>175.59</v>
      </c>
      <c r="F3">
        <v>168.5</v>
      </c>
      <c r="H3">
        <v>200</v>
      </c>
      <c r="I3">
        <v>28.79</v>
      </c>
      <c r="J3">
        <v>2.84</v>
      </c>
      <c r="K3" s="51">
        <f>(((5.9376621671*(10^-19)*(H3^6))-((7.1020711589*10^-15)*(H3^5))+((3.3460896805*10^-11)*(H3^4))-((7.8909601634*10^-8)*(H3^3))+((9.8599769212*10^-5)*(H3^2))-((2.8172899156*10^-2)*(H3))+((3.05378908))))</f>
        <v>0.78322597736302146</v>
      </c>
      <c r="L3">
        <v>179.95</v>
      </c>
      <c r="M3">
        <v>23.35</v>
      </c>
      <c r="O3">
        <v>200</v>
      </c>
      <c r="P3">
        <v>28.47</v>
      </c>
      <c r="Q3">
        <v>2.84</v>
      </c>
      <c r="R3" s="53">
        <f xml:space="preserve"> ((6.4958291549*10^-19)*(O3^6)) -((7.8224528491*10^-15)*(O3^5)) + ((3.7120417697*10^-11)*(O3^4)) -((8.798317617*10^-8)*(O3^3)) + ((1.0982327235*10^-4)*(O3^2)) -((3.2606444641*10^-2)*(O3))+(3.5786489003)</f>
        <v>0.80335651345007886</v>
      </c>
      <c r="S3">
        <v>193.51</v>
      </c>
      <c r="T3">
        <v>24.98</v>
      </c>
      <c r="V3">
        <v>200</v>
      </c>
      <c r="W3">
        <v>32.39</v>
      </c>
      <c r="X3">
        <v>3.42</v>
      </c>
      <c r="Y3" s="54">
        <f>((8.5770134353*10^-19)*(V3^6))-((1.0374875556*10^-14)*(V3^5))+((4.9689475953*10^-11)*(V3^4))-((1.2019118054*10^-7)*(V3^3))+((1.5650954893*10^-4)*(V3^2))-((4.8239362033*10^-2)*(V3))+(5.2084519626)</f>
        <v>0.93567016311286633</v>
      </c>
      <c r="Z3">
        <v>199.87</v>
      </c>
      <c r="AA3">
        <v>262.76</v>
      </c>
      <c r="AE3" s="62">
        <f t="shared" ref="AE3:AE34" si="0">AG3+AH3+AI3+AJ3</f>
        <v>51.923467696540648</v>
      </c>
      <c r="AF3" s="64">
        <v>200</v>
      </c>
      <c r="AG3" s="60">
        <f>($D3)*'Task2A)values_PHI_dependent'!$T$2</f>
        <v>7.6264854555757093</v>
      </c>
      <c r="AH3" s="6">
        <f>$K3*'Task2A)values_PHI_dependent'!$V$2</f>
        <v>36.811620936062006</v>
      </c>
      <c r="AI3" s="6">
        <f>$R3*'Task2A)values_PHI_dependent'!$U$2</f>
        <v>0</v>
      </c>
      <c r="AJ3" s="61">
        <f>($Y3)*'Task2A)values_PHI_dependent'!$S$2</f>
        <v>7.4853613049029306</v>
      </c>
      <c r="AM3" s="62">
        <f t="shared" ref="AM3:AM66" si="1">AO3+AP3+AQ3+AR3</f>
        <v>51.872768793117118</v>
      </c>
      <c r="AN3" s="64">
        <v>200</v>
      </c>
      <c r="AO3" s="60">
        <f>($D3)*'Task2A)values_PHI_dependent'!$P$9</f>
        <v>7.5502206010199524</v>
      </c>
      <c r="AP3" s="6">
        <f>$K3*'Task2A)values_PHI_dependent'!$R$9</f>
        <v>36.811620936062006</v>
      </c>
      <c r="AQ3" s="6">
        <f>$R3*'Task2A)values_PHI_dependent'!$Q$9</f>
        <v>0.10041956418125986</v>
      </c>
      <c r="AR3" s="61">
        <f>($Y3)*'Task2A)values_PHI_dependent'!$O$9</f>
        <v>7.4105076918539012</v>
      </c>
      <c r="AU3" s="62">
        <f t="shared" ref="AU3:AU66" si="2">AW3+AX3+AY3+AZ3</f>
        <v>51.822069889693587</v>
      </c>
      <c r="AV3" s="64">
        <v>200</v>
      </c>
      <c r="AW3" s="60">
        <f>($D3)*'Task2A)values_PHI_dependent'!$P$10</f>
        <v>7.4739557464641955</v>
      </c>
      <c r="AX3" s="6">
        <f>$K3*'Task2A)values_PHI_dependent'!$R$10</f>
        <v>36.811620936062006</v>
      </c>
      <c r="AY3" s="6">
        <f>$R3*'Task2A)values_PHI_dependent'!$Q$10</f>
        <v>0.20083912836251971</v>
      </c>
      <c r="AZ3" s="61">
        <f>($Y3)*'Task2A)values_PHI_dependent'!$O$10</f>
        <v>7.3356540788048719</v>
      </c>
      <c r="BC3" s="62">
        <f t="shared" ref="BC3:BC66" si="3">BE3+BF3+BG3+BH3</f>
        <v>51.771370986270071</v>
      </c>
      <c r="BD3" s="64">
        <v>200</v>
      </c>
      <c r="BE3" s="60">
        <f>($D3)*'Task2A)values_PHI_dependent'!$P$11</f>
        <v>7.3976908919084385</v>
      </c>
      <c r="BF3" s="6">
        <f>$K3*'Task2A)values_PHI_dependent'!$R$10</f>
        <v>36.811620936062006</v>
      </c>
      <c r="BG3" s="6">
        <f>$R3*'Task2A)values_PHI_dependent'!$Q$11</f>
        <v>0.30125869254377957</v>
      </c>
      <c r="BH3" s="61">
        <f>($Y3)*'Task2A)values_PHI_dependent'!$O$11</f>
        <v>7.2608004657558425</v>
      </c>
    </row>
    <row r="4" spans="1:60" x14ac:dyDescent="0.3">
      <c r="A4">
        <v>250</v>
      </c>
      <c r="B4">
        <v>32.9</v>
      </c>
      <c r="C4">
        <v>1.6</v>
      </c>
      <c r="D4" s="52">
        <f t="shared" ref="D4:D67" si="4">((6.6506859177*10^-19)*(A4^6))-((7.8984343104*10^-15)*(A4^5))+((3.6879849877*10^-11)*(A4^4))-((8.6386228559*10^-8)*(A4^3))+((1.1074017861*10^-4)*(A4^2))-((3.1241611608*10^-2)*(A4))+(3.3006694533)</f>
        <v>1.1982538622780692</v>
      </c>
      <c r="E4">
        <v>182.86</v>
      </c>
      <c r="F4">
        <v>139.11000000000001</v>
      </c>
      <c r="H4">
        <v>250</v>
      </c>
      <c r="I4">
        <v>28.95</v>
      </c>
      <c r="J4">
        <v>1.4</v>
      </c>
      <c r="K4" s="51">
        <f t="shared" ref="K4:K67" si="5">(((5.9376621671*(10^-19)*(H4^6))-((7.1020711589*10^-15)*(H4^5))+((3.3460896805*10^-11)*(H4^4))-((7.8909601634*10^-8)*(H4^3))+((9.8599769212*10^-5)*(H4^2))-((2.8172899156*10^-2)*(H4))+((3.05378908))))</f>
        <v>1.0640033154524198</v>
      </c>
      <c r="L4">
        <v>186.39</v>
      </c>
      <c r="M4">
        <v>23.09</v>
      </c>
      <c r="O4">
        <v>250</v>
      </c>
      <c r="P4">
        <v>28.9</v>
      </c>
      <c r="Q4">
        <v>1.4</v>
      </c>
      <c r="R4" s="53">
        <f t="shared" ref="R4:R67" si="6" xml:space="preserve"> ((6.4958291549*10^-19)*(O4^6)) -((7.8224528491*10^-15)*(O4^5)) + ((3.7120417697*10^-11)*(O4^4)) -((8.798317617*10^-8)*(O4^3)) + ((1.0982327235*10^-4)*(O4^2)) -((3.2606444641*10^-2)*(O4))+(3.5786489003)</f>
        <v>1.053776241366184</v>
      </c>
      <c r="S4">
        <v>199.91</v>
      </c>
      <c r="T4">
        <v>24.72</v>
      </c>
      <c r="V4">
        <v>250</v>
      </c>
      <c r="W4">
        <v>34.96</v>
      </c>
      <c r="X4">
        <v>1.74</v>
      </c>
      <c r="Y4" s="54">
        <f t="shared" ref="Y4:Y67" si="7">((8.5770134353*10^-19)*(V4^6))-((1.0374875556*10^-14)*(V4^5))+((4.9689475953*10^-11)*(V4^4))-((1.2019118054*10^-7)*(V4^3))+((1.5650954893*10^-4)*(V4^2))-((4.8239362033*10^-2)*(V4))+(5.2084519626)</f>
        <v>1.236648267310823</v>
      </c>
      <c r="Z4">
        <v>207.37</v>
      </c>
      <c r="AA4">
        <v>215.11</v>
      </c>
      <c r="AE4" s="62">
        <f t="shared" si="0"/>
        <v>70.685626725252945</v>
      </c>
      <c r="AF4" s="64">
        <v>250</v>
      </c>
      <c r="AG4" s="60">
        <f>($D4)*'Task2A)values_PHI_dependent'!$T$2</f>
        <v>10.784284760502622</v>
      </c>
      <c r="AH4" s="6">
        <f>$K4*'Task2A)values_PHI_dependent'!$V$2</f>
        <v>50.008155826263732</v>
      </c>
      <c r="AI4" s="6">
        <f>$R4*'Task2A)values_PHI_dependent'!$U$2</f>
        <v>0</v>
      </c>
      <c r="AJ4" s="61">
        <f>($Y4)*'Task2A)values_PHI_dependent'!$S$2</f>
        <v>9.893186138486584</v>
      </c>
      <c r="AM4" s="62">
        <f t="shared" si="1"/>
        <v>70.610574046433811</v>
      </c>
      <c r="AN4" s="64">
        <v>250</v>
      </c>
      <c r="AO4" s="60">
        <f>($D4)*'Task2A)values_PHI_dependent'!$P$9</f>
        <v>10.676441912897596</v>
      </c>
      <c r="AP4" s="6">
        <f>$K4*'Task2A)values_PHI_dependent'!$R$9</f>
        <v>50.008155826263732</v>
      </c>
      <c r="AQ4" s="6">
        <f>$R4*'Task2A)values_PHI_dependent'!$Q$9</f>
        <v>0.131722030170773</v>
      </c>
      <c r="AR4" s="61">
        <f>($Y4)*'Task2A)values_PHI_dependent'!$O$9</f>
        <v>9.794254277101718</v>
      </c>
      <c r="AU4" s="62">
        <f t="shared" si="2"/>
        <v>70.535521367614706</v>
      </c>
      <c r="AV4" s="64">
        <v>250</v>
      </c>
      <c r="AW4" s="60">
        <f>($D4)*'Task2A)values_PHI_dependent'!$P$10</f>
        <v>10.56859906529257</v>
      </c>
      <c r="AX4" s="6">
        <f>$K4*'Task2A)values_PHI_dependent'!$R$10</f>
        <v>50.008155826263732</v>
      </c>
      <c r="AY4" s="6">
        <f>$R4*'Task2A)values_PHI_dependent'!$Q$10</f>
        <v>0.26344406034154599</v>
      </c>
      <c r="AZ4" s="61">
        <f>($Y4)*'Task2A)values_PHI_dependent'!$O$10</f>
        <v>9.695322415716852</v>
      </c>
      <c r="BC4" s="62">
        <f t="shared" si="3"/>
        <v>70.460468688795586</v>
      </c>
      <c r="BD4" s="64">
        <v>250</v>
      </c>
      <c r="BE4" s="60">
        <f>($D4)*'Task2A)values_PHI_dependent'!$P$11</f>
        <v>10.460756217687544</v>
      </c>
      <c r="BF4" s="6">
        <f>$K4*'Task2A)values_PHI_dependent'!$R$10</f>
        <v>50.008155826263732</v>
      </c>
      <c r="BG4" s="6">
        <f>$R4*'Task2A)values_PHI_dependent'!$Q$11</f>
        <v>0.39516609051231899</v>
      </c>
      <c r="BH4" s="61">
        <f>($Y4)*'Task2A)values_PHI_dependent'!$O$11</f>
        <v>9.5963905543319861</v>
      </c>
    </row>
    <row r="5" spans="1:60" x14ac:dyDescent="0.3">
      <c r="A5">
        <v>298</v>
      </c>
      <c r="B5">
        <v>33.450000000000003</v>
      </c>
      <c r="C5">
        <v>0</v>
      </c>
      <c r="D5" s="52">
        <f t="shared" si="4"/>
        <v>1.8114940179869028</v>
      </c>
      <c r="E5">
        <v>188.71</v>
      </c>
      <c r="F5">
        <v>120.26</v>
      </c>
      <c r="H5">
        <v>298</v>
      </c>
      <c r="I5">
        <v>29.07</v>
      </c>
      <c r="J5">
        <v>0</v>
      </c>
      <c r="K5" s="51">
        <f t="shared" si="5"/>
        <v>1.5736906422910093</v>
      </c>
      <c r="L5">
        <v>191.5</v>
      </c>
      <c r="M5">
        <v>23.03</v>
      </c>
      <c r="O5">
        <v>298</v>
      </c>
      <c r="P5">
        <v>29.31</v>
      </c>
      <c r="Q5">
        <v>0</v>
      </c>
      <c r="R5" s="53">
        <f t="shared" si="6"/>
        <v>1.5611321786429153</v>
      </c>
      <c r="S5">
        <v>205.03</v>
      </c>
      <c r="T5">
        <v>24.66</v>
      </c>
      <c r="V5">
        <v>298</v>
      </c>
      <c r="W5">
        <v>37.200000000000003</v>
      </c>
      <c r="X5">
        <v>0</v>
      </c>
      <c r="Y5" s="54">
        <f t="shared" si="7"/>
        <v>1.919183331362504</v>
      </c>
      <c r="Z5">
        <v>213.73</v>
      </c>
      <c r="AA5">
        <v>184.46</v>
      </c>
      <c r="AE5" s="62">
        <f t="shared" si="0"/>
        <v>105.62037300045959</v>
      </c>
      <c r="AF5" s="64">
        <v>298</v>
      </c>
      <c r="AG5" s="60">
        <f>($D5)*'Task2A)values_PHI_dependent'!$T$2</f>
        <v>16.303446161882125</v>
      </c>
      <c r="AH5" s="6">
        <f>$K5*'Task2A)values_PHI_dependent'!$V$2</f>
        <v>73.963460187677441</v>
      </c>
      <c r="AI5" s="6">
        <f>$R5*'Task2A)values_PHI_dependent'!$U$2</f>
        <v>0</v>
      </c>
      <c r="AJ5" s="61">
        <f>($Y5)*'Task2A)values_PHI_dependent'!$S$2</f>
        <v>15.353466650900032</v>
      </c>
      <c r="AM5" s="62">
        <f t="shared" si="1"/>
        <v>105.49894539466213</v>
      </c>
      <c r="AN5" s="64">
        <v>298</v>
      </c>
      <c r="AO5" s="60">
        <f>($D5)*'Task2A)values_PHI_dependent'!$P$9</f>
        <v>16.140411700263304</v>
      </c>
      <c r="AP5" s="6">
        <f>$K5*'Task2A)values_PHI_dependent'!$R$9</f>
        <v>73.963460187677441</v>
      </c>
      <c r="AQ5" s="6">
        <f>$R5*'Task2A)values_PHI_dependent'!$Q$9</f>
        <v>0.19514152233036441</v>
      </c>
      <c r="AR5" s="61">
        <f>($Y5)*'Task2A)values_PHI_dependent'!$O$9</f>
        <v>15.199931984391032</v>
      </c>
      <c r="AU5" s="62">
        <f t="shared" si="2"/>
        <v>105.37751778886468</v>
      </c>
      <c r="AV5" s="64">
        <v>298</v>
      </c>
      <c r="AW5" s="60">
        <f>($D5)*'Task2A)values_PHI_dependent'!$P$10</f>
        <v>15.977377238644483</v>
      </c>
      <c r="AX5" s="6">
        <f>$K5*'Task2A)values_PHI_dependent'!$R$10</f>
        <v>73.963460187677441</v>
      </c>
      <c r="AY5" s="6">
        <f>$R5*'Task2A)values_PHI_dependent'!$Q$10</f>
        <v>0.39028304466072883</v>
      </c>
      <c r="AZ5" s="61">
        <f>($Y5)*'Task2A)values_PHI_dependent'!$O$10</f>
        <v>15.046397317882031</v>
      </c>
      <c r="BC5" s="62">
        <f t="shared" si="3"/>
        <v>105.25609018306723</v>
      </c>
      <c r="BD5" s="64">
        <v>298</v>
      </c>
      <c r="BE5" s="60">
        <f>($D5)*'Task2A)values_PHI_dependent'!$P$11</f>
        <v>15.814342777025661</v>
      </c>
      <c r="BF5" s="6">
        <f>$K5*'Task2A)values_PHI_dependent'!$R$10</f>
        <v>73.963460187677441</v>
      </c>
      <c r="BG5" s="6">
        <f>$R5*'Task2A)values_PHI_dependent'!$Q$11</f>
        <v>0.58542456699109324</v>
      </c>
      <c r="BH5" s="61">
        <f>($Y5)*'Task2A)values_PHI_dependent'!$O$11</f>
        <v>14.892862651373031</v>
      </c>
    </row>
    <row r="6" spans="1:60" x14ac:dyDescent="0.3">
      <c r="A6">
        <v>300</v>
      </c>
      <c r="B6">
        <v>33.47</v>
      </c>
      <c r="C6">
        <v>0.06</v>
      </c>
      <c r="D6" s="52">
        <f t="shared" si="4"/>
        <v>1.84239229833983</v>
      </c>
      <c r="E6">
        <v>188.91</v>
      </c>
      <c r="F6">
        <v>119.66</v>
      </c>
      <c r="H6">
        <v>300</v>
      </c>
      <c r="I6">
        <v>29.07</v>
      </c>
      <c r="J6">
        <v>0.05</v>
      </c>
      <c r="K6" s="51">
        <f t="shared" si="5"/>
        <v>1.5995474049383547</v>
      </c>
      <c r="L6">
        <v>191.68</v>
      </c>
      <c r="M6">
        <v>23.03</v>
      </c>
      <c r="O6">
        <v>300</v>
      </c>
      <c r="P6">
        <v>29.33</v>
      </c>
      <c r="Q6">
        <v>0.05</v>
      </c>
      <c r="R6" s="53">
        <f t="shared" si="6"/>
        <v>1.5874046317777788</v>
      </c>
      <c r="S6">
        <v>205.21</v>
      </c>
      <c r="T6">
        <v>24.66</v>
      </c>
      <c r="V6">
        <v>300</v>
      </c>
      <c r="W6">
        <v>37.28</v>
      </c>
      <c r="X6">
        <v>7.0000000000000007E-2</v>
      </c>
      <c r="Y6" s="54">
        <f t="shared" si="7"/>
        <v>1.955239953717653</v>
      </c>
      <c r="Z6">
        <v>213.96</v>
      </c>
      <c r="AA6">
        <v>183.48</v>
      </c>
      <c r="AE6" s="62">
        <f t="shared" si="0"/>
        <v>107.40217834690236</v>
      </c>
      <c r="AF6" s="64">
        <v>300</v>
      </c>
      <c r="AG6" s="60">
        <f>($D6)*'Task2A)values_PHI_dependent'!$T$2</f>
        <v>16.581530685058471</v>
      </c>
      <c r="AH6" s="6">
        <f>$K6*'Task2A)values_PHI_dependent'!$V$2</f>
        <v>75.178728032102669</v>
      </c>
      <c r="AI6" s="6">
        <f>$R6*'Task2A)values_PHI_dependent'!$U$2</f>
        <v>0</v>
      </c>
      <c r="AJ6" s="61">
        <f>($Y6)*'Task2A)values_PHI_dependent'!$S$2</f>
        <v>15.641919629741224</v>
      </c>
      <c r="AM6" s="62">
        <f t="shared" si="1"/>
        <v>107.2783694227266</v>
      </c>
      <c r="AN6" s="64">
        <v>300</v>
      </c>
      <c r="AO6" s="60">
        <f>($D6)*'Task2A)values_PHI_dependent'!$P$9</f>
        <v>16.415715378207885</v>
      </c>
      <c r="AP6" s="6">
        <f>$K6*'Task2A)values_PHI_dependent'!$R$9</f>
        <v>75.178728032102669</v>
      </c>
      <c r="AQ6" s="6">
        <f>$R6*'Task2A)values_PHI_dependent'!$Q$9</f>
        <v>0.19842557897222235</v>
      </c>
      <c r="AR6" s="61">
        <f>($Y6)*'Task2A)values_PHI_dependent'!$O$9</f>
        <v>15.485500433443812</v>
      </c>
      <c r="AU6" s="62">
        <f t="shared" si="2"/>
        <v>107.15456049855081</v>
      </c>
      <c r="AV6" s="64">
        <v>300</v>
      </c>
      <c r="AW6" s="60">
        <f>($D6)*'Task2A)values_PHI_dependent'!$P$10</f>
        <v>16.249900071357303</v>
      </c>
      <c r="AX6" s="6">
        <f>$K6*'Task2A)values_PHI_dependent'!$R$10</f>
        <v>75.178728032102669</v>
      </c>
      <c r="AY6" s="6">
        <f>$R6*'Task2A)values_PHI_dependent'!$Q$10</f>
        <v>0.3968511579444447</v>
      </c>
      <c r="AZ6" s="61">
        <f>($Y6)*'Task2A)values_PHI_dependent'!$O$10</f>
        <v>15.329081237146399</v>
      </c>
      <c r="BC6" s="62">
        <f t="shared" si="3"/>
        <v>107.03075157437505</v>
      </c>
      <c r="BD6" s="64">
        <v>300</v>
      </c>
      <c r="BE6" s="60">
        <f>($D6)*'Task2A)values_PHI_dependent'!$P$11</f>
        <v>16.084084764506716</v>
      </c>
      <c r="BF6" s="6">
        <f>$K6*'Task2A)values_PHI_dependent'!$R$10</f>
        <v>75.178728032102669</v>
      </c>
      <c r="BG6" s="6">
        <f>$R6*'Task2A)values_PHI_dependent'!$Q$11</f>
        <v>0.59527673691666705</v>
      </c>
      <c r="BH6" s="61">
        <f>($Y6)*'Task2A)values_PHI_dependent'!$O$11</f>
        <v>15.172662040848987</v>
      </c>
    </row>
    <row r="7" spans="1:60" x14ac:dyDescent="0.3">
      <c r="A7">
        <v>350</v>
      </c>
      <c r="B7">
        <v>33.97</v>
      </c>
      <c r="C7">
        <v>1.75</v>
      </c>
      <c r="D7" s="52">
        <f t="shared" si="4"/>
        <v>2.7411344827504718</v>
      </c>
      <c r="E7">
        <v>194.11</v>
      </c>
      <c r="F7">
        <v>105.85</v>
      </c>
      <c r="H7">
        <v>350</v>
      </c>
      <c r="I7">
        <v>29.19</v>
      </c>
      <c r="J7">
        <v>1.51</v>
      </c>
      <c r="K7" s="51">
        <f t="shared" si="5"/>
        <v>2.3544096071528604</v>
      </c>
      <c r="L7">
        <v>196.17</v>
      </c>
      <c r="M7">
        <v>23.08</v>
      </c>
      <c r="O7">
        <v>350</v>
      </c>
      <c r="P7">
        <v>29.77</v>
      </c>
      <c r="Q7">
        <v>1.53</v>
      </c>
      <c r="R7" s="53">
        <f t="shared" si="6"/>
        <v>2.3646128454726076</v>
      </c>
      <c r="S7">
        <v>209.77</v>
      </c>
      <c r="T7">
        <v>24.7</v>
      </c>
      <c r="V7">
        <v>350</v>
      </c>
      <c r="W7">
        <v>39.369999999999997</v>
      </c>
      <c r="X7">
        <v>1.99</v>
      </c>
      <c r="Y7" s="54">
        <f t="shared" si="7"/>
        <v>3.0366367190292554</v>
      </c>
      <c r="Z7">
        <v>219.86</v>
      </c>
      <c r="AA7">
        <v>161</v>
      </c>
      <c r="AE7" s="62">
        <f t="shared" si="0"/>
        <v>159.62055563317273</v>
      </c>
      <c r="AF7" s="64">
        <v>350</v>
      </c>
      <c r="AG7" s="60">
        <f>($D7)*'Task2A)values_PHI_dependent'!$T$2</f>
        <v>24.670210344754246</v>
      </c>
      <c r="AH7" s="6">
        <f>$K7*'Task2A)values_PHI_dependent'!$V$2</f>
        <v>110.65725153618443</v>
      </c>
      <c r="AI7" s="6">
        <f>$R7*'Task2A)values_PHI_dependent'!$U$2</f>
        <v>0</v>
      </c>
      <c r="AJ7" s="61">
        <f>($Y7)*'Task2A)values_PHI_dependent'!$S$2</f>
        <v>24.293093752234043</v>
      </c>
      <c r="AM7" s="62">
        <f t="shared" si="1"/>
        <v>159.42649919788693</v>
      </c>
      <c r="AN7" s="64">
        <v>350</v>
      </c>
      <c r="AO7" s="60">
        <f>($D7)*'Task2A)values_PHI_dependent'!$P$9</f>
        <v>24.423508241306703</v>
      </c>
      <c r="AP7" s="6">
        <f>$K7*'Task2A)values_PHI_dependent'!$R$9</f>
        <v>110.65725153618443</v>
      </c>
      <c r="AQ7" s="6">
        <f>$R7*'Task2A)values_PHI_dependent'!$Q$9</f>
        <v>0.29557660568407595</v>
      </c>
      <c r="AR7" s="61">
        <f>($Y7)*'Task2A)values_PHI_dependent'!$O$9</f>
        <v>24.050162814711701</v>
      </c>
      <c r="AU7" s="62">
        <f t="shared" si="2"/>
        <v>159.23244276260112</v>
      </c>
      <c r="AV7" s="64">
        <v>350</v>
      </c>
      <c r="AW7" s="60">
        <f>($D7)*'Task2A)values_PHI_dependent'!$P$10</f>
        <v>24.176806137859163</v>
      </c>
      <c r="AX7" s="6">
        <f>$K7*'Task2A)values_PHI_dependent'!$R$10</f>
        <v>110.65725153618443</v>
      </c>
      <c r="AY7" s="6">
        <f>$R7*'Task2A)values_PHI_dependent'!$Q$10</f>
        <v>0.59115321136815191</v>
      </c>
      <c r="AZ7" s="61">
        <f>($Y7)*'Task2A)values_PHI_dependent'!$O$10</f>
        <v>23.807231877189363</v>
      </c>
      <c r="BC7" s="62">
        <f t="shared" si="3"/>
        <v>159.03838632731532</v>
      </c>
      <c r="BD7" s="64">
        <v>350</v>
      </c>
      <c r="BE7" s="60">
        <f>($D7)*'Task2A)values_PHI_dependent'!$P$11</f>
        <v>23.93010403441162</v>
      </c>
      <c r="BF7" s="6">
        <f>$K7*'Task2A)values_PHI_dependent'!$R$10</f>
        <v>110.65725153618443</v>
      </c>
      <c r="BG7" s="6">
        <f>$R7*'Task2A)values_PHI_dependent'!$Q$11</f>
        <v>0.88672981705222786</v>
      </c>
      <c r="BH7" s="61">
        <f>($Y7)*'Task2A)values_PHI_dependent'!$O$11</f>
        <v>23.564300939667021</v>
      </c>
    </row>
    <row r="8" spans="1:60" x14ac:dyDescent="0.3">
      <c r="A8">
        <v>400</v>
      </c>
      <c r="B8">
        <v>34.44</v>
      </c>
      <c r="C8">
        <v>3.46</v>
      </c>
      <c r="D8" s="52">
        <f t="shared" si="4"/>
        <v>3.8597030703885946</v>
      </c>
      <c r="E8">
        <v>198.68</v>
      </c>
      <c r="F8">
        <v>95.58</v>
      </c>
      <c r="H8">
        <v>400</v>
      </c>
      <c r="I8">
        <v>29.32</v>
      </c>
      <c r="J8">
        <v>2.97</v>
      </c>
      <c r="K8" s="51">
        <f t="shared" si="5"/>
        <v>3.2966838029085079</v>
      </c>
      <c r="L8">
        <v>200.08</v>
      </c>
      <c r="M8">
        <v>23.17</v>
      </c>
      <c r="O8">
        <v>400</v>
      </c>
      <c r="P8">
        <v>30.21</v>
      </c>
      <c r="Q8">
        <v>3.03</v>
      </c>
      <c r="R8" s="53">
        <f t="shared" si="6"/>
        <v>3.3497128125102611</v>
      </c>
      <c r="S8">
        <v>213.77</v>
      </c>
      <c r="T8">
        <v>24.8</v>
      </c>
      <c r="V8">
        <v>400</v>
      </c>
      <c r="W8">
        <v>41.27</v>
      </c>
      <c r="X8">
        <v>4</v>
      </c>
      <c r="Y8" s="54">
        <f t="shared" si="7"/>
        <v>4.4313244270464605</v>
      </c>
      <c r="Z8">
        <v>225.25</v>
      </c>
      <c r="AA8">
        <v>144.22</v>
      </c>
      <c r="AE8" s="62">
        <f t="shared" si="0"/>
        <v>225.1320617865689</v>
      </c>
      <c r="AF8" s="64">
        <v>400</v>
      </c>
      <c r="AG8" s="60">
        <f>($D8)*'Task2A)values_PHI_dependent'!$T$2</f>
        <v>34.737327633497351</v>
      </c>
      <c r="AH8" s="6">
        <f>$K8*'Task2A)values_PHI_dependent'!$V$2</f>
        <v>154.94413873669987</v>
      </c>
      <c r="AI8" s="6">
        <f>$R8*'Task2A)values_PHI_dependent'!$U$2</f>
        <v>0</v>
      </c>
      <c r="AJ8" s="61">
        <f>($Y8)*'Task2A)values_PHI_dependent'!$S$2</f>
        <v>35.450595416371684</v>
      </c>
      <c r="AM8" s="62">
        <f t="shared" si="1"/>
        <v>224.84889665763399</v>
      </c>
      <c r="AN8" s="64">
        <v>400</v>
      </c>
      <c r="AO8" s="60">
        <f>($D8)*'Task2A)values_PHI_dependent'!$P$9</f>
        <v>34.389954357162381</v>
      </c>
      <c r="AP8" s="6">
        <f>$K8*'Task2A)values_PHI_dependent'!$R$9</f>
        <v>154.94413873669987</v>
      </c>
      <c r="AQ8" s="6">
        <f>$R8*'Task2A)values_PHI_dependent'!$Q$9</f>
        <v>0.41871410156378264</v>
      </c>
      <c r="AR8" s="61">
        <f>($Y8)*'Task2A)values_PHI_dependent'!$O$9</f>
        <v>35.096089462207964</v>
      </c>
      <c r="AU8" s="62">
        <f t="shared" si="2"/>
        <v>224.56573152869908</v>
      </c>
      <c r="AV8" s="64">
        <v>400</v>
      </c>
      <c r="AW8" s="60">
        <f>($D8)*'Task2A)values_PHI_dependent'!$P$10</f>
        <v>34.042581080827404</v>
      </c>
      <c r="AX8" s="6">
        <f>$K8*'Task2A)values_PHI_dependent'!$R$10</f>
        <v>154.94413873669987</v>
      </c>
      <c r="AY8" s="6">
        <f>$R8*'Task2A)values_PHI_dependent'!$Q$10</f>
        <v>0.83742820312756527</v>
      </c>
      <c r="AZ8" s="61">
        <f>($Y8)*'Task2A)values_PHI_dependent'!$O$10</f>
        <v>34.741583508044251</v>
      </c>
      <c r="BC8" s="62">
        <f t="shared" si="3"/>
        <v>224.28256639976416</v>
      </c>
      <c r="BD8" s="64">
        <v>400</v>
      </c>
      <c r="BE8" s="60">
        <f>($D8)*'Task2A)values_PHI_dependent'!$P$11</f>
        <v>33.695207804492433</v>
      </c>
      <c r="BF8" s="6">
        <f>$K8*'Task2A)values_PHI_dependent'!$R$10</f>
        <v>154.94413873669987</v>
      </c>
      <c r="BG8" s="6">
        <f>$R8*'Task2A)values_PHI_dependent'!$Q$11</f>
        <v>1.2561423046913478</v>
      </c>
      <c r="BH8" s="61">
        <f>($Y8)*'Task2A)values_PHI_dependent'!$O$11</f>
        <v>34.38707755388053</v>
      </c>
    </row>
    <row r="9" spans="1:60" x14ac:dyDescent="0.3">
      <c r="A9">
        <v>450</v>
      </c>
      <c r="B9">
        <v>34.89</v>
      </c>
      <c r="C9">
        <v>5.19</v>
      </c>
      <c r="D9" s="52">
        <f t="shared" si="4"/>
        <v>5.1669639111420871</v>
      </c>
      <c r="E9">
        <v>202.76</v>
      </c>
      <c r="F9">
        <v>87.64</v>
      </c>
      <c r="H9">
        <v>450</v>
      </c>
      <c r="I9">
        <v>29.46</v>
      </c>
      <c r="J9">
        <v>4.4400000000000004</v>
      </c>
      <c r="K9" s="51">
        <f t="shared" si="5"/>
        <v>4.3977834839845453</v>
      </c>
      <c r="L9">
        <v>203.54</v>
      </c>
      <c r="M9">
        <v>23.29</v>
      </c>
      <c r="O9">
        <v>450</v>
      </c>
      <c r="P9">
        <v>30.66</v>
      </c>
      <c r="Q9">
        <v>4.55</v>
      </c>
      <c r="R9" s="53">
        <f t="shared" si="6"/>
        <v>4.5107113909910543</v>
      </c>
      <c r="S9">
        <v>217.36</v>
      </c>
      <c r="T9">
        <v>24.93</v>
      </c>
      <c r="V9">
        <v>450</v>
      </c>
      <c r="W9">
        <v>43</v>
      </c>
      <c r="X9">
        <v>6.11</v>
      </c>
      <c r="Y9" s="54">
        <f t="shared" si="7"/>
        <v>6.0947569702524245</v>
      </c>
      <c r="Z9">
        <v>230.21</v>
      </c>
      <c r="AA9">
        <v>131.24</v>
      </c>
      <c r="AE9" s="62">
        <f t="shared" si="0"/>
        <v>301.95655470957183</v>
      </c>
      <c r="AF9" s="64">
        <v>450</v>
      </c>
      <c r="AG9" s="60">
        <f>($D9)*'Task2A)values_PHI_dependent'!$T$2</f>
        <v>46.502675200278787</v>
      </c>
      <c r="AH9" s="6">
        <f>$K9*'Task2A)values_PHI_dependent'!$V$2</f>
        <v>206.69582374727364</v>
      </c>
      <c r="AI9" s="6">
        <f>$R9*'Task2A)values_PHI_dependent'!$U$2</f>
        <v>0</v>
      </c>
      <c r="AJ9" s="61">
        <f>($Y9)*'Task2A)values_PHI_dependent'!$S$2</f>
        <v>48.758055762019396</v>
      </c>
      <c r="AM9" s="62">
        <f t="shared" si="1"/>
        <v>301.5677863238227</v>
      </c>
      <c r="AN9" s="64">
        <v>450</v>
      </c>
      <c r="AO9" s="60">
        <f>($D9)*'Task2A)values_PHI_dependent'!$P$9</f>
        <v>46.037648448275995</v>
      </c>
      <c r="AP9" s="6">
        <f>$K9*'Task2A)values_PHI_dependent'!$R$9</f>
        <v>206.69582374727364</v>
      </c>
      <c r="AQ9" s="6">
        <f>$R9*'Task2A)values_PHI_dependent'!$Q$9</f>
        <v>0.56383892387388179</v>
      </c>
      <c r="AR9" s="61">
        <f>($Y9)*'Task2A)values_PHI_dependent'!$O$9</f>
        <v>48.270475204399204</v>
      </c>
      <c r="AU9" s="62">
        <f t="shared" si="2"/>
        <v>301.17901793807363</v>
      </c>
      <c r="AV9" s="64">
        <v>450</v>
      </c>
      <c r="AW9" s="60">
        <f>($D9)*'Task2A)values_PHI_dependent'!$P$10</f>
        <v>45.57262169627321</v>
      </c>
      <c r="AX9" s="6">
        <f>$K9*'Task2A)values_PHI_dependent'!$R$10</f>
        <v>206.69582374727364</v>
      </c>
      <c r="AY9" s="6">
        <f>$R9*'Task2A)values_PHI_dependent'!$Q$10</f>
        <v>1.1276778477477636</v>
      </c>
      <c r="AZ9" s="61">
        <f>($Y9)*'Task2A)values_PHI_dependent'!$O$10</f>
        <v>47.782894646779006</v>
      </c>
      <c r="BC9" s="62">
        <f t="shared" si="3"/>
        <v>300.79024955232455</v>
      </c>
      <c r="BD9" s="64">
        <v>450</v>
      </c>
      <c r="BE9" s="60">
        <f>($D9)*'Task2A)values_PHI_dependent'!$P$11</f>
        <v>45.107594944270424</v>
      </c>
      <c r="BF9" s="6">
        <f>$K9*'Task2A)values_PHI_dependent'!$R$10</f>
        <v>206.69582374727364</v>
      </c>
      <c r="BG9" s="6">
        <f>$R9*'Task2A)values_PHI_dependent'!$Q$11</f>
        <v>1.6915167716216453</v>
      </c>
      <c r="BH9" s="61">
        <f>($Y9)*'Task2A)values_PHI_dependent'!$O$11</f>
        <v>47.295314089158815</v>
      </c>
    </row>
    <row r="10" spans="1:60" x14ac:dyDescent="0.3">
      <c r="A10">
        <v>500</v>
      </c>
      <c r="B10">
        <v>35.340000000000003</v>
      </c>
      <c r="C10">
        <v>6.95</v>
      </c>
      <c r="D10" s="52">
        <f t="shared" si="4"/>
        <v>6.6351859737839085</v>
      </c>
      <c r="E10">
        <v>206.46</v>
      </c>
      <c r="F10">
        <v>81.34</v>
      </c>
      <c r="H10">
        <v>500</v>
      </c>
      <c r="I10">
        <v>29.63</v>
      </c>
      <c r="J10">
        <v>5.92</v>
      </c>
      <c r="K10" s="51">
        <f t="shared" si="5"/>
        <v>5.6322255244829673</v>
      </c>
      <c r="L10">
        <v>206.65</v>
      </c>
      <c r="M10">
        <v>23.43</v>
      </c>
      <c r="O10">
        <v>500</v>
      </c>
      <c r="P10">
        <v>31.11</v>
      </c>
      <c r="Q10">
        <v>6.1</v>
      </c>
      <c r="R10" s="53">
        <f t="shared" si="6"/>
        <v>5.8190718336326563</v>
      </c>
      <c r="S10">
        <v>220.61</v>
      </c>
      <c r="T10">
        <v>25.07</v>
      </c>
      <c r="V10">
        <v>500</v>
      </c>
      <c r="W10">
        <v>44.57</v>
      </c>
      <c r="X10">
        <v>8.3000000000000007</v>
      </c>
      <c r="Y10" s="54">
        <f t="shared" si="7"/>
        <v>7.9870395805301602</v>
      </c>
      <c r="Z10">
        <v>234.82</v>
      </c>
      <c r="AA10">
        <v>120.91</v>
      </c>
      <c r="AE10" s="62">
        <f t="shared" si="0"/>
        <v>388.3275900589959</v>
      </c>
      <c r="AF10" s="64">
        <v>500</v>
      </c>
      <c r="AG10" s="60">
        <f>($D10)*'Task2A)values_PHI_dependent'!$T$2</f>
        <v>59.716673764055173</v>
      </c>
      <c r="AH10" s="6">
        <f>$K10*'Task2A)values_PHI_dependent'!$V$2</f>
        <v>264.71459965069948</v>
      </c>
      <c r="AI10" s="6">
        <f>$R10*'Task2A)values_PHI_dependent'!$U$2</f>
        <v>0</v>
      </c>
      <c r="AJ10" s="61">
        <f>($Y10)*'Task2A)values_PHI_dependent'!$S$2</f>
        <v>63.896316644241281</v>
      </c>
      <c r="AM10" s="62">
        <f t="shared" si="1"/>
        <v>387.81884413411706</v>
      </c>
      <c r="AN10" s="64">
        <v>500</v>
      </c>
      <c r="AO10" s="60">
        <f>($D10)*'Task2A)values_PHI_dependent'!$P$9</f>
        <v>59.119507026414624</v>
      </c>
      <c r="AP10" s="6">
        <f>$K10*'Task2A)values_PHI_dependent'!$R$9</f>
        <v>264.71459965069948</v>
      </c>
      <c r="AQ10" s="6">
        <f>$R10*'Task2A)values_PHI_dependent'!$Q$9</f>
        <v>0.72738397920408204</v>
      </c>
      <c r="AR10" s="61">
        <f>($Y10)*'Task2A)values_PHI_dependent'!$O$9</f>
        <v>63.257353477798866</v>
      </c>
      <c r="AU10" s="62">
        <f t="shared" si="2"/>
        <v>387.31009820923822</v>
      </c>
      <c r="AV10" s="64">
        <v>500</v>
      </c>
      <c r="AW10" s="60">
        <f>($D10)*'Task2A)values_PHI_dependent'!$P$10</f>
        <v>58.522340288774075</v>
      </c>
      <c r="AX10" s="6">
        <f>$K10*'Task2A)values_PHI_dependent'!$R$10</f>
        <v>264.71459965069948</v>
      </c>
      <c r="AY10" s="6">
        <f>$R10*'Task2A)values_PHI_dependent'!$Q$10</f>
        <v>1.4547679584081641</v>
      </c>
      <c r="AZ10" s="61">
        <f>($Y10)*'Task2A)values_PHI_dependent'!$O$10</f>
        <v>62.618390311356457</v>
      </c>
      <c r="BC10" s="62">
        <f t="shared" si="3"/>
        <v>386.80135228435927</v>
      </c>
      <c r="BD10" s="64">
        <v>500</v>
      </c>
      <c r="BE10" s="60">
        <f>($D10)*'Task2A)values_PHI_dependent'!$P$11</f>
        <v>57.925173551133526</v>
      </c>
      <c r="BF10" s="6">
        <f>$K10*'Task2A)values_PHI_dependent'!$R$10</f>
        <v>264.71459965069948</v>
      </c>
      <c r="BG10" s="6">
        <f>$R10*'Task2A)values_PHI_dependent'!$Q$11</f>
        <v>2.1821519376122462</v>
      </c>
      <c r="BH10" s="61">
        <f>($Y10)*'Task2A)values_PHI_dependent'!$O$11</f>
        <v>61.979427144914041</v>
      </c>
    </row>
    <row r="11" spans="1:60" x14ac:dyDescent="0.3">
      <c r="A11">
        <v>550</v>
      </c>
      <c r="B11">
        <v>35.799999999999997</v>
      </c>
      <c r="C11">
        <v>8.73</v>
      </c>
      <c r="D11" s="52">
        <f t="shared" si="4"/>
        <v>8.2398087518695426</v>
      </c>
      <c r="E11">
        <v>209.85</v>
      </c>
      <c r="F11">
        <v>76.22</v>
      </c>
      <c r="H11">
        <v>550</v>
      </c>
      <c r="I11">
        <v>29.84</v>
      </c>
      <c r="J11">
        <v>7.41</v>
      </c>
      <c r="K11" s="51">
        <f t="shared" si="5"/>
        <v>6.9774206320545442</v>
      </c>
      <c r="L11">
        <v>209.49</v>
      </c>
      <c r="M11">
        <v>23.58</v>
      </c>
      <c r="O11">
        <v>550</v>
      </c>
      <c r="P11">
        <v>31.57</v>
      </c>
      <c r="Q11">
        <v>7.66</v>
      </c>
      <c r="R11" s="53">
        <f t="shared" si="6"/>
        <v>7.2494825621545518</v>
      </c>
      <c r="S11">
        <v>223.6</v>
      </c>
      <c r="T11">
        <v>25.22</v>
      </c>
      <c r="V11">
        <v>550</v>
      </c>
      <c r="W11">
        <v>46</v>
      </c>
      <c r="X11">
        <v>10.56</v>
      </c>
      <c r="Y11" s="54">
        <f t="shared" si="7"/>
        <v>10.072621789020113</v>
      </c>
      <c r="Z11">
        <v>239.14</v>
      </c>
      <c r="AA11">
        <v>112.51</v>
      </c>
      <c r="AE11" s="62">
        <f t="shared" si="0"/>
        <v>482.67802278555035</v>
      </c>
      <c r="AF11" s="64">
        <v>550</v>
      </c>
      <c r="AG11" s="60">
        <f>($D11)*'Task2A)values_PHI_dependent'!$T$2</f>
        <v>74.158278766825887</v>
      </c>
      <c r="AH11" s="6">
        <f>$K11*'Task2A)values_PHI_dependent'!$V$2</f>
        <v>327.93876970656356</v>
      </c>
      <c r="AI11" s="6">
        <f>$R11*'Task2A)values_PHI_dependent'!$U$2</f>
        <v>0</v>
      </c>
      <c r="AJ11" s="61">
        <f>($Y11)*'Task2A)values_PHI_dependent'!$S$2</f>
        <v>80.580974312160905</v>
      </c>
      <c r="AM11" s="62">
        <f t="shared" si="1"/>
        <v>482.03681557502983</v>
      </c>
      <c r="AN11" s="64">
        <v>550</v>
      </c>
      <c r="AO11" s="60">
        <f>($D11)*'Task2A)values_PHI_dependent'!$P$9</f>
        <v>73.416695979157623</v>
      </c>
      <c r="AP11" s="6">
        <f>$K11*'Task2A)values_PHI_dependent'!$R$9</f>
        <v>327.93876970656356</v>
      </c>
      <c r="AQ11" s="6">
        <f>$R11*'Task2A)values_PHI_dependent'!$Q$9</f>
        <v>0.90618532026931897</v>
      </c>
      <c r="AR11" s="61">
        <f>($Y11)*'Task2A)values_PHI_dependent'!$O$9</f>
        <v>79.775164569039291</v>
      </c>
      <c r="AU11" s="62">
        <f t="shared" si="2"/>
        <v>481.39560836450926</v>
      </c>
      <c r="AV11" s="64">
        <v>550</v>
      </c>
      <c r="AW11" s="60">
        <f>($D11)*'Task2A)values_PHI_dependent'!$P$10</f>
        <v>72.675113191489373</v>
      </c>
      <c r="AX11" s="6">
        <f>$K11*'Task2A)values_PHI_dependent'!$R$10</f>
        <v>327.93876970656356</v>
      </c>
      <c r="AY11" s="6">
        <f>$R11*'Task2A)values_PHI_dependent'!$Q$10</f>
        <v>1.8123706405386379</v>
      </c>
      <c r="AZ11" s="61">
        <f>($Y11)*'Task2A)values_PHI_dependent'!$O$10</f>
        <v>78.969354825917691</v>
      </c>
      <c r="BC11" s="62">
        <f t="shared" si="3"/>
        <v>480.75440115398874</v>
      </c>
      <c r="BD11" s="64">
        <v>550</v>
      </c>
      <c r="BE11" s="60">
        <f>($D11)*'Task2A)values_PHI_dependent'!$P$11</f>
        <v>71.933530403821109</v>
      </c>
      <c r="BF11" s="6">
        <f>$K11*'Task2A)values_PHI_dependent'!$R$10</f>
        <v>327.93876970656356</v>
      </c>
      <c r="BG11" s="6">
        <f>$R11*'Task2A)values_PHI_dependent'!$Q$11</f>
        <v>2.718555960807957</v>
      </c>
      <c r="BH11" s="61">
        <f>($Y11)*'Task2A)values_PHI_dependent'!$O$11</f>
        <v>78.163545082796077</v>
      </c>
    </row>
    <row r="12" spans="1:60" x14ac:dyDescent="0.3">
      <c r="A12">
        <v>600</v>
      </c>
      <c r="B12">
        <v>36.29</v>
      </c>
      <c r="C12">
        <v>10.53</v>
      </c>
      <c r="D12" s="52">
        <f t="shared" si="4"/>
        <v>9.959217151656123</v>
      </c>
      <c r="E12">
        <v>212.98</v>
      </c>
      <c r="F12">
        <v>71.989999999999995</v>
      </c>
      <c r="H12">
        <v>600</v>
      </c>
      <c r="I12">
        <v>30.08</v>
      </c>
      <c r="J12">
        <v>8.9</v>
      </c>
      <c r="K12" s="51">
        <f t="shared" si="5"/>
        <v>8.4134704789947587</v>
      </c>
      <c r="L12">
        <v>212.09</v>
      </c>
      <c r="M12">
        <v>23.72</v>
      </c>
      <c r="O12">
        <v>600</v>
      </c>
      <c r="P12">
        <v>32.03</v>
      </c>
      <c r="Q12">
        <v>9.25</v>
      </c>
      <c r="R12" s="53">
        <f t="shared" si="6"/>
        <v>8.7796332494702831</v>
      </c>
      <c r="S12">
        <v>226.36</v>
      </c>
      <c r="T12">
        <v>25.37</v>
      </c>
      <c r="V12">
        <v>600</v>
      </c>
      <c r="W12">
        <v>47.31</v>
      </c>
      <c r="X12">
        <v>12.9</v>
      </c>
      <c r="Y12" s="54">
        <f t="shared" si="7"/>
        <v>12.320000035117973</v>
      </c>
      <c r="Z12">
        <v>243.2</v>
      </c>
      <c r="AA12">
        <v>105.55</v>
      </c>
      <c r="AE12" s="62">
        <f t="shared" si="0"/>
        <v>583.62606715860261</v>
      </c>
      <c r="AF12" s="64">
        <v>600</v>
      </c>
      <c r="AG12" s="60">
        <f>($D12)*'Task2A)values_PHI_dependent'!$T$2</f>
        <v>89.632954364905103</v>
      </c>
      <c r="AH12" s="6">
        <f>$K12*'Task2A)values_PHI_dependent'!$V$2</f>
        <v>395.43311251275367</v>
      </c>
      <c r="AI12" s="6">
        <f>$R12*'Task2A)values_PHI_dependent'!$U$2</f>
        <v>0</v>
      </c>
      <c r="AJ12" s="61">
        <f>($Y12)*'Task2A)values_PHI_dependent'!$S$2</f>
        <v>98.560000280943783</v>
      </c>
      <c r="AM12" s="62">
        <f t="shared" si="1"/>
        <v>582.84159176832782</v>
      </c>
      <c r="AN12" s="64">
        <v>600</v>
      </c>
      <c r="AO12" s="60">
        <f>($D12)*'Task2A)values_PHI_dependent'!$P$9</f>
        <v>88.736624821256058</v>
      </c>
      <c r="AP12" s="6">
        <f>$K12*'Task2A)values_PHI_dependent'!$R$9</f>
        <v>395.43311251275367</v>
      </c>
      <c r="AQ12" s="6">
        <f>$R12*'Task2A)values_PHI_dependent'!$Q$9</f>
        <v>1.0974541561837854</v>
      </c>
      <c r="AR12" s="61">
        <f>($Y12)*'Task2A)values_PHI_dependent'!$O$9</f>
        <v>97.574400278134348</v>
      </c>
      <c r="AU12" s="62">
        <f t="shared" si="2"/>
        <v>582.05711637805314</v>
      </c>
      <c r="AV12" s="64">
        <v>600</v>
      </c>
      <c r="AW12" s="60">
        <f>($D12)*'Task2A)values_PHI_dependent'!$P$10</f>
        <v>87.840295277607012</v>
      </c>
      <c r="AX12" s="6">
        <f>$K12*'Task2A)values_PHI_dependent'!$R$10</f>
        <v>395.43311251275367</v>
      </c>
      <c r="AY12" s="6">
        <f>$R12*'Task2A)values_PHI_dependent'!$Q$10</f>
        <v>2.1949083123675708</v>
      </c>
      <c r="AZ12" s="61">
        <f>($Y12)*'Task2A)values_PHI_dependent'!$O$10</f>
        <v>96.5888002753249</v>
      </c>
      <c r="BC12" s="62">
        <f t="shared" si="3"/>
        <v>581.27264098777846</v>
      </c>
      <c r="BD12" s="64">
        <v>600</v>
      </c>
      <c r="BE12" s="60">
        <f>($D12)*'Task2A)values_PHI_dependent'!$P$11</f>
        <v>86.943965733957953</v>
      </c>
      <c r="BF12" s="6">
        <f>$K12*'Task2A)values_PHI_dependent'!$R$10</f>
        <v>395.43311251275367</v>
      </c>
      <c r="BG12" s="6">
        <f>$R12*'Task2A)values_PHI_dependent'!$Q$11</f>
        <v>3.2923624685513562</v>
      </c>
      <c r="BH12" s="61">
        <f>($Y12)*'Task2A)values_PHI_dependent'!$O$11</f>
        <v>95.603200272515465</v>
      </c>
    </row>
    <row r="13" spans="1:60" x14ac:dyDescent="0.3">
      <c r="A13">
        <v>650</v>
      </c>
      <c r="B13">
        <v>36.81</v>
      </c>
      <c r="C13">
        <v>12.35</v>
      </c>
      <c r="D13" s="52">
        <f t="shared" si="4"/>
        <v>11.774523862043139</v>
      </c>
      <c r="E13">
        <v>215.91</v>
      </c>
      <c r="F13">
        <v>68.430000000000007</v>
      </c>
      <c r="H13">
        <v>650</v>
      </c>
      <c r="I13">
        <v>30.37</v>
      </c>
      <c r="J13">
        <v>10.42</v>
      </c>
      <c r="K13" s="51">
        <f t="shared" si="5"/>
        <v>9.9229715132097009</v>
      </c>
      <c r="L13">
        <v>214.51</v>
      </c>
      <c r="M13">
        <v>23.87</v>
      </c>
      <c r="O13">
        <v>650</v>
      </c>
      <c r="P13">
        <v>32.479999999999997</v>
      </c>
      <c r="Q13">
        <v>10.87</v>
      </c>
      <c r="R13" s="53">
        <f t="shared" si="6"/>
        <v>10.389998209687537</v>
      </c>
      <c r="S13">
        <v>228.94</v>
      </c>
      <c r="T13">
        <v>25.53</v>
      </c>
      <c r="V13">
        <v>650</v>
      </c>
      <c r="W13">
        <v>48.51</v>
      </c>
      <c r="X13">
        <v>15.29</v>
      </c>
      <c r="Y13" s="54">
        <f t="shared" si="7"/>
        <v>14.701429924612468</v>
      </c>
      <c r="Z13">
        <v>247.03</v>
      </c>
      <c r="AA13">
        <v>99.7</v>
      </c>
      <c r="AE13" s="62">
        <f t="shared" si="0"/>
        <v>689.96181527614397</v>
      </c>
      <c r="AF13" s="64">
        <v>650</v>
      </c>
      <c r="AG13" s="60">
        <f>($D13)*'Task2A)values_PHI_dependent'!$T$2</f>
        <v>105.97071475838825</v>
      </c>
      <c r="AH13" s="6">
        <f>$K13*'Task2A)values_PHI_dependent'!$V$2</f>
        <v>466.37966112085593</v>
      </c>
      <c r="AI13" s="6">
        <f>$R13*'Task2A)values_PHI_dependent'!$U$2</f>
        <v>0</v>
      </c>
      <c r="AJ13" s="61">
        <f>($Y13)*'Task2A)values_PHI_dependent'!$S$2</f>
        <v>117.61143939689974</v>
      </c>
      <c r="AM13" s="62">
        <f t="shared" si="1"/>
        <v>689.02474351080195</v>
      </c>
      <c r="AN13" s="64">
        <v>650</v>
      </c>
      <c r="AO13" s="60">
        <f>($D13)*'Task2A)values_PHI_dependent'!$P$9</f>
        <v>104.91100761080438</v>
      </c>
      <c r="AP13" s="6">
        <f>$K13*'Task2A)values_PHI_dependent'!$R$9</f>
        <v>466.37966112085593</v>
      </c>
      <c r="AQ13" s="6">
        <f>$R13*'Task2A)values_PHI_dependent'!$Q$9</f>
        <v>1.2987497762109421</v>
      </c>
      <c r="AR13" s="61">
        <f>($Y13)*'Task2A)values_PHI_dependent'!$O$9</f>
        <v>116.43532500293074</v>
      </c>
      <c r="AU13" s="62">
        <f t="shared" si="2"/>
        <v>688.08767174546017</v>
      </c>
      <c r="AV13" s="64">
        <v>650</v>
      </c>
      <c r="AW13" s="60">
        <f>($D13)*'Task2A)values_PHI_dependent'!$P$10</f>
        <v>103.8513004632205</v>
      </c>
      <c r="AX13" s="6">
        <f>$K13*'Task2A)values_PHI_dependent'!$R$10</f>
        <v>466.37966112085593</v>
      </c>
      <c r="AY13" s="6">
        <f>$R13*'Task2A)values_PHI_dependent'!$Q$10</f>
        <v>2.5974995524218842</v>
      </c>
      <c r="AZ13" s="61">
        <f>($Y13)*'Task2A)values_PHI_dependent'!$O$10</f>
        <v>115.25921060896174</v>
      </c>
      <c r="BC13" s="62">
        <f t="shared" si="3"/>
        <v>687.15059998011816</v>
      </c>
      <c r="BD13" s="64">
        <v>650</v>
      </c>
      <c r="BE13" s="60">
        <f>($D13)*'Task2A)values_PHI_dependent'!$P$11</f>
        <v>102.79159331563662</v>
      </c>
      <c r="BF13" s="6">
        <f>$K13*'Task2A)values_PHI_dependent'!$R$10</f>
        <v>466.37966112085593</v>
      </c>
      <c r="BG13" s="6">
        <f>$R13*'Task2A)values_PHI_dependent'!$Q$11</f>
        <v>3.8962493286328264</v>
      </c>
      <c r="BH13" s="61">
        <f>($Y13)*'Task2A)values_PHI_dependent'!$O$11</f>
        <v>114.08309621499275</v>
      </c>
    </row>
    <row r="14" spans="1:60" x14ac:dyDescent="0.3">
      <c r="A14">
        <v>700</v>
      </c>
      <c r="B14">
        <v>37.36</v>
      </c>
      <c r="C14">
        <v>14.21</v>
      </c>
      <c r="D14" s="52">
        <f t="shared" si="4"/>
        <v>13.669359206534931</v>
      </c>
      <c r="E14">
        <v>218.65</v>
      </c>
      <c r="F14">
        <v>65.41</v>
      </c>
      <c r="H14">
        <v>700</v>
      </c>
      <c r="I14">
        <v>30.68</v>
      </c>
      <c r="J14">
        <v>11.94</v>
      </c>
      <c r="K14" s="51">
        <f t="shared" si="5"/>
        <v>11.490825449051888</v>
      </c>
      <c r="L14">
        <v>216.77</v>
      </c>
      <c r="M14">
        <v>24.02</v>
      </c>
      <c r="O14">
        <v>700</v>
      </c>
      <c r="P14">
        <v>32.93</v>
      </c>
      <c r="Q14">
        <v>12.5</v>
      </c>
      <c r="R14" s="53">
        <f t="shared" si="6"/>
        <v>12.063627095915948</v>
      </c>
      <c r="S14">
        <v>231.37</v>
      </c>
      <c r="T14">
        <v>25.68</v>
      </c>
      <c r="V14">
        <v>700</v>
      </c>
      <c r="W14">
        <v>49.61</v>
      </c>
      <c r="X14">
        <v>17.75</v>
      </c>
      <c r="Y14" s="54">
        <f t="shared" si="7"/>
        <v>17.192648136963342</v>
      </c>
      <c r="Z14">
        <v>250.67</v>
      </c>
      <c r="AA14">
        <v>94.72</v>
      </c>
      <c r="AE14" s="62">
        <f t="shared" si="0"/>
        <v>800.63421405995985</v>
      </c>
      <c r="AF14" s="64">
        <v>700</v>
      </c>
      <c r="AG14" s="60">
        <f>($D14)*'Task2A)values_PHI_dependent'!$T$2</f>
        <v>123.02423285881439</v>
      </c>
      <c r="AH14" s="6">
        <f>$K14*'Task2A)values_PHI_dependent'!$V$2</f>
        <v>540.06879610543876</v>
      </c>
      <c r="AI14" s="6">
        <f>$R14*'Task2A)values_PHI_dependent'!$U$2</f>
        <v>0</v>
      </c>
      <c r="AJ14" s="61">
        <f>($Y14)*'Task2A)values_PHI_dependent'!$S$2</f>
        <v>137.54118509570674</v>
      </c>
      <c r="AM14" s="62">
        <f t="shared" si="1"/>
        <v>799.53651326740408</v>
      </c>
      <c r="AN14" s="64">
        <v>700</v>
      </c>
      <c r="AO14" s="60">
        <f>($D14)*'Task2A)values_PHI_dependent'!$P$9</f>
        <v>121.79399053022624</v>
      </c>
      <c r="AP14" s="6">
        <f>$K14*'Task2A)values_PHI_dependent'!$R$9</f>
        <v>540.06879610543876</v>
      </c>
      <c r="AQ14" s="6">
        <f>$R14*'Task2A)values_PHI_dependent'!$Q$9</f>
        <v>1.5079533869894934</v>
      </c>
      <c r="AR14" s="61">
        <f>($Y14)*'Task2A)values_PHI_dependent'!$O$9</f>
        <v>136.16577324474966</v>
      </c>
      <c r="AU14" s="62">
        <f t="shared" si="2"/>
        <v>798.43881247484842</v>
      </c>
      <c r="AV14" s="64">
        <v>700</v>
      </c>
      <c r="AW14" s="60">
        <f>($D14)*'Task2A)values_PHI_dependent'!$P$10</f>
        <v>120.56374820163811</v>
      </c>
      <c r="AX14" s="6">
        <f>$K14*'Task2A)values_PHI_dependent'!$R$10</f>
        <v>540.06879610543876</v>
      </c>
      <c r="AY14" s="6">
        <f>$R14*'Task2A)values_PHI_dependent'!$Q$10</f>
        <v>3.0159067739789869</v>
      </c>
      <c r="AZ14" s="61">
        <f>($Y14)*'Task2A)values_PHI_dependent'!$O$10</f>
        <v>134.79036139379261</v>
      </c>
      <c r="BC14" s="62">
        <f t="shared" si="3"/>
        <v>797.34111168229276</v>
      </c>
      <c r="BD14" s="64">
        <v>700</v>
      </c>
      <c r="BE14" s="60">
        <f>($D14)*'Task2A)values_PHI_dependent'!$P$11</f>
        <v>119.33350587304996</v>
      </c>
      <c r="BF14" s="6">
        <f>$K14*'Task2A)values_PHI_dependent'!$R$10</f>
        <v>540.06879610543876</v>
      </c>
      <c r="BG14" s="6">
        <f>$R14*'Task2A)values_PHI_dependent'!$Q$11</f>
        <v>4.5238601609684803</v>
      </c>
      <c r="BH14" s="61">
        <f>($Y14)*'Task2A)values_PHI_dependent'!$O$11</f>
        <v>133.41494954283553</v>
      </c>
    </row>
    <row r="15" spans="1:60" x14ac:dyDescent="0.3">
      <c r="A15">
        <v>750</v>
      </c>
      <c r="B15">
        <v>37.96</v>
      </c>
      <c r="C15">
        <v>16.09</v>
      </c>
      <c r="D15" s="52">
        <f t="shared" si="4"/>
        <v>15.629668477224701</v>
      </c>
      <c r="E15">
        <v>221.25</v>
      </c>
      <c r="F15">
        <v>62.81</v>
      </c>
      <c r="H15">
        <v>750</v>
      </c>
      <c r="I15">
        <v>31.03</v>
      </c>
      <c r="J15">
        <v>13.48</v>
      </c>
      <c r="K15" s="51">
        <f t="shared" si="5"/>
        <v>13.104056438026069</v>
      </c>
      <c r="L15">
        <v>218.9</v>
      </c>
      <c r="M15">
        <v>24.17</v>
      </c>
      <c r="O15">
        <v>750</v>
      </c>
      <c r="P15">
        <v>33.35</v>
      </c>
      <c r="Q15">
        <v>14.16</v>
      </c>
      <c r="R15" s="53">
        <f t="shared" si="6"/>
        <v>13.78594290588277</v>
      </c>
      <c r="S15">
        <v>233.65</v>
      </c>
      <c r="T15">
        <v>25.83</v>
      </c>
      <c r="V15">
        <v>750</v>
      </c>
      <c r="W15">
        <v>50.62</v>
      </c>
      <c r="X15">
        <v>20.25</v>
      </c>
      <c r="Y15" s="54">
        <f t="shared" si="7"/>
        <v>19.772603981719477</v>
      </c>
      <c r="Z15">
        <v>254.13</v>
      </c>
      <c r="AA15">
        <v>90.43</v>
      </c>
      <c r="AE15" s="62">
        <f t="shared" si="0"/>
        <v>914.73850073600329</v>
      </c>
      <c r="AF15" s="64">
        <v>750</v>
      </c>
      <c r="AG15" s="60">
        <f>($D15)*'Task2A)values_PHI_dependent'!$T$2</f>
        <v>140.66701629502231</v>
      </c>
      <c r="AH15" s="6">
        <f>$K15*'Task2A)values_PHI_dependent'!$V$2</f>
        <v>615.89065258722519</v>
      </c>
      <c r="AI15" s="6">
        <f>$R15*'Task2A)values_PHI_dependent'!$U$2</f>
        <v>0</v>
      </c>
      <c r="AJ15" s="61">
        <f>($Y15)*'Task2A)values_PHI_dependent'!$S$2</f>
        <v>158.18083185375582</v>
      </c>
      <c r="AM15" s="62">
        <f t="shared" si="1"/>
        <v>913.47326511775088</v>
      </c>
      <c r="AN15" s="64">
        <v>750</v>
      </c>
      <c r="AO15" s="60">
        <f>($D15)*'Task2A)values_PHI_dependent'!$P$9</f>
        <v>139.2603461320721</v>
      </c>
      <c r="AP15" s="6">
        <f>$K15*'Task2A)values_PHI_dependent'!$R$9</f>
        <v>615.89065258722519</v>
      </c>
      <c r="AQ15" s="6">
        <f>$R15*'Task2A)values_PHI_dependent'!$Q$9</f>
        <v>1.7232428632353463</v>
      </c>
      <c r="AR15" s="61">
        <f>($Y15)*'Task2A)values_PHI_dependent'!$O$9</f>
        <v>156.59902353521827</v>
      </c>
      <c r="AU15" s="62">
        <f t="shared" si="2"/>
        <v>912.20802949949837</v>
      </c>
      <c r="AV15" s="64">
        <v>750</v>
      </c>
      <c r="AW15" s="60">
        <f>($D15)*'Task2A)values_PHI_dependent'!$P$10</f>
        <v>137.85367596912187</v>
      </c>
      <c r="AX15" s="6">
        <f>$K15*'Task2A)values_PHI_dependent'!$R$10</f>
        <v>615.89065258722519</v>
      </c>
      <c r="AY15" s="6">
        <f>$R15*'Task2A)values_PHI_dependent'!$Q$10</f>
        <v>3.4464857264706925</v>
      </c>
      <c r="AZ15" s="61">
        <f>($Y15)*'Task2A)values_PHI_dependent'!$O$10</f>
        <v>155.01721521668071</v>
      </c>
      <c r="BC15" s="62">
        <f t="shared" si="3"/>
        <v>910.94279388124596</v>
      </c>
      <c r="BD15" s="64">
        <v>750</v>
      </c>
      <c r="BE15" s="60">
        <f>($D15)*'Task2A)values_PHI_dependent'!$P$11</f>
        <v>136.44700580617166</v>
      </c>
      <c r="BF15" s="6">
        <f>$K15*'Task2A)values_PHI_dependent'!$R$10</f>
        <v>615.89065258722519</v>
      </c>
      <c r="BG15" s="6">
        <f>$R15*'Task2A)values_PHI_dependent'!$Q$11</f>
        <v>5.1697285897060388</v>
      </c>
      <c r="BH15" s="61">
        <f>($Y15)*'Task2A)values_PHI_dependent'!$O$11</f>
        <v>153.43540689814313</v>
      </c>
    </row>
    <row r="16" spans="1:60" x14ac:dyDescent="0.3">
      <c r="A16">
        <v>800</v>
      </c>
      <c r="B16">
        <v>38.590000000000003</v>
      </c>
      <c r="C16">
        <v>18</v>
      </c>
      <c r="D16" s="52">
        <f t="shared" si="4"/>
        <v>17.643516750800291</v>
      </c>
      <c r="E16">
        <v>223.72</v>
      </c>
      <c r="F16">
        <v>60.56</v>
      </c>
      <c r="H16">
        <v>800</v>
      </c>
      <c r="I16">
        <v>31.39</v>
      </c>
      <c r="J16">
        <v>15.04</v>
      </c>
      <c r="K16" s="51">
        <f t="shared" si="5"/>
        <v>14.751634919364873</v>
      </c>
      <c r="L16">
        <v>220.92</v>
      </c>
      <c r="M16">
        <v>24.31</v>
      </c>
      <c r="O16">
        <v>800</v>
      </c>
      <c r="P16">
        <v>33.76</v>
      </c>
      <c r="Q16">
        <v>15.84</v>
      </c>
      <c r="R16" s="53">
        <f t="shared" si="6"/>
        <v>15.544547295356313</v>
      </c>
      <c r="S16">
        <v>235.82</v>
      </c>
      <c r="T16">
        <v>25.98</v>
      </c>
      <c r="V16">
        <v>800</v>
      </c>
      <c r="W16">
        <v>51.55</v>
      </c>
      <c r="X16">
        <v>22.81</v>
      </c>
      <c r="Y16" s="54">
        <f t="shared" si="7"/>
        <v>22.42320060407706</v>
      </c>
      <c r="Z16">
        <v>257.42</v>
      </c>
      <c r="AA16">
        <v>86.7</v>
      </c>
      <c r="AE16" s="62">
        <f t="shared" si="0"/>
        <v>1031.5040967999682</v>
      </c>
      <c r="AF16" s="64">
        <v>800</v>
      </c>
      <c r="AG16" s="60">
        <f>($D16)*'Task2A)values_PHI_dependent'!$T$2</f>
        <v>158.79165075720263</v>
      </c>
      <c r="AH16" s="6">
        <f>$K16*'Task2A)values_PHI_dependent'!$V$2</f>
        <v>693.32684121014904</v>
      </c>
      <c r="AI16" s="6">
        <f>$R16*'Task2A)values_PHI_dependent'!$U$2</f>
        <v>0</v>
      </c>
      <c r="AJ16" s="61">
        <f>($Y16)*'Task2A)values_PHI_dependent'!$S$2</f>
        <v>179.38560483261648</v>
      </c>
      <c r="AM16" s="62">
        <f t="shared" si="1"/>
        <v>1030.0653926559894</v>
      </c>
      <c r="AN16" s="64">
        <v>800</v>
      </c>
      <c r="AO16" s="60">
        <f>($D16)*'Task2A)values_PHI_dependent'!$P$9</f>
        <v>157.2037342496306</v>
      </c>
      <c r="AP16" s="6">
        <f>$K16*'Task2A)values_PHI_dependent'!$R$9</f>
        <v>693.32684121014904</v>
      </c>
      <c r="AQ16" s="6">
        <f>$R16*'Task2A)values_PHI_dependent'!$Q$9</f>
        <v>1.9430684119195392</v>
      </c>
      <c r="AR16" s="61">
        <f>($Y16)*'Task2A)values_PHI_dependent'!$O$9</f>
        <v>177.5917487842903</v>
      </c>
      <c r="AU16" s="62">
        <f t="shared" si="2"/>
        <v>1028.6266885120108</v>
      </c>
      <c r="AV16" s="64">
        <v>800</v>
      </c>
      <c r="AW16" s="60">
        <f>($D16)*'Task2A)values_PHI_dependent'!$P$10</f>
        <v>155.61581774205857</v>
      </c>
      <c r="AX16" s="6">
        <f>$K16*'Task2A)values_PHI_dependent'!$R$10</f>
        <v>693.32684121014904</v>
      </c>
      <c r="AY16" s="6">
        <f>$R16*'Task2A)values_PHI_dependent'!$Q$10</f>
        <v>3.8861368238390783</v>
      </c>
      <c r="AZ16" s="61">
        <f>($Y16)*'Task2A)values_PHI_dependent'!$O$10</f>
        <v>175.79789273596415</v>
      </c>
      <c r="BC16" s="62">
        <f t="shared" si="3"/>
        <v>1027.1879843680322</v>
      </c>
      <c r="BD16" s="64">
        <v>800</v>
      </c>
      <c r="BE16" s="60">
        <f>($D16)*'Task2A)values_PHI_dependent'!$P$11</f>
        <v>154.02790123448656</v>
      </c>
      <c r="BF16" s="6">
        <f>$K16*'Task2A)values_PHI_dependent'!$R$10</f>
        <v>693.32684121014904</v>
      </c>
      <c r="BG16" s="6">
        <f>$R16*'Task2A)values_PHI_dependent'!$Q$11</f>
        <v>5.8292052357586179</v>
      </c>
      <c r="BH16" s="61">
        <f>($Y16)*'Task2A)values_PHI_dependent'!$O$11</f>
        <v>174.00403668763798</v>
      </c>
    </row>
    <row r="17" spans="1:60" x14ac:dyDescent="0.3">
      <c r="A17">
        <v>850</v>
      </c>
      <c r="B17">
        <v>39.25</v>
      </c>
      <c r="C17">
        <v>19.95</v>
      </c>
      <c r="D17" s="52">
        <f t="shared" si="4"/>
        <v>19.700901186571574</v>
      </c>
      <c r="E17">
        <v>226.08</v>
      </c>
      <c r="F17">
        <v>58.59</v>
      </c>
      <c r="H17">
        <v>850</v>
      </c>
      <c r="I17">
        <v>31.76</v>
      </c>
      <c r="J17">
        <v>16.62</v>
      </c>
      <c r="K17" s="51">
        <f t="shared" si="5"/>
        <v>16.424308150474481</v>
      </c>
      <c r="L17">
        <v>222.83</v>
      </c>
      <c r="M17">
        <v>24.45</v>
      </c>
      <c r="O17">
        <v>850</v>
      </c>
      <c r="P17">
        <v>34.130000000000003</v>
      </c>
      <c r="Q17">
        <v>17.53</v>
      </c>
      <c r="R17" s="53">
        <f t="shared" si="6"/>
        <v>17.32903319937726</v>
      </c>
      <c r="S17">
        <v>237.88</v>
      </c>
      <c r="T17">
        <v>26.13</v>
      </c>
      <c r="V17">
        <v>850</v>
      </c>
      <c r="W17">
        <v>52.38</v>
      </c>
      <c r="X17">
        <v>25.41</v>
      </c>
      <c r="Y17" s="54">
        <f t="shared" si="7"/>
        <v>25.12904583957787</v>
      </c>
      <c r="Z17">
        <v>260.57</v>
      </c>
      <c r="AA17">
        <v>83.43</v>
      </c>
      <c r="AE17" s="62">
        <f t="shared" si="0"/>
        <v>1150.2829604680678</v>
      </c>
      <c r="AF17" s="64">
        <v>850</v>
      </c>
      <c r="AG17" s="60">
        <f>($D17)*'Task2A)values_PHI_dependent'!$T$2</f>
        <v>177.30811067914416</v>
      </c>
      <c r="AH17" s="6">
        <f>$K17*'Task2A)values_PHI_dependent'!$V$2</f>
        <v>771.94248307230055</v>
      </c>
      <c r="AI17" s="6">
        <f>$R17*'Task2A)values_PHI_dependent'!$U$2</f>
        <v>0</v>
      </c>
      <c r="AJ17" s="61">
        <f>($Y17)*'Task2A)values_PHI_dependent'!$S$2</f>
        <v>201.03236671662296</v>
      </c>
      <c r="AM17" s="62">
        <f t="shared" si="1"/>
        <v>1148.6656848440323</v>
      </c>
      <c r="AN17" s="64">
        <v>850</v>
      </c>
      <c r="AO17" s="60">
        <f>($D17)*'Task2A)values_PHI_dependent'!$P$9</f>
        <v>175.53502957235273</v>
      </c>
      <c r="AP17" s="6">
        <f>$K17*'Task2A)values_PHI_dependent'!$R$9</f>
        <v>771.94248307230055</v>
      </c>
      <c r="AQ17" s="6">
        <f>$R17*'Task2A)values_PHI_dependent'!$Q$9</f>
        <v>2.1661291499221575</v>
      </c>
      <c r="AR17" s="61">
        <f>($Y17)*'Task2A)values_PHI_dependent'!$O$9</f>
        <v>199.02204304945673</v>
      </c>
      <c r="AU17" s="62">
        <f t="shared" si="2"/>
        <v>1147.0484092199968</v>
      </c>
      <c r="AV17" s="64">
        <v>850</v>
      </c>
      <c r="AW17" s="60">
        <f>($D17)*'Task2A)values_PHI_dependent'!$P$10</f>
        <v>173.76194846556129</v>
      </c>
      <c r="AX17" s="6">
        <f>$K17*'Task2A)values_PHI_dependent'!$R$10</f>
        <v>771.94248307230055</v>
      </c>
      <c r="AY17" s="6">
        <f>$R17*'Task2A)values_PHI_dependent'!$Q$10</f>
        <v>4.3322582998443151</v>
      </c>
      <c r="AZ17" s="61">
        <f>($Y17)*'Task2A)values_PHI_dependent'!$O$10</f>
        <v>197.01171938229049</v>
      </c>
      <c r="BC17" s="62">
        <f t="shared" si="3"/>
        <v>1145.4311335959612</v>
      </c>
      <c r="BD17" s="64">
        <v>850</v>
      </c>
      <c r="BE17" s="60">
        <f>($D17)*'Task2A)values_PHI_dependent'!$P$11</f>
        <v>171.98886735876985</v>
      </c>
      <c r="BF17" s="6">
        <f>$K17*'Task2A)values_PHI_dependent'!$R$10</f>
        <v>771.94248307230055</v>
      </c>
      <c r="BG17" s="6">
        <f>$R17*'Task2A)values_PHI_dependent'!$Q$11</f>
        <v>6.4983874497664722</v>
      </c>
      <c r="BH17" s="61">
        <f>($Y17)*'Task2A)values_PHI_dependent'!$O$11</f>
        <v>195.00139571512426</v>
      </c>
    </row>
    <row r="18" spans="1:60" x14ac:dyDescent="0.3">
      <c r="A18">
        <v>900</v>
      </c>
      <c r="B18">
        <v>39.93</v>
      </c>
      <c r="C18">
        <v>21.93</v>
      </c>
      <c r="D18" s="52">
        <f t="shared" si="4"/>
        <v>21.793570806519451</v>
      </c>
      <c r="E18">
        <v>228.34</v>
      </c>
      <c r="F18">
        <v>56.85</v>
      </c>
      <c r="H18">
        <v>900</v>
      </c>
      <c r="I18">
        <v>32.130000000000003</v>
      </c>
      <c r="J18">
        <v>18.22</v>
      </c>
      <c r="K18" s="51">
        <f t="shared" si="5"/>
        <v>18.114437417250222</v>
      </c>
      <c r="L18">
        <v>224.66</v>
      </c>
      <c r="M18">
        <v>24.59</v>
      </c>
      <c r="O18">
        <v>900</v>
      </c>
      <c r="P18">
        <v>34.450000000000003</v>
      </c>
      <c r="Q18">
        <v>19.25</v>
      </c>
      <c r="R18" s="53">
        <f t="shared" si="6"/>
        <v>19.130804761297554</v>
      </c>
      <c r="S18">
        <v>239.84</v>
      </c>
      <c r="T18">
        <v>26.28</v>
      </c>
      <c r="V18">
        <v>900</v>
      </c>
      <c r="W18">
        <v>53.13</v>
      </c>
      <c r="X18">
        <v>28.05</v>
      </c>
      <c r="Y18" s="54">
        <f t="shared" si="7"/>
        <v>27.877212717947806</v>
      </c>
      <c r="Z18">
        <v>263.58999999999997</v>
      </c>
      <c r="AA18">
        <v>80.55</v>
      </c>
      <c r="AE18" s="62">
        <f t="shared" si="0"/>
        <v>1270.5383976130179</v>
      </c>
      <c r="AF18" s="64">
        <v>900</v>
      </c>
      <c r="AG18" s="60">
        <f>($D18)*'Task2A)values_PHI_dependent'!$T$2</f>
        <v>196.14213725867506</v>
      </c>
      <c r="AH18" s="6">
        <f>$K18*'Task2A)values_PHI_dependent'!$V$2</f>
        <v>851.37855861076048</v>
      </c>
      <c r="AI18" s="6">
        <f>$R18*'Task2A)values_PHI_dependent'!$U$2</f>
        <v>0</v>
      </c>
      <c r="AJ18" s="61">
        <f>($Y18)*'Task2A)values_PHI_dependent'!$S$2</f>
        <v>223.01770174358245</v>
      </c>
      <c r="AM18" s="62">
        <f t="shared" si="1"/>
        <v>1268.7381498181576</v>
      </c>
      <c r="AN18" s="64">
        <v>900</v>
      </c>
      <c r="AO18" s="60">
        <f>($D18)*'Task2A)values_PHI_dependent'!$P$9</f>
        <v>194.18071588608831</v>
      </c>
      <c r="AP18" s="6">
        <f>$K18*'Task2A)values_PHI_dependent'!$R$9</f>
        <v>851.37855861076048</v>
      </c>
      <c r="AQ18" s="6">
        <f>$R18*'Task2A)values_PHI_dependent'!$Q$9</f>
        <v>2.3913505951621943</v>
      </c>
      <c r="AR18" s="61">
        <f>($Y18)*'Task2A)values_PHI_dependent'!$O$9</f>
        <v>220.78752472614661</v>
      </c>
      <c r="AU18" s="62">
        <f t="shared" si="2"/>
        <v>1266.9379020232971</v>
      </c>
      <c r="AV18" s="64">
        <v>900</v>
      </c>
      <c r="AW18" s="60">
        <f>($D18)*'Task2A)values_PHI_dependent'!$P$10</f>
        <v>192.21929451350155</v>
      </c>
      <c r="AX18" s="6">
        <f>$K18*'Task2A)values_PHI_dependent'!$R$10</f>
        <v>851.37855861076048</v>
      </c>
      <c r="AY18" s="6">
        <f>$R18*'Task2A)values_PHI_dependent'!$Q$10</f>
        <v>4.7827011903243886</v>
      </c>
      <c r="AZ18" s="61">
        <f>($Y18)*'Task2A)values_PHI_dependent'!$O$10</f>
        <v>218.55734770871081</v>
      </c>
      <c r="BC18" s="62">
        <f t="shared" si="3"/>
        <v>1265.1376542284368</v>
      </c>
      <c r="BD18" s="64">
        <v>900</v>
      </c>
      <c r="BE18" s="60">
        <f>($D18)*'Task2A)values_PHI_dependent'!$P$11</f>
        <v>190.25787314091482</v>
      </c>
      <c r="BF18" s="6">
        <f>$K18*'Task2A)values_PHI_dependent'!$R$10</f>
        <v>851.37855861076048</v>
      </c>
      <c r="BG18" s="6">
        <f>$R18*'Task2A)values_PHI_dependent'!$Q$11</f>
        <v>7.1740517854865828</v>
      </c>
      <c r="BH18" s="61">
        <f>($Y18)*'Task2A)values_PHI_dependent'!$O$11</f>
        <v>216.32717069127497</v>
      </c>
    </row>
    <row r="19" spans="1:60" x14ac:dyDescent="0.3">
      <c r="A19">
        <v>950</v>
      </c>
      <c r="B19">
        <v>40.619999999999997</v>
      </c>
      <c r="C19">
        <v>23.94</v>
      </c>
      <c r="D19" s="52">
        <f t="shared" si="4"/>
        <v>23.914853757366654</v>
      </c>
      <c r="E19">
        <v>230.52</v>
      </c>
      <c r="F19">
        <v>55.31</v>
      </c>
      <c r="H19">
        <v>950</v>
      </c>
      <c r="I19">
        <v>32.47</v>
      </c>
      <c r="J19">
        <v>19.84</v>
      </c>
      <c r="K19" s="51">
        <f t="shared" si="5"/>
        <v>19.815841924262031</v>
      </c>
      <c r="L19">
        <v>226.4</v>
      </c>
      <c r="M19">
        <v>24.72</v>
      </c>
      <c r="O19">
        <v>950</v>
      </c>
      <c r="P19">
        <v>34.729999999999997</v>
      </c>
      <c r="Q19">
        <v>20.98</v>
      </c>
      <c r="R19" s="53">
        <f t="shared" si="6"/>
        <v>20.942904569627466</v>
      </c>
      <c r="S19">
        <v>241.71</v>
      </c>
      <c r="T19">
        <v>26.42</v>
      </c>
      <c r="V19">
        <v>950</v>
      </c>
      <c r="W19">
        <v>53.79</v>
      </c>
      <c r="X19">
        <v>30.72</v>
      </c>
      <c r="Y19" s="54">
        <f t="shared" si="7"/>
        <v>30.657009616075264</v>
      </c>
      <c r="Z19">
        <v>266.48</v>
      </c>
      <c r="AA19">
        <v>77.989999999999995</v>
      </c>
      <c r="AE19" s="62">
        <f t="shared" si="0"/>
        <v>1391.8343311852175</v>
      </c>
      <c r="AF19" s="64">
        <v>950</v>
      </c>
      <c r="AG19" s="60">
        <f>($D19)*'Task2A)values_PHI_dependent'!$T$2</f>
        <v>215.23368381629987</v>
      </c>
      <c r="AH19" s="6">
        <f>$K19*'Task2A)values_PHI_dependent'!$V$2</f>
        <v>931.34457044031547</v>
      </c>
      <c r="AI19" s="6">
        <f>$R19*'Task2A)values_PHI_dependent'!$U$2</f>
        <v>0</v>
      </c>
      <c r="AJ19" s="61">
        <f>($Y19)*'Task2A)values_PHI_dependent'!$S$2</f>
        <v>245.25607692860211</v>
      </c>
      <c r="AM19" s="62">
        <f t="shared" si="1"/>
        <v>1389.8472966489719</v>
      </c>
      <c r="AN19" s="64">
        <v>950</v>
      </c>
      <c r="AO19" s="60">
        <f>($D19)*'Task2A)values_PHI_dependent'!$P$9</f>
        <v>213.08134697813688</v>
      </c>
      <c r="AP19" s="6">
        <f>$K19*'Task2A)values_PHI_dependent'!$R$9</f>
        <v>931.34457044031547</v>
      </c>
      <c r="AQ19" s="6">
        <f>$R19*'Task2A)values_PHI_dependent'!$Q$9</f>
        <v>2.6178630712034332</v>
      </c>
      <c r="AR19" s="61">
        <f>($Y19)*'Task2A)values_PHI_dependent'!$O$9</f>
        <v>242.8035161593161</v>
      </c>
      <c r="AU19" s="62">
        <f t="shared" si="2"/>
        <v>1387.8602621127263</v>
      </c>
      <c r="AV19" s="64">
        <v>950</v>
      </c>
      <c r="AW19" s="60">
        <f>($D19)*'Task2A)values_PHI_dependent'!$P$10</f>
        <v>210.92901013997388</v>
      </c>
      <c r="AX19" s="6">
        <f>$K19*'Task2A)values_PHI_dependent'!$R$10</f>
        <v>931.34457044031547</v>
      </c>
      <c r="AY19" s="6">
        <f>$R19*'Task2A)values_PHI_dependent'!$Q$10</f>
        <v>5.2357261424068664</v>
      </c>
      <c r="AZ19" s="61">
        <f>($Y19)*'Task2A)values_PHI_dependent'!$O$10</f>
        <v>240.35095539003007</v>
      </c>
      <c r="BC19" s="62">
        <f t="shared" si="3"/>
        <v>1385.8732275764808</v>
      </c>
      <c r="BD19" s="64">
        <v>950</v>
      </c>
      <c r="BE19" s="60">
        <f>($D19)*'Task2A)values_PHI_dependent'!$P$11</f>
        <v>208.77667330181089</v>
      </c>
      <c r="BF19" s="6">
        <f>$K19*'Task2A)values_PHI_dependent'!$R$10</f>
        <v>931.34457044031547</v>
      </c>
      <c r="BG19" s="6">
        <f>$R19*'Task2A)values_PHI_dependent'!$Q$11</f>
        <v>7.8535892136102996</v>
      </c>
      <c r="BH19" s="61">
        <f>($Y19)*'Task2A)values_PHI_dependent'!$O$11</f>
        <v>237.89839462074406</v>
      </c>
    </row>
    <row r="20" spans="1:60" x14ac:dyDescent="0.3">
      <c r="A20" s="43">
        <v>1000</v>
      </c>
      <c r="B20">
        <v>41.31</v>
      </c>
      <c r="C20">
        <v>25.99</v>
      </c>
      <c r="D20" s="52">
        <f t="shared" si="4"/>
        <v>26.059492054670013</v>
      </c>
      <c r="E20">
        <v>232.62</v>
      </c>
      <c r="F20">
        <v>53.94</v>
      </c>
      <c r="H20" s="43">
        <v>1000</v>
      </c>
      <c r="I20">
        <v>32.76</v>
      </c>
      <c r="J20">
        <v>21.47</v>
      </c>
      <c r="K20" s="51">
        <f t="shared" si="5"/>
        <v>21.523649364809998</v>
      </c>
      <c r="L20">
        <v>228.08</v>
      </c>
      <c r="M20">
        <v>24.85</v>
      </c>
      <c r="O20" s="43">
        <v>1000</v>
      </c>
      <c r="P20">
        <v>34.93</v>
      </c>
      <c r="Q20">
        <v>22.72</v>
      </c>
      <c r="R20" s="53">
        <f t="shared" si="6"/>
        <v>22.759848202689998</v>
      </c>
      <c r="S20">
        <v>243.49</v>
      </c>
      <c r="T20">
        <v>26.55</v>
      </c>
      <c r="V20" s="43">
        <v>1000</v>
      </c>
      <c r="W20">
        <v>54.36</v>
      </c>
      <c r="X20">
        <v>33.42</v>
      </c>
      <c r="Y20" s="54">
        <f t="shared" si="7"/>
        <v>33.459760060130023</v>
      </c>
      <c r="Z20">
        <v>269.25</v>
      </c>
      <c r="AA20">
        <v>75.7</v>
      </c>
      <c r="AE20" s="62">
        <f t="shared" si="0"/>
        <v>1513.8250291191403</v>
      </c>
      <c r="AF20" s="64">
        <v>1000</v>
      </c>
      <c r="AG20" s="60">
        <f>($D20)*'Task2A)values_PHI_dependent'!$T$2</f>
        <v>234.53542849203012</v>
      </c>
      <c r="AH20" s="6">
        <f>$K20*'Task2A)values_PHI_dependent'!$V$2</f>
        <v>1011.6115201460699</v>
      </c>
      <c r="AI20" s="6">
        <f>$R20*'Task2A)values_PHI_dependent'!$U$2</f>
        <v>0</v>
      </c>
      <c r="AJ20" s="61">
        <f>($Y20)*'Task2A)values_PHI_dependent'!$S$2</f>
        <v>267.67808048104018</v>
      </c>
      <c r="AM20" s="62">
        <f t="shared" si="1"/>
        <v>1511.6478750547458</v>
      </c>
      <c r="AN20" s="64">
        <v>1000</v>
      </c>
      <c r="AO20" s="60">
        <f>($D20)*'Task2A)values_PHI_dependent'!$P$9</f>
        <v>232.19007420710983</v>
      </c>
      <c r="AP20" s="6">
        <f>$K20*'Task2A)values_PHI_dependent'!$R$9</f>
        <v>1011.6115201460699</v>
      </c>
      <c r="AQ20" s="6">
        <f>$R20*'Task2A)values_PHI_dependent'!$Q$9</f>
        <v>2.8449810253362497</v>
      </c>
      <c r="AR20" s="61">
        <f>($Y20)*'Task2A)values_PHI_dependent'!$O$9</f>
        <v>265.00129967622979</v>
      </c>
      <c r="AU20" s="62">
        <f t="shared" si="2"/>
        <v>1509.4707209903513</v>
      </c>
      <c r="AV20" s="64">
        <v>1000</v>
      </c>
      <c r="AW20" s="60">
        <f>($D20)*'Task2A)values_PHI_dependent'!$P$10</f>
        <v>229.84471992218951</v>
      </c>
      <c r="AX20" s="6">
        <f>$K20*'Task2A)values_PHI_dependent'!$R$10</f>
        <v>1011.6115201460699</v>
      </c>
      <c r="AY20" s="6">
        <f>$R20*'Task2A)values_PHI_dependent'!$Q$10</f>
        <v>5.6899620506724995</v>
      </c>
      <c r="AZ20" s="61">
        <f>($Y20)*'Task2A)values_PHI_dependent'!$O$10</f>
        <v>262.3245188714194</v>
      </c>
      <c r="BC20" s="62">
        <f t="shared" si="3"/>
        <v>1507.2935669259571</v>
      </c>
      <c r="BD20" s="64">
        <v>1000</v>
      </c>
      <c r="BE20" s="60">
        <f>($D20)*'Task2A)values_PHI_dependent'!$P$11</f>
        <v>227.49936563726922</v>
      </c>
      <c r="BF20" s="6">
        <f>$K20*'Task2A)values_PHI_dependent'!$R$10</f>
        <v>1011.6115201460699</v>
      </c>
      <c r="BG20" s="6">
        <f>$R20*'Task2A)values_PHI_dependent'!$Q$11</f>
        <v>8.5349430760087497</v>
      </c>
      <c r="BH20" s="61">
        <f>($Y20)*'Task2A)values_PHI_dependent'!$O$11</f>
        <v>259.64773806660895</v>
      </c>
    </row>
    <row r="21" spans="1:60" x14ac:dyDescent="0.3">
      <c r="A21" s="43">
        <v>1050</v>
      </c>
      <c r="B21">
        <v>41.99</v>
      </c>
      <c r="C21">
        <v>28.07</v>
      </c>
      <c r="D21" s="52">
        <f t="shared" si="4"/>
        <v>28.223483808934535</v>
      </c>
      <c r="E21">
        <v>234.65</v>
      </c>
      <c r="F21">
        <v>52.71</v>
      </c>
      <c r="H21" s="43">
        <v>1050</v>
      </c>
      <c r="I21">
        <v>33.01</v>
      </c>
      <c r="J21">
        <v>23.11</v>
      </c>
      <c r="K21" s="51">
        <f t="shared" si="5"/>
        <v>23.234153170849673</v>
      </c>
      <c r="L21">
        <v>229.68</v>
      </c>
      <c r="M21">
        <v>24.98</v>
      </c>
      <c r="O21" s="43">
        <v>1050</v>
      </c>
      <c r="P21">
        <v>35.1</v>
      </c>
      <c r="Q21">
        <v>24.47</v>
      </c>
      <c r="R21" s="53">
        <f t="shared" si="6"/>
        <v>24.577466081083561</v>
      </c>
      <c r="S21">
        <v>245.2</v>
      </c>
      <c r="T21">
        <v>26.69</v>
      </c>
      <c r="V21" s="43">
        <v>1050</v>
      </c>
      <c r="W21">
        <v>54.86</v>
      </c>
      <c r="X21">
        <v>36.15</v>
      </c>
      <c r="Y21" s="54">
        <f t="shared" si="7"/>
        <v>36.278592176821746</v>
      </c>
      <c r="Z21">
        <v>271.92</v>
      </c>
      <c r="AA21">
        <v>73.64</v>
      </c>
      <c r="AE21" s="62">
        <f t="shared" si="0"/>
        <v>1636.2452907249194</v>
      </c>
      <c r="AF21" s="64">
        <v>1050</v>
      </c>
      <c r="AG21" s="60">
        <f>($D21)*'Task2A)values_PHI_dependent'!$T$2</f>
        <v>254.01135428041081</v>
      </c>
      <c r="AH21" s="6">
        <f>$K21*'Task2A)values_PHI_dependent'!$V$2</f>
        <v>1092.0051990299346</v>
      </c>
      <c r="AI21" s="6">
        <f>$R21*'Task2A)values_PHI_dependent'!$U$2</f>
        <v>0</v>
      </c>
      <c r="AJ21" s="61">
        <f>($Y21)*'Task2A)values_PHI_dependent'!$S$2</f>
        <v>290.22873741457397</v>
      </c>
      <c r="AM21" s="62">
        <f t="shared" si="1"/>
        <v>1633.8750730681049</v>
      </c>
      <c r="AN21" s="64">
        <v>1050</v>
      </c>
      <c r="AO21" s="60">
        <f>($D21)*'Task2A)values_PHI_dependent'!$P$9</f>
        <v>251.47124073760671</v>
      </c>
      <c r="AP21" s="6">
        <f>$K21*'Task2A)values_PHI_dependent'!$R$9</f>
        <v>1092.0051990299346</v>
      </c>
      <c r="AQ21" s="6">
        <f>$R21*'Task2A)values_PHI_dependent'!$Q$9</f>
        <v>3.0721832601354451</v>
      </c>
      <c r="AR21" s="61">
        <f>($Y21)*'Task2A)values_PHI_dependent'!$O$9</f>
        <v>287.32645004042826</v>
      </c>
      <c r="AU21" s="62">
        <f t="shared" si="2"/>
        <v>1631.5048554112907</v>
      </c>
      <c r="AV21" s="64">
        <v>1050</v>
      </c>
      <c r="AW21" s="60">
        <f>($D21)*'Task2A)values_PHI_dependent'!$P$10</f>
        <v>248.9311271948026</v>
      </c>
      <c r="AX21" s="6">
        <f>$K21*'Task2A)values_PHI_dependent'!$R$10</f>
        <v>1092.0051990299346</v>
      </c>
      <c r="AY21" s="6">
        <f>$R21*'Task2A)values_PHI_dependent'!$Q$10</f>
        <v>6.1443665202708901</v>
      </c>
      <c r="AZ21" s="61">
        <f>($Y21)*'Task2A)values_PHI_dependent'!$O$10</f>
        <v>284.42416266628248</v>
      </c>
      <c r="BC21" s="62">
        <f t="shared" si="3"/>
        <v>1629.134637754476</v>
      </c>
      <c r="BD21" s="64">
        <v>1050</v>
      </c>
      <c r="BE21" s="60">
        <f>($D21)*'Task2A)values_PHI_dependent'!$P$11</f>
        <v>246.39101365199849</v>
      </c>
      <c r="BF21" s="6">
        <f>$K21*'Task2A)values_PHI_dependent'!$R$10</f>
        <v>1092.0051990299346</v>
      </c>
      <c r="BG21" s="6">
        <f>$R21*'Task2A)values_PHI_dependent'!$Q$11</f>
        <v>9.2165497804063357</v>
      </c>
      <c r="BH21" s="61">
        <f>($Y21)*'Task2A)values_PHI_dependent'!$O$11</f>
        <v>281.52187529213677</v>
      </c>
    </row>
    <row r="22" spans="1:60" x14ac:dyDescent="0.3">
      <c r="A22" s="43">
        <v>1100</v>
      </c>
      <c r="B22">
        <v>42.64</v>
      </c>
      <c r="C22">
        <v>30.19</v>
      </c>
      <c r="D22" s="52">
        <f t="shared" si="4"/>
        <v>30.403932933749044</v>
      </c>
      <c r="E22">
        <v>236.62</v>
      </c>
      <c r="F22">
        <v>51.6</v>
      </c>
      <c r="H22" s="43">
        <v>1100</v>
      </c>
      <c r="I22">
        <v>33.26</v>
      </c>
      <c r="J22">
        <v>24.77</v>
      </c>
      <c r="K22" s="51">
        <f t="shared" si="5"/>
        <v>24.94467644278744</v>
      </c>
      <c r="L22">
        <v>231.22</v>
      </c>
      <c r="M22">
        <v>25.1</v>
      </c>
      <c r="O22" s="43">
        <v>1100</v>
      </c>
      <c r="P22">
        <v>35.270000000000003</v>
      </c>
      <c r="Q22">
        <v>26.23</v>
      </c>
      <c r="R22" s="53">
        <f t="shared" si="6"/>
        <v>26.392752627952046</v>
      </c>
      <c r="S22">
        <v>246.84</v>
      </c>
      <c r="T22">
        <v>26.82</v>
      </c>
      <c r="V22" s="43">
        <v>1100</v>
      </c>
      <c r="W22">
        <v>55.33</v>
      </c>
      <c r="X22">
        <v>38.909999999999997</v>
      </c>
      <c r="Y22" s="54">
        <f t="shared" si="7"/>
        <v>39.108237793799084</v>
      </c>
      <c r="Z22">
        <v>274.48</v>
      </c>
      <c r="AA22">
        <v>71.790000000000006</v>
      </c>
      <c r="AE22" s="62">
        <f t="shared" si="0"/>
        <v>1758.9010915651438</v>
      </c>
      <c r="AF22" s="64">
        <v>1100</v>
      </c>
      <c r="AG22" s="60">
        <f>($D22)*'Task2A)values_PHI_dependent'!$T$2</f>
        <v>273.63539640374137</v>
      </c>
      <c r="AH22" s="6">
        <f>$K22*'Task2A)values_PHI_dependent'!$V$2</f>
        <v>1172.3997928110098</v>
      </c>
      <c r="AI22" s="6">
        <f>$R22*'Task2A)values_PHI_dependent'!$U$2</f>
        <v>0</v>
      </c>
      <c r="AJ22" s="61">
        <f>($Y22)*'Task2A)values_PHI_dependent'!$S$2</f>
        <v>312.86590235039267</v>
      </c>
      <c r="AM22" s="62">
        <f t="shared" si="1"/>
        <v>1756.3351726560963</v>
      </c>
      <c r="AN22" s="64">
        <v>1100</v>
      </c>
      <c r="AO22" s="60">
        <f>($D22)*'Task2A)values_PHI_dependent'!$P$9</f>
        <v>270.89904243970398</v>
      </c>
      <c r="AP22" s="6">
        <f>$K22*'Task2A)values_PHI_dependent'!$R$9</f>
        <v>1172.3997928110098</v>
      </c>
      <c r="AQ22" s="6">
        <f>$R22*'Task2A)values_PHI_dependent'!$Q$9</f>
        <v>3.2990940784940057</v>
      </c>
      <c r="AR22" s="61">
        <f>($Y22)*'Task2A)values_PHI_dependent'!$O$9</f>
        <v>309.73724332688874</v>
      </c>
      <c r="AU22" s="62">
        <f t="shared" si="2"/>
        <v>1753.7692537470491</v>
      </c>
      <c r="AV22" s="64">
        <v>1100</v>
      </c>
      <c r="AW22" s="60">
        <f>($D22)*'Task2A)values_PHI_dependent'!$P$10</f>
        <v>268.16268847566658</v>
      </c>
      <c r="AX22" s="6">
        <f>$K22*'Task2A)values_PHI_dependent'!$R$10</f>
        <v>1172.3997928110098</v>
      </c>
      <c r="AY22" s="6">
        <f>$R22*'Task2A)values_PHI_dependent'!$Q$10</f>
        <v>6.5981881569880114</v>
      </c>
      <c r="AZ22" s="61">
        <f>($Y22)*'Task2A)values_PHI_dependent'!$O$10</f>
        <v>306.60858430338482</v>
      </c>
      <c r="BC22" s="62">
        <f t="shared" si="3"/>
        <v>1751.2033348380019</v>
      </c>
      <c r="BD22" s="64">
        <v>1100</v>
      </c>
      <c r="BE22" s="60">
        <f>($D22)*'Task2A)values_PHI_dependent'!$P$11</f>
        <v>265.42633451162914</v>
      </c>
      <c r="BF22" s="6">
        <f>$K22*'Task2A)values_PHI_dependent'!$R$10</f>
        <v>1172.3997928110098</v>
      </c>
      <c r="BG22" s="6">
        <f>$R22*'Task2A)values_PHI_dependent'!$Q$11</f>
        <v>9.8972822354820167</v>
      </c>
      <c r="BH22" s="61">
        <f>($Y22)*'Task2A)values_PHI_dependent'!$O$11</f>
        <v>303.47992527988089</v>
      </c>
    </row>
    <row r="23" spans="1:60" x14ac:dyDescent="0.3">
      <c r="A23" s="43">
        <v>1150</v>
      </c>
      <c r="B23">
        <v>43.26</v>
      </c>
      <c r="C23">
        <v>32.340000000000003</v>
      </c>
      <c r="D23" s="52">
        <f t="shared" si="4"/>
        <v>32.598906335943617</v>
      </c>
      <c r="E23">
        <v>238.53</v>
      </c>
      <c r="F23">
        <v>50.6</v>
      </c>
      <c r="H23" s="43">
        <v>1150</v>
      </c>
      <c r="I23">
        <v>33.49</v>
      </c>
      <c r="J23">
        <v>26.44</v>
      </c>
      <c r="K23" s="51">
        <f t="shared" si="5"/>
        <v>26.653442559145809</v>
      </c>
      <c r="L23">
        <v>232.71</v>
      </c>
      <c r="M23">
        <v>25.22</v>
      </c>
      <c r="O23" s="43">
        <v>1150</v>
      </c>
      <c r="P23">
        <v>35.43</v>
      </c>
      <c r="Q23">
        <v>28</v>
      </c>
      <c r="R23" s="53">
        <f t="shared" si="6"/>
        <v>28.203722737062964</v>
      </c>
      <c r="S23">
        <v>248.41</v>
      </c>
      <c r="T23">
        <v>26.95</v>
      </c>
      <c r="V23" s="43">
        <v>1150</v>
      </c>
      <c r="W23">
        <v>55.78</v>
      </c>
      <c r="X23">
        <v>41.69</v>
      </c>
      <c r="Y23" s="54">
        <f t="shared" si="7"/>
        <v>41.944841189188665</v>
      </c>
      <c r="Z23">
        <v>276.95</v>
      </c>
      <c r="AA23">
        <v>70.11</v>
      </c>
      <c r="AE23" s="62">
        <f t="shared" si="0"/>
        <v>1881.6606868168546</v>
      </c>
      <c r="AF23" s="64">
        <v>1150</v>
      </c>
      <c r="AG23" s="60">
        <f>($D23)*'Task2A)values_PHI_dependent'!$T$2</f>
        <v>293.39015702349258</v>
      </c>
      <c r="AH23" s="6">
        <f>$K23*'Task2A)values_PHI_dependent'!$V$2</f>
        <v>1252.7118002798529</v>
      </c>
      <c r="AI23" s="6">
        <f>$R23*'Task2A)values_PHI_dependent'!$U$2</f>
        <v>0</v>
      </c>
      <c r="AJ23" s="61">
        <f>($Y23)*'Task2A)values_PHI_dependent'!$S$2</f>
        <v>335.55872951350932</v>
      </c>
      <c r="AM23" s="62">
        <f t="shared" si="1"/>
        <v>1878.8966632936178</v>
      </c>
      <c r="AN23" s="64">
        <v>1150</v>
      </c>
      <c r="AO23" s="60">
        <f>($D23)*'Task2A)values_PHI_dependent'!$P$9</f>
        <v>290.45625545325765</v>
      </c>
      <c r="AP23" s="6">
        <f>$K23*'Task2A)values_PHI_dependent'!$R$9</f>
        <v>1252.7118002798529</v>
      </c>
      <c r="AQ23" s="6">
        <f>$R23*'Task2A)values_PHI_dependent'!$Q$9</f>
        <v>3.5254653421328705</v>
      </c>
      <c r="AR23" s="61">
        <f>($Y23)*'Task2A)values_PHI_dependent'!$O$9</f>
        <v>332.20314221837424</v>
      </c>
      <c r="AU23" s="62">
        <f t="shared" si="2"/>
        <v>1876.1326397703806</v>
      </c>
      <c r="AV23" s="64">
        <v>1150</v>
      </c>
      <c r="AW23" s="60">
        <f>($D23)*'Task2A)values_PHI_dependent'!$P$10</f>
        <v>287.52235388302273</v>
      </c>
      <c r="AX23" s="6">
        <f>$K23*'Task2A)values_PHI_dependent'!$R$10</f>
        <v>1252.7118002798529</v>
      </c>
      <c r="AY23" s="6">
        <f>$R23*'Task2A)values_PHI_dependent'!$Q$10</f>
        <v>7.0509306842657411</v>
      </c>
      <c r="AZ23" s="61">
        <f>($Y23)*'Task2A)values_PHI_dependent'!$O$10</f>
        <v>328.8475549232391</v>
      </c>
      <c r="BC23" s="62">
        <f t="shared" si="3"/>
        <v>1873.3686162471436</v>
      </c>
      <c r="BD23" s="64">
        <v>1150</v>
      </c>
      <c r="BE23" s="60">
        <f>($D23)*'Task2A)values_PHI_dependent'!$P$11</f>
        <v>284.58845231278781</v>
      </c>
      <c r="BF23" s="6">
        <f>$K23*'Task2A)values_PHI_dependent'!$R$10</f>
        <v>1252.7118002798529</v>
      </c>
      <c r="BG23" s="6">
        <f>$R23*'Task2A)values_PHI_dependent'!$Q$11</f>
        <v>10.576396026398612</v>
      </c>
      <c r="BH23" s="61">
        <f>($Y23)*'Task2A)values_PHI_dependent'!$O$11</f>
        <v>325.49196762810402</v>
      </c>
    </row>
    <row r="24" spans="1:60" x14ac:dyDescent="0.3">
      <c r="A24" s="43">
        <v>1200</v>
      </c>
      <c r="B24">
        <v>43.87</v>
      </c>
      <c r="C24">
        <v>34.520000000000003</v>
      </c>
      <c r="D24" s="52">
        <f t="shared" si="4"/>
        <v>34.807298587768443</v>
      </c>
      <c r="E24">
        <v>240.39</v>
      </c>
      <c r="F24">
        <v>49.69</v>
      </c>
      <c r="H24" s="43">
        <v>1200</v>
      </c>
      <c r="I24">
        <v>33.71</v>
      </c>
      <c r="J24">
        <v>28.12</v>
      </c>
      <c r="K24" s="51">
        <f t="shared" si="5"/>
        <v>28.359452466098546</v>
      </c>
      <c r="L24">
        <v>234.14</v>
      </c>
      <c r="M24">
        <v>25.34</v>
      </c>
      <c r="O24" s="43">
        <v>1200</v>
      </c>
      <c r="P24">
        <v>35.590000000000003</v>
      </c>
      <c r="Q24">
        <v>29.77</v>
      </c>
      <c r="R24" s="53">
        <f t="shared" si="6"/>
        <v>30.009275548693171</v>
      </c>
      <c r="S24">
        <v>249.92</v>
      </c>
      <c r="T24">
        <v>27.08</v>
      </c>
      <c r="V24" s="43">
        <v>1200</v>
      </c>
      <c r="W24">
        <v>56.2</v>
      </c>
      <c r="X24">
        <v>44.49</v>
      </c>
      <c r="Y24" s="54">
        <f t="shared" si="7"/>
        <v>44.785777490273972</v>
      </c>
      <c r="Z24">
        <v>279.33</v>
      </c>
      <c r="AA24">
        <v>68.58</v>
      </c>
      <c r="AE24" s="62">
        <f t="shared" si="0"/>
        <v>2004.4461731187396</v>
      </c>
      <c r="AF24" s="64">
        <v>1200</v>
      </c>
      <c r="AG24" s="60">
        <f>($D24)*'Task2A)values_PHI_dependent'!$T$2</f>
        <v>313.265687289916</v>
      </c>
      <c r="AH24" s="6">
        <f>$K24*'Task2A)values_PHI_dependent'!$V$2</f>
        <v>1332.8942659066317</v>
      </c>
      <c r="AI24" s="6">
        <f>$R24*'Task2A)values_PHI_dependent'!$U$2</f>
        <v>0</v>
      </c>
      <c r="AJ24" s="61">
        <f>($Y24)*'Task2A)values_PHI_dependent'!$S$2</f>
        <v>358.28621992219178</v>
      </c>
      <c r="AM24" s="62">
        <f t="shared" si="1"/>
        <v>2001.481813490205</v>
      </c>
      <c r="AN24" s="64">
        <v>1200</v>
      </c>
      <c r="AO24" s="60">
        <f>($D24)*'Task2A)values_PHI_dependent'!$P$9</f>
        <v>310.13303041701681</v>
      </c>
      <c r="AP24" s="6">
        <f>$K24*'Task2A)values_PHI_dependent'!$R$9</f>
        <v>1332.8942659066317</v>
      </c>
      <c r="AQ24" s="6">
        <f>$R24*'Task2A)values_PHI_dependent'!$Q$9</f>
        <v>3.7511594435866464</v>
      </c>
      <c r="AR24" s="61">
        <f>($Y24)*'Task2A)values_PHI_dependent'!$O$9</f>
        <v>354.70335772296988</v>
      </c>
      <c r="AU24" s="62">
        <f t="shared" si="2"/>
        <v>1998.5174538616704</v>
      </c>
      <c r="AV24" s="64">
        <v>1200</v>
      </c>
      <c r="AW24" s="60">
        <f>($D24)*'Task2A)values_PHI_dependent'!$P$10</f>
        <v>307.00037354411768</v>
      </c>
      <c r="AX24" s="6">
        <f>$K24*'Task2A)values_PHI_dependent'!$R$10</f>
        <v>1332.8942659066317</v>
      </c>
      <c r="AY24" s="6">
        <f>$R24*'Task2A)values_PHI_dependent'!$Q$10</f>
        <v>7.5023188871732929</v>
      </c>
      <c r="AZ24" s="61">
        <f>($Y24)*'Task2A)values_PHI_dependent'!$O$10</f>
        <v>351.12049552374793</v>
      </c>
      <c r="BC24" s="62">
        <f t="shared" si="3"/>
        <v>1995.5530942331361</v>
      </c>
      <c r="BD24" s="64">
        <v>1200</v>
      </c>
      <c r="BE24" s="60">
        <f>($D24)*'Task2A)values_PHI_dependent'!$P$11</f>
        <v>303.86771667121855</v>
      </c>
      <c r="BF24" s="6">
        <f>$K24*'Task2A)values_PHI_dependent'!$R$10</f>
        <v>1332.8942659066317</v>
      </c>
      <c r="BG24" s="6">
        <f>$R24*'Task2A)values_PHI_dependent'!$Q$11</f>
        <v>11.25347833075994</v>
      </c>
      <c r="BH24" s="61">
        <f>($Y24)*'Task2A)values_PHI_dependent'!$O$11</f>
        <v>347.53763332452604</v>
      </c>
    </row>
    <row r="25" spans="1:60" x14ac:dyDescent="0.3">
      <c r="A25" s="43">
        <v>1250</v>
      </c>
      <c r="B25">
        <v>44.46</v>
      </c>
      <c r="C25">
        <v>36.72</v>
      </c>
      <c r="D25" s="52">
        <f t="shared" si="4"/>
        <v>37.028704081094538</v>
      </c>
      <c r="E25">
        <v>242.19</v>
      </c>
      <c r="F25">
        <v>48.87</v>
      </c>
      <c r="H25" s="43">
        <v>1250</v>
      </c>
      <c r="I25">
        <v>33.909999999999997</v>
      </c>
      <c r="J25">
        <v>29.81</v>
      </c>
      <c r="K25" s="51">
        <f t="shared" si="5"/>
        <v>30.062368646875903</v>
      </c>
      <c r="L25">
        <v>235.52</v>
      </c>
      <c r="M25">
        <v>25.46</v>
      </c>
      <c r="O25" s="43">
        <v>1250</v>
      </c>
      <c r="P25">
        <v>35.75</v>
      </c>
      <c r="Q25">
        <v>31.56</v>
      </c>
      <c r="R25" s="53">
        <f t="shared" si="6"/>
        <v>31.809065533322748</v>
      </c>
      <c r="S25">
        <v>251.38</v>
      </c>
      <c r="T25">
        <v>27.2</v>
      </c>
      <c r="V25" s="43">
        <v>1250</v>
      </c>
      <c r="W25">
        <v>56.6</v>
      </c>
      <c r="X25">
        <v>47.31</v>
      </c>
      <c r="Y25" s="54">
        <f t="shared" si="7"/>
        <v>47.629480721314927</v>
      </c>
      <c r="Z25">
        <v>281.64</v>
      </c>
      <c r="AA25">
        <v>67.19</v>
      </c>
      <c r="AE25" s="62">
        <f t="shared" si="0"/>
        <v>2127.2255089035375</v>
      </c>
      <c r="AF25" s="64">
        <v>1250</v>
      </c>
      <c r="AG25" s="60">
        <f>($D25)*'Task2A)values_PHI_dependent'!$T$2</f>
        <v>333.25833672985084</v>
      </c>
      <c r="AH25" s="6">
        <f>$K25*'Task2A)values_PHI_dependent'!$V$2</f>
        <v>1412.9313264031675</v>
      </c>
      <c r="AI25" s="6">
        <f>$R25*'Task2A)values_PHI_dependent'!$U$2</f>
        <v>0</v>
      </c>
      <c r="AJ25" s="61">
        <f>($Y25)*'Task2A)values_PHI_dependent'!$S$2</f>
        <v>381.03584577051942</v>
      </c>
      <c r="AM25" s="62">
        <f t="shared" si="1"/>
        <v>2124.0587002701996</v>
      </c>
      <c r="AN25" s="64">
        <v>1250</v>
      </c>
      <c r="AO25" s="60">
        <f>($D25)*'Task2A)values_PHI_dependent'!$P$9</f>
        <v>329.92575336255237</v>
      </c>
      <c r="AP25" s="6">
        <f>$K25*'Task2A)values_PHI_dependent'!$R$9</f>
        <v>1412.9313264031675</v>
      </c>
      <c r="AQ25" s="6">
        <f>$R25*'Task2A)values_PHI_dependent'!$Q$9</f>
        <v>3.9761331916653435</v>
      </c>
      <c r="AR25" s="61">
        <f>($Y25)*'Task2A)values_PHI_dependent'!$O$9</f>
        <v>377.22548731281421</v>
      </c>
      <c r="AU25" s="62">
        <f t="shared" si="2"/>
        <v>2120.8918916368611</v>
      </c>
      <c r="AV25" s="64">
        <v>1250</v>
      </c>
      <c r="AW25" s="60">
        <f>($D25)*'Task2A)values_PHI_dependent'!$P$10</f>
        <v>326.59316999525385</v>
      </c>
      <c r="AX25" s="6">
        <f>$K25*'Task2A)values_PHI_dependent'!$R$10</f>
        <v>1412.9313264031675</v>
      </c>
      <c r="AY25" s="6">
        <f>$R25*'Task2A)values_PHI_dependent'!$Q$10</f>
        <v>7.952266383330687</v>
      </c>
      <c r="AZ25" s="61">
        <f>($Y25)*'Task2A)values_PHI_dependent'!$O$10</f>
        <v>373.415128855109</v>
      </c>
      <c r="BC25" s="62">
        <f t="shared" si="3"/>
        <v>2117.7250830035227</v>
      </c>
      <c r="BD25" s="64">
        <v>1250</v>
      </c>
      <c r="BE25" s="60">
        <f>($D25)*'Task2A)values_PHI_dependent'!$P$11</f>
        <v>323.26058662795532</v>
      </c>
      <c r="BF25" s="6">
        <f>$K25*'Task2A)values_PHI_dependent'!$R$10</f>
        <v>1412.9313264031675</v>
      </c>
      <c r="BG25" s="6">
        <f>$R25*'Task2A)values_PHI_dependent'!$Q$11</f>
        <v>11.92839957499603</v>
      </c>
      <c r="BH25" s="61">
        <f>($Y25)*'Task2A)values_PHI_dependent'!$O$11</f>
        <v>369.6047703974038</v>
      </c>
    </row>
    <row r="26" spans="1:60" x14ac:dyDescent="0.3">
      <c r="A26" s="43">
        <v>1300</v>
      </c>
      <c r="B26">
        <v>45.02</v>
      </c>
      <c r="C26">
        <v>38.96</v>
      </c>
      <c r="D26" s="52">
        <f t="shared" si="4"/>
        <v>39.263296663636012</v>
      </c>
      <c r="E26">
        <v>243.94</v>
      </c>
      <c r="F26">
        <v>48.11</v>
      </c>
      <c r="H26" s="43">
        <v>1300</v>
      </c>
      <c r="I26">
        <v>34.11</v>
      </c>
      <c r="J26">
        <v>31.51</v>
      </c>
      <c r="K26" s="51">
        <f t="shared" si="5"/>
        <v>31.76240577103971</v>
      </c>
      <c r="L26">
        <v>236.85</v>
      </c>
      <c r="M26">
        <v>25.57</v>
      </c>
      <c r="O26" s="43">
        <v>1300</v>
      </c>
      <c r="P26">
        <v>35.9</v>
      </c>
      <c r="Q26">
        <v>33.35</v>
      </c>
      <c r="R26" s="53">
        <f t="shared" si="6"/>
        <v>33.603380883136204</v>
      </c>
      <c r="S26">
        <v>252.78</v>
      </c>
      <c r="T26">
        <v>27.32</v>
      </c>
      <c r="V26" s="43">
        <v>1300</v>
      </c>
      <c r="W26">
        <v>56.98</v>
      </c>
      <c r="X26">
        <v>50.15</v>
      </c>
      <c r="Y26" s="54">
        <f t="shared" si="7"/>
        <v>50.475281500506931</v>
      </c>
      <c r="Z26">
        <v>283.86</v>
      </c>
      <c r="AA26">
        <v>65.91</v>
      </c>
      <c r="AE26" s="62">
        <f t="shared" si="0"/>
        <v>2250.0049932156458</v>
      </c>
      <c r="AF26" s="64">
        <v>1300</v>
      </c>
      <c r="AG26" s="60">
        <f>($D26)*'Task2A)values_PHI_dependent'!$T$2</f>
        <v>353.36966997272413</v>
      </c>
      <c r="AH26" s="6">
        <f>$K26*'Task2A)values_PHI_dependent'!$V$2</f>
        <v>1492.8330712388663</v>
      </c>
      <c r="AI26" s="6">
        <f>$R26*'Task2A)values_PHI_dependent'!$U$2</f>
        <v>0</v>
      </c>
      <c r="AJ26" s="61">
        <f>($Y26)*'Task2A)values_PHI_dependent'!$S$2</f>
        <v>403.80225200405545</v>
      </c>
      <c r="AM26" s="62">
        <f t="shared" si="1"/>
        <v>2246.63369660627</v>
      </c>
      <c r="AN26" s="64">
        <v>1300</v>
      </c>
      <c r="AO26" s="60">
        <f>($D26)*'Task2A)values_PHI_dependent'!$P$9</f>
        <v>349.83597327299685</v>
      </c>
      <c r="AP26" s="6">
        <f>$K26*'Task2A)values_PHI_dependent'!$R$9</f>
        <v>1492.8330712388663</v>
      </c>
      <c r="AQ26" s="6">
        <f>$R26*'Task2A)values_PHI_dependent'!$Q$9</f>
        <v>4.2004226103920255</v>
      </c>
      <c r="AR26" s="61">
        <f>($Y26)*'Task2A)values_PHI_dependent'!$O$9</f>
        <v>399.76422948401489</v>
      </c>
      <c r="AU26" s="62">
        <f t="shared" si="2"/>
        <v>2243.2623999968941</v>
      </c>
      <c r="AV26" s="64">
        <v>1300</v>
      </c>
      <c r="AW26" s="60">
        <f>($D26)*'Task2A)values_PHI_dependent'!$P$10</f>
        <v>346.30227657326964</v>
      </c>
      <c r="AX26" s="6">
        <f>$K26*'Task2A)values_PHI_dependent'!$R$10</f>
        <v>1492.8330712388663</v>
      </c>
      <c r="AY26" s="6">
        <f>$R26*'Task2A)values_PHI_dependent'!$Q$10</f>
        <v>8.4008452207840509</v>
      </c>
      <c r="AZ26" s="61">
        <f>($Y26)*'Task2A)values_PHI_dependent'!$O$10</f>
        <v>395.72620696397433</v>
      </c>
      <c r="BC26" s="62">
        <f t="shared" si="3"/>
        <v>2239.8911033875183</v>
      </c>
      <c r="BD26" s="64">
        <v>1300</v>
      </c>
      <c r="BE26" s="60">
        <f>($D26)*'Task2A)values_PHI_dependent'!$P$11</f>
        <v>342.76857987354242</v>
      </c>
      <c r="BF26" s="6">
        <f>$K26*'Task2A)values_PHI_dependent'!$R$10</f>
        <v>1492.8330712388663</v>
      </c>
      <c r="BG26" s="6">
        <f>$R26*'Task2A)values_PHI_dependent'!$Q$11</f>
        <v>12.601267831176077</v>
      </c>
      <c r="BH26" s="61">
        <f>($Y26)*'Task2A)values_PHI_dependent'!$O$11</f>
        <v>391.68818444393378</v>
      </c>
    </row>
    <row r="27" spans="1:60" x14ac:dyDescent="0.3">
      <c r="A27" s="43">
        <v>1350</v>
      </c>
      <c r="B27">
        <v>45.57</v>
      </c>
      <c r="C27">
        <v>41.23</v>
      </c>
      <c r="D27" s="52">
        <f t="shared" si="4"/>
        <v>41.511716757194186</v>
      </c>
      <c r="E27">
        <v>245.65</v>
      </c>
      <c r="F27">
        <v>47.42</v>
      </c>
      <c r="H27" s="43">
        <v>1350</v>
      </c>
      <c r="I27">
        <v>34.299999999999997</v>
      </c>
      <c r="J27">
        <v>33.22</v>
      </c>
      <c r="K27" s="51">
        <f t="shared" si="5"/>
        <v>33.460228023628254</v>
      </c>
      <c r="L27">
        <v>238.14</v>
      </c>
      <c r="M27">
        <v>25.68</v>
      </c>
      <c r="O27" s="43">
        <v>1350</v>
      </c>
      <c r="P27">
        <v>36.049999999999997</v>
      </c>
      <c r="Q27">
        <v>35.15</v>
      </c>
      <c r="R27" s="53">
        <f t="shared" si="6"/>
        <v>35.393029211331765</v>
      </c>
      <c r="S27">
        <v>254.14</v>
      </c>
      <c r="T27">
        <v>27.44</v>
      </c>
      <c r="V27" s="43">
        <v>1350</v>
      </c>
      <c r="W27">
        <v>57.34</v>
      </c>
      <c r="X27">
        <v>53</v>
      </c>
      <c r="Y27" s="54">
        <f t="shared" si="7"/>
        <v>53.323254386080542</v>
      </c>
      <c r="Z27">
        <v>286.02</v>
      </c>
      <c r="AA27">
        <v>64.739999999999995</v>
      </c>
      <c r="AE27" s="62">
        <f t="shared" si="0"/>
        <v>2372.82220301392</v>
      </c>
      <c r="AF27" s="64">
        <v>1350</v>
      </c>
      <c r="AG27" s="60">
        <f>($D27)*'Task2A)values_PHI_dependent'!$T$2</f>
        <v>373.60545081474766</v>
      </c>
      <c r="AH27" s="6">
        <f>$K27*'Task2A)values_PHI_dependent'!$V$2</f>
        <v>1572.6307171105279</v>
      </c>
      <c r="AI27" s="6">
        <f>$R27*'Task2A)values_PHI_dependent'!$U$2</f>
        <v>0</v>
      </c>
      <c r="AJ27" s="61">
        <f>($Y27)*'Task2A)values_PHI_dependent'!$S$2</f>
        <v>426.58603508864434</v>
      </c>
      <c r="AM27" s="62">
        <f t="shared" si="1"/>
        <v>2369.2444168063025</v>
      </c>
      <c r="AN27" s="64">
        <v>1350</v>
      </c>
      <c r="AO27" s="60">
        <f>($D27)*'Task2A)values_PHI_dependent'!$P$9</f>
        <v>369.86939630660021</v>
      </c>
      <c r="AP27" s="6">
        <f>$K27*'Task2A)values_PHI_dependent'!$R$9</f>
        <v>1572.6307171105279</v>
      </c>
      <c r="AQ27" s="6">
        <f>$R27*'Task2A)values_PHI_dependent'!$Q$9</f>
        <v>4.4241286514164706</v>
      </c>
      <c r="AR27" s="61">
        <f>($Y27)*'Task2A)values_PHI_dependent'!$O$9</f>
        <v>422.3201747377579</v>
      </c>
      <c r="AU27" s="62">
        <f t="shared" si="2"/>
        <v>2365.6666305986851</v>
      </c>
      <c r="AV27" s="64">
        <v>1350</v>
      </c>
      <c r="AW27" s="60">
        <f>($D27)*'Task2A)values_PHI_dependent'!$P$10</f>
        <v>366.13334179845276</v>
      </c>
      <c r="AX27" s="6">
        <f>$K27*'Task2A)values_PHI_dependent'!$R$10</f>
        <v>1572.6307171105279</v>
      </c>
      <c r="AY27" s="6">
        <f>$R27*'Task2A)values_PHI_dependent'!$Q$10</f>
        <v>8.8482573028329412</v>
      </c>
      <c r="AZ27" s="61">
        <f>($Y27)*'Task2A)values_PHI_dependent'!$O$10</f>
        <v>418.05431438687145</v>
      </c>
      <c r="BC27" s="62">
        <f t="shared" si="3"/>
        <v>2362.0888443910676</v>
      </c>
      <c r="BD27" s="64">
        <v>1350</v>
      </c>
      <c r="BE27" s="60">
        <f>($D27)*'Task2A)values_PHI_dependent'!$P$11</f>
        <v>362.39728729030526</v>
      </c>
      <c r="BF27" s="6">
        <f>$K27*'Task2A)values_PHI_dependent'!$R$10</f>
        <v>1572.6307171105279</v>
      </c>
      <c r="BG27" s="6">
        <f>$R27*'Task2A)values_PHI_dependent'!$Q$11</f>
        <v>13.272385954249412</v>
      </c>
      <c r="BH27" s="61">
        <f>($Y27)*'Task2A)values_PHI_dependent'!$O$11</f>
        <v>413.78845403598501</v>
      </c>
    </row>
    <row r="28" spans="1:60" x14ac:dyDescent="0.3">
      <c r="A28" s="43">
        <v>1400</v>
      </c>
      <c r="B28">
        <v>46.1</v>
      </c>
      <c r="C28">
        <v>43.52</v>
      </c>
      <c r="D28" s="52">
        <f t="shared" si="4"/>
        <v>43.774965957923058</v>
      </c>
      <c r="E28">
        <v>247.32</v>
      </c>
      <c r="F28">
        <v>46.79</v>
      </c>
      <c r="H28" s="43">
        <v>1400</v>
      </c>
      <c r="I28">
        <v>34.479999999999997</v>
      </c>
      <c r="J28">
        <v>34.94</v>
      </c>
      <c r="K28" s="51">
        <f t="shared" si="5"/>
        <v>35.156853114171383</v>
      </c>
      <c r="L28">
        <v>239.39</v>
      </c>
      <c r="M28">
        <v>25.79</v>
      </c>
      <c r="O28" s="43">
        <v>1400</v>
      </c>
      <c r="P28">
        <v>36.200000000000003</v>
      </c>
      <c r="Q28">
        <v>36.950000000000003</v>
      </c>
      <c r="R28" s="53">
        <f t="shared" si="6"/>
        <v>37.179230559238533</v>
      </c>
      <c r="S28">
        <v>255.46</v>
      </c>
      <c r="T28">
        <v>27.55</v>
      </c>
      <c r="V28" s="43">
        <v>1400</v>
      </c>
      <c r="W28">
        <v>57.67</v>
      </c>
      <c r="X28">
        <v>55.88</v>
      </c>
      <c r="Y28" s="54">
        <f t="shared" si="7"/>
        <v>56.174074871540846</v>
      </c>
      <c r="Z28">
        <v>288.11</v>
      </c>
      <c r="AA28">
        <v>63.66</v>
      </c>
      <c r="AE28" s="62">
        <f t="shared" si="0"/>
        <v>2495.7393889596892</v>
      </c>
      <c r="AF28" s="64">
        <v>1400</v>
      </c>
      <c r="AG28" s="60">
        <f>($D28)*'Task2A)values_PHI_dependent'!$T$2</f>
        <v>393.97469362130755</v>
      </c>
      <c r="AH28" s="6">
        <f>$K28*'Task2A)values_PHI_dependent'!$V$2</f>
        <v>1652.3720963660551</v>
      </c>
      <c r="AI28" s="6">
        <f>$R28*'Task2A)values_PHI_dependent'!$U$2</f>
        <v>0</v>
      </c>
      <c r="AJ28" s="61">
        <f>($Y28)*'Task2A)values_PHI_dependent'!$S$2</f>
        <v>449.39259897232677</v>
      </c>
      <c r="AM28" s="62">
        <f t="shared" si="1"/>
        <v>2491.9531198536579</v>
      </c>
      <c r="AN28" s="64">
        <v>1400</v>
      </c>
      <c r="AO28" s="60">
        <f>($D28)*'Task2A)values_PHI_dependent'!$P$9</f>
        <v>390.03494668509444</v>
      </c>
      <c r="AP28" s="6">
        <f>$K28*'Task2A)values_PHI_dependent'!$R$9</f>
        <v>1652.3720963660551</v>
      </c>
      <c r="AQ28" s="6">
        <f>$R28*'Task2A)values_PHI_dependent'!$Q$9</f>
        <v>4.6474038199048167</v>
      </c>
      <c r="AR28" s="61">
        <f>($Y28)*'Task2A)values_PHI_dependent'!$O$9</f>
        <v>444.8986729826035</v>
      </c>
      <c r="AU28" s="62">
        <f t="shared" si="2"/>
        <v>2488.1668507476265</v>
      </c>
      <c r="AV28" s="64">
        <v>1400</v>
      </c>
      <c r="AW28" s="60">
        <f>($D28)*'Task2A)values_PHI_dependent'!$P$10</f>
        <v>386.09519974888138</v>
      </c>
      <c r="AX28" s="6">
        <f>$K28*'Task2A)values_PHI_dependent'!$R$10</f>
        <v>1652.3720963660551</v>
      </c>
      <c r="AY28" s="6">
        <f>$R28*'Task2A)values_PHI_dependent'!$Q$10</f>
        <v>9.2948076398096333</v>
      </c>
      <c r="AZ28" s="61">
        <f>($Y28)*'Task2A)values_PHI_dependent'!$O$10</f>
        <v>440.40474699288023</v>
      </c>
      <c r="BC28" s="62">
        <f t="shared" si="3"/>
        <v>2484.3805816415947</v>
      </c>
      <c r="BD28" s="64">
        <v>1400</v>
      </c>
      <c r="BE28" s="60">
        <f>($D28)*'Task2A)values_PHI_dependent'!$P$11</f>
        <v>382.15545281266833</v>
      </c>
      <c r="BF28" s="6">
        <f>$K28*'Task2A)values_PHI_dependent'!$R$10</f>
        <v>1652.3720963660551</v>
      </c>
      <c r="BG28" s="6">
        <f>$R28*'Task2A)values_PHI_dependent'!$Q$11</f>
        <v>13.94221145971445</v>
      </c>
      <c r="BH28" s="61">
        <f>($Y28)*'Task2A)values_PHI_dependent'!$O$11</f>
        <v>435.91082100315697</v>
      </c>
    </row>
    <row r="29" spans="1:60" x14ac:dyDescent="0.3">
      <c r="A29" s="43">
        <v>1450</v>
      </c>
      <c r="B29">
        <v>46.61</v>
      </c>
      <c r="C29">
        <v>45.84</v>
      </c>
      <c r="D29" s="52">
        <f t="shared" si="4"/>
        <v>46.054309118616565</v>
      </c>
      <c r="E29">
        <v>248.95</v>
      </c>
      <c r="F29">
        <v>46.2</v>
      </c>
      <c r="H29" s="43">
        <v>1450</v>
      </c>
      <c r="I29">
        <v>34.64</v>
      </c>
      <c r="J29">
        <v>36.67</v>
      </c>
      <c r="K29" s="51">
        <f t="shared" si="5"/>
        <v>36.853562965575485</v>
      </c>
      <c r="L29">
        <v>240.6</v>
      </c>
      <c r="M29">
        <v>25.9</v>
      </c>
      <c r="O29" s="43">
        <v>1450</v>
      </c>
      <c r="P29">
        <v>36.35</v>
      </c>
      <c r="Q29">
        <v>38.770000000000003</v>
      </c>
      <c r="R29" s="53">
        <f t="shared" si="6"/>
        <v>38.96351771124116</v>
      </c>
      <c r="S29">
        <v>256.73</v>
      </c>
      <c r="T29">
        <v>27.66</v>
      </c>
      <c r="V29" s="43">
        <v>1450</v>
      </c>
      <c r="W29">
        <v>57.99</v>
      </c>
      <c r="X29">
        <v>58.77</v>
      </c>
      <c r="Y29" s="54">
        <f t="shared" si="7"/>
        <v>59.028886030047495</v>
      </c>
      <c r="Z29">
        <v>290.14</v>
      </c>
      <c r="AA29">
        <v>62.67</v>
      </c>
      <c r="AE29" s="62">
        <f t="shared" si="0"/>
        <v>2618.8373296899767</v>
      </c>
      <c r="AF29" s="64">
        <v>1450</v>
      </c>
      <c r="AG29" s="60">
        <f>($D29)*'Task2A)values_PHI_dependent'!$T$2</f>
        <v>414.4887820675491</v>
      </c>
      <c r="AH29" s="6">
        <f>$K29*'Task2A)values_PHI_dependent'!$V$2</f>
        <v>1732.1174593820479</v>
      </c>
      <c r="AI29" s="6">
        <f>$R29*'Task2A)values_PHI_dependent'!$U$2</f>
        <v>0</v>
      </c>
      <c r="AJ29" s="61">
        <f>($Y29)*'Task2A)values_PHI_dependent'!$S$2</f>
        <v>472.23108824037996</v>
      </c>
      <c r="AM29" s="62">
        <f t="shared" si="1"/>
        <v>2614.8405707008028</v>
      </c>
      <c r="AN29" s="64">
        <v>1450</v>
      </c>
      <c r="AO29" s="60">
        <f>($D29)*'Task2A)values_PHI_dependent'!$P$9</f>
        <v>410.34389424687362</v>
      </c>
      <c r="AP29" s="6">
        <f>$K29*'Task2A)values_PHI_dependent'!$R$9</f>
        <v>1732.1174593820479</v>
      </c>
      <c r="AQ29" s="6">
        <f>$R29*'Task2A)values_PHI_dependent'!$Q$9</f>
        <v>4.870439713905145</v>
      </c>
      <c r="AR29" s="61">
        <f>($Y29)*'Task2A)values_PHI_dependent'!$O$9</f>
        <v>467.50877735797616</v>
      </c>
      <c r="AU29" s="62">
        <f t="shared" si="2"/>
        <v>2610.8438117116289</v>
      </c>
      <c r="AV29" s="64">
        <v>1450</v>
      </c>
      <c r="AW29" s="60">
        <f>($D29)*'Task2A)values_PHI_dependent'!$P$10</f>
        <v>406.19900642619814</v>
      </c>
      <c r="AX29" s="6">
        <f>$K29*'Task2A)values_PHI_dependent'!$R$10</f>
        <v>1732.1174593820479</v>
      </c>
      <c r="AY29" s="6">
        <f>$R29*'Task2A)values_PHI_dependent'!$Q$10</f>
        <v>9.7408794278102899</v>
      </c>
      <c r="AZ29" s="61">
        <f>($Y29)*'Task2A)values_PHI_dependent'!$O$10</f>
        <v>462.78646647557235</v>
      </c>
      <c r="BC29" s="62">
        <f t="shared" si="3"/>
        <v>2606.847052722454</v>
      </c>
      <c r="BD29" s="64">
        <v>1450</v>
      </c>
      <c r="BE29" s="60">
        <f>($D29)*'Task2A)values_PHI_dependent'!$P$11</f>
        <v>402.05411860552266</v>
      </c>
      <c r="BF29" s="6">
        <f>$K29*'Task2A)values_PHI_dependent'!$R$10</f>
        <v>1732.1174593820479</v>
      </c>
      <c r="BG29" s="6">
        <f>$R29*'Task2A)values_PHI_dependent'!$Q$11</f>
        <v>14.611319141715434</v>
      </c>
      <c r="BH29" s="61">
        <f>($Y29)*'Task2A)values_PHI_dependent'!$O$11</f>
        <v>458.06415559316855</v>
      </c>
    </row>
    <row r="30" spans="1:60" x14ac:dyDescent="0.3">
      <c r="A30" s="43">
        <v>1500</v>
      </c>
      <c r="B30">
        <v>47.1</v>
      </c>
      <c r="C30">
        <v>48.18</v>
      </c>
      <c r="D30" s="52">
        <f t="shared" si="4"/>
        <v>48.351183913017692</v>
      </c>
      <c r="E30">
        <v>250.53</v>
      </c>
      <c r="F30">
        <v>45.66</v>
      </c>
      <c r="H30" s="43">
        <v>1500</v>
      </c>
      <c r="I30">
        <v>34.799999999999997</v>
      </c>
      <c r="J30">
        <v>38.4</v>
      </c>
      <c r="K30" s="51">
        <f t="shared" si="5"/>
        <v>38.551821082877964</v>
      </c>
      <c r="L30">
        <v>241.78</v>
      </c>
      <c r="M30">
        <v>26</v>
      </c>
      <c r="O30" s="43">
        <v>1500</v>
      </c>
      <c r="P30">
        <v>36.49</v>
      </c>
      <c r="Q30">
        <v>40.590000000000003</v>
      </c>
      <c r="R30" s="53">
        <f t="shared" si="6"/>
        <v>40.747643817512667</v>
      </c>
      <c r="S30">
        <v>257.95999999999998</v>
      </c>
      <c r="T30">
        <v>27.77</v>
      </c>
      <c r="V30" s="43">
        <v>1500</v>
      </c>
      <c r="W30">
        <v>58.29</v>
      </c>
      <c r="X30">
        <v>61.68</v>
      </c>
      <c r="Y30" s="54">
        <f t="shared" si="7"/>
        <v>61.889174807933919</v>
      </c>
      <c r="Z30">
        <v>292.11</v>
      </c>
      <c r="AA30">
        <v>61.74</v>
      </c>
      <c r="AE30" s="62">
        <f t="shared" si="0"/>
        <v>2742.2096445758948</v>
      </c>
      <c r="AF30" s="64">
        <v>1500</v>
      </c>
      <c r="AG30" s="60">
        <f>($D30)*'Task2A)values_PHI_dependent'!$T$2</f>
        <v>435.16065521715922</v>
      </c>
      <c r="AH30" s="6">
        <f>$K30*'Task2A)values_PHI_dependent'!$V$2</f>
        <v>1811.9355908952643</v>
      </c>
      <c r="AI30" s="6">
        <f>$R30*'Task2A)values_PHI_dependent'!$U$2</f>
        <v>0</v>
      </c>
      <c r="AJ30" s="61">
        <f>($Y30)*'Task2A)values_PHI_dependent'!$S$2</f>
        <v>495.11339846347136</v>
      </c>
      <c r="AM30" s="62">
        <f t="shared" si="1"/>
        <v>2738.000359516278</v>
      </c>
      <c r="AN30" s="64">
        <v>1500</v>
      </c>
      <c r="AO30" s="60">
        <f>($D30)*'Task2A)values_PHI_dependent'!$P$9</f>
        <v>430.80904866498764</v>
      </c>
      <c r="AP30" s="6">
        <f>$K30*'Task2A)values_PHI_dependent'!$R$9</f>
        <v>1811.9355908952643</v>
      </c>
      <c r="AQ30" s="6">
        <f>$R30*'Task2A)values_PHI_dependent'!$Q$9</f>
        <v>5.0934554771890834</v>
      </c>
      <c r="AR30" s="61">
        <f>($Y30)*'Task2A)values_PHI_dependent'!$O$9</f>
        <v>490.16226447883662</v>
      </c>
      <c r="AU30" s="62">
        <f t="shared" si="2"/>
        <v>2733.7910744566602</v>
      </c>
      <c r="AV30" s="64">
        <v>1500</v>
      </c>
      <c r="AW30" s="60">
        <f>($D30)*'Task2A)values_PHI_dependent'!$P$10</f>
        <v>426.45744211281607</v>
      </c>
      <c r="AX30" s="6">
        <f>$K30*'Task2A)values_PHI_dependent'!$R$10</f>
        <v>1811.9355908952643</v>
      </c>
      <c r="AY30" s="6">
        <f>$R30*'Task2A)values_PHI_dependent'!$Q$10</f>
        <v>10.186910954378167</v>
      </c>
      <c r="AZ30" s="61">
        <f>($Y30)*'Task2A)values_PHI_dependent'!$O$10</f>
        <v>485.21113049420194</v>
      </c>
      <c r="BC30" s="62">
        <f t="shared" si="3"/>
        <v>2729.5817893970438</v>
      </c>
      <c r="BD30" s="64">
        <v>1500</v>
      </c>
      <c r="BE30" s="60">
        <f>($D30)*'Task2A)values_PHI_dependent'!$P$11</f>
        <v>422.10583556064449</v>
      </c>
      <c r="BF30" s="6">
        <f>$K30*'Task2A)values_PHI_dependent'!$R$10</f>
        <v>1811.9355908952643</v>
      </c>
      <c r="BG30" s="6">
        <f>$R30*'Task2A)values_PHI_dependent'!$Q$11</f>
        <v>15.28036643156725</v>
      </c>
      <c r="BH30" s="61">
        <f>($Y30)*'Task2A)values_PHI_dependent'!$O$11</f>
        <v>480.2599965095672</v>
      </c>
    </row>
    <row r="31" spans="1:60" x14ac:dyDescent="0.3">
      <c r="A31" s="43">
        <v>1550</v>
      </c>
      <c r="B31">
        <v>47.58</v>
      </c>
      <c r="C31">
        <v>50.55</v>
      </c>
      <c r="D31" s="52">
        <f t="shared" si="4"/>
        <v>50.667117882148865</v>
      </c>
      <c r="E31">
        <v>252.09</v>
      </c>
      <c r="F31">
        <v>45.16</v>
      </c>
      <c r="H31" s="43">
        <v>1550</v>
      </c>
      <c r="I31">
        <v>34.950000000000003</v>
      </c>
      <c r="J31">
        <v>40.15</v>
      </c>
      <c r="K31" s="51">
        <f t="shared" si="5"/>
        <v>40.253196601872482</v>
      </c>
      <c r="L31">
        <v>242.92</v>
      </c>
      <c r="M31">
        <v>26.1</v>
      </c>
      <c r="O31" s="43">
        <v>1550</v>
      </c>
      <c r="P31">
        <v>36.630000000000003</v>
      </c>
      <c r="Q31">
        <v>42.42</v>
      </c>
      <c r="R31" s="53">
        <f t="shared" si="6"/>
        <v>42.533497324554652</v>
      </c>
      <c r="S31">
        <v>259.16000000000003</v>
      </c>
      <c r="T31">
        <v>27.88</v>
      </c>
      <c r="V31" s="43">
        <v>1550</v>
      </c>
      <c r="W31">
        <v>58.57</v>
      </c>
      <c r="X31">
        <v>64.599999999999994</v>
      </c>
      <c r="Y31" s="54">
        <f t="shared" si="7"/>
        <v>64.756657967367971</v>
      </c>
      <c r="Z31">
        <v>294.02999999999997</v>
      </c>
      <c r="AA31">
        <v>60.89</v>
      </c>
      <c r="AE31" s="62">
        <f t="shared" si="0"/>
        <v>2865.9575649662902</v>
      </c>
      <c r="AF31" s="64">
        <v>1550</v>
      </c>
      <c r="AG31" s="60">
        <f>($D31)*'Task2A)values_PHI_dependent'!$T$2</f>
        <v>456.00406093933981</v>
      </c>
      <c r="AH31" s="6">
        <f>$K31*'Task2A)values_PHI_dependent'!$V$2</f>
        <v>1891.9002402880067</v>
      </c>
      <c r="AI31" s="6">
        <f>$R31*'Task2A)values_PHI_dependent'!$U$2</f>
        <v>0</v>
      </c>
      <c r="AJ31" s="61">
        <f>($Y31)*'Task2A)values_PHI_dependent'!$S$2</f>
        <v>518.05326373894377</v>
      </c>
      <c r="AM31" s="62">
        <f t="shared" si="1"/>
        <v>2861.5336788850773</v>
      </c>
      <c r="AN31" s="64">
        <v>1550</v>
      </c>
      <c r="AO31" s="60">
        <f>($D31)*'Task2A)values_PHI_dependent'!$P$9</f>
        <v>451.4440203299464</v>
      </c>
      <c r="AP31" s="6">
        <f>$K31*'Task2A)values_PHI_dependent'!$R$9</f>
        <v>1891.9002402880067</v>
      </c>
      <c r="AQ31" s="6">
        <f>$R31*'Task2A)values_PHI_dependent'!$Q$9</f>
        <v>5.3166871655693315</v>
      </c>
      <c r="AR31" s="61">
        <f>($Y31)*'Task2A)values_PHI_dependent'!$O$9</f>
        <v>512.87273110155434</v>
      </c>
      <c r="AU31" s="62">
        <f t="shared" si="2"/>
        <v>2857.1097928038635</v>
      </c>
      <c r="AV31" s="64">
        <v>1550</v>
      </c>
      <c r="AW31" s="60">
        <f>($D31)*'Task2A)values_PHI_dependent'!$P$10</f>
        <v>446.88397972055299</v>
      </c>
      <c r="AX31" s="6">
        <f>$K31*'Task2A)values_PHI_dependent'!$R$10</f>
        <v>1891.9002402880067</v>
      </c>
      <c r="AY31" s="6">
        <f>$R31*'Task2A)values_PHI_dependent'!$Q$10</f>
        <v>10.633374331138663</v>
      </c>
      <c r="AZ31" s="61">
        <f>($Y31)*'Task2A)values_PHI_dependent'!$O$10</f>
        <v>507.6921984641649</v>
      </c>
      <c r="BC31" s="62">
        <f t="shared" si="3"/>
        <v>2852.6859067226496</v>
      </c>
      <c r="BD31" s="64">
        <v>1550</v>
      </c>
      <c r="BE31" s="60">
        <f>($D31)*'Task2A)values_PHI_dependent'!$P$11</f>
        <v>442.32393911115963</v>
      </c>
      <c r="BF31" s="6">
        <f>$K31*'Task2A)values_PHI_dependent'!$R$10</f>
        <v>1891.9002402880067</v>
      </c>
      <c r="BG31" s="6">
        <f>$R31*'Task2A)values_PHI_dependent'!$Q$11</f>
        <v>15.950061496707995</v>
      </c>
      <c r="BH31" s="61">
        <f>($Y31)*'Task2A)values_PHI_dependent'!$O$11</f>
        <v>502.51166582677547</v>
      </c>
    </row>
    <row r="32" spans="1:60" x14ac:dyDescent="0.3">
      <c r="A32" s="43">
        <v>1600</v>
      </c>
      <c r="B32">
        <v>48.03</v>
      </c>
      <c r="C32">
        <v>52.94</v>
      </c>
      <c r="D32" s="52">
        <f t="shared" si="4"/>
        <v>53.003652962664461</v>
      </c>
      <c r="E32">
        <v>253.6</v>
      </c>
      <c r="F32">
        <v>44.7</v>
      </c>
      <c r="H32" s="43">
        <v>1600</v>
      </c>
      <c r="I32">
        <v>35.1</v>
      </c>
      <c r="J32">
        <v>41.9</v>
      </c>
      <c r="K32" s="51">
        <f t="shared" si="5"/>
        <v>41.959295017603182</v>
      </c>
      <c r="L32">
        <v>244.04</v>
      </c>
      <c r="M32">
        <v>26.2</v>
      </c>
      <c r="O32" s="43">
        <v>1600</v>
      </c>
      <c r="P32">
        <v>36.770000000000003</v>
      </c>
      <c r="Q32">
        <v>44.25</v>
      </c>
      <c r="R32" s="53">
        <f t="shared" si="6"/>
        <v>44.3230242135458</v>
      </c>
      <c r="S32">
        <v>260.33</v>
      </c>
      <c r="T32">
        <v>27.99</v>
      </c>
      <c r="V32" s="43">
        <v>1600</v>
      </c>
      <c r="W32">
        <v>58.83</v>
      </c>
      <c r="X32">
        <v>67.540000000000006</v>
      </c>
      <c r="Y32" s="54">
        <f t="shared" si="7"/>
        <v>67.633177678151299</v>
      </c>
      <c r="Z32">
        <v>295.89</v>
      </c>
      <c r="AA32">
        <v>60.1</v>
      </c>
      <c r="AE32" s="62">
        <f t="shared" si="0"/>
        <v>2990.1851639165402</v>
      </c>
      <c r="AF32" s="64">
        <v>1600</v>
      </c>
      <c r="AG32" s="60">
        <f>($D32)*'Task2A)values_PHI_dependent'!$T$2</f>
        <v>477.03287666398012</v>
      </c>
      <c r="AH32" s="6">
        <f>$K32*'Task2A)values_PHI_dependent'!$V$2</f>
        <v>1972.0868658273496</v>
      </c>
      <c r="AI32" s="6">
        <f>$R32*'Task2A)values_PHI_dependent'!$U$2</f>
        <v>0</v>
      </c>
      <c r="AJ32" s="61">
        <f>($Y32)*'Task2A)values_PHI_dependent'!$S$2</f>
        <v>541.06542142521039</v>
      </c>
      <c r="AM32" s="62">
        <f t="shared" si="1"/>
        <v>2985.5445589623414</v>
      </c>
      <c r="AN32" s="64">
        <v>1600</v>
      </c>
      <c r="AO32" s="60">
        <f>($D32)*'Task2A)values_PHI_dependent'!$P$9</f>
        <v>472.26254789734037</v>
      </c>
      <c r="AP32" s="6">
        <f>$K32*'Task2A)values_PHI_dependent'!$R$9</f>
        <v>1972.0868658273496</v>
      </c>
      <c r="AQ32" s="6">
        <f>$R32*'Task2A)values_PHI_dependent'!$Q$9</f>
        <v>5.540378026693225</v>
      </c>
      <c r="AR32" s="61">
        <f>($Y32)*'Task2A)values_PHI_dependent'!$O$9</f>
        <v>535.65476721095831</v>
      </c>
      <c r="AU32" s="62">
        <f t="shared" si="2"/>
        <v>2980.9039540081426</v>
      </c>
      <c r="AV32" s="64">
        <v>1600</v>
      </c>
      <c r="AW32" s="60">
        <f>($D32)*'Task2A)values_PHI_dependent'!$P$10</f>
        <v>467.49221913070056</v>
      </c>
      <c r="AX32" s="6">
        <f>$K32*'Task2A)values_PHI_dependent'!$R$10</f>
        <v>1972.0868658273496</v>
      </c>
      <c r="AY32" s="6">
        <f>$R32*'Task2A)values_PHI_dependent'!$Q$10</f>
        <v>11.08075605338645</v>
      </c>
      <c r="AZ32" s="61">
        <f>($Y32)*'Task2A)values_PHI_dependent'!$O$10</f>
        <v>530.24411299670612</v>
      </c>
      <c r="BC32" s="62">
        <f t="shared" si="3"/>
        <v>2976.2633490539438</v>
      </c>
      <c r="BD32" s="64">
        <v>1600</v>
      </c>
      <c r="BE32" s="60">
        <f>($D32)*'Task2A)values_PHI_dependent'!$P$11</f>
        <v>462.72189036406076</v>
      </c>
      <c r="BF32" s="6">
        <f>$K32*'Task2A)values_PHI_dependent'!$R$10</f>
        <v>1972.0868658273496</v>
      </c>
      <c r="BG32" s="6">
        <f>$R32*'Task2A)values_PHI_dependent'!$Q$11</f>
        <v>16.621134080079674</v>
      </c>
      <c r="BH32" s="61">
        <f>($Y32)*'Task2A)values_PHI_dependent'!$O$11</f>
        <v>524.83345878245404</v>
      </c>
    </row>
    <row r="33" spans="1:60" x14ac:dyDescent="0.3">
      <c r="A33" s="43">
        <v>1650</v>
      </c>
      <c r="B33">
        <v>48.47</v>
      </c>
      <c r="C33">
        <v>55.35</v>
      </c>
      <c r="D33" s="52">
        <f t="shared" si="4"/>
        <v>55.362277497224305</v>
      </c>
      <c r="E33">
        <v>255.09</v>
      </c>
      <c r="F33">
        <v>44.28</v>
      </c>
      <c r="H33" s="43">
        <v>1650</v>
      </c>
      <c r="I33">
        <v>35.229999999999997</v>
      </c>
      <c r="J33">
        <v>43.66</v>
      </c>
      <c r="K33" s="51">
        <f t="shared" si="5"/>
        <v>43.671695592729968</v>
      </c>
      <c r="L33">
        <v>245.12</v>
      </c>
      <c r="M33">
        <v>26.3</v>
      </c>
      <c r="O33" s="43">
        <v>1650</v>
      </c>
      <c r="P33">
        <v>36.9</v>
      </c>
      <c r="Q33">
        <v>46.09</v>
      </c>
      <c r="R33" s="53">
        <f t="shared" si="6"/>
        <v>46.118157546497784</v>
      </c>
      <c r="S33">
        <v>261.45999999999998</v>
      </c>
      <c r="T33">
        <v>28.09</v>
      </c>
      <c r="V33" s="43">
        <v>1650</v>
      </c>
      <c r="W33">
        <v>59.08</v>
      </c>
      <c r="X33">
        <v>70.48</v>
      </c>
      <c r="Y33" s="54">
        <f t="shared" si="7"/>
        <v>70.520606758660065</v>
      </c>
      <c r="Z33">
        <v>297.70999999999998</v>
      </c>
      <c r="AA33">
        <v>59.36</v>
      </c>
      <c r="AE33" s="62">
        <f t="shared" si="0"/>
        <v>3114.9950444026076</v>
      </c>
      <c r="AF33" s="64">
        <v>1650</v>
      </c>
      <c r="AG33" s="60">
        <f>($D33)*'Task2A)values_PHI_dependent'!$T$2</f>
        <v>498.26049747501872</v>
      </c>
      <c r="AH33" s="6">
        <f>$K33*'Task2A)values_PHI_dependent'!$V$2</f>
        <v>2052.5696928583084</v>
      </c>
      <c r="AI33" s="6">
        <f>$R33*'Task2A)values_PHI_dependent'!$U$2</f>
        <v>0</v>
      </c>
      <c r="AJ33" s="61">
        <f>($Y33)*'Task2A)values_PHI_dependent'!$S$2</f>
        <v>564.16485406928052</v>
      </c>
      <c r="AM33" s="62">
        <f t="shared" si="1"/>
        <v>3110.135560580477</v>
      </c>
      <c r="AN33" s="64">
        <v>1650</v>
      </c>
      <c r="AO33" s="60">
        <f>($D33)*'Task2A)values_PHI_dependent'!$P$9</f>
        <v>493.27789250026859</v>
      </c>
      <c r="AP33" s="6">
        <f>$K33*'Task2A)values_PHI_dependent'!$R$9</f>
        <v>2052.5696928583084</v>
      </c>
      <c r="AQ33" s="6">
        <f>$R33*'Task2A)values_PHI_dependent'!$Q$9</f>
        <v>5.764769693312223</v>
      </c>
      <c r="AR33" s="61">
        <f>($Y33)*'Task2A)values_PHI_dependent'!$O$9</f>
        <v>558.52320552858771</v>
      </c>
      <c r="AU33" s="62">
        <f t="shared" si="2"/>
        <v>3105.2760767583459</v>
      </c>
      <c r="AV33" s="64">
        <v>1650</v>
      </c>
      <c r="AW33" s="60">
        <f>($D33)*'Task2A)values_PHI_dependent'!$P$10</f>
        <v>488.2952875255184</v>
      </c>
      <c r="AX33" s="6">
        <f>$K33*'Task2A)values_PHI_dependent'!$R$10</f>
        <v>2052.5696928583084</v>
      </c>
      <c r="AY33" s="6">
        <f>$R33*'Task2A)values_PHI_dependent'!$Q$10</f>
        <v>11.529539386624446</v>
      </c>
      <c r="AZ33" s="61">
        <f>($Y33)*'Task2A)values_PHI_dependent'!$O$10</f>
        <v>552.8815569878949</v>
      </c>
      <c r="BC33" s="62">
        <f t="shared" si="3"/>
        <v>3100.4165929362157</v>
      </c>
      <c r="BD33" s="64">
        <v>1650</v>
      </c>
      <c r="BE33" s="60">
        <f>($D33)*'Task2A)values_PHI_dependent'!$P$11</f>
        <v>483.31268255076822</v>
      </c>
      <c r="BF33" s="6">
        <f>$K33*'Task2A)values_PHI_dependent'!$R$10</f>
        <v>2052.5696928583084</v>
      </c>
      <c r="BG33" s="6">
        <f>$R33*'Task2A)values_PHI_dependent'!$Q$11</f>
        <v>17.294309079936667</v>
      </c>
      <c r="BH33" s="61">
        <f>($Y33)*'Task2A)values_PHI_dependent'!$O$11</f>
        <v>547.23990844720208</v>
      </c>
    </row>
    <row r="34" spans="1:60" x14ac:dyDescent="0.3">
      <c r="A34" s="43">
        <v>1700</v>
      </c>
      <c r="B34">
        <v>48.9</v>
      </c>
      <c r="C34">
        <v>57.78</v>
      </c>
      <c r="D34" s="52">
        <f t="shared" si="4"/>
        <v>57.744365726889797</v>
      </c>
      <c r="E34">
        <v>256.54000000000002</v>
      </c>
      <c r="F34">
        <v>43.88</v>
      </c>
      <c r="H34" s="43">
        <v>1700</v>
      </c>
      <c r="I34">
        <v>35.36</v>
      </c>
      <c r="J34">
        <v>45.42</v>
      </c>
      <c r="K34" s="51">
        <f t="shared" si="5"/>
        <v>45.391895445762245</v>
      </c>
      <c r="L34">
        <v>246.17</v>
      </c>
      <c r="M34">
        <v>26.4</v>
      </c>
      <c r="O34" s="43">
        <v>1700</v>
      </c>
      <c r="P34">
        <v>37.03</v>
      </c>
      <c r="Q34">
        <v>47.94</v>
      </c>
      <c r="R34" s="53">
        <f t="shared" si="6"/>
        <v>47.920754320218983</v>
      </c>
      <c r="S34">
        <v>262.56</v>
      </c>
      <c r="T34">
        <v>28.19</v>
      </c>
      <c r="V34" s="43">
        <v>1700</v>
      </c>
      <c r="W34">
        <v>59.31</v>
      </c>
      <c r="X34">
        <v>73.44</v>
      </c>
      <c r="Y34" s="54">
        <f t="shared" si="7"/>
        <v>73.420763565924545</v>
      </c>
      <c r="Z34">
        <v>299.47000000000003</v>
      </c>
      <c r="AA34">
        <v>58.67</v>
      </c>
      <c r="AE34" s="62">
        <f t="shared" si="0"/>
        <v>3240.4844860202302</v>
      </c>
      <c r="AF34" s="64">
        <v>1700</v>
      </c>
      <c r="AG34" s="60">
        <f>($D34)*'Task2A)values_PHI_dependent'!$T$2</f>
        <v>519.69929154200815</v>
      </c>
      <c r="AH34" s="6">
        <f>$K34*'Task2A)values_PHI_dependent'!$V$2</f>
        <v>2133.4190859508253</v>
      </c>
      <c r="AI34" s="6">
        <f>$R34*'Task2A)values_PHI_dependent'!$U$2</f>
        <v>0</v>
      </c>
      <c r="AJ34" s="61">
        <f>($Y34)*'Task2A)values_PHI_dependent'!$S$2</f>
        <v>587.36610852739636</v>
      </c>
      <c r="AM34" s="62">
        <f t="shared" si="1"/>
        <v>3235.4039263095628</v>
      </c>
      <c r="AN34" s="64">
        <v>1700</v>
      </c>
      <c r="AO34" s="60">
        <f>($D34)*'Task2A)values_PHI_dependent'!$P$9</f>
        <v>514.50229862658807</v>
      </c>
      <c r="AP34" s="6">
        <f>$K34*'Task2A)values_PHI_dependent'!$R$9</f>
        <v>2133.4190859508253</v>
      </c>
      <c r="AQ34" s="6">
        <f>$R34*'Task2A)values_PHI_dependent'!$Q$9</f>
        <v>5.9900942900273728</v>
      </c>
      <c r="AR34" s="61">
        <f>($Y34)*'Task2A)values_PHI_dependent'!$O$9</f>
        <v>581.4924474421224</v>
      </c>
      <c r="AU34" s="62">
        <f t="shared" si="2"/>
        <v>3230.3233665988964</v>
      </c>
      <c r="AV34" s="64">
        <v>1700</v>
      </c>
      <c r="AW34" s="60">
        <f>($D34)*'Task2A)values_PHI_dependent'!$P$10</f>
        <v>509.30530571116805</v>
      </c>
      <c r="AX34" s="6">
        <f>$K34*'Task2A)values_PHI_dependent'!$R$10</f>
        <v>2133.4190859508253</v>
      </c>
      <c r="AY34" s="6">
        <f>$R34*'Task2A)values_PHI_dependent'!$Q$10</f>
        <v>11.980188580054746</v>
      </c>
      <c r="AZ34" s="61">
        <f>($Y34)*'Task2A)values_PHI_dependent'!$O$10</f>
        <v>575.61878635684843</v>
      </c>
      <c r="BC34" s="62">
        <f t="shared" si="3"/>
        <v>3225.24280688823</v>
      </c>
      <c r="BD34" s="64">
        <v>1700</v>
      </c>
      <c r="BE34" s="60">
        <f>($D34)*'Task2A)values_PHI_dependent'!$P$11</f>
        <v>504.10831279574796</v>
      </c>
      <c r="BF34" s="6">
        <f>$K34*'Task2A)values_PHI_dependent'!$R$10</f>
        <v>2133.4190859508253</v>
      </c>
      <c r="BG34" s="6">
        <f>$R34*'Task2A)values_PHI_dependent'!$Q$11</f>
        <v>17.970282870082119</v>
      </c>
      <c r="BH34" s="61">
        <f>($Y34)*'Task2A)values_PHI_dependent'!$O$11</f>
        <v>569.74512527157447</v>
      </c>
    </row>
    <row r="35" spans="1:60" x14ac:dyDescent="0.3">
      <c r="A35" s="43">
        <v>1750</v>
      </c>
      <c r="B35">
        <v>49.31</v>
      </c>
      <c r="C35">
        <v>60.24</v>
      </c>
      <c r="D35" s="52">
        <f t="shared" si="4"/>
        <v>60.151124765540665</v>
      </c>
      <c r="E35">
        <v>257.97000000000003</v>
      </c>
      <c r="F35">
        <v>43.51</v>
      </c>
      <c r="H35" s="43">
        <v>1750</v>
      </c>
      <c r="I35">
        <v>35.479999999999997</v>
      </c>
      <c r="J35">
        <v>47.19</v>
      </c>
      <c r="K35" s="51">
        <f t="shared" si="5"/>
        <v>47.121260319164442</v>
      </c>
      <c r="L35">
        <v>247.2</v>
      </c>
      <c r="M35">
        <v>26.49</v>
      </c>
      <c r="O35" s="43">
        <v>1750</v>
      </c>
      <c r="P35">
        <v>37.17</v>
      </c>
      <c r="Q35">
        <v>49.8</v>
      </c>
      <c r="R35" s="53">
        <f t="shared" si="6"/>
        <v>49.732539628086215</v>
      </c>
      <c r="S35">
        <v>263.64</v>
      </c>
      <c r="T35">
        <v>28.29</v>
      </c>
      <c r="V35" s="43">
        <v>1750</v>
      </c>
      <c r="W35">
        <v>59.53</v>
      </c>
      <c r="X35">
        <v>76.41</v>
      </c>
      <c r="Y35" s="54">
        <f t="shared" si="7"/>
        <v>76.335336534850228</v>
      </c>
      <c r="Z35">
        <v>301.2</v>
      </c>
      <c r="AA35">
        <v>58.02</v>
      </c>
      <c r="AE35" s="62">
        <f t="shared" ref="AE35:AE70" si="8">AG35+AH35+AI35+AJ35</f>
        <v>3366.7420501693964</v>
      </c>
      <c r="AF35" s="64">
        <v>1750</v>
      </c>
      <c r="AG35" s="60">
        <f>($D35)*'Task2A)values_PHI_dependent'!$T$2</f>
        <v>541.36012288986603</v>
      </c>
      <c r="AH35" s="6">
        <f>$K35*'Task2A)values_PHI_dependent'!$V$2</f>
        <v>2214.6992350007285</v>
      </c>
      <c r="AI35" s="6">
        <f>$R35*'Task2A)values_PHI_dependent'!$U$2</f>
        <v>0</v>
      </c>
      <c r="AJ35" s="61">
        <f>($Y35)*'Task2A)values_PHI_dependent'!$S$2</f>
        <v>610.68269227880182</v>
      </c>
      <c r="AM35" s="62">
        <f t="shared" si="1"/>
        <v>3361.4381894712205</v>
      </c>
      <c r="AN35" s="64">
        <v>1750</v>
      </c>
      <c r="AO35" s="60">
        <f>($D35)*'Task2A)values_PHI_dependent'!$P$9</f>
        <v>535.94652166096728</v>
      </c>
      <c r="AP35" s="6">
        <f>$K35*'Task2A)values_PHI_dependent'!$R$9</f>
        <v>2214.6992350007285</v>
      </c>
      <c r="AQ35" s="6">
        <f>$R35*'Task2A)values_PHI_dependent'!$Q$9</f>
        <v>6.2165674535107769</v>
      </c>
      <c r="AR35" s="61">
        <f>($Y35)*'Task2A)values_PHI_dependent'!$O$9</f>
        <v>604.57586535601376</v>
      </c>
      <c r="AU35" s="62">
        <f t="shared" si="2"/>
        <v>3356.1343287730447</v>
      </c>
      <c r="AV35" s="64">
        <v>1750</v>
      </c>
      <c r="AW35" s="60">
        <f>($D35)*'Task2A)values_PHI_dependent'!$P$10</f>
        <v>530.53292043206864</v>
      </c>
      <c r="AX35" s="6">
        <f>$K35*'Task2A)values_PHI_dependent'!$R$10</f>
        <v>2214.6992350007285</v>
      </c>
      <c r="AY35" s="6">
        <f>$R35*'Task2A)values_PHI_dependent'!$Q$10</f>
        <v>12.433134907021554</v>
      </c>
      <c r="AZ35" s="61">
        <f>($Y35)*'Task2A)values_PHI_dependent'!$O$10</f>
        <v>598.46903843322582</v>
      </c>
      <c r="BC35" s="62">
        <f t="shared" si="3"/>
        <v>3350.8304680748688</v>
      </c>
      <c r="BD35" s="64">
        <v>1750</v>
      </c>
      <c r="BE35" s="60">
        <f>($D35)*'Task2A)values_PHI_dependent'!$P$11</f>
        <v>525.11931920316999</v>
      </c>
      <c r="BF35" s="6">
        <f>$K35*'Task2A)values_PHI_dependent'!$R$10</f>
        <v>2214.6992350007285</v>
      </c>
      <c r="BG35" s="6">
        <f>$R35*'Task2A)values_PHI_dependent'!$Q$11</f>
        <v>18.649702360532331</v>
      </c>
      <c r="BH35" s="61">
        <f>($Y35)*'Task2A)values_PHI_dependent'!$O$11</f>
        <v>592.36221151043776</v>
      </c>
    </row>
    <row r="36" spans="1:60" x14ac:dyDescent="0.3">
      <c r="A36" s="43">
        <v>1800</v>
      </c>
      <c r="B36">
        <v>49.7</v>
      </c>
      <c r="C36">
        <v>62.71</v>
      </c>
      <c r="D36" s="52">
        <f t="shared" si="4"/>
        <v>62.583549056313927</v>
      </c>
      <c r="E36">
        <v>259.36</v>
      </c>
      <c r="F36">
        <v>43.16</v>
      </c>
      <c r="H36" s="43">
        <v>1800</v>
      </c>
      <c r="I36">
        <v>35.590000000000003</v>
      </c>
      <c r="J36">
        <v>48.97</v>
      </c>
      <c r="K36" s="51">
        <f t="shared" si="5"/>
        <v>48.86098202732947</v>
      </c>
      <c r="L36">
        <v>248.2</v>
      </c>
      <c r="M36">
        <v>26.58</v>
      </c>
      <c r="O36" s="43">
        <v>1800</v>
      </c>
      <c r="P36">
        <v>37.29</v>
      </c>
      <c r="Q36">
        <v>51.66</v>
      </c>
      <c r="R36" s="53">
        <f t="shared" si="6"/>
        <v>51.555058129624157</v>
      </c>
      <c r="S36">
        <v>264.69</v>
      </c>
      <c r="T36">
        <v>28.38</v>
      </c>
      <c r="V36" s="43">
        <v>1800</v>
      </c>
      <c r="W36">
        <v>59.73</v>
      </c>
      <c r="X36">
        <v>79.400000000000006</v>
      </c>
      <c r="Y36" s="54">
        <f t="shared" si="7"/>
        <v>79.265818366578074</v>
      </c>
      <c r="Z36">
        <v>302.88</v>
      </c>
      <c r="AA36">
        <v>57.42</v>
      </c>
      <c r="AE36" s="62">
        <f t="shared" si="8"/>
        <v>3493.844643723935</v>
      </c>
      <c r="AF36" s="64">
        <v>1800</v>
      </c>
      <c r="AG36" s="60">
        <f>($D36)*'Task2A)values_PHI_dependent'!$T$2</f>
        <v>563.25194150682535</v>
      </c>
      <c r="AH36" s="6">
        <f>$K36*'Task2A)values_PHI_dependent'!$V$2</f>
        <v>2296.466155284485</v>
      </c>
      <c r="AI36" s="6">
        <f>$R36*'Task2A)values_PHI_dependent'!$U$2</f>
        <v>0</v>
      </c>
      <c r="AJ36" s="61">
        <f>($Y36)*'Task2A)values_PHI_dependent'!$S$2</f>
        <v>634.12654693262459</v>
      </c>
      <c r="AM36" s="62">
        <f t="shared" si="1"/>
        <v>3488.3152411057436</v>
      </c>
      <c r="AN36" s="64">
        <v>1800</v>
      </c>
      <c r="AO36" s="60">
        <f>($D36)*'Task2A)values_PHI_dependent'!$P$9</f>
        <v>557.61942209175709</v>
      </c>
      <c r="AP36" s="6">
        <f>$K36*'Task2A)values_PHI_dependent'!$R$9</f>
        <v>2296.466155284485</v>
      </c>
      <c r="AQ36" s="6">
        <f>$R36*'Task2A)values_PHI_dependent'!$Q$9</f>
        <v>6.4443822662030197</v>
      </c>
      <c r="AR36" s="61">
        <f>($Y36)*'Task2A)values_PHI_dependent'!$O$9</f>
        <v>627.78528146329836</v>
      </c>
      <c r="AU36" s="62">
        <f t="shared" si="2"/>
        <v>3482.7858384875522</v>
      </c>
      <c r="AV36" s="64">
        <v>1800</v>
      </c>
      <c r="AW36" s="60">
        <f>($D36)*'Task2A)values_PHI_dependent'!$P$10</f>
        <v>551.98690267668883</v>
      </c>
      <c r="AX36" s="6">
        <f>$K36*'Task2A)values_PHI_dependent'!$R$10</f>
        <v>2296.466155284485</v>
      </c>
      <c r="AY36" s="6">
        <f>$R36*'Task2A)values_PHI_dependent'!$Q$10</f>
        <v>12.888764532406039</v>
      </c>
      <c r="AZ36" s="61">
        <f>($Y36)*'Task2A)values_PHI_dependent'!$O$10</f>
        <v>621.44401599397213</v>
      </c>
      <c r="BC36" s="62">
        <f t="shared" si="3"/>
        <v>3477.2564358693603</v>
      </c>
      <c r="BD36" s="64">
        <v>1800</v>
      </c>
      <c r="BE36" s="60">
        <f>($D36)*'Task2A)values_PHI_dependent'!$P$11</f>
        <v>546.35438326162057</v>
      </c>
      <c r="BF36" s="6">
        <f>$K36*'Task2A)values_PHI_dependent'!$R$10</f>
        <v>2296.466155284485</v>
      </c>
      <c r="BG36" s="6">
        <f>$R36*'Task2A)values_PHI_dependent'!$Q$11</f>
        <v>19.333146798609057</v>
      </c>
      <c r="BH36" s="61">
        <f>($Y36)*'Task2A)values_PHI_dependent'!$O$11</f>
        <v>615.10275052464578</v>
      </c>
    </row>
    <row r="37" spans="1:60" x14ac:dyDescent="0.3">
      <c r="A37" s="43">
        <v>1850</v>
      </c>
      <c r="B37">
        <v>50.08</v>
      </c>
      <c r="C37">
        <v>65.209999999999994</v>
      </c>
      <c r="D37" s="52">
        <f t="shared" si="4"/>
        <v>65.042382310064724</v>
      </c>
      <c r="E37">
        <v>260.73</v>
      </c>
      <c r="F37">
        <v>42.84</v>
      </c>
      <c r="H37" s="43">
        <v>1850</v>
      </c>
      <c r="I37">
        <v>35.700000000000003</v>
      </c>
      <c r="J37">
        <v>50.75</v>
      </c>
      <c r="K37" s="51">
        <f t="shared" si="5"/>
        <v>50.612042584423953</v>
      </c>
      <c r="L37">
        <v>249.18</v>
      </c>
      <c r="M37">
        <v>26.67</v>
      </c>
      <c r="O37" s="43">
        <v>1850</v>
      </c>
      <c r="P37">
        <v>37.42</v>
      </c>
      <c r="Q37">
        <v>53.53</v>
      </c>
      <c r="R37" s="53">
        <f t="shared" si="6"/>
        <v>53.38963282789306</v>
      </c>
      <c r="S37">
        <v>265.70999999999998</v>
      </c>
      <c r="T37">
        <v>28.48</v>
      </c>
      <c r="V37" s="43">
        <v>1850</v>
      </c>
      <c r="W37">
        <v>59.93</v>
      </c>
      <c r="X37">
        <v>82.39</v>
      </c>
      <c r="Y37" s="54">
        <f t="shared" si="7"/>
        <v>82.213449865984529</v>
      </c>
      <c r="Z37">
        <v>304.52</v>
      </c>
      <c r="AA37">
        <v>56.86</v>
      </c>
      <c r="AE37" s="62">
        <f t="shared" si="8"/>
        <v>3621.8550411863844</v>
      </c>
      <c r="AF37" s="64">
        <v>1850</v>
      </c>
      <c r="AG37" s="60">
        <f>($D37)*'Task2A)values_PHI_dependent'!$T$2</f>
        <v>585.38144079058247</v>
      </c>
      <c r="AH37" s="6">
        <f>$K37*'Task2A)values_PHI_dependent'!$V$2</f>
        <v>2378.7660014679259</v>
      </c>
      <c r="AI37" s="6">
        <f>$R37*'Task2A)values_PHI_dependent'!$U$2</f>
        <v>0</v>
      </c>
      <c r="AJ37" s="61">
        <f>($Y37)*'Task2A)values_PHI_dependent'!$S$2</f>
        <v>657.70759892787623</v>
      </c>
      <c r="AM37" s="62">
        <f t="shared" si="1"/>
        <v>3616.0978548926869</v>
      </c>
      <c r="AN37" s="64">
        <v>1850</v>
      </c>
      <c r="AO37" s="60">
        <f>($D37)*'Task2A)values_PHI_dependent'!$P$9</f>
        <v>579.52762638267666</v>
      </c>
      <c r="AP37" s="6">
        <f>$K37*'Task2A)values_PHI_dependent'!$R$9</f>
        <v>2378.7660014679259</v>
      </c>
      <c r="AQ37" s="6">
        <f>$R37*'Task2A)values_PHI_dependent'!$Q$9</f>
        <v>6.6737041034866325</v>
      </c>
      <c r="AR37" s="61">
        <f>($Y37)*'Task2A)values_PHI_dependent'!$O$9</f>
        <v>651.13052293859744</v>
      </c>
      <c r="AU37" s="62">
        <f t="shared" si="2"/>
        <v>3610.3406685989885</v>
      </c>
      <c r="AV37" s="64">
        <v>1850</v>
      </c>
      <c r="AW37" s="60">
        <f>($D37)*'Task2A)values_PHI_dependent'!$P$10</f>
        <v>573.67381197477084</v>
      </c>
      <c r="AX37" s="6">
        <f>$K37*'Task2A)values_PHI_dependent'!$R$10</f>
        <v>2378.7660014679259</v>
      </c>
      <c r="AY37" s="6">
        <f>$R37*'Task2A)values_PHI_dependent'!$Q$10</f>
        <v>13.347408206973265</v>
      </c>
      <c r="AZ37" s="61">
        <f>($Y37)*'Task2A)values_PHI_dependent'!$O$10</f>
        <v>644.55344694931864</v>
      </c>
      <c r="BC37" s="62">
        <f t="shared" si="3"/>
        <v>3604.583482305291</v>
      </c>
      <c r="BD37" s="64">
        <v>1850</v>
      </c>
      <c r="BE37" s="60">
        <f>($D37)*'Task2A)values_PHI_dependent'!$P$11</f>
        <v>567.81999756686503</v>
      </c>
      <c r="BF37" s="6">
        <f>$K37*'Task2A)values_PHI_dependent'!$R$10</f>
        <v>2378.7660014679259</v>
      </c>
      <c r="BG37" s="6">
        <f>$R37*'Task2A)values_PHI_dependent'!$Q$11</f>
        <v>20.021112310459898</v>
      </c>
      <c r="BH37" s="61">
        <f>($Y37)*'Task2A)values_PHI_dependent'!$O$11</f>
        <v>637.97637096003996</v>
      </c>
    </row>
    <row r="38" spans="1:60" x14ac:dyDescent="0.3">
      <c r="A38" s="43">
        <v>1900</v>
      </c>
      <c r="B38">
        <v>50.45</v>
      </c>
      <c r="C38">
        <v>67.72</v>
      </c>
      <c r="D38" s="52">
        <f t="shared" si="4"/>
        <v>67.528086925848399</v>
      </c>
      <c r="E38">
        <v>262.07</v>
      </c>
      <c r="F38">
        <v>42.54</v>
      </c>
      <c r="H38" s="43">
        <v>1900</v>
      </c>
      <c r="I38">
        <v>35.799999999999997</v>
      </c>
      <c r="J38">
        <v>52.54</v>
      </c>
      <c r="K38" s="51">
        <f t="shared" si="5"/>
        <v>52.375185012101966</v>
      </c>
      <c r="L38">
        <v>250.13</v>
      </c>
      <c r="M38">
        <v>26.76</v>
      </c>
      <c r="O38" s="43">
        <v>1900</v>
      </c>
      <c r="P38">
        <v>37.54</v>
      </c>
      <c r="Q38">
        <v>55.4</v>
      </c>
      <c r="R38" s="53">
        <f t="shared" si="6"/>
        <v>55.237331154682664</v>
      </c>
      <c r="S38">
        <v>266.70999999999998</v>
      </c>
      <c r="T38">
        <v>28.57</v>
      </c>
      <c r="V38" s="43">
        <v>1900</v>
      </c>
      <c r="W38">
        <v>60.11</v>
      </c>
      <c r="X38">
        <v>85.39</v>
      </c>
      <c r="Y38" s="54">
        <f t="shared" si="7"/>
        <v>85.179173428323381</v>
      </c>
      <c r="Z38">
        <v>306.12</v>
      </c>
      <c r="AA38">
        <v>56.33</v>
      </c>
      <c r="AE38" s="62">
        <f t="shared" si="8"/>
        <v>3750.8198653280151</v>
      </c>
      <c r="AF38" s="64">
        <v>1900</v>
      </c>
      <c r="AG38" s="60">
        <f>($D38)*'Task2A)values_PHI_dependent'!$T$2</f>
        <v>607.75278233263555</v>
      </c>
      <c r="AH38" s="6">
        <f>$K38*'Task2A)values_PHI_dependent'!$V$2</f>
        <v>2461.6336955687925</v>
      </c>
      <c r="AI38" s="6">
        <f>$R38*'Task2A)values_PHI_dependent'!$U$2</f>
        <v>0</v>
      </c>
      <c r="AJ38" s="61">
        <f>($Y38)*'Task2A)values_PHI_dependent'!$S$2</f>
        <v>681.43338742658705</v>
      </c>
      <c r="AM38" s="62">
        <f t="shared" si="1"/>
        <v>3744.832670024758</v>
      </c>
      <c r="AN38" s="64">
        <v>1900</v>
      </c>
      <c r="AO38" s="60">
        <f>($D38)*'Task2A)values_PHI_dependent'!$P$9</f>
        <v>601.6752545093093</v>
      </c>
      <c r="AP38" s="6">
        <f>$K38*'Task2A)values_PHI_dependent'!$R$9</f>
        <v>2461.6336955687925</v>
      </c>
      <c r="AQ38" s="6">
        <f>$R38*'Task2A)values_PHI_dependent'!$Q$9</f>
        <v>6.904666394335333</v>
      </c>
      <c r="AR38" s="61">
        <f>($Y38)*'Task2A)values_PHI_dependent'!$O$9</f>
        <v>674.61905355232113</v>
      </c>
      <c r="AU38" s="62">
        <f t="shared" si="2"/>
        <v>3738.8454747215019</v>
      </c>
      <c r="AV38" s="64">
        <v>1900</v>
      </c>
      <c r="AW38" s="60">
        <f>($D38)*'Task2A)values_PHI_dependent'!$P$10</f>
        <v>595.59772668598293</v>
      </c>
      <c r="AX38" s="6">
        <f>$K38*'Task2A)values_PHI_dependent'!$R$10</f>
        <v>2461.6336955687925</v>
      </c>
      <c r="AY38" s="6">
        <f>$R38*'Task2A)values_PHI_dependent'!$Q$10</f>
        <v>13.809332788670666</v>
      </c>
      <c r="AZ38" s="61">
        <f>($Y38)*'Task2A)values_PHI_dependent'!$O$10</f>
        <v>667.80471967805533</v>
      </c>
      <c r="BC38" s="62">
        <f t="shared" si="3"/>
        <v>3732.8582794182439</v>
      </c>
      <c r="BD38" s="64">
        <v>1900</v>
      </c>
      <c r="BE38" s="60">
        <f>($D38)*'Task2A)values_PHI_dependent'!$P$11</f>
        <v>589.52019886265657</v>
      </c>
      <c r="BF38" s="6">
        <f>$K38*'Task2A)values_PHI_dependent'!$R$10</f>
        <v>2461.6336955687925</v>
      </c>
      <c r="BG38" s="6">
        <f>$R38*'Task2A)values_PHI_dependent'!$Q$11</f>
        <v>20.713999183005999</v>
      </c>
      <c r="BH38" s="61">
        <f>($Y38)*'Task2A)values_PHI_dependent'!$O$11</f>
        <v>660.99038580378942</v>
      </c>
    </row>
    <row r="39" spans="1:60" x14ac:dyDescent="0.3">
      <c r="A39" s="43">
        <v>1950</v>
      </c>
      <c r="B39">
        <v>50.8</v>
      </c>
      <c r="C39">
        <v>70.25</v>
      </c>
      <c r="D39" s="52">
        <f t="shared" si="4"/>
        <v>70.040820893424012</v>
      </c>
      <c r="E39">
        <v>263.38</v>
      </c>
      <c r="F39">
        <v>42.26</v>
      </c>
      <c r="H39" s="43">
        <v>1950</v>
      </c>
      <c r="I39">
        <v>35.9</v>
      </c>
      <c r="J39">
        <v>54.33</v>
      </c>
      <c r="K39" s="51">
        <f t="shared" si="5"/>
        <v>54.150890827089832</v>
      </c>
      <c r="L39">
        <v>251.06</v>
      </c>
      <c r="M39">
        <v>26.85</v>
      </c>
      <c r="O39" s="43">
        <v>1950</v>
      </c>
      <c r="P39">
        <v>37.67</v>
      </c>
      <c r="Q39">
        <v>57.28</v>
      </c>
      <c r="R39" s="53">
        <f t="shared" si="6"/>
        <v>57.098938363516105</v>
      </c>
      <c r="S39">
        <v>267.69</v>
      </c>
      <c r="T39">
        <v>28.66</v>
      </c>
      <c r="V39" s="43">
        <v>1950</v>
      </c>
      <c r="W39">
        <v>60.27</v>
      </c>
      <c r="X39">
        <v>88.4</v>
      </c>
      <c r="Y39" s="54">
        <f t="shared" si="7"/>
        <v>88.163596175005367</v>
      </c>
      <c r="Z39">
        <v>307.68</v>
      </c>
      <c r="AA39">
        <v>55.83</v>
      </c>
      <c r="AE39" s="62">
        <f t="shared" si="8"/>
        <v>3880.768026314081</v>
      </c>
      <c r="AF39" s="64">
        <v>1950</v>
      </c>
      <c r="AG39" s="60">
        <f>($D39)*'Task2A)values_PHI_dependent'!$T$2</f>
        <v>630.36738804081608</v>
      </c>
      <c r="AH39" s="6">
        <f>$K39*'Task2A)values_PHI_dependent'!$V$2</f>
        <v>2545.0918688732222</v>
      </c>
      <c r="AI39" s="6">
        <f>$R39*'Task2A)values_PHI_dependent'!$U$2</f>
        <v>0</v>
      </c>
      <c r="AJ39" s="61">
        <f>($Y39)*'Task2A)values_PHI_dependent'!$S$2</f>
        <v>705.30876940004293</v>
      </c>
      <c r="AM39" s="62">
        <f t="shared" si="1"/>
        <v>3874.5486320351124</v>
      </c>
      <c r="AN39" s="64">
        <v>1950</v>
      </c>
      <c r="AO39" s="60">
        <f>($D39)*'Task2A)values_PHI_dependent'!$P$9</f>
        <v>624.06371416040793</v>
      </c>
      <c r="AP39" s="6">
        <f>$K39*'Task2A)values_PHI_dependent'!$R$9</f>
        <v>2545.0918688732222</v>
      </c>
      <c r="AQ39" s="6">
        <f>$R39*'Task2A)values_PHI_dependent'!$Q$9</f>
        <v>7.1373672954395131</v>
      </c>
      <c r="AR39" s="61">
        <f>($Y39)*'Task2A)values_PHI_dependent'!$O$9</f>
        <v>698.25568170604254</v>
      </c>
      <c r="AU39" s="62">
        <f t="shared" si="2"/>
        <v>3868.3292377561434</v>
      </c>
      <c r="AV39" s="64">
        <v>1950</v>
      </c>
      <c r="AW39" s="60">
        <f>($D39)*'Task2A)values_PHI_dependent'!$P$10</f>
        <v>617.76004027999977</v>
      </c>
      <c r="AX39" s="6">
        <f>$K39*'Task2A)values_PHI_dependent'!$R$10</f>
        <v>2545.0918688732222</v>
      </c>
      <c r="AY39" s="6">
        <f>$R39*'Task2A)values_PHI_dependent'!$Q$10</f>
        <v>14.274734590879026</v>
      </c>
      <c r="AZ39" s="61">
        <f>($Y39)*'Task2A)values_PHI_dependent'!$O$10</f>
        <v>691.20259401204203</v>
      </c>
      <c r="BC39" s="62">
        <f t="shared" si="3"/>
        <v>3862.1098434771739</v>
      </c>
      <c r="BD39" s="64">
        <v>1950</v>
      </c>
      <c r="BE39" s="60">
        <f>($D39)*'Task2A)values_PHI_dependent'!$P$11</f>
        <v>611.45636639959162</v>
      </c>
      <c r="BF39" s="6">
        <f>$K39*'Task2A)values_PHI_dependent'!$R$10</f>
        <v>2545.0918688732222</v>
      </c>
      <c r="BG39" s="6">
        <f>$R39*'Task2A)values_PHI_dependent'!$Q$11</f>
        <v>21.412101886318538</v>
      </c>
      <c r="BH39" s="61">
        <f>($Y39)*'Task2A)values_PHI_dependent'!$O$11</f>
        <v>684.14950631804163</v>
      </c>
    </row>
    <row r="40" spans="1:60" x14ac:dyDescent="0.3">
      <c r="A40" s="43">
        <v>2000</v>
      </c>
      <c r="B40">
        <v>51.14</v>
      </c>
      <c r="C40">
        <v>72.8</v>
      </c>
      <c r="D40" s="52">
        <f t="shared" si="4"/>
        <v>72.58042217777998</v>
      </c>
      <c r="E40">
        <v>264.67</v>
      </c>
      <c r="F40">
        <v>42</v>
      </c>
      <c r="H40" s="43">
        <v>2000</v>
      </c>
      <c r="I40">
        <v>35.99</v>
      </c>
      <c r="J40">
        <v>56.13</v>
      </c>
      <c r="K40" s="51">
        <f t="shared" si="5"/>
        <v>55.939364208639915</v>
      </c>
      <c r="L40">
        <v>251.97</v>
      </c>
      <c r="M40">
        <v>26.93</v>
      </c>
      <c r="O40" s="43">
        <v>2000</v>
      </c>
      <c r="P40">
        <v>37.79</v>
      </c>
      <c r="Q40">
        <v>59.17</v>
      </c>
      <c r="R40" s="53">
        <f t="shared" si="6"/>
        <v>58.974938230459948</v>
      </c>
      <c r="S40">
        <v>268.64</v>
      </c>
      <c r="T40">
        <v>28.75</v>
      </c>
      <c r="V40" s="43">
        <v>2000</v>
      </c>
      <c r="W40">
        <v>60.43</v>
      </c>
      <c r="X40">
        <v>91.42</v>
      </c>
      <c r="Y40" s="54">
        <f t="shared" si="7"/>
        <v>91.166962738520141</v>
      </c>
      <c r="Z40">
        <v>309.20999999999998</v>
      </c>
      <c r="AA40">
        <v>55.36</v>
      </c>
      <c r="AE40" s="62">
        <f t="shared" si="8"/>
        <v>4011.709619314257</v>
      </c>
      <c r="AF40" s="64">
        <v>2000</v>
      </c>
      <c r="AG40" s="60">
        <f>($D40)*'Task2A)values_PHI_dependent'!$T$2</f>
        <v>653.22379960001979</v>
      </c>
      <c r="AH40" s="6">
        <f>$K40*'Task2A)values_PHI_dependent'!$V$2</f>
        <v>2629.1501178060762</v>
      </c>
      <c r="AI40" s="6">
        <f>$R40*'Task2A)values_PHI_dependent'!$U$2</f>
        <v>0</v>
      </c>
      <c r="AJ40" s="61">
        <f>($Y40)*'Task2A)values_PHI_dependent'!$S$2</f>
        <v>729.33570190816113</v>
      </c>
      <c r="AM40" s="62">
        <f t="shared" si="1"/>
        <v>4005.2558915779828</v>
      </c>
      <c r="AN40" s="64">
        <v>2000</v>
      </c>
      <c r="AO40" s="60">
        <f>($D40)*'Task2A)values_PHI_dependent'!$P$9</f>
        <v>646.69156160401963</v>
      </c>
      <c r="AP40" s="6">
        <f>$K40*'Task2A)values_PHI_dependent'!$R$9</f>
        <v>2629.1501178060762</v>
      </c>
      <c r="AQ40" s="6">
        <f>$R40*'Task2A)values_PHI_dependent'!$Q$9</f>
        <v>7.3718672788074935</v>
      </c>
      <c r="AR40" s="61">
        <f>($Y40)*'Task2A)values_PHI_dependent'!$O$9</f>
        <v>722.04234488907946</v>
      </c>
      <c r="AU40" s="62">
        <f t="shared" si="2"/>
        <v>3998.8021638417085</v>
      </c>
      <c r="AV40" s="64">
        <v>2000</v>
      </c>
      <c r="AW40" s="60">
        <f>($D40)*'Task2A)values_PHI_dependent'!$P$10</f>
        <v>640.15932360801946</v>
      </c>
      <c r="AX40" s="6">
        <f>$K40*'Task2A)values_PHI_dependent'!$R$10</f>
        <v>2629.1501178060762</v>
      </c>
      <c r="AY40" s="6">
        <f>$R40*'Task2A)values_PHI_dependent'!$Q$10</f>
        <v>14.743734557614987</v>
      </c>
      <c r="AZ40" s="61">
        <f>($Y40)*'Task2A)values_PHI_dependent'!$O$10</f>
        <v>714.7489878699979</v>
      </c>
      <c r="BC40" s="62">
        <f t="shared" si="3"/>
        <v>3992.3484361054343</v>
      </c>
      <c r="BD40" s="64">
        <v>2000</v>
      </c>
      <c r="BE40" s="60">
        <f>($D40)*'Task2A)values_PHI_dependent'!$P$11</f>
        <v>633.6270856120193</v>
      </c>
      <c r="BF40" s="6">
        <f>$K40*'Task2A)values_PHI_dependent'!$R$10</f>
        <v>2629.1501178060762</v>
      </c>
      <c r="BG40" s="6">
        <f>$R40*'Task2A)values_PHI_dependent'!$Q$11</f>
        <v>22.115601836422481</v>
      </c>
      <c r="BH40" s="61">
        <f>($Y40)*'Task2A)values_PHI_dependent'!$O$11</f>
        <v>707.45563085091624</v>
      </c>
    </row>
    <row r="41" spans="1:60" x14ac:dyDescent="0.3">
      <c r="A41" s="43">
        <v>2050</v>
      </c>
      <c r="B41">
        <v>51.47</v>
      </c>
      <c r="C41">
        <v>75.37</v>
      </c>
      <c r="D41" s="52">
        <f t="shared" si="4"/>
        <v>75.146400585681832</v>
      </c>
      <c r="E41">
        <v>265.94</v>
      </c>
      <c r="F41">
        <v>41.75</v>
      </c>
      <c r="H41" s="43">
        <v>2050</v>
      </c>
      <c r="I41">
        <v>36.07</v>
      </c>
      <c r="J41">
        <v>57.93</v>
      </c>
      <c r="K41" s="51">
        <f t="shared" si="5"/>
        <v>57.740522845854905</v>
      </c>
      <c r="L41">
        <v>252.86</v>
      </c>
      <c r="M41">
        <v>27.01</v>
      </c>
      <c r="O41" s="43">
        <v>2050</v>
      </c>
      <c r="P41">
        <v>37.9</v>
      </c>
      <c r="Q41">
        <v>61.06</v>
      </c>
      <c r="R41" s="53">
        <f t="shared" si="6"/>
        <v>60.865501062742915</v>
      </c>
      <c r="S41">
        <v>269.58</v>
      </c>
      <c r="T41">
        <v>28.84</v>
      </c>
      <c r="V41" s="43">
        <v>2050</v>
      </c>
      <c r="W41">
        <v>60.58</v>
      </c>
      <c r="X41">
        <v>94.44</v>
      </c>
      <c r="Y41" s="54">
        <f t="shared" si="7"/>
        <v>94.189137696496445</v>
      </c>
      <c r="Z41">
        <v>310.7</v>
      </c>
      <c r="AA41">
        <v>54.92</v>
      </c>
      <c r="AE41" s="62">
        <f t="shared" si="8"/>
        <v>4143.6352805982888</v>
      </c>
      <c r="AF41" s="64">
        <v>2050</v>
      </c>
      <c r="AG41" s="60">
        <f>($D41)*'Task2A)values_PHI_dependent'!$T$2</f>
        <v>676.31760527113647</v>
      </c>
      <c r="AH41" s="6">
        <f>$K41*'Task2A)values_PHI_dependent'!$V$2</f>
        <v>2713.8045737551806</v>
      </c>
      <c r="AI41" s="6">
        <f>$R41*'Task2A)values_PHI_dependent'!$U$2</f>
        <v>0</v>
      </c>
      <c r="AJ41" s="61">
        <f>($Y41)*'Task2A)values_PHI_dependent'!$S$2</f>
        <v>753.51310157197156</v>
      </c>
      <c r="AM41" s="62">
        <f t="shared" si="1"/>
        <v>4136.945161162701</v>
      </c>
      <c r="AN41" s="64">
        <v>2050</v>
      </c>
      <c r="AO41" s="60">
        <f>($D41)*'Task2A)values_PHI_dependent'!$P$9</f>
        <v>669.55442921842518</v>
      </c>
      <c r="AP41" s="6">
        <f>$K41*'Task2A)values_PHI_dependent'!$R$9</f>
        <v>2713.8045737551806</v>
      </c>
      <c r="AQ41" s="6">
        <f>$R41*'Task2A)values_PHI_dependent'!$Q$9</f>
        <v>7.6081876328428644</v>
      </c>
      <c r="AR41" s="61">
        <f>($Y41)*'Task2A)values_PHI_dependent'!$O$9</f>
        <v>745.97797055625188</v>
      </c>
      <c r="AU41" s="62">
        <f t="shared" si="2"/>
        <v>4130.2550417271123</v>
      </c>
      <c r="AV41" s="64">
        <v>2050</v>
      </c>
      <c r="AW41" s="60">
        <f>($D41)*'Task2A)values_PHI_dependent'!$P$10</f>
        <v>662.79125316571378</v>
      </c>
      <c r="AX41" s="6">
        <f>$K41*'Task2A)values_PHI_dependent'!$R$10</f>
        <v>2713.8045737551806</v>
      </c>
      <c r="AY41" s="6">
        <f>$R41*'Task2A)values_PHI_dependent'!$Q$10</f>
        <v>15.216375265685729</v>
      </c>
      <c r="AZ41" s="61">
        <f>($Y41)*'Task2A)values_PHI_dependent'!$O$10</f>
        <v>738.44283954053208</v>
      </c>
      <c r="BC41" s="62">
        <f t="shared" si="3"/>
        <v>4123.5649222915245</v>
      </c>
      <c r="BD41" s="64">
        <v>2050</v>
      </c>
      <c r="BE41" s="60">
        <f>($D41)*'Task2A)values_PHI_dependent'!$P$11</f>
        <v>656.02807711300238</v>
      </c>
      <c r="BF41" s="6">
        <f>$K41*'Task2A)values_PHI_dependent'!$R$10</f>
        <v>2713.8045737551806</v>
      </c>
      <c r="BG41" s="6">
        <f>$R41*'Task2A)values_PHI_dependent'!$Q$11</f>
        <v>22.824562898528594</v>
      </c>
      <c r="BH41" s="61">
        <f>($Y41)*'Task2A)values_PHI_dependent'!$O$11</f>
        <v>730.90770852481239</v>
      </c>
    </row>
    <row r="42" spans="1:60" x14ac:dyDescent="0.3">
      <c r="A42" s="43">
        <v>2100</v>
      </c>
      <c r="B42">
        <v>51.78</v>
      </c>
      <c r="C42">
        <v>77.95</v>
      </c>
      <c r="D42" s="52">
        <f t="shared" si="4"/>
        <v>77.737937114240665</v>
      </c>
      <c r="E42">
        <v>267.19</v>
      </c>
      <c r="F42">
        <v>41.52</v>
      </c>
      <c r="H42" s="43">
        <v>2100</v>
      </c>
      <c r="I42">
        <v>36.15</v>
      </c>
      <c r="J42">
        <v>59.73</v>
      </c>
      <c r="K42" s="51">
        <f t="shared" si="5"/>
        <v>59.553995464881993</v>
      </c>
      <c r="L42">
        <v>253.73</v>
      </c>
      <c r="M42">
        <v>27.1</v>
      </c>
      <c r="O42" s="43">
        <v>2100</v>
      </c>
      <c r="P42">
        <v>38.020000000000003</v>
      </c>
      <c r="Q42">
        <v>62.96</v>
      </c>
      <c r="R42" s="53">
        <f t="shared" si="6"/>
        <v>62.770479015182097</v>
      </c>
      <c r="S42">
        <v>270.49</v>
      </c>
      <c r="T42">
        <v>28.93</v>
      </c>
      <c r="V42" s="43">
        <v>2100</v>
      </c>
      <c r="W42">
        <v>60.71</v>
      </c>
      <c r="X42">
        <v>97.47</v>
      </c>
      <c r="Y42" s="54">
        <f t="shared" si="7"/>
        <v>97.229597654904296</v>
      </c>
      <c r="Z42">
        <v>312.16000000000003</v>
      </c>
      <c r="AA42">
        <v>54.5</v>
      </c>
      <c r="AE42" s="62">
        <f t="shared" si="8"/>
        <v>4276.516002116854</v>
      </c>
      <c r="AF42" s="64">
        <v>2100</v>
      </c>
      <c r="AG42" s="60">
        <f>($D42)*'Task2A)values_PHI_dependent'!$T$2</f>
        <v>699.64143402816603</v>
      </c>
      <c r="AH42" s="6">
        <f>$K42*'Task2A)values_PHI_dependent'!$V$2</f>
        <v>2799.0377868494538</v>
      </c>
      <c r="AI42" s="6">
        <f>$R42*'Task2A)values_PHI_dependent'!$U$2</f>
        <v>0</v>
      </c>
      <c r="AJ42" s="61">
        <f>($Y42)*'Task2A)values_PHI_dependent'!$S$2</f>
        <v>777.83678123923437</v>
      </c>
      <c r="AM42" s="62">
        <f t="shared" si="1"/>
        <v>4269.5875298410783</v>
      </c>
      <c r="AN42" s="64">
        <v>2100</v>
      </c>
      <c r="AO42" s="60">
        <f>($D42)*'Task2A)values_PHI_dependent'!$P$9</f>
        <v>692.64501968788431</v>
      </c>
      <c r="AP42" s="6">
        <f>$K42*'Task2A)values_PHI_dependent'!$R$9</f>
        <v>2799.0377868494538</v>
      </c>
      <c r="AQ42" s="6">
        <f>$R42*'Task2A)values_PHI_dependent'!$Q$9</f>
        <v>7.8463098768977622</v>
      </c>
      <c r="AR42" s="61">
        <f>($Y42)*'Task2A)values_PHI_dependent'!$O$9</f>
        <v>770.05841342684198</v>
      </c>
      <c r="AU42" s="62">
        <f t="shared" si="2"/>
        <v>4262.6590575653017</v>
      </c>
      <c r="AV42" s="64">
        <v>2100</v>
      </c>
      <c r="AW42" s="60">
        <f>($D42)*'Task2A)values_PHI_dependent'!$P$10</f>
        <v>685.64860534760271</v>
      </c>
      <c r="AX42" s="6">
        <f>$K42*'Task2A)values_PHI_dependent'!$R$10</f>
        <v>2799.0377868494538</v>
      </c>
      <c r="AY42" s="6">
        <f>$R42*'Task2A)values_PHI_dependent'!$Q$10</f>
        <v>15.692619753795524</v>
      </c>
      <c r="AZ42" s="61">
        <f>($Y42)*'Task2A)values_PHI_dependent'!$O$10</f>
        <v>762.2800456144497</v>
      </c>
      <c r="BC42" s="62">
        <f t="shared" si="3"/>
        <v>4255.7305852895261</v>
      </c>
      <c r="BD42" s="64">
        <v>2100</v>
      </c>
      <c r="BE42" s="60">
        <f>($D42)*'Task2A)values_PHI_dependent'!$P$11</f>
        <v>678.65219100732099</v>
      </c>
      <c r="BF42" s="6">
        <f>$K42*'Task2A)values_PHI_dependent'!$R$10</f>
        <v>2799.0377868494538</v>
      </c>
      <c r="BG42" s="6">
        <f>$R42*'Task2A)values_PHI_dependent'!$Q$11</f>
        <v>23.538929630693286</v>
      </c>
      <c r="BH42" s="61">
        <f>($Y42)*'Task2A)values_PHI_dependent'!$O$11</f>
        <v>754.50167780205732</v>
      </c>
    </row>
    <row r="43" spans="1:60" x14ac:dyDescent="0.3">
      <c r="A43" s="43">
        <v>2150</v>
      </c>
      <c r="B43">
        <v>52.08</v>
      </c>
      <c r="C43">
        <v>80.540000000000006</v>
      </c>
      <c r="D43" s="52">
        <f t="shared" si="4"/>
        <v>80.353890781502628</v>
      </c>
      <c r="E43">
        <v>268.41000000000003</v>
      </c>
      <c r="F43">
        <v>41.31</v>
      </c>
      <c r="H43" s="43">
        <v>2150</v>
      </c>
      <c r="I43">
        <v>36.229999999999997</v>
      </c>
      <c r="J43">
        <v>61.54</v>
      </c>
      <c r="K43" s="51">
        <f t="shared" si="5"/>
        <v>61.379126035976959</v>
      </c>
      <c r="L43">
        <v>254.58</v>
      </c>
      <c r="M43">
        <v>27.18</v>
      </c>
      <c r="O43" s="43">
        <v>2150</v>
      </c>
      <c r="P43">
        <v>38.14</v>
      </c>
      <c r="Q43">
        <v>64.86</v>
      </c>
      <c r="R43" s="53">
        <f t="shared" si="6"/>
        <v>64.689408714416658</v>
      </c>
      <c r="S43">
        <v>271.39</v>
      </c>
      <c r="T43">
        <v>29.01</v>
      </c>
      <c r="V43" s="43">
        <v>2150</v>
      </c>
      <c r="W43">
        <v>60.84</v>
      </c>
      <c r="X43">
        <v>100.51</v>
      </c>
      <c r="Y43" s="54">
        <f t="shared" si="7"/>
        <v>100.28743298039561</v>
      </c>
      <c r="Z43">
        <v>313.58999999999997</v>
      </c>
      <c r="AA43">
        <v>54.11</v>
      </c>
      <c r="AE43" s="62">
        <f t="shared" si="8"/>
        <v>4410.3034045676059</v>
      </c>
      <c r="AF43" s="64">
        <v>2150</v>
      </c>
      <c r="AG43" s="60">
        <f>($D43)*'Task2A)values_PHI_dependent'!$T$2</f>
        <v>723.18501703352365</v>
      </c>
      <c r="AH43" s="6">
        <f>$K43*'Task2A)values_PHI_dependent'!$V$2</f>
        <v>2884.818923690917</v>
      </c>
      <c r="AI43" s="6">
        <f>$R43*'Task2A)values_PHI_dependent'!$U$2</f>
        <v>0</v>
      </c>
      <c r="AJ43" s="61">
        <f>($Y43)*'Task2A)values_PHI_dependent'!$S$2</f>
        <v>802.29946384316486</v>
      </c>
      <c r="AM43" s="62">
        <f t="shared" si="1"/>
        <v>4403.1347358481407</v>
      </c>
      <c r="AN43" s="64">
        <v>2150</v>
      </c>
      <c r="AO43" s="60">
        <f>($D43)*'Task2A)values_PHI_dependent'!$P$9</f>
        <v>715.95316686318847</v>
      </c>
      <c r="AP43" s="6">
        <f>$K43*'Task2A)values_PHI_dependent'!$R$9</f>
        <v>2884.818923690917</v>
      </c>
      <c r="AQ43" s="6">
        <f>$R43*'Task2A)values_PHI_dependent'!$Q$9</f>
        <v>8.0861760893020822</v>
      </c>
      <c r="AR43" s="61">
        <f>($Y43)*'Task2A)values_PHI_dependent'!$O$9</f>
        <v>794.27646920473319</v>
      </c>
      <c r="AU43" s="62">
        <f t="shared" si="2"/>
        <v>4395.9660671286765</v>
      </c>
      <c r="AV43" s="64">
        <v>2150</v>
      </c>
      <c r="AW43" s="60">
        <f>($D43)*'Task2A)values_PHI_dependent'!$P$10</f>
        <v>708.72131669285318</v>
      </c>
      <c r="AX43" s="6">
        <f>$K43*'Task2A)values_PHI_dependent'!$R$10</f>
        <v>2884.818923690917</v>
      </c>
      <c r="AY43" s="6">
        <f>$R43*'Task2A)values_PHI_dependent'!$Q$10</f>
        <v>16.172352178604164</v>
      </c>
      <c r="AZ43" s="61">
        <f>($Y43)*'Task2A)values_PHI_dependent'!$O$10</f>
        <v>786.25347456630152</v>
      </c>
      <c r="BC43" s="62">
        <f t="shared" si="3"/>
        <v>4388.7973984092105</v>
      </c>
      <c r="BD43" s="64">
        <v>2150</v>
      </c>
      <c r="BE43" s="60">
        <f>($D43)*'Task2A)values_PHI_dependent'!$P$11</f>
        <v>701.489466522518</v>
      </c>
      <c r="BF43" s="6">
        <f>$K43*'Task2A)values_PHI_dependent'!$R$10</f>
        <v>2884.818923690917</v>
      </c>
      <c r="BG43" s="6">
        <f>$R43*'Task2A)values_PHI_dependent'!$Q$11</f>
        <v>24.258528267906247</v>
      </c>
      <c r="BH43" s="61">
        <f>($Y43)*'Task2A)values_PHI_dependent'!$O$11</f>
        <v>778.23047992786985</v>
      </c>
    </row>
    <row r="44" spans="1:60" x14ac:dyDescent="0.3">
      <c r="A44" s="43">
        <v>2200</v>
      </c>
      <c r="B44">
        <v>52.38</v>
      </c>
      <c r="C44">
        <v>83.16</v>
      </c>
      <c r="D44" s="52">
        <f t="shared" si="4"/>
        <v>82.992812939063185</v>
      </c>
      <c r="E44">
        <v>269.61</v>
      </c>
      <c r="F44">
        <v>41.1</v>
      </c>
      <c r="H44" s="43">
        <v>2200</v>
      </c>
      <c r="I44">
        <v>36.299999999999997</v>
      </c>
      <c r="J44">
        <v>63.36</v>
      </c>
      <c r="K44" s="51">
        <f t="shared" si="5"/>
        <v>63.214984660437636</v>
      </c>
      <c r="L44">
        <v>255.42</v>
      </c>
      <c r="M44">
        <v>27.26</v>
      </c>
      <c r="O44" s="43">
        <v>2200</v>
      </c>
      <c r="P44">
        <v>38.25</v>
      </c>
      <c r="Q44">
        <v>66.77</v>
      </c>
      <c r="R44" s="53">
        <f t="shared" si="6"/>
        <v>66.621521190950119</v>
      </c>
      <c r="S44">
        <v>272.27</v>
      </c>
      <c r="T44">
        <v>29.1</v>
      </c>
      <c r="V44" s="43">
        <v>2200</v>
      </c>
      <c r="W44">
        <v>60.96</v>
      </c>
      <c r="X44">
        <v>103.56</v>
      </c>
      <c r="Y44" s="54">
        <f t="shared" si="7"/>
        <v>103.36135918178518</v>
      </c>
      <c r="Z44">
        <v>314.99</v>
      </c>
      <c r="AA44">
        <v>53.74</v>
      </c>
      <c r="AE44" s="62">
        <f t="shared" si="8"/>
        <v>4544.9304689464188</v>
      </c>
      <c r="AF44" s="64">
        <v>2200</v>
      </c>
      <c r="AG44" s="60">
        <f>($D44)*'Task2A)values_PHI_dependent'!$T$2</f>
        <v>746.93531645156872</v>
      </c>
      <c r="AH44" s="6">
        <f>$K44*'Task2A)values_PHI_dependent'!$V$2</f>
        <v>2971.1042790405691</v>
      </c>
      <c r="AI44" s="6">
        <f>$R44*'Task2A)values_PHI_dependent'!$U$2</f>
        <v>0</v>
      </c>
      <c r="AJ44" s="61">
        <f>($Y44)*'Task2A)values_PHI_dependent'!$S$2</f>
        <v>826.8908734542814</v>
      </c>
      <c r="AM44" s="62">
        <f t="shared" si="1"/>
        <v>4537.5198971962291</v>
      </c>
      <c r="AN44" s="64">
        <v>2200</v>
      </c>
      <c r="AO44" s="60">
        <f>($D44)*'Task2A)values_PHI_dependent'!$P$9</f>
        <v>739.465963287053</v>
      </c>
      <c r="AP44" s="6">
        <f>$K44*'Task2A)values_PHI_dependent'!$R$9</f>
        <v>2971.1042790405691</v>
      </c>
      <c r="AQ44" s="6">
        <f>$R44*'Task2A)values_PHI_dependent'!$Q$9</f>
        <v>8.3276901488687649</v>
      </c>
      <c r="AR44" s="61">
        <f>($Y44)*'Task2A)values_PHI_dependent'!$O$9</f>
        <v>818.62196471973857</v>
      </c>
      <c r="AU44" s="62">
        <f t="shared" si="2"/>
        <v>4530.1093254460393</v>
      </c>
      <c r="AV44" s="64">
        <v>2200</v>
      </c>
      <c r="AW44" s="60">
        <f>($D44)*'Task2A)values_PHI_dependent'!$P$10</f>
        <v>731.99661012253728</v>
      </c>
      <c r="AX44" s="6">
        <f>$K44*'Task2A)values_PHI_dependent'!$R$10</f>
        <v>2971.1042790405691</v>
      </c>
      <c r="AY44" s="6">
        <f>$R44*'Task2A)values_PHI_dependent'!$Q$10</f>
        <v>16.65538029773753</v>
      </c>
      <c r="AZ44" s="61">
        <f>($Y44)*'Task2A)values_PHI_dependent'!$O$10</f>
        <v>810.35305598519574</v>
      </c>
      <c r="BC44" s="62">
        <f t="shared" si="3"/>
        <v>4522.6987536958495</v>
      </c>
      <c r="BD44" s="64">
        <v>2200</v>
      </c>
      <c r="BE44" s="60">
        <f>($D44)*'Task2A)values_PHI_dependent'!$P$11</f>
        <v>724.52725695802167</v>
      </c>
      <c r="BF44" s="6">
        <f>$K44*'Task2A)values_PHI_dependent'!$R$10</f>
        <v>2971.1042790405691</v>
      </c>
      <c r="BG44" s="6">
        <f>$R44*'Task2A)values_PHI_dependent'!$Q$11</f>
        <v>24.983070446606295</v>
      </c>
      <c r="BH44" s="61">
        <f>($Y44)*'Task2A)values_PHI_dependent'!$O$11</f>
        <v>802.0841472506529</v>
      </c>
    </row>
    <row r="45" spans="1:60" x14ac:dyDescent="0.3">
      <c r="A45" s="43">
        <v>2250</v>
      </c>
      <c r="B45">
        <v>52.66</v>
      </c>
      <c r="C45">
        <v>85.78</v>
      </c>
      <c r="D45" s="52">
        <f t="shared" si="4"/>
        <v>85.652969066698958</v>
      </c>
      <c r="E45">
        <v>270.79000000000002</v>
      </c>
      <c r="F45">
        <v>40.909999999999997</v>
      </c>
      <c r="H45" s="43">
        <v>2250</v>
      </c>
      <c r="I45">
        <v>36.36</v>
      </c>
      <c r="J45">
        <v>65.17</v>
      </c>
      <c r="K45" s="51">
        <f t="shared" si="5"/>
        <v>65.060385137408744</v>
      </c>
      <c r="L45">
        <v>256.23</v>
      </c>
      <c r="M45">
        <v>27.34</v>
      </c>
      <c r="O45" s="43">
        <v>2250</v>
      </c>
      <c r="P45">
        <v>38.36</v>
      </c>
      <c r="Q45">
        <v>68.69</v>
      </c>
      <c r="R45" s="53">
        <f t="shared" si="6"/>
        <v>68.565759118999395</v>
      </c>
      <c r="S45">
        <v>273.13</v>
      </c>
      <c r="T45">
        <v>29.18</v>
      </c>
      <c r="V45" s="43">
        <v>2250</v>
      </c>
      <c r="W45">
        <v>61.08</v>
      </c>
      <c r="X45">
        <v>106.61</v>
      </c>
      <c r="Y45" s="54">
        <f t="shared" si="7"/>
        <v>106.44973794067397</v>
      </c>
      <c r="Z45">
        <v>316.37</v>
      </c>
      <c r="AA45">
        <v>53.39</v>
      </c>
      <c r="AE45" s="62">
        <f t="shared" si="8"/>
        <v>4680.3127265838939</v>
      </c>
      <c r="AF45" s="64">
        <v>2250</v>
      </c>
      <c r="AG45" s="60">
        <f>($D45)*'Task2A)values_PHI_dependent'!$T$2</f>
        <v>770.87672160029058</v>
      </c>
      <c r="AH45" s="6">
        <f>$K45*'Task2A)values_PHI_dependent'!$V$2</f>
        <v>3057.838101458211</v>
      </c>
      <c r="AI45" s="6">
        <f>$R45*'Task2A)values_PHI_dependent'!$U$2</f>
        <v>0</v>
      </c>
      <c r="AJ45" s="61">
        <f>($Y45)*'Task2A)values_PHI_dependent'!$S$2</f>
        <v>851.59790352539176</v>
      </c>
      <c r="AM45" s="62">
        <f t="shared" si="1"/>
        <v>4672.6587002225115</v>
      </c>
      <c r="AN45" s="64">
        <v>2250</v>
      </c>
      <c r="AO45" s="60">
        <f>($D45)*'Task2A)values_PHI_dependent'!$P$9</f>
        <v>763.16795438428778</v>
      </c>
      <c r="AP45" s="6">
        <f>$K45*'Task2A)values_PHI_dependent'!$R$9</f>
        <v>3057.838101458211</v>
      </c>
      <c r="AQ45" s="6">
        <f>$R45*'Task2A)values_PHI_dependent'!$Q$9</f>
        <v>8.5707198898749244</v>
      </c>
      <c r="AR45" s="61">
        <f>($Y45)*'Task2A)values_PHI_dependent'!$O$9</f>
        <v>843.08192449013779</v>
      </c>
      <c r="AU45" s="62">
        <f t="shared" si="2"/>
        <v>4665.00467386113</v>
      </c>
      <c r="AV45" s="64">
        <v>2250</v>
      </c>
      <c r="AW45" s="60">
        <f>($D45)*'Task2A)values_PHI_dependent'!$P$10</f>
        <v>755.45918716828487</v>
      </c>
      <c r="AX45" s="6">
        <f>$K45*'Task2A)values_PHI_dependent'!$R$10</f>
        <v>3057.838101458211</v>
      </c>
      <c r="AY45" s="6">
        <f>$R45*'Task2A)values_PHI_dependent'!$Q$10</f>
        <v>17.141439779749849</v>
      </c>
      <c r="AZ45" s="61">
        <f>($Y45)*'Task2A)values_PHI_dependent'!$O$10</f>
        <v>834.56594545488394</v>
      </c>
      <c r="BC45" s="62">
        <f t="shared" si="3"/>
        <v>4657.3506474997475</v>
      </c>
      <c r="BD45" s="64">
        <v>2250</v>
      </c>
      <c r="BE45" s="60">
        <f>($D45)*'Task2A)values_PHI_dependent'!$P$11</f>
        <v>747.75041995228196</v>
      </c>
      <c r="BF45" s="6">
        <f>$K45*'Task2A)values_PHI_dependent'!$R$10</f>
        <v>3057.838101458211</v>
      </c>
      <c r="BG45" s="6">
        <f>$R45*'Task2A)values_PHI_dependent'!$Q$11</f>
        <v>25.712159669624775</v>
      </c>
      <c r="BH45" s="61">
        <f>($Y45)*'Task2A)values_PHI_dependent'!$O$11</f>
        <v>826.04996641962998</v>
      </c>
    </row>
    <row r="46" spans="1:60" s="56" customFormat="1" x14ac:dyDescent="0.3">
      <c r="A46" s="55">
        <v>2300</v>
      </c>
      <c r="B46" s="56">
        <v>52.92</v>
      </c>
      <c r="C46" s="56">
        <v>88.42</v>
      </c>
      <c r="D46" s="52">
        <f t="shared" si="4"/>
        <v>88.332368049023941</v>
      </c>
      <c r="E46" s="56">
        <v>271.95</v>
      </c>
      <c r="F46" s="56">
        <v>40.729999999999997</v>
      </c>
      <c r="H46" s="55">
        <v>2300</v>
      </c>
      <c r="I46" s="56">
        <v>36.43</v>
      </c>
      <c r="J46" s="56">
        <v>66.989999999999995</v>
      </c>
      <c r="K46" s="57">
        <f t="shared" si="5"/>
        <v>66.913909210554849</v>
      </c>
      <c r="L46" s="56">
        <v>257.02999999999997</v>
      </c>
      <c r="M46" s="56">
        <v>27.41</v>
      </c>
      <c r="O46" s="55">
        <v>2300</v>
      </c>
      <c r="P46" s="56">
        <v>38.47</v>
      </c>
      <c r="Q46" s="56">
        <v>70.61</v>
      </c>
      <c r="R46" s="58">
        <f t="shared" si="6"/>
        <v>70.520801364153343</v>
      </c>
      <c r="S46" s="56">
        <v>273.97000000000003</v>
      </c>
      <c r="T46" s="56">
        <v>29.26</v>
      </c>
      <c r="V46" s="55">
        <v>2300</v>
      </c>
      <c r="W46" s="56">
        <v>61.18</v>
      </c>
      <c r="X46" s="56">
        <v>109.66</v>
      </c>
      <c r="Y46" s="59">
        <f t="shared" si="7"/>
        <v>109.55060779120831</v>
      </c>
      <c r="Z46" s="56">
        <v>317.70999999999998</v>
      </c>
      <c r="AA46" s="56">
        <v>53.06</v>
      </c>
      <c r="AE46" s="62">
        <f t="shared" si="8"/>
        <v>4816.3499076669596</v>
      </c>
      <c r="AF46" s="65">
        <v>2300</v>
      </c>
      <c r="AG46" s="60">
        <f>($D46)*'Task2A)values_PHI_dependent'!$T$2</f>
        <v>794.99131244121543</v>
      </c>
      <c r="AH46" s="6">
        <f>$K46*'Task2A)values_PHI_dependent'!$V$2</f>
        <v>3144.9537328960778</v>
      </c>
      <c r="AI46" s="6">
        <f>$R46*'Task2A)values_PHI_dependent'!$U$2</f>
        <v>0</v>
      </c>
      <c r="AJ46" s="61">
        <f>($Y46)*'Task2A)values_PHI_dependent'!$S$2</f>
        <v>876.40486232966646</v>
      </c>
      <c r="AM46" s="62">
        <f t="shared" si="1"/>
        <v>4808.45104608977</v>
      </c>
      <c r="AN46" s="65">
        <v>2300</v>
      </c>
      <c r="AO46" s="60">
        <f>($D46)*'Task2A)values_PHI_dependent'!$P$9</f>
        <v>787.04139931680334</v>
      </c>
      <c r="AP46" s="6">
        <f>$K46*'Task2A)values_PHI_dependent'!$R$9</f>
        <v>3144.9537328960778</v>
      </c>
      <c r="AQ46" s="6">
        <f>$R46*'Task2A)values_PHI_dependent'!$Q$9</f>
        <v>8.8151001705191678</v>
      </c>
      <c r="AR46" s="61">
        <f>($Y46)*'Task2A)values_PHI_dependent'!$O$9</f>
        <v>867.64081370636984</v>
      </c>
      <c r="AU46" s="62">
        <f t="shared" si="2"/>
        <v>4800.5521845125804</v>
      </c>
      <c r="AV46" s="65">
        <v>2300</v>
      </c>
      <c r="AW46" s="60">
        <f>($D46)*'Task2A)values_PHI_dependent'!$P$10</f>
        <v>779.09148619239113</v>
      </c>
      <c r="AX46" s="6">
        <f>$K46*'Task2A)values_PHI_dependent'!$R$10</f>
        <v>3144.9537328960778</v>
      </c>
      <c r="AY46" s="6">
        <f>$R46*'Task2A)values_PHI_dependent'!$Q$10</f>
        <v>17.630200341038336</v>
      </c>
      <c r="AZ46" s="61">
        <f>($Y46)*'Task2A)values_PHI_dependent'!$O$10</f>
        <v>858.87676508307311</v>
      </c>
      <c r="BC46" s="62">
        <f t="shared" si="3"/>
        <v>4792.6533229353909</v>
      </c>
      <c r="BD46" s="65">
        <v>2300</v>
      </c>
      <c r="BE46" s="60">
        <f>($D46)*'Task2A)values_PHI_dependent'!$P$11</f>
        <v>771.14157306797904</v>
      </c>
      <c r="BF46" s="6">
        <f>$K46*'Task2A)values_PHI_dependent'!$R$10</f>
        <v>3144.9537328960778</v>
      </c>
      <c r="BG46" s="6">
        <f>$R46*'Task2A)values_PHI_dependent'!$Q$11</f>
        <v>26.445300511557505</v>
      </c>
      <c r="BH46" s="61">
        <f>($Y46)*'Task2A)values_PHI_dependent'!$O$11</f>
        <v>850.11271645977649</v>
      </c>
    </row>
    <row r="47" spans="1:60" x14ac:dyDescent="0.3">
      <c r="A47" s="43">
        <v>2350</v>
      </c>
      <c r="B47">
        <v>53.18</v>
      </c>
      <c r="C47">
        <v>91.07</v>
      </c>
      <c r="D47" s="52">
        <f t="shared" si="4"/>
        <v>91.028798934167213</v>
      </c>
      <c r="E47">
        <v>273.08999999999997</v>
      </c>
      <c r="F47">
        <v>40.56</v>
      </c>
      <c r="H47" s="43">
        <v>2350</v>
      </c>
      <c r="I47">
        <v>36.49</v>
      </c>
      <c r="J47">
        <v>68.819999999999993</v>
      </c>
      <c r="K47" s="51">
        <f t="shared" si="5"/>
        <v>68.773937494604539</v>
      </c>
      <c r="L47">
        <v>257.82</v>
      </c>
      <c r="M47">
        <v>27.49</v>
      </c>
      <c r="O47" s="43">
        <v>2350</v>
      </c>
      <c r="P47">
        <v>38.58</v>
      </c>
      <c r="Q47">
        <v>72.53</v>
      </c>
      <c r="R47" s="53">
        <f t="shared" si="6"/>
        <v>72.485094838835948</v>
      </c>
      <c r="S47">
        <v>274.8</v>
      </c>
      <c r="T47">
        <v>29.34</v>
      </c>
      <c r="V47" s="43">
        <v>2350</v>
      </c>
      <c r="W47">
        <v>61.28</v>
      </c>
      <c r="X47">
        <v>112.73</v>
      </c>
      <c r="Y47" s="54">
        <f t="shared" si="7"/>
        <v>112.66172444898358</v>
      </c>
      <c r="Z47">
        <v>319.02999999999997</v>
      </c>
      <c r="AA47">
        <v>52.74</v>
      </c>
      <c r="AE47" s="62">
        <f t="shared" si="8"/>
        <v>4952.9280482457862</v>
      </c>
      <c r="AF47" s="64">
        <v>2350</v>
      </c>
      <c r="AG47" s="60">
        <f>($D47)*'Task2A)values_PHI_dependent'!$T$2</f>
        <v>819.25919040750489</v>
      </c>
      <c r="AH47" s="6">
        <f>$K47*'Task2A)values_PHI_dependent'!$V$2</f>
        <v>3232.3750622464131</v>
      </c>
      <c r="AI47" s="6">
        <f>$R47*'Task2A)values_PHI_dependent'!$U$2</f>
        <v>0</v>
      </c>
      <c r="AJ47" s="61">
        <f>($Y47)*'Task2A)values_PHI_dependent'!$S$2</f>
        <v>901.29379559186862</v>
      </c>
      <c r="AM47" s="62">
        <f t="shared" si="1"/>
        <v>4944.7831552406478</v>
      </c>
      <c r="AN47" s="64">
        <v>2350</v>
      </c>
      <c r="AO47" s="60">
        <f>($D47)*'Task2A)values_PHI_dependent'!$P$9</f>
        <v>811.06659850342987</v>
      </c>
      <c r="AP47" s="6">
        <f>$K47*'Task2A)values_PHI_dependent'!$R$9</f>
        <v>3232.3750622464131</v>
      </c>
      <c r="AQ47" s="6">
        <f>$R47*'Task2A)values_PHI_dependent'!$Q$9</f>
        <v>9.0606368548544935</v>
      </c>
      <c r="AR47" s="61">
        <f>($Y47)*'Task2A)values_PHI_dependent'!$O$9</f>
        <v>892.28085763594993</v>
      </c>
      <c r="AU47" s="62">
        <f t="shared" si="2"/>
        <v>4936.6382622355077</v>
      </c>
      <c r="AV47" s="64">
        <v>2350</v>
      </c>
      <c r="AW47" s="60">
        <f>($D47)*'Task2A)values_PHI_dependent'!$P$10</f>
        <v>802.87400659935486</v>
      </c>
      <c r="AX47" s="6">
        <f>$K47*'Task2A)values_PHI_dependent'!$R$10</f>
        <v>3232.3750622464131</v>
      </c>
      <c r="AY47" s="6">
        <f>$R47*'Task2A)values_PHI_dependent'!$Q$10</f>
        <v>18.121273709708987</v>
      </c>
      <c r="AZ47" s="61">
        <f>($Y47)*'Task2A)values_PHI_dependent'!$O$10</f>
        <v>883.26791968003124</v>
      </c>
      <c r="BC47" s="62">
        <f t="shared" si="3"/>
        <v>4928.4933692303694</v>
      </c>
      <c r="BD47" s="64">
        <v>2350</v>
      </c>
      <c r="BE47" s="60">
        <f>($D47)*'Task2A)values_PHI_dependent'!$P$11</f>
        <v>794.68141469527984</v>
      </c>
      <c r="BF47" s="6">
        <f>$K47*'Task2A)values_PHI_dependent'!$R$10</f>
        <v>3232.3750622464131</v>
      </c>
      <c r="BG47" s="6">
        <f>$R47*'Task2A)values_PHI_dependent'!$Q$11</f>
        <v>27.181910564563481</v>
      </c>
      <c r="BH47" s="61">
        <f>($Y47)*'Task2A)values_PHI_dependent'!$O$11</f>
        <v>874.25498172411255</v>
      </c>
    </row>
    <row r="48" spans="1:60" x14ac:dyDescent="0.3">
      <c r="A48" s="43">
        <v>2400</v>
      </c>
      <c r="B48">
        <v>53.43</v>
      </c>
      <c r="C48">
        <v>93.74</v>
      </c>
      <c r="D48" s="52">
        <f t="shared" si="4"/>
        <v>93.739875174470541</v>
      </c>
      <c r="E48">
        <v>274.20999999999998</v>
      </c>
      <c r="F48">
        <v>40.4</v>
      </c>
      <c r="H48" s="43">
        <v>2400</v>
      </c>
      <c r="I48">
        <v>36.54</v>
      </c>
      <c r="J48">
        <v>70.64</v>
      </c>
      <c r="K48" s="51">
        <f t="shared" si="5"/>
        <v>70.63868708176426</v>
      </c>
      <c r="L48">
        <v>258.58999999999997</v>
      </c>
      <c r="M48">
        <v>27.56</v>
      </c>
      <c r="O48" s="43">
        <v>2400</v>
      </c>
      <c r="P48">
        <v>38.68</v>
      </c>
      <c r="Q48">
        <v>74.459999999999994</v>
      </c>
      <c r="R48" s="53">
        <f t="shared" si="6"/>
        <v>74.456893665582058</v>
      </c>
      <c r="S48">
        <v>275.61</v>
      </c>
      <c r="T48">
        <v>29.42</v>
      </c>
      <c r="V48" s="43">
        <v>2400</v>
      </c>
      <c r="W48">
        <v>61.37</v>
      </c>
      <c r="X48">
        <v>115.79</v>
      </c>
      <c r="Y48" s="54">
        <f t="shared" si="7"/>
        <v>115.78061078908479</v>
      </c>
      <c r="Z48">
        <v>320.32</v>
      </c>
      <c r="AA48">
        <v>52.45</v>
      </c>
      <c r="AE48" s="63">
        <f t="shared" si="8"/>
        <v>5089.9220557258332</v>
      </c>
      <c r="AF48" s="64">
        <v>2400</v>
      </c>
      <c r="AG48" s="60">
        <f>($D48)*'Task2A)values_PHI_dependent'!$T$2</f>
        <v>843.65887657023484</v>
      </c>
      <c r="AH48" s="6">
        <f>$K48*'Task2A)values_PHI_dependent'!$V$2</f>
        <v>3320.0182928429203</v>
      </c>
      <c r="AI48" s="6">
        <f>$R48*'Task2A)values_PHI_dependent'!$U$2</f>
        <v>0</v>
      </c>
      <c r="AJ48" s="61">
        <f>($Y48)*'Task2A)values_PHI_dependent'!$S$2</f>
        <v>926.24488631267832</v>
      </c>
      <c r="AM48" s="63">
        <f t="shared" si="1"/>
        <v>5081.5301298052018</v>
      </c>
      <c r="AN48" s="64">
        <v>2400</v>
      </c>
      <c r="AO48" s="60">
        <f>($D48)*'Task2A)values_PHI_dependent'!$P$9</f>
        <v>835.22228780453258</v>
      </c>
      <c r="AP48" s="6">
        <f>$K48*'Task2A)values_PHI_dependent'!$R$9</f>
        <v>3320.0182928429203</v>
      </c>
      <c r="AQ48" s="6">
        <f>$R48*'Task2A)values_PHI_dependent'!$Q$9</f>
        <v>9.3071117081977572</v>
      </c>
      <c r="AR48" s="61">
        <f>($Y48)*'Task2A)values_PHI_dependent'!$O$9</f>
        <v>916.98243744955153</v>
      </c>
      <c r="AU48" s="63">
        <f t="shared" si="2"/>
        <v>5073.1382038845704</v>
      </c>
      <c r="AV48" s="64">
        <v>2400</v>
      </c>
      <c r="AW48" s="60">
        <f>($D48)*'Task2A)values_PHI_dependent'!$P$10</f>
        <v>826.78569903883022</v>
      </c>
      <c r="AX48" s="6">
        <f>$K48*'Task2A)values_PHI_dependent'!$R$10</f>
        <v>3320.0182928429203</v>
      </c>
      <c r="AY48" s="6">
        <f>$R48*'Task2A)values_PHI_dependent'!$Q$10</f>
        <v>18.614223416395514</v>
      </c>
      <c r="AZ48" s="61">
        <f>($Y48)*'Task2A)values_PHI_dependent'!$O$10</f>
        <v>907.71998858642473</v>
      </c>
      <c r="BC48" s="63">
        <f t="shared" si="3"/>
        <v>5064.7462779639391</v>
      </c>
      <c r="BD48" s="64">
        <v>2400</v>
      </c>
      <c r="BE48" s="60">
        <f>($D48)*'Task2A)values_PHI_dependent'!$P$11</f>
        <v>818.34911027312785</v>
      </c>
      <c r="BF48" s="6">
        <f>$K48*'Task2A)values_PHI_dependent'!$R$10</f>
        <v>3320.0182928429203</v>
      </c>
      <c r="BG48" s="6">
        <f>$R48*'Task2A)values_PHI_dependent'!$Q$11</f>
        <v>27.92133512459327</v>
      </c>
      <c r="BH48" s="61">
        <f>($Y48)*'Task2A)values_PHI_dependent'!$O$11</f>
        <v>898.45753972329794</v>
      </c>
    </row>
    <row r="49" spans="1:60" x14ac:dyDescent="0.3">
      <c r="A49" s="43">
        <v>2450</v>
      </c>
      <c r="B49">
        <v>53.67</v>
      </c>
      <c r="C49">
        <v>96.42</v>
      </c>
      <c r="D49" s="52">
        <f t="shared" si="4"/>
        <v>96.463086349209235</v>
      </c>
      <c r="E49">
        <v>275.32</v>
      </c>
      <c r="F49">
        <v>40.25</v>
      </c>
      <c r="H49" s="43">
        <v>2450</v>
      </c>
      <c r="I49">
        <v>36.590000000000003</v>
      </c>
      <c r="J49">
        <v>72.47</v>
      </c>
      <c r="K49" s="51">
        <f t="shared" si="5"/>
        <v>72.506255828001485</v>
      </c>
      <c r="L49">
        <v>259.33999999999997</v>
      </c>
      <c r="M49">
        <v>27.64</v>
      </c>
      <c r="O49" s="43">
        <v>2450</v>
      </c>
      <c r="P49">
        <v>38.79</v>
      </c>
      <c r="Q49">
        <v>76.400000000000006</v>
      </c>
      <c r="R49" s="53">
        <f t="shared" si="6"/>
        <v>76.434305648116137</v>
      </c>
      <c r="S49">
        <v>276.41000000000003</v>
      </c>
      <c r="T49">
        <v>29.5</v>
      </c>
      <c r="V49" s="43">
        <v>2450</v>
      </c>
      <c r="W49">
        <v>61.46</v>
      </c>
      <c r="X49">
        <v>118.86</v>
      </c>
      <c r="Y49" s="54">
        <f t="shared" si="7"/>
        <v>118.90461647327017</v>
      </c>
      <c r="Z49">
        <v>321.58</v>
      </c>
      <c r="AA49">
        <v>52.16</v>
      </c>
      <c r="AE49" s="63">
        <f t="shared" si="8"/>
        <v>5227.1987328451141</v>
      </c>
      <c r="AF49" s="64">
        <v>2450</v>
      </c>
      <c r="AG49" s="60">
        <f>($D49)*'Task2A)values_PHI_dependent'!$T$2</f>
        <v>868.1677771428831</v>
      </c>
      <c r="AH49" s="6">
        <f>$K49*'Task2A)values_PHI_dependent'!$V$2</f>
        <v>3407.7940239160698</v>
      </c>
      <c r="AI49" s="6">
        <f>$R49*'Task2A)values_PHI_dependent'!$U$2</f>
        <v>0</v>
      </c>
      <c r="AJ49" s="61">
        <f>($Y49)*'Task2A)values_PHI_dependent'!$S$2</f>
        <v>951.23693178616134</v>
      </c>
      <c r="AM49" s="63">
        <f t="shared" si="1"/>
        <v>5218.558973961839</v>
      </c>
      <c r="AN49" s="64">
        <v>2450</v>
      </c>
      <c r="AO49" s="60">
        <f>($D49)*'Task2A)values_PHI_dependent'!$P$9</f>
        <v>859.48609937145432</v>
      </c>
      <c r="AP49" s="6">
        <f>$K49*'Task2A)values_PHI_dependent'!$R$9</f>
        <v>3407.7940239160698</v>
      </c>
      <c r="AQ49" s="6">
        <f>$R49*'Task2A)values_PHI_dependent'!$Q$9</f>
        <v>9.5542882060145171</v>
      </c>
      <c r="AR49" s="61">
        <f>($Y49)*'Task2A)values_PHI_dependent'!$O$9</f>
        <v>941.72456246829972</v>
      </c>
      <c r="AU49" s="63">
        <f t="shared" si="2"/>
        <v>5209.919215078562</v>
      </c>
      <c r="AV49" s="64">
        <v>2450</v>
      </c>
      <c r="AW49" s="60">
        <f>($D49)*'Task2A)values_PHI_dependent'!$P$10</f>
        <v>850.80442160002542</v>
      </c>
      <c r="AX49" s="6">
        <f>$K49*'Task2A)values_PHI_dependent'!$R$10</f>
        <v>3407.7940239160698</v>
      </c>
      <c r="AY49" s="6">
        <f>$R49*'Task2A)values_PHI_dependent'!$Q$10</f>
        <v>19.108576412029034</v>
      </c>
      <c r="AZ49" s="61">
        <f>($Y49)*'Task2A)values_PHI_dependent'!$O$10</f>
        <v>932.21219315043811</v>
      </c>
      <c r="BC49" s="63">
        <f t="shared" si="3"/>
        <v>5201.2794561952869</v>
      </c>
      <c r="BD49" s="64">
        <v>2450</v>
      </c>
      <c r="BE49" s="60">
        <f>($D49)*'Task2A)values_PHI_dependent'!$P$11</f>
        <v>842.12274382859664</v>
      </c>
      <c r="BF49" s="6">
        <f>$K49*'Task2A)values_PHI_dependent'!$R$10</f>
        <v>3407.7940239160698</v>
      </c>
      <c r="BG49" s="6">
        <f>$R49*'Task2A)values_PHI_dependent'!$Q$11</f>
        <v>28.66286461804355</v>
      </c>
      <c r="BH49" s="61">
        <f>($Y49)*'Task2A)values_PHI_dependent'!$O$11</f>
        <v>922.6998238325765</v>
      </c>
    </row>
    <row r="50" spans="1:60" x14ac:dyDescent="0.3">
      <c r="A50" s="43">
        <v>2500</v>
      </c>
      <c r="B50">
        <v>53.9</v>
      </c>
      <c r="C50">
        <v>99.11</v>
      </c>
      <c r="D50" s="52">
        <f t="shared" si="4"/>
        <v>99.195857369335286</v>
      </c>
      <c r="E50">
        <v>276.39999999999998</v>
      </c>
      <c r="F50">
        <v>40.11</v>
      </c>
      <c r="H50" s="43">
        <v>2500</v>
      </c>
      <c r="I50">
        <v>36.64</v>
      </c>
      <c r="J50">
        <v>74.3</v>
      </c>
      <c r="K50" s="51">
        <f t="shared" si="5"/>
        <v>74.374673319199005</v>
      </c>
      <c r="L50">
        <v>260.08</v>
      </c>
      <c r="M50">
        <v>27.71</v>
      </c>
      <c r="O50" s="43">
        <v>2500</v>
      </c>
      <c r="P50">
        <v>38.89</v>
      </c>
      <c r="Q50">
        <v>78.34</v>
      </c>
      <c r="R50" s="53">
        <f t="shared" si="6"/>
        <v>78.415346050241084</v>
      </c>
      <c r="S50">
        <v>277.2</v>
      </c>
      <c r="T50">
        <v>29.57</v>
      </c>
      <c r="V50" s="43">
        <v>2500</v>
      </c>
      <c r="W50">
        <v>61.55</v>
      </c>
      <c r="X50">
        <v>121.94</v>
      </c>
      <c r="Y50" s="54">
        <f t="shared" si="7"/>
        <v>122.03098722629151</v>
      </c>
      <c r="Z50">
        <v>322.83</v>
      </c>
      <c r="AA50">
        <v>51.9</v>
      </c>
      <c r="AE50" s="62">
        <f t="shared" si="8"/>
        <v>5364.6202601367022</v>
      </c>
      <c r="AF50" s="64">
        <v>2500</v>
      </c>
      <c r="AG50" s="60">
        <f>($D50)*'Task2A)values_PHI_dependent'!$T$2</f>
        <v>892.76271632401756</v>
      </c>
      <c r="AH50" s="6">
        <f>$K50*'Task2A)values_PHI_dependent'!$V$2</f>
        <v>3495.6096460023532</v>
      </c>
      <c r="AI50" s="6">
        <f>$R50*'Task2A)values_PHI_dependent'!$U$2</f>
        <v>0</v>
      </c>
      <c r="AJ50" s="61">
        <f>($Y50)*'Task2A)values_PHI_dependent'!$S$2</f>
        <v>976.24789781033212</v>
      </c>
      <c r="AM50" s="62">
        <f t="shared" si="1"/>
        <v>5355.7320722516397</v>
      </c>
      <c r="AN50" s="64">
        <v>2500</v>
      </c>
      <c r="AO50" s="60">
        <f>($D50)*'Task2A)values_PHI_dependent'!$P$9</f>
        <v>883.83508916077744</v>
      </c>
      <c r="AP50" s="6">
        <f>$K50*'Task2A)values_PHI_dependent'!$R$9</f>
        <v>3495.6096460023532</v>
      </c>
      <c r="AQ50" s="6">
        <f>$R50*'Task2A)values_PHI_dependent'!$Q$9</f>
        <v>9.8019182562801355</v>
      </c>
      <c r="AR50" s="61">
        <f>($Y50)*'Task2A)values_PHI_dependent'!$O$9</f>
        <v>966.48541883222879</v>
      </c>
      <c r="AU50" s="62">
        <f t="shared" si="2"/>
        <v>5346.8438843665772</v>
      </c>
      <c r="AV50" s="64">
        <v>2500</v>
      </c>
      <c r="AW50" s="60">
        <f>($D50)*'Task2A)values_PHI_dependent'!$P$10</f>
        <v>874.90746199753721</v>
      </c>
      <c r="AX50" s="6">
        <f>$K50*'Task2A)values_PHI_dependent'!$R$10</f>
        <v>3495.6096460023532</v>
      </c>
      <c r="AY50" s="6">
        <f>$R50*'Task2A)values_PHI_dependent'!$Q$10</f>
        <v>19.603836512560271</v>
      </c>
      <c r="AZ50" s="61">
        <f>($Y50)*'Task2A)values_PHI_dependent'!$O$10</f>
        <v>956.72293985412546</v>
      </c>
      <c r="BC50" s="62">
        <f t="shared" si="3"/>
        <v>5337.9556964815129</v>
      </c>
      <c r="BD50" s="64">
        <v>2500</v>
      </c>
      <c r="BE50" s="60">
        <f>($D50)*'Task2A)values_PHI_dependent'!$P$11</f>
        <v>865.97983483429709</v>
      </c>
      <c r="BF50" s="6">
        <f>$K50*'Task2A)values_PHI_dependent'!$R$10</f>
        <v>3495.6096460023532</v>
      </c>
      <c r="BG50" s="6">
        <f>$R50*'Task2A)values_PHI_dependent'!$Q$11</f>
        <v>29.405754768840406</v>
      </c>
      <c r="BH50" s="61">
        <f>($Y50)*'Task2A)values_PHI_dependent'!$O$11</f>
        <v>946.96046087602213</v>
      </c>
    </row>
    <row r="51" spans="1:60" x14ac:dyDescent="0.3">
      <c r="A51" s="43">
        <v>2550</v>
      </c>
      <c r="B51">
        <v>54.12</v>
      </c>
      <c r="C51">
        <v>101.81</v>
      </c>
      <c r="D51" s="52">
        <f t="shared" si="4"/>
        <v>101.93561516423927</v>
      </c>
      <c r="E51">
        <v>277.47000000000003</v>
      </c>
      <c r="F51">
        <v>39.979999999999997</v>
      </c>
      <c r="H51" s="43">
        <v>2550</v>
      </c>
      <c r="I51">
        <v>36.69</v>
      </c>
      <c r="J51">
        <v>76.13</v>
      </c>
      <c r="K51" s="51">
        <f t="shared" si="5"/>
        <v>76.241958517178077</v>
      </c>
      <c r="L51">
        <v>260.81</v>
      </c>
      <c r="M51">
        <v>27.78</v>
      </c>
      <c r="O51" s="43">
        <v>2550</v>
      </c>
      <c r="P51">
        <v>38.99</v>
      </c>
      <c r="Q51">
        <v>80.290000000000006</v>
      </c>
      <c r="R51" s="53">
        <f t="shared" si="6"/>
        <v>80.397998682536198</v>
      </c>
      <c r="S51">
        <v>277.97000000000003</v>
      </c>
      <c r="T51">
        <v>29.65</v>
      </c>
      <c r="V51" s="43">
        <v>2550</v>
      </c>
      <c r="W51">
        <v>61.62</v>
      </c>
      <c r="X51">
        <v>125.02</v>
      </c>
      <c r="Y51" s="54">
        <f t="shared" si="7"/>
        <v>125.15694376135735</v>
      </c>
      <c r="Z51">
        <v>324.05</v>
      </c>
      <c r="AA51">
        <v>51.64</v>
      </c>
      <c r="AE51" s="62">
        <f t="shared" si="8"/>
        <v>5502.0481368763812</v>
      </c>
      <c r="AF51" s="64">
        <v>2550</v>
      </c>
      <c r="AG51" s="60">
        <f>($D51)*'Task2A)values_PHI_dependent'!$T$2</f>
        <v>917.42053647815339</v>
      </c>
      <c r="AH51" s="6">
        <f>$K51*'Task2A)values_PHI_dependent'!$V$2</f>
        <v>3583.3720503073696</v>
      </c>
      <c r="AI51" s="6">
        <f>$R51*'Task2A)values_PHI_dependent'!$U$2</f>
        <v>0</v>
      </c>
      <c r="AJ51" s="61">
        <f>($Y51)*'Task2A)values_PHI_dependent'!$S$2</f>
        <v>1001.2555500908588</v>
      </c>
      <c r="AM51" s="62">
        <f t="shared" si="1"/>
        <v>5492.9111258460089</v>
      </c>
      <c r="AN51" s="64">
        <v>2550</v>
      </c>
      <c r="AO51" s="60">
        <f>($D51)*'Task2A)values_PHI_dependent'!$P$9</f>
        <v>908.24633111337187</v>
      </c>
      <c r="AP51" s="6">
        <f>$K51*'Task2A)values_PHI_dependent'!$R$9</f>
        <v>3583.3720503073696</v>
      </c>
      <c r="AQ51" s="6">
        <f>$R51*'Task2A)values_PHI_dependent'!$Q$9</f>
        <v>10.049749835317025</v>
      </c>
      <c r="AR51" s="61">
        <f>($Y51)*'Task2A)values_PHI_dependent'!$O$9</f>
        <v>991.24299458995029</v>
      </c>
      <c r="AU51" s="62">
        <f t="shared" si="2"/>
        <v>5483.7741148156356</v>
      </c>
      <c r="AV51" s="64">
        <v>2550</v>
      </c>
      <c r="AW51" s="60">
        <f>($D51)*'Task2A)values_PHI_dependent'!$P$10</f>
        <v>899.07212574859034</v>
      </c>
      <c r="AX51" s="6">
        <f>$K51*'Task2A)values_PHI_dependent'!$R$10</f>
        <v>3583.3720503073696</v>
      </c>
      <c r="AY51" s="6">
        <f>$R51*'Task2A)values_PHI_dependent'!$Q$10</f>
        <v>20.099499670634049</v>
      </c>
      <c r="AZ51" s="61">
        <f>($Y51)*'Task2A)values_PHI_dependent'!$O$10</f>
        <v>981.23043908904162</v>
      </c>
      <c r="BC51" s="62">
        <f t="shared" si="3"/>
        <v>5474.6371037852623</v>
      </c>
      <c r="BD51" s="64">
        <v>2550</v>
      </c>
      <c r="BE51" s="60">
        <f>($D51)*'Task2A)values_PHI_dependent'!$P$11</f>
        <v>889.89792038380881</v>
      </c>
      <c r="BF51" s="6">
        <f>$K51*'Task2A)values_PHI_dependent'!$R$10</f>
        <v>3583.3720503073696</v>
      </c>
      <c r="BG51" s="6">
        <f>$R51*'Task2A)values_PHI_dependent'!$Q$11</f>
        <v>30.149249505951076</v>
      </c>
      <c r="BH51" s="61">
        <f>($Y51)*'Task2A)values_PHI_dependent'!$O$11</f>
        <v>971.21788358813308</v>
      </c>
    </row>
    <row r="52" spans="1:60" x14ac:dyDescent="0.3">
      <c r="A52" s="43">
        <v>2600</v>
      </c>
      <c r="B52">
        <v>54.34</v>
      </c>
      <c r="C52">
        <v>104.52</v>
      </c>
      <c r="D52" s="52">
        <f t="shared" si="4"/>
        <v>104.67986285053678</v>
      </c>
      <c r="E52">
        <v>278.52999999999997</v>
      </c>
      <c r="F52">
        <v>39.85</v>
      </c>
      <c r="H52" s="43">
        <v>2600</v>
      </c>
      <c r="I52">
        <v>36.74</v>
      </c>
      <c r="J52">
        <v>77.97</v>
      </c>
      <c r="K52" s="51">
        <f t="shared" si="5"/>
        <v>78.106184085591252</v>
      </c>
      <c r="L52">
        <v>261.52</v>
      </c>
      <c r="M52">
        <v>27.85</v>
      </c>
      <c r="O52" s="43">
        <v>2600</v>
      </c>
      <c r="P52">
        <v>39.090000000000003</v>
      </c>
      <c r="Q52">
        <v>82.24</v>
      </c>
      <c r="R52" s="53">
        <f t="shared" si="6"/>
        <v>82.380284296859045</v>
      </c>
      <c r="S52">
        <v>278.73</v>
      </c>
      <c r="T52">
        <v>29.72</v>
      </c>
      <c r="V52" s="43">
        <v>2600</v>
      </c>
      <c r="W52">
        <v>61.7</v>
      </c>
      <c r="X52">
        <v>128.1</v>
      </c>
      <c r="Y52" s="54">
        <f t="shared" si="7"/>
        <v>128.27977035473506</v>
      </c>
      <c r="Z52">
        <v>325.24</v>
      </c>
      <c r="AA52">
        <v>51.4</v>
      </c>
      <c r="AE52" s="62">
        <f t="shared" si="8"/>
        <v>5639.3475805155003</v>
      </c>
      <c r="AF52" s="64">
        <v>2600</v>
      </c>
      <c r="AG52" s="60">
        <f>($D52)*'Task2A)values_PHI_dependent'!$T$2</f>
        <v>942.11876565483101</v>
      </c>
      <c r="AH52" s="6">
        <f>$K52*'Task2A)values_PHI_dependent'!$V$2</f>
        <v>3670.9906520227887</v>
      </c>
      <c r="AI52" s="6">
        <f>$R52*'Task2A)values_PHI_dependent'!$U$2</f>
        <v>0</v>
      </c>
      <c r="AJ52" s="61">
        <f>($Y52)*'Task2A)values_PHI_dependent'!$S$2</f>
        <v>1026.2381628378805</v>
      </c>
      <c r="AM52" s="62">
        <f t="shared" si="1"/>
        <v>5629.9615467676795</v>
      </c>
      <c r="AN52" s="64">
        <v>2600</v>
      </c>
      <c r="AO52" s="60">
        <f>($D52)*'Task2A)values_PHI_dependent'!$P$9</f>
        <v>932.69757799828267</v>
      </c>
      <c r="AP52" s="6">
        <f>$K52*'Task2A)values_PHI_dependent'!$R$9</f>
        <v>3670.9906520227887</v>
      </c>
      <c r="AQ52" s="6">
        <f>$R52*'Task2A)values_PHI_dependent'!$Q$9</f>
        <v>10.297535537107381</v>
      </c>
      <c r="AR52" s="61">
        <f>($Y52)*'Task2A)values_PHI_dependent'!$O$9</f>
        <v>1015.9757812095017</v>
      </c>
      <c r="AU52" s="62">
        <f t="shared" si="2"/>
        <v>5620.5755130198604</v>
      </c>
      <c r="AV52" s="64">
        <v>2600</v>
      </c>
      <c r="AW52" s="60">
        <f>($D52)*'Task2A)values_PHI_dependent'!$P$10</f>
        <v>923.27639034173444</v>
      </c>
      <c r="AX52" s="6">
        <f>$K52*'Task2A)values_PHI_dependent'!$R$10</f>
        <v>3670.9906520227887</v>
      </c>
      <c r="AY52" s="6">
        <f>$R52*'Task2A)values_PHI_dependent'!$Q$10</f>
        <v>20.595071074214761</v>
      </c>
      <c r="AZ52" s="61">
        <f>($Y52)*'Task2A)values_PHI_dependent'!$O$10</f>
        <v>1005.7133995811229</v>
      </c>
      <c r="BC52" s="62">
        <f t="shared" si="3"/>
        <v>5611.1894792720404</v>
      </c>
      <c r="BD52" s="64">
        <v>2600</v>
      </c>
      <c r="BE52" s="60">
        <f>($D52)*'Task2A)values_PHI_dependent'!$P$11</f>
        <v>913.8552026851861</v>
      </c>
      <c r="BF52" s="6">
        <f>$K52*'Task2A)values_PHI_dependent'!$R$10</f>
        <v>3670.9906520227887</v>
      </c>
      <c r="BG52" s="6">
        <f>$R52*'Task2A)values_PHI_dependent'!$Q$11</f>
        <v>30.892606611322144</v>
      </c>
      <c r="BH52" s="61">
        <f>($Y52)*'Task2A)values_PHI_dependent'!$O$11</f>
        <v>995.45101795274411</v>
      </c>
    </row>
    <row r="53" spans="1:60" x14ac:dyDescent="0.3">
      <c r="A53" s="43">
        <v>2650</v>
      </c>
      <c r="B53">
        <v>54.54</v>
      </c>
      <c r="C53">
        <v>107.24</v>
      </c>
      <c r="D53" s="52">
        <f t="shared" si="4"/>
        <v>107.4262613828764</v>
      </c>
      <c r="E53">
        <v>279.56</v>
      </c>
      <c r="F53">
        <v>39.729999999999997</v>
      </c>
      <c r="H53" s="43">
        <v>2650</v>
      </c>
      <c r="I53">
        <v>36.78</v>
      </c>
      <c r="J53">
        <v>79.81</v>
      </c>
      <c r="K53" s="51">
        <f t="shared" si="5"/>
        <v>79.965547395687253</v>
      </c>
      <c r="L53">
        <v>262.22000000000003</v>
      </c>
      <c r="M53">
        <v>27.92</v>
      </c>
      <c r="O53" s="43">
        <v>2650</v>
      </c>
      <c r="P53">
        <v>39.19</v>
      </c>
      <c r="Q53">
        <v>84.2</v>
      </c>
      <c r="R53" s="53">
        <f t="shared" si="6"/>
        <v>84.360336288659994</v>
      </c>
      <c r="S53">
        <v>279.47000000000003</v>
      </c>
      <c r="T53">
        <v>29.79</v>
      </c>
      <c r="V53" s="43">
        <v>2650</v>
      </c>
      <c r="W53">
        <v>61.77</v>
      </c>
      <c r="X53">
        <v>131.19</v>
      </c>
      <c r="Y53" s="54">
        <f t="shared" si="7"/>
        <v>131.39691306949291</v>
      </c>
      <c r="Z53">
        <v>326.42</v>
      </c>
      <c r="AA53">
        <v>51.17</v>
      </c>
      <c r="AE53" s="62">
        <f t="shared" si="8"/>
        <v>5776.3923845991321</v>
      </c>
      <c r="AF53" s="64">
        <v>2650</v>
      </c>
      <c r="AG53" s="60">
        <f>($D53)*'Task2A)values_PHI_dependent'!$T$2</f>
        <v>966.83635244588766</v>
      </c>
      <c r="AH53" s="6">
        <f>$K53*'Task2A)values_PHI_dependent'!$V$2</f>
        <v>3758.3807275973008</v>
      </c>
      <c r="AI53" s="6">
        <f>$R53*'Task2A)values_PHI_dependent'!$U$2</f>
        <v>0</v>
      </c>
      <c r="AJ53" s="61">
        <f>($Y53)*'Task2A)values_PHI_dependent'!$S$2</f>
        <v>1051.1753045559433</v>
      </c>
      <c r="AM53" s="62">
        <f t="shared" si="1"/>
        <v>5766.7573100651953</v>
      </c>
      <c r="AN53" s="64">
        <v>2650</v>
      </c>
      <c r="AO53" s="60">
        <f>($D53)*'Task2A)values_PHI_dependent'!$P$9</f>
        <v>957.16798892142879</v>
      </c>
      <c r="AP53" s="6">
        <f>$K53*'Task2A)values_PHI_dependent'!$R$9</f>
        <v>3758.3807275973008</v>
      </c>
      <c r="AQ53" s="6">
        <f>$R53*'Task2A)values_PHI_dependent'!$Q$9</f>
        <v>10.545042036082499</v>
      </c>
      <c r="AR53" s="61">
        <f>($Y53)*'Task2A)values_PHI_dependent'!$O$9</f>
        <v>1040.6635515103837</v>
      </c>
      <c r="AU53" s="62">
        <f t="shared" si="2"/>
        <v>5757.1222355312602</v>
      </c>
      <c r="AV53" s="64">
        <v>2650</v>
      </c>
      <c r="AW53" s="60">
        <f>($D53)*'Task2A)values_PHI_dependent'!$P$10</f>
        <v>947.49962539696992</v>
      </c>
      <c r="AX53" s="6">
        <f>$K53*'Task2A)values_PHI_dependent'!$R$10</f>
        <v>3758.3807275973008</v>
      </c>
      <c r="AY53" s="6">
        <f>$R53*'Task2A)values_PHI_dependent'!$Q$10</f>
        <v>21.090084072164998</v>
      </c>
      <c r="AZ53" s="61">
        <f>($Y53)*'Task2A)values_PHI_dependent'!$O$10</f>
        <v>1030.1517984648244</v>
      </c>
      <c r="BC53" s="62">
        <f t="shared" si="3"/>
        <v>5747.4871609973243</v>
      </c>
      <c r="BD53" s="64">
        <v>2650</v>
      </c>
      <c r="BE53" s="60">
        <f>($D53)*'Task2A)values_PHI_dependent'!$P$11</f>
        <v>937.83126187251105</v>
      </c>
      <c r="BF53" s="6">
        <f>$K53*'Task2A)values_PHI_dependent'!$R$10</f>
        <v>3758.3807275973008</v>
      </c>
      <c r="BG53" s="6">
        <f>$R53*'Task2A)values_PHI_dependent'!$Q$11</f>
        <v>31.635126108247498</v>
      </c>
      <c r="BH53" s="61">
        <f>($Y53)*'Task2A)values_PHI_dependent'!$O$11</f>
        <v>1019.640045419265</v>
      </c>
    </row>
    <row r="54" spans="1:60" x14ac:dyDescent="0.3">
      <c r="A54" s="43">
        <v>2700</v>
      </c>
      <c r="B54">
        <v>54.74</v>
      </c>
      <c r="C54">
        <v>109.97</v>
      </c>
      <c r="D54" s="52">
        <f t="shared" si="4"/>
        <v>110.17271868676595</v>
      </c>
      <c r="E54">
        <v>280.58</v>
      </c>
      <c r="F54">
        <v>39.619999999999997</v>
      </c>
      <c r="H54" s="43">
        <v>2700</v>
      </c>
      <c r="I54">
        <v>36.82</v>
      </c>
      <c r="J54">
        <v>81.650000000000006</v>
      </c>
      <c r="K54" s="51">
        <f t="shared" si="5"/>
        <v>81.818448211943362</v>
      </c>
      <c r="L54">
        <v>262.91000000000003</v>
      </c>
      <c r="M54">
        <v>27.98</v>
      </c>
      <c r="O54" s="43">
        <v>2700</v>
      </c>
      <c r="P54">
        <v>39.29</v>
      </c>
      <c r="Q54">
        <v>86.16</v>
      </c>
      <c r="R54" s="53">
        <f t="shared" si="6"/>
        <v>86.336483707099546</v>
      </c>
      <c r="S54">
        <v>280.2</v>
      </c>
      <c r="T54">
        <v>29.86</v>
      </c>
      <c r="V54" s="43">
        <v>2700</v>
      </c>
      <c r="W54">
        <v>61.84</v>
      </c>
      <c r="X54">
        <v>134.28</v>
      </c>
      <c r="Y54" s="54">
        <f t="shared" si="7"/>
        <v>134.50608762838419</v>
      </c>
      <c r="Z54">
        <v>327.57</v>
      </c>
      <c r="AA54">
        <v>50.95</v>
      </c>
      <c r="AE54" s="62">
        <f t="shared" si="8"/>
        <v>5913.0702351693053</v>
      </c>
      <c r="AF54" s="64">
        <v>2700</v>
      </c>
      <c r="AG54" s="60">
        <f>($D54)*'Task2A)values_PHI_dependent'!$T$2</f>
        <v>991.55446818089354</v>
      </c>
      <c r="AH54" s="6">
        <f>$K54*'Task2A)values_PHI_dependent'!$V$2</f>
        <v>3845.467065961338</v>
      </c>
      <c r="AI54" s="6">
        <f>$R54*'Task2A)values_PHI_dependent'!$U$2</f>
        <v>0</v>
      </c>
      <c r="AJ54" s="61">
        <f>($Y54)*'Task2A)values_PHI_dependent'!$S$2</f>
        <v>1076.0487010270735</v>
      </c>
      <c r="AM54" s="62">
        <f t="shared" si="1"/>
        <v>5903.1862639406127</v>
      </c>
      <c r="AN54" s="64">
        <v>2700</v>
      </c>
      <c r="AO54" s="60">
        <f>($D54)*'Task2A)values_PHI_dependent'!$P$9</f>
        <v>981.63892349908463</v>
      </c>
      <c r="AP54" s="6">
        <f>$K54*'Task2A)values_PHI_dependent'!$R$9</f>
        <v>3845.467065961338</v>
      </c>
      <c r="AQ54" s="6">
        <f>$R54*'Task2A)values_PHI_dependent'!$Q$9</f>
        <v>10.792060463387443</v>
      </c>
      <c r="AR54" s="61">
        <f>($Y54)*'Task2A)values_PHI_dependent'!$O$9</f>
        <v>1065.2882140168028</v>
      </c>
      <c r="AU54" s="62">
        <f t="shared" si="2"/>
        <v>5893.30229271192</v>
      </c>
      <c r="AV54" s="64">
        <v>2700</v>
      </c>
      <c r="AW54" s="60">
        <f>($D54)*'Task2A)values_PHI_dependent'!$P$10</f>
        <v>971.72337881727572</v>
      </c>
      <c r="AX54" s="6">
        <f>$K54*'Task2A)values_PHI_dependent'!$R$10</f>
        <v>3845.467065961338</v>
      </c>
      <c r="AY54" s="6">
        <f>$R54*'Task2A)values_PHI_dependent'!$Q$10</f>
        <v>21.584120926774887</v>
      </c>
      <c r="AZ54" s="61">
        <f>($Y54)*'Task2A)values_PHI_dependent'!$O$10</f>
        <v>1054.5277270065321</v>
      </c>
      <c r="BC54" s="62">
        <f t="shared" si="3"/>
        <v>5883.4183214832283</v>
      </c>
      <c r="BD54" s="64">
        <v>2700</v>
      </c>
      <c r="BE54" s="60">
        <f>($D54)*'Task2A)values_PHI_dependent'!$P$11</f>
        <v>961.80783413546681</v>
      </c>
      <c r="BF54" s="6">
        <f>$K54*'Task2A)values_PHI_dependent'!$R$10</f>
        <v>3845.467065961338</v>
      </c>
      <c r="BG54" s="6">
        <f>$R54*'Task2A)values_PHI_dependent'!$Q$11</f>
        <v>32.37618139016233</v>
      </c>
      <c r="BH54" s="61">
        <f>($Y54)*'Task2A)values_PHI_dependent'!$O$11</f>
        <v>1043.7672399962614</v>
      </c>
    </row>
    <row r="55" spans="1:60" x14ac:dyDescent="0.3">
      <c r="A55" s="43">
        <v>2750</v>
      </c>
      <c r="B55">
        <v>54.93</v>
      </c>
      <c r="C55">
        <v>112.72</v>
      </c>
      <c r="D55" s="52">
        <f t="shared" si="4"/>
        <v>112.91748627342574</v>
      </c>
      <c r="E55">
        <v>281.58999999999997</v>
      </c>
      <c r="F55">
        <v>39.520000000000003</v>
      </c>
      <c r="H55" s="43">
        <v>2750</v>
      </c>
      <c r="I55">
        <v>36.86</v>
      </c>
      <c r="J55">
        <v>83.49</v>
      </c>
      <c r="K55" s="51">
        <f t="shared" si="5"/>
        <v>83.663573057568286</v>
      </c>
      <c r="L55">
        <v>263.58</v>
      </c>
      <c r="M55">
        <v>28.05</v>
      </c>
      <c r="O55" s="43">
        <v>2750</v>
      </c>
      <c r="P55">
        <v>39.380000000000003</v>
      </c>
      <c r="Q55">
        <v>88.13</v>
      </c>
      <c r="R55" s="53">
        <f t="shared" si="6"/>
        <v>88.307341572978132</v>
      </c>
      <c r="S55">
        <v>280.93</v>
      </c>
      <c r="T55">
        <v>29.94</v>
      </c>
      <c r="V55" s="43">
        <v>2750</v>
      </c>
      <c r="W55">
        <v>61.9</v>
      </c>
      <c r="X55">
        <v>137.37</v>
      </c>
      <c r="Y55" s="54">
        <f t="shared" si="7"/>
        <v>137.60539693586728</v>
      </c>
      <c r="Z55">
        <v>328.71</v>
      </c>
      <c r="AA55">
        <v>50.74</v>
      </c>
      <c r="AE55" s="62">
        <f t="shared" si="8"/>
        <v>6049.2884856534793</v>
      </c>
      <c r="AF55" s="64">
        <v>2750</v>
      </c>
      <c r="AG55" s="60">
        <f>($D55)*'Task2A)values_PHI_dependent'!$T$2</f>
        <v>1016.2573764608317</v>
      </c>
      <c r="AH55" s="6">
        <f>$K55*'Task2A)values_PHI_dependent'!$V$2</f>
        <v>3932.1879337057094</v>
      </c>
      <c r="AI55" s="6">
        <f>$R55*'Task2A)values_PHI_dependent'!$U$2</f>
        <v>0</v>
      </c>
      <c r="AJ55" s="61">
        <f>($Y55)*'Task2A)values_PHI_dependent'!$S$2</f>
        <v>1100.8431754869382</v>
      </c>
      <c r="AM55" s="62">
        <f t="shared" si="1"/>
        <v>6039.1558978306248</v>
      </c>
      <c r="AN55" s="64">
        <v>2750</v>
      </c>
      <c r="AO55" s="60">
        <f>($D55)*'Task2A)values_PHI_dependent'!$P$9</f>
        <v>1006.0948026962234</v>
      </c>
      <c r="AP55" s="6">
        <f>$K55*'Task2A)values_PHI_dependent'!$R$9</f>
        <v>3932.1879337057094</v>
      </c>
      <c r="AQ55" s="6">
        <f>$R55*'Task2A)values_PHI_dependent'!$Q$9</f>
        <v>11.038417696622266</v>
      </c>
      <c r="AR55" s="61">
        <f>($Y55)*'Task2A)values_PHI_dependent'!$O$9</f>
        <v>1089.8347437320688</v>
      </c>
      <c r="AU55" s="62">
        <f t="shared" si="2"/>
        <v>6029.0233100077676</v>
      </c>
      <c r="AV55" s="64">
        <v>2750</v>
      </c>
      <c r="AW55" s="60">
        <f>($D55)*'Task2A)values_PHI_dependent'!$P$10</f>
        <v>995.93222893161499</v>
      </c>
      <c r="AX55" s="6">
        <f>$K55*'Task2A)values_PHI_dependent'!$R$10</f>
        <v>3932.1879337057094</v>
      </c>
      <c r="AY55" s="6">
        <f>$R55*'Task2A)values_PHI_dependent'!$Q$10</f>
        <v>22.076835393244533</v>
      </c>
      <c r="AZ55" s="61">
        <f>($Y55)*'Task2A)values_PHI_dependent'!$O$10</f>
        <v>1078.8263119771993</v>
      </c>
      <c r="BC55" s="62">
        <f t="shared" si="3"/>
        <v>6018.8907221849131</v>
      </c>
      <c r="BD55" s="64">
        <v>2750</v>
      </c>
      <c r="BE55" s="60">
        <f>($D55)*'Task2A)values_PHI_dependent'!$P$11</f>
        <v>985.7696551670067</v>
      </c>
      <c r="BF55" s="6">
        <f>$K55*'Task2A)values_PHI_dependent'!$R$10</f>
        <v>3932.1879337057094</v>
      </c>
      <c r="BG55" s="6">
        <f>$R55*'Task2A)values_PHI_dependent'!$Q$11</f>
        <v>33.115253089866798</v>
      </c>
      <c r="BH55" s="61">
        <f>($Y55)*'Task2A)values_PHI_dependent'!$O$11</f>
        <v>1067.8178802223301</v>
      </c>
    </row>
    <row r="56" spans="1:60" x14ac:dyDescent="0.3">
      <c r="A56" s="43">
        <v>2800</v>
      </c>
      <c r="B56">
        <v>55.11</v>
      </c>
      <c r="C56">
        <v>115.47</v>
      </c>
      <c r="D56" s="52">
        <f t="shared" si="4"/>
        <v>115.65926333665809</v>
      </c>
      <c r="E56">
        <v>282.58</v>
      </c>
      <c r="F56">
        <v>39.42</v>
      </c>
      <c r="H56" s="43">
        <v>2800</v>
      </c>
      <c r="I56">
        <v>36.89</v>
      </c>
      <c r="J56">
        <v>85.33</v>
      </c>
      <c r="K56" s="51">
        <f t="shared" si="5"/>
        <v>85.499986259876493</v>
      </c>
      <c r="L56">
        <v>264.25</v>
      </c>
      <c r="M56">
        <v>28.12</v>
      </c>
      <c r="O56" s="43">
        <v>2800</v>
      </c>
      <c r="P56">
        <v>39.479999999999997</v>
      </c>
      <c r="Q56">
        <v>90.1</v>
      </c>
      <c r="R56" s="53">
        <f t="shared" si="6"/>
        <v>90.271908504470588</v>
      </c>
      <c r="S56">
        <v>281.64</v>
      </c>
      <c r="T56">
        <v>30</v>
      </c>
      <c r="V56" s="43">
        <v>2800</v>
      </c>
      <c r="W56">
        <v>61.96</v>
      </c>
      <c r="X56">
        <v>140.47</v>
      </c>
      <c r="Y56" s="54">
        <f t="shared" si="7"/>
        <v>140.69345824927069</v>
      </c>
      <c r="Z56">
        <v>329.83</v>
      </c>
      <c r="AA56">
        <v>50.54</v>
      </c>
      <c r="AE56" s="62">
        <f t="shared" si="8"/>
        <v>6184.9803902382828</v>
      </c>
      <c r="AF56" s="64">
        <v>2800</v>
      </c>
      <c r="AG56" s="60">
        <f>($D56)*'Task2A)values_PHI_dependent'!$T$2</f>
        <v>1040.9333700299228</v>
      </c>
      <c r="AH56" s="6">
        <f>$K56*'Task2A)values_PHI_dependent'!$V$2</f>
        <v>4018.4993542141951</v>
      </c>
      <c r="AI56" s="6">
        <f>$R56*'Task2A)values_PHI_dependent'!$U$2</f>
        <v>0</v>
      </c>
      <c r="AJ56" s="61">
        <f>($Y56)*'Task2A)values_PHI_dependent'!$S$2</f>
        <v>1125.5476659941655</v>
      </c>
      <c r="AM56" s="62">
        <f t="shared" si="1"/>
        <v>6174.5995684411018</v>
      </c>
      <c r="AN56" s="64">
        <v>2800</v>
      </c>
      <c r="AO56" s="60">
        <f>($D56)*'Task2A)values_PHI_dependent'!$P$9</f>
        <v>1030.5240363296236</v>
      </c>
      <c r="AP56" s="6">
        <f>$K56*'Task2A)values_PHI_dependent'!$R$9</f>
        <v>4018.4993542141951</v>
      </c>
      <c r="AQ56" s="6">
        <f>$R56*'Task2A)values_PHI_dependent'!$Q$9</f>
        <v>11.283988563058823</v>
      </c>
      <c r="AR56" s="61">
        <f>($Y56)*'Task2A)values_PHI_dependent'!$O$9</f>
        <v>1114.2921893342238</v>
      </c>
      <c r="AU56" s="62">
        <f t="shared" si="2"/>
        <v>6164.2187466439191</v>
      </c>
      <c r="AV56" s="64">
        <v>2800</v>
      </c>
      <c r="AW56" s="60">
        <f>($D56)*'Task2A)values_PHI_dependent'!$P$10</f>
        <v>1020.1147026293244</v>
      </c>
      <c r="AX56" s="6">
        <f>$K56*'Task2A)values_PHI_dependent'!$R$10</f>
        <v>4018.4993542141951</v>
      </c>
      <c r="AY56" s="6">
        <f>$R56*'Task2A)values_PHI_dependent'!$Q$10</f>
        <v>22.567977126117647</v>
      </c>
      <c r="AZ56" s="61">
        <f>($Y56)*'Task2A)values_PHI_dependent'!$O$10</f>
        <v>1103.0367126742822</v>
      </c>
      <c r="BC56" s="62">
        <f t="shared" si="3"/>
        <v>6153.8379248467381</v>
      </c>
      <c r="BD56" s="64">
        <v>2800</v>
      </c>
      <c r="BE56" s="60">
        <f>($D56)*'Task2A)values_PHI_dependent'!$P$11</f>
        <v>1009.7053689290251</v>
      </c>
      <c r="BF56" s="6">
        <f>$K56*'Task2A)values_PHI_dependent'!$R$10</f>
        <v>4018.4993542141951</v>
      </c>
      <c r="BG56" s="6">
        <f>$R56*'Task2A)values_PHI_dependent'!$Q$11</f>
        <v>33.851965689176467</v>
      </c>
      <c r="BH56" s="61">
        <f>($Y56)*'Task2A)values_PHI_dependent'!$O$11</f>
        <v>1091.7812360143405</v>
      </c>
    </row>
    <row r="57" spans="1:60" x14ac:dyDescent="0.3">
      <c r="A57" s="43">
        <v>2850</v>
      </c>
      <c r="B57">
        <v>55.29</v>
      </c>
      <c r="C57">
        <v>118.23</v>
      </c>
      <c r="D57" s="52">
        <f t="shared" si="4"/>
        <v>118.39730833174197</v>
      </c>
      <c r="E57">
        <v>283.56</v>
      </c>
      <c r="F57">
        <v>39.32</v>
      </c>
      <c r="H57" s="43">
        <v>2850</v>
      </c>
      <c r="I57">
        <v>36.93</v>
      </c>
      <c r="J57">
        <v>87.18</v>
      </c>
      <c r="K57" s="51">
        <f t="shared" si="5"/>
        <v>87.327227675531674</v>
      </c>
      <c r="L57">
        <v>264.89999999999998</v>
      </c>
      <c r="M57">
        <v>28.18</v>
      </c>
      <c r="O57" s="43">
        <v>2850</v>
      </c>
      <c r="P57">
        <v>39.57</v>
      </c>
      <c r="Q57">
        <v>92.07</v>
      </c>
      <c r="R57" s="53">
        <f t="shared" si="6"/>
        <v>92.229671650668394</v>
      </c>
      <c r="S57">
        <v>282.33999999999997</v>
      </c>
      <c r="T57">
        <v>30.07</v>
      </c>
      <c r="V57" s="43">
        <v>2850</v>
      </c>
      <c r="W57">
        <v>62.02</v>
      </c>
      <c r="X57">
        <v>143.57</v>
      </c>
      <c r="Y57" s="54">
        <f t="shared" si="7"/>
        <v>143.7695399990958</v>
      </c>
      <c r="Z57">
        <v>330.92</v>
      </c>
      <c r="AA57">
        <v>50.35</v>
      </c>
      <c r="AE57" s="62">
        <f t="shared" si="8"/>
        <v>6320.1117957284332</v>
      </c>
      <c r="AF57" s="64">
        <v>2850</v>
      </c>
      <c r="AG57" s="60">
        <f>($D57)*'Task2A)values_PHI_dependent'!$T$2</f>
        <v>1065.5757749856778</v>
      </c>
      <c r="AH57" s="6">
        <f>$K57*'Task2A)values_PHI_dependent'!$V$2</f>
        <v>4104.3797007499888</v>
      </c>
      <c r="AI57" s="6">
        <f>$R57*'Task2A)values_PHI_dependent'!$U$2</f>
        <v>0</v>
      </c>
      <c r="AJ57" s="61">
        <f>($Y57)*'Task2A)values_PHI_dependent'!$S$2</f>
        <v>1150.1563199927664</v>
      </c>
      <c r="AM57" s="62">
        <f t="shared" si="1"/>
        <v>6309.483183734983</v>
      </c>
      <c r="AN57" s="64">
        <v>2850</v>
      </c>
      <c r="AO57" s="60">
        <f>($D57)*'Task2A)values_PHI_dependent'!$P$9</f>
        <v>1054.920017235821</v>
      </c>
      <c r="AP57" s="6">
        <f>$K57*'Task2A)values_PHI_dependent'!$R$9</f>
        <v>4104.3797007499888</v>
      </c>
      <c r="AQ57" s="6">
        <f>$R57*'Task2A)values_PHI_dependent'!$Q$9</f>
        <v>11.528708956333549</v>
      </c>
      <c r="AR57" s="61">
        <f>($Y57)*'Task2A)values_PHI_dependent'!$O$9</f>
        <v>1138.6547567928387</v>
      </c>
      <c r="AU57" s="62">
        <f t="shared" si="2"/>
        <v>6298.8545717415309</v>
      </c>
      <c r="AV57" s="64">
        <v>2850</v>
      </c>
      <c r="AW57" s="60">
        <f>($D57)*'Task2A)values_PHI_dependent'!$P$10</f>
        <v>1044.2642594859642</v>
      </c>
      <c r="AX57" s="6">
        <f>$K57*'Task2A)values_PHI_dependent'!$R$10</f>
        <v>4104.3797007499888</v>
      </c>
      <c r="AY57" s="6">
        <f>$R57*'Task2A)values_PHI_dependent'!$Q$10</f>
        <v>23.057417912667098</v>
      </c>
      <c r="AZ57" s="61">
        <f>($Y57)*'Task2A)values_PHI_dependent'!$O$10</f>
        <v>1127.1531935929111</v>
      </c>
      <c r="BC57" s="62">
        <f t="shared" si="3"/>
        <v>6288.2259597480806</v>
      </c>
      <c r="BD57" s="64">
        <v>2850</v>
      </c>
      <c r="BE57" s="60">
        <f>($D57)*'Task2A)values_PHI_dependent'!$P$11</f>
        <v>1033.6085017361074</v>
      </c>
      <c r="BF57" s="6">
        <f>$K57*'Task2A)values_PHI_dependent'!$R$10</f>
        <v>4104.3797007499888</v>
      </c>
      <c r="BG57" s="6">
        <f>$R57*'Task2A)values_PHI_dependent'!$Q$11</f>
        <v>34.586126869000651</v>
      </c>
      <c r="BH57" s="61">
        <f>($Y57)*'Task2A)values_PHI_dependent'!$O$11</f>
        <v>1115.6516303929834</v>
      </c>
    </row>
    <row r="58" spans="1:60" x14ac:dyDescent="0.3">
      <c r="A58" s="43">
        <v>2900</v>
      </c>
      <c r="B58">
        <v>55.46</v>
      </c>
      <c r="C58">
        <v>120.99</v>
      </c>
      <c r="D58" s="52">
        <f t="shared" si="4"/>
        <v>121.13155803635068</v>
      </c>
      <c r="E58">
        <v>284.52</v>
      </c>
      <c r="F58">
        <v>39.229999999999997</v>
      </c>
      <c r="H58" s="43">
        <v>2900</v>
      </c>
      <c r="I58">
        <v>36.96</v>
      </c>
      <c r="J58">
        <v>89.03</v>
      </c>
      <c r="K58" s="51">
        <f t="shared" si="5"/>
        <v>89.145417095656441</v>
      </c>
      <c r="L58">
        <v>265.54000000000002</v>
      </c>
      <c r="M58">
        <v>28.25</v>
      </c>
      <c r="O58" s="43">
        <v>2900</v>
      </c>
      <c r="P58">
        <v>39.659999999999997</v>
      </c>
      <c r="Q58">
        <v>94.06</v>
      </c>
      <c r="R58" s="53">
        <f t="shared" si="6"/>
        <v>94.180718932933203</v>
      </c>
      <c r="S58">
        <v>283.02999999999997</v>
      </c>
      <c r="T58">
        <v>30.14</v>
      </c>
      <c r="V58" s="43">
        <v>2900</v>
      </c>
      <c r="W58">
        <v>62.08</v>
      </c>
      <c r="X58">
        <v>146.66999999999999</v>
      </c>
      <c r="Y58" s="54">
        <f t="shared" si="7"/>
        <v>146.8337082584579</v>
      </c>
      <c r="Z58">
        <v>332</v>
      </c>
      <c r="AA58">
        <v>50.17</v>
      </c>
      <c r="AE58" s="62">
        <f t="shared" si="8"/>
        <v>6454.6882918906731</v>
      </c>
      <c r="AF58" s="64">
        <v>2900</v>
      </c>
      <c r="AG58" s="60">
        <f>($D58)*'Task2A)values_PHI_dependent'!$T$2</f>
        <v>1090.1840223271561</v>
      </c>
      <c r="AH58" s="6">
        <f>$K58*'Task2A)values_PHI_dependent'!$V$2</f>
        <v>4189.8346034958531</v>
      </c>
      <c r="AI58" s="6">
        <f>$R58*'Task2A)values_PHI_dependent'!$U$2</f>
        <v>0</v>
      </c>
      <c r="AJ58" s="61">
        <f>($Y58)*'Task2A)values_PHI_dependent'!$S$2</f>
        <v>1174.6696660676632</v>
      </c>
      <c r="AM58" s="62">
        <f t="shared" si="1"/>
        <v>6443.8123448733404</v>
      </c>
      <c r="AN58" s="64">
        <v>2900</v>
      </c>
      <c r="AO58" s="60">
        <f>($D58)*'Task2A)values_PHI_dependent'!$P$9</f>
        <v>1079.2821821038847</v>
      </c>
      <c r="AP58" s="6">
        <f>$K58*'Task2A)values_PHI_dependent'!$R$9</f>
        <v>4189.8346034958531</v>
      </c>
      <c r="AQ58" s="6">
        <f>$R58*'Task2A)values_PHI_dependent'!$Q$9</f>
        <v>11.77258986661665</v>
      </c>
      <c r="AR58" s="61">
        <f>($Y58)*'Task2A)values_PHI_dependent'!$O$9</f>
        <v>1162.9229694069866</v>
      </c>
      <c r="AU58" s="62">
        <f t="shared" si="2"/>
        <v>6432.9363978560095</v>
      </c>
      <c r="AV58" s="64">
        <v>2900</v>
      </c>
      <c r="AW58" s="60">
        <f>($D58)*'Task2A)values_PHI_dependent'!$P$10</f>
        <v>1068.3803418806131</v>
      </c>
      <c r="AX58" s="6">
        <f>$K58*'Task2A)values_PHI_dependent'!$R$10</f>
        <v>4189.8346034958531</v>
      </c>
      <c r="AY58" s="6">
        <f>$R58*'Task2A)values_PHI_dependent'!$Q$10</f>
        <v>23.545179733233301</v>
      </c>
      <c r="AZ58" s="61">
        <f>($Y58)*'Task2A)values_PHI_dependent'!$O$10</f>
        <v>1151.1762727463099</v>
      </c>
      <c r="BC58" s="62">
        <f t="shared" si="3"/>
        <v>6422.0604508386778</v>
      </c>
      <c r="BD58" s="64">
        <v>2900</v>
      </c>
      <c r="BE58" s="60">
        <f>($D58)*'Task2A)values_PHI_dependent'!$P$11</f>
        <v>1057.4785016573414</v>
      </c>
      <c r="BF58" s="6">
        <f>$K58*'Task2A)values_PHI_dependent'!$R$10</f>
        <v>4189.8346034958531</v>
      </c>
      <c r="BG58" s="6">
        <f>$R58*'Task2A)values_PHI_dependent'!$Q$11</f>
        <v>35.317769599849953</v>
      </c>
      <c r="BH58" s="61">
        <f>($Y58)*'Task2A)values_PHI_dependent'!$O$11</f>
        <v>1139.4295760856332</v>
      </c>
    </row>
    <row r="59" spans="1:60" x14ac:dyDescent="0.3">
      <c r="A59" s="43">
        <v>2950</v>
      </c>
      <c r="B59">
        <v>55.62</v>
      </c>
      <c r="C59">
        <v>123.77</v>
      </c>
      <c r="D59" s="52">
        <f t="shared" si="4"/>
        <v>123.86275409348337</v>
      </c>
      <c r="E59">
        <v>285.47000000000003</v>
      </c>
      <c r="F59">
        <v>39.15</v>
      </c>
      <c r="H59" s="43">
        <v>2950</v>
      </c>
      <c r="I59">
        <v>36.99</v>
      </c>
      <c r="J59">
        <v>90.88</v>
      </c>
      <c r="K59" s="51">
        <f t="shared" si="5"/>
        <v>90.955365330820129</v>
      </c>
      <c r="L59">
        <v>266.17</v>
      </c>
      <c r="M59">
        <v>28.31</v>
      </c>
      <c r="O59" s="43">
        <v>2950</v>
      </c>
      <c r="P59">
        <v>39.75</v>
      </c>
      <c r="Q59">
        <v>96.04</v>
      </c>
      <c r="R59" s="53">
        <f t="shared" si="6"/>
        <v>96.125858594052715</v>
      </c>
      <c r="S59">
        <v>283.7</v>
      </c>
      <c r="T59">
        <v>30.21</v>
      </c>
      <c r="V59" s="43">
        <v>2950</v>
      </c>
      <c r="W59">
        <v>62.14</v>
      </c>
      <c r="X59">
        <v>149.78</v>
      </c>
      <c r="Y59" s="54">
        <f t="shared" si="7"/>
        <v>149.88698286167016</v>
      </c>
      <c r="Z59">
        <v>333.06</v>
      </c>
      <c r="AA59">
        <v>50</v>
      </c>
      <c r="AE59" s="62">
        <f t="shared" si="8"/>
        <v>6588.7628202832575</v>
      </c>
      <c r="AF59" s="64">
        <v>2950</v>
      </c>
      <c r="AG59" s="60">
        <f>($D59)*'Task2A)values_PHI_dependent'!$T$2</f>
        <v>1114.7647868413503</v>
      </c>
      <c r="AH59" s="6">
        <f>$K59*'Task2A)values_PHI_dependent'!$V$2</f>
        <v>4274.9021705485457</v>
      </c>
      <c r="AI59" s="6">
        <f>$R59*'Task2A)values_PHI_dependent'!$U$2</f>
        <v>0</v>
      </c>
      <c r="AJ59" s="61">
        <f>($Y59)*'Task2A)values_PHI_dependent'!$S$2</f>
        <v>1199.0958628933613</v>
      </c>
      <c r="AM59" s="62">
        <f t="shared" si="1"/>
        <v>6577.6399461101664</v>
      </c>
      <c r="AN59" s="64">
        <v>2950</v>
      </c>
      <c r="AO59" s="60">
        <f>($D59)*'Task2A)values_PHI_dependent'!$P$9</f>
        <v>1103.6171389729368</v>
      </c>
      <c r="AP59" s="6">
        <f>$K59*'Task2A)values_PHI_dependent'!$R$9</f>
        <v>4274.9021705485457</v>
      </c>
      <c r="AQ59" s="6">
        <f>$R59*'Task2A)values_PHI_dependent'!$Q$9</f>
        <v>12.015732324256589</v>
      </c>
      <c r="AR59" s="61">
        <f>($Y59)*'Task2A)values_PHI_dependent'!$O$9</f>
        <v>1187.1049042644277</v>
      </c>
      <c r="AU59" s="62">
        <f t="shared" si="2"/>
        <v>6566.5170719370763</v>
      </c>
      <c r="AV59" s="64">
        <v>2950</v>
      </c>
      <c r="AW59" s="60">
        <f>($D59)*'Task2A)values_PHI_dependent'!$P$10</f>
        <v>1092.4694911045235</v>
      </c>
      <c r="AX59" s="6">
        <f>$K59*'Task2A)values_PHI_dependent'!$R$10</f>
        <v>4274.9021705485457</v>
      </c>
      <c r="AY59" s="6">
        <f>$R59*'Task2A)values_PHI_dependent'!$Q$10</f>
        <v>24.031464648513179</v>
      </c>
      <c r="AZ59" s="61">
        <f>($Y59)*'Task2A)values_PHI_dependent'!$O$10</f>
        <v>1175.113945635494</v>
      </c>
      <c r="BC59" s="62">
        <f t="shared" si="3"/>
        <v>6555.3941977639861</v>
      </c>
      <c r="BD59" s="64">
        <v>2950</v>
      </c>
      <c r="BE59" s="60">
        <f>($D59)*'Task2A)values_PHI_dependent'!$P$11</f>
        <v>1081.32184323611</v>
      </c>
      <c r="BF59" s="6">
        <f>$K59*'Task2A)values_PHI_dependent'!$R$10</f>
        <v>4274.9021705485457</v>
      </c>
      <c r="BG59" s="6">
        <f>$R59*'Task2A)values_PHI_dependent'!$Q$11</f>
        <v>36.047196972769768</v>
      </c>
      <c r="BH59" s="61">
        <f>($Y59)*'Task2A)values_PHI_dependent'!$O$11</f>
        <v>1163.1229870065604</v>
      </c>
    </row>
    <row r="60" spans="1:60" x14ac:dyDescent="0.3">
      <c r="A60" s="43">
        <v>3000</v>
      </c>
      <c r="B60">
        <v>55.78</v>
      </c>
      <c r="C60">
        <v>126.56</v>
      </c>
      <c r="D60" s="52">
        <f t="shared" si="4"/>
        <v>126.59257703642953</v>
      </c>
      <c r="E60">
        <v>286.41000000000003</v>
      </c>
      <c r="F60">
        <v>39.07</v>
      </c>
      <c r="H60" s="43">
        <v>3000</v>
      </c>
      <c r="I60">
        <v>37.03</v>
      </c>
      <c r="J60">
        <v>92.73</v>
      </c>
      <c r="K60" s="51">
        <f t="shared" si="5"/>
        <v>92.758691975889661</v>
      </c>
      <c r="L60">
        <v>266.8</v>
      </c>
      <c r="M60">
        <v>28.37</v>
      </c>
      <c r="O60" s="43">
        <v>3000</v>
      </c>
      <c r="P60">
        <v>39.840000000000003</v>
      </c>
      <c r="Q60">
        <v>98.03</v>
      </c>
      <c r="R60" s="53">
        <f t="shared" si="6"/>
        <v>98.066746055209649</v>
      </c>
      <c r="S60">
        <v>284.37</v>
      </c>
      <c r="T60">
        <v>30.27</v>
      </c>
      <c r="V60" s="43">
        <v>3000</v>
      </c>
      <c r="W60">
        <v>62.19</v>
      </c>
      <c r="X60">
        <v>152.88</v>
      </c>
      <c r="Y60" s="54">
        <f t="shared" si="7"/>
        <v>152.93150317196967</v>
      </c>
      <c r="Z60">
        <v>334.11</v>
      </c>
      <c r="AA60">
        <v>49.83</v>
      </c>
      <c r="AE60" s="62">
        <f t="shared" si="8"/>
        <v>6722.4437415704369</v>
      </c>
      <c r="AF60" s="64">
        <v>3000</v>
      </c>
      <c r="AG60" s="60">
        <f>($D60)*'Task2A)values_PHI_dependent'!$T$2</f>
        <v>1139.3331933278657</v>
      </c>
      <c r="AH60" s="6">
        <f>$K60*'Task2A)values_PHI_dependent'!$V$2</f>
        <v>4359.6585228668137</v>
      </c>
      <c r="AI60" s="6">
        <f>$R60*'Task2A)values_PHI_dependent'!$U$2</f>
        <v>0</v>
      </c>
      <c r="AJ60" s="61">
        <f>($Y60)*'Task2A)values_PHI_dependent'!$S$2</f>
        <v>1223.4520253757573</v>
      </c>
      <c r="AM60" s="62">
        <f t="shared" si="1"/>
        <v>6711.0742326403015</v>
      </c>
      <c r="AN60" s="64">
        <v>3000</v>
      </c>
      <c r="AO60" s="60">
        <f>($D60)*'Task2A)values_PHI_dependent'!$P$9</f>
        <v>1127.9398613945871</v>
      </c>
      <c r="AP60" s="6">
        <f>$K60*'Task2A)values_PHI_dependent'!$R$9</f>
        <v>4359.6585228668137</v>
      </c>
      <c r="AQ60" s="6">
        <f>$R60*'Task2A)values_PHI_dependent'!$Q$9</f>
        <v>12.258343256901206</v>
      </c>
      <c r="AR60" s="61">
        <f>($Y60)*'Task2A)values_PHI_dependent'!$O$9</f>
        <v>1211.2175051219997</v>
      </c>
      <c r="AU60" s="62">
        <f t="shared" si="2"/>
        <v>6699.7047237101669</v>
      </c>
      <c r="AV60" s="64">
        <v>3000</v>
      </c>
      <c r="AW60" s="60">
        <f>($D60)*'Task2A)values_PHI_dependent'!$P$10</f>
        <v>1116.5465294613084</v>
      </c>
      <c r="AX60" s="6">
        <f>$K60*'Task2A)values_PHI_dependent'!$R$10</f>
        <v>4359.6585228668137</v>
      </c>
      <c r="AY60" s="6">
        <f>$R60*'Task2A)values_PHI_dependent'!$Q$10</f>
        <v>24.516686513802412</v>
      </c>
      <c r="AZ60" s="61">
        <f>($Y60)*'Task2A)values_PHI_dependent'!$O$10</f>
        <v>1198.9829848682421</v>
      </c>
      <c r="BC60" s="62">
        <f t="shared" si="3"/>
        <v>6688.3352147800324</v>
      </c>
      <c r="BD60" s="64">
        <v>3000</v>
      </c>
      <c r="BE60" s="60">
        <f>($D60)*'Task2A)values_PHI_dependent'!$P$11</f>
        <v>1105.15319752803</v>
      </c>
      <c r="BF60" s="6">
        <f>$K60*'Task2A)values_PHI_dependent'!$R$10</f>
        <v>4359.6585228668137</v>
      </c>
      <c r="BG60" s="6">
        <f>$R60*'Task2A)values_PHI_dependent'!$Q$11</f>
        <v>36.775029770703618</v>
      </c>
      <c r="BH60" s="61">
        <f>($Y60)*'Task2A)values_PHI_dependent'!$O$11</f>
        <v>1186.7484646144846</v>
      </c>
    </row>
    <row r="61" spans="1:60" x14ac:dyDescent="0.3">
      <c r="A61" s="43">
        <v>3050</v>
      </c>
      <c r="B61">
        <v>55.93</v>
      </c>
      <c r="C61">
        <v>129.35</v>
      </c>
      <c r="D61" s="52">
        <f t="shared" si="4"/>
        <v>129.32378779574563</v>
      </c>
      <c r="E61">
        <v>287.33</v>
      </c>
      <c r="F61">
        <v>39</v>
      </c>
      <c r="H61" s="43">
        <v>3050</v>
      </c>
      <c r="I61">
        <v>37.06</v>
      </c>
      <c r="J61">
        <v>94.58</v>
      </c>
      <c r="K61" s="51">
        <f t="shared" si="5"/>
        <v>94.557949854750888</v>
      </c>
      <c r="L61">
        <v>267.41000000000003</v>
      </c>
      <c r="M61">
        <v>28.43</v>
      </c>
      <c r="O61" s="43">
        <v>3050</v>
      </c>
      <c r="P61">
        <v>39.93</v>
      </c>
      <c r="Q61">
        <v>100.03</v>
      </c>
      <c r="R61" s="53">
        <f t="shared" si="6"/>
        <v>100.00601808075474</v>
      </c>
      <c r="S61">
        <v>285.02999999999997</v>
      </c>
      <c r="T61">
        <v>30.34</v>
      </c>
      <c r="V61" s="43">
        <v>3050</v>
      </c>
      <c r="W61">
        <v>62.25</v>
      </c>
      <c r="X61">
        <v>155.99</v>
      </c>
      <c r="Y61" s="54">
        <f t="shared" si="7"/>
        <v>155.9707034983775</v>
      </c>
      <c r="Z61">
        <v>335.14</v>
      </c>
      <c r="AA61">
        <v>49.68</v>
      </c>
      <c r="AE61" s="62">
        <f t="shared" si="8"/>
        <v>6855.9033613220226</v>
      </c>
      <c r="AF61" s="64">
        <v>3050</v>
      </c>
      <c r="AG61" s="60">
        <f>($D61)*'Task2A)values_PHI_dependent'!$T$2</f>
        <v>1163.9140901617106</v>
      </c>
      <c r="AH61" s="6">
        <f>$K61*'Task2A)values_PHI_dependent'!$V$2</f>
        <v>4444.2236431732917</v>
      </c>
      <c r="AI61" s="6">
        <f>$R61*'Task2A)values_PHI_dependent'!$U$2</f>
        <v>0</v>
      </c>
      <c r="AJ61" s="61">
        <f>($Y61)*'Task2A)values_PHI_dependent'!$S$2</f>
        <v>1247.76562798702</v>
      </c>
      <c r="AM61" s="62">
        <f t="shared" si="1"/>
        <v>6844.2873164006296</v>
      </c>
      <c r="AN61" s="64">
        <v>3050</v>
      </c>
      <c r="AO61" s="60">
        <f>($D61)*'Task2A)values_PHI_dependent'!$P$9</f>
        <v>1152.2749492600935</v>
      </c>
      <c r="AP61" s="6">
        <f>$K61*'Task2A)values_PHI_dependent'!$R$9</f>
        <v>4444.2236431732917</v>
      </c>
      <c r="AQ61" s="6">
        <f>$R61*'Task2A)values_PHI_dependent'!$Q$9</f>
        <v>12.500752260094343</v>
      </c>
      <c r="AR61" s="61">
        <f>($Y61)*'Task2A)values_PHI_dependent'!$O$9</f>
        <v>1235.2879717071498</v>
      </c>
      <c r="AU61" s="62">
        <f t="shared" si="2"/>
        <v>6832.6712714792366</v>
      </c>
      <c r="AV61" s="64">
        <v>3050</v>
      </c>
      <c r="AW61" s="60">
        <f>($D61)*'Task2A)values_PHI_dependent'!$P$10</f>
        <v>1140.6358083584764</v>
      </c>
      <c r="AX61" s="6">
        <f>$K61*'Task2A)values_PHI_dependent'!$R$10</f>
        <v>4444.2236431732917</v>
      </c>
      <c r="AY61" s="6">
        <f>$R61*'Task2A)values_PHI_dependent'!$Q$10</f>
        <v>25.001504520188686</v>
      </c>
      <c r="AZ61" s="61">
        <f>($Y61)*'Task2A)values_PHI_dependent'!$O$10</f>
        <v>1222.8103154272796</v>
      </c>
      <c r="BC61" s="62">
        <f t="shared" si="3"/>
        <v>6821.0552265578444</v>
      </c>
      <c r="BD61" s="64">
        <v>3050</v>
      </c>
      <c r="BE61" s="60">
        <f>($D61)*'Task2A)values_PHI_dependent'!$P$11</f>
        <v>1128.9966674568593</v>
      </c>
      <c r="BF61" s="6">
        <f>$K61*'Task2A)values_PHI_dependent'!$R$10</f>
        <v>4444.2236431732917</v>
      </c>
      <c r="BG61" s="6">
        <f>$R61*'Task2A)values_PHI_dependent'!$Q$11</f>
        <v>37.502256780283027</v>
      </c>
      <c r="BH61" s="61">
        <f>($Y61)*'Task2A)values_PHI_dependent'!$O$11</f>
        <v>1210.3326591474095</v>
      </c>
    </row>
    <row r="62" spans="1:60" x14ac:dyDescent="0.3">
      <c r="A62" s="43">
        <v>3100</v>
      </c>
      <c r="B62">
        <v>56.07</v>
      </c>
      <c r="C62">
        <v>132.15</v>
      </c>
      <c r="D62" s="52">
        <f t="shared" si="4"/>
        <v>132.06037668825903</v>
      </c>
      <c r="E62">
        <v>288.24</v>
      </c>
      <c r="F62">
        <v>38.92</v>
      </c>
      <c r="H62" s="43">
        <v>3100</v>
      </c>
      <c r="I62">
        <v>37.090000000000003</v>
      </c>
      <c r="J62">
        <v>96.43</v>
      </c>
      <c r="K62" s="51">
        <f t="shared" si="5"/>
        <v>96.356756144904253</v>
      </c>
      <c r="L62">
        <v>268.01</v>
      </c>
      <c r="M62">
        <v>28.49</v>
      </c>
      <c r="O62" s="43">
        <v>3100</v>
      </c>
      <c r="P62">
        <v>40.020000000000003</v>
      </c>
      <c r="Q62">
        <v>102.02</v>
      </c>
      <c r="R62" s="53">
        <f t="shared" si="6"/>
        <v>101.94743425078893</v>
      </c>
      <c r="S62">
        <v>285.68</v>
      </c>
      <c r="T62">
        <v>30.4</v>
      </c>
      <c r="V62" s="43">
        <v>3100</v>
      </c>
      <c r="W62">
        <v>62.3</v>
      </c>
      <c r="X62">
        <v>159.11000000000001</v>
      </c>
      <c r="Y62" s="54">
        <f t="shared" si="7"/>
        <v>159.00949816170274</v>
      </c>
      <c r="Z62">
        <v>336.15</v>
      </c>
      <c r="AA62">
        <v>49.53</v>
      </c>
      <c r="AE62" s="62">
        <f t="shared" si="8"/>
        <v>6989.3869142984531</v>
      </c>
      <c r="AF62" s="64">
        <v>3100</v>
      </c>
      <c r="AG62" s="60">
        <f>($D62)*'Task2A)values_PHI_dependent'!$T$2</f>
        <v>1188.5433901943313</v>
      </c>
      <c r="AH62" s="6">
        <f>$K62*'Task2A)values_PHI_dependent'!$V$2</f>
        <v>4528.7675388104999</v>
      </c>
      <c r="AI62" s="6">
        <f>$R62*'Task2A)values_PHI_dependent'!$U$2</f>
        <v>0</v>
      </c>
      <c r="AJ62" s="61">
        <f>($Y62)*'Task2A)values_PHI_dependent'!$S$2</f>
        <v>1272.0759852936219</v>
      </c>
      <c r="AM62" s="62">
        <f t="shared" si="1"/>
        <v>6977.5241498249225</v>
      </c>
      <c r="AN62" s="64">
        <v>3100</v>
      </c>
      <c r="AO62" s="60">
        <f>($D62)*'Task2A)values_PHI_dependent'!$P$9</f>
        <v>1176.657956292388</v>
      </c>
      <c r="AP62" s="6">
        <f>$K62*'Task2A)values_PHI_dependent'!$R$9</f>
        <v>4528.7675388104999</v>
      </c>
      <c r="AQ62" s="6">
        <f>$R62*'Task2A)values_PHI_dependent'!$Q$9</f>
        <v>12.743429281348616</v>
      </c>
      <c r="AR62" s="61">
        <f>($Y62)*'Task2A)values_PHI_dependent'!$O$9</f>
        <v>1259.3552254406857</v>
      </c>
      <c r="AU62" s="62">
        <f t="shared" si="2"/>
        <v>6965.6613853513909</v>
      </c>
      <c r="AV62" s="64">
        <v>3100</v>
      </c>
      <c r="AW62" s="60">
        <f>($D62)*'Task2A)values_PHI_dependent'!$P$10</f>
        <v>1164.7725223904447</v>
      </c>
      <c r="AX62" s="6">
        <f>$K62*'Task2A)values_PHI_dependent'!$R$10</f>
        <v>4528.7675388104999</v>
      </c>
      <c r="AY62" s="6">
        <f>$R62*'Task2A)values_PHI_dependent'!$Q$10</f>
        <v>25.486858562697233</v>
      </c>
      <c r="AZ62" s="61">
        <f>($Y62)*'Task2A)values_PHI_dependent'!$O$10</f>
        <v>1246.6344655877494</v>
      </c>
      <c r="BC62" s="62">
        <f t="shared" si="3"/>
        <v>6953.7986208778611</v>
      </c>
      <c r="BD62" s="64">
        <v>3100</v>
      </c>
      <c r="BE62" s="60">
        <f>($D62)*'Task2A)values_PHI_dependent'!$P$11</f>
        <v>1152.8870884885014</v>
      </c>
      <c r="BF62" s="6">
        <f>$K62*'Task2A)values_PHI_dependent'!$R$10</f>
        <v>4528.7675388104999</v>
      </c>
      <c r="BG62" s="6">
        <f>$R62*'Task2A)values_PHI_dependent'!$Q$11</f>
        <v>38.230287844045847</v>
      </c>
      <c r="BH62" s="61">
        <f>($Y62)*'Task2A)values_PHI_dependent'!$O$11</f>
        <v>1233.9137057348132</v>
      </c>
    </row>
    <row r="63" spans="1:60" x14ac:dyDescent="0.3">
      <c r="A63" s="43">
        <v>3150</v>
      </c>
      <c r="B63">
        <v>56.21</v>
      </c>
      <c r="C63">
        <v>134.96</v>
      </c>
      <c r="D63" s="52">
        <f t="shared" si="4"/>
        <v>134.80771988808945</v>
      </c>
      <c r="E63">
        <v>289.14</v>
      </c>
      <c r="F63">
        <v>38.86</v>
      </c>
      <c r="H63" s="43">
        <v>3150</v>
      </c>
      <c r="I63">
        <v>37.11</v>
      </c>
      <c r="J63">
        <v>98.29</v>
      </c>
      <c r="K63" s="51">
        <f t="shared" si="5"/>
        <v>98.159930181923883</v>
      </c>
      <c r="L63">
        <v>268.61</v>
      </c>
      <c r="M63">
        <v>28.55</v>
      </c>
      <c r="O63" s="43">
        <v>3150</v>
      </c>
      <c r="P63">
        <v>40.11</v>
      </c>
      <c r="Q63">
        <v>104.03</v>
      </c>
      <c r="R63" s="53">
        <f t="shared" si="6"/>
        <v>103.89602574155512</v>
      </c>
      <c r="S63">
        <v>286.32</v>
      </c>
      <c r="T63">
        <v>30.47</v>
      </c>
      <c r="V63" s="43">
        <v>3150</v>
      </c>
      <c r="W63">
        <v>62.35</v>
      </c>
      <c r="X63">
        <v>162.22</v>
      </c>
      <c r="Y63" s="54">
        <f t="shared" si="7"/>
        <v>162.05447620968533</v>
      </c>
      <c r="Z63">
        <v>337.15</v>
      </c>
      <c r="AA63">
        <v>49.38</v>
      </c>
      <c r="AE63" s="62">
        <f t="shared" si="8"/>
        <v>7123.222007220711</v>
      </c>
      <c r="AF63" s="64">
        <v>3150</v>
      </c>
      <c r="AG63" s="60">
        <f>($D63)*'Task2A)values_PHI_dependent'!$T$2</f>
        <v>1213.269478992805</v>
      </c>
      <c r="AH63" s="6">
        <f>$K63*'Task2A)values_PHI_dependent'!$V$2</f>
        <v>4613.5167185504224</v>
      </c>
      <c r="AI63" s="6">
        <f>$R63*'Task2A)values_PHI_dependent'!$U$2</f>
        <v>0</v>
      </c>
      <c r="AJ63" s="61">
        <f>($Y63)*'Task2A)values_PHI_dependent'!$S$2</f>
        <v>1296.4358096774827</v>
      </c>
      <c r="AM63" s="62">
        <f t="shared" si="1"/>
        <v>7111.1119575517014</v>
      </c>
      <c r="AN63" s="64">
        <v>3150</v>
      </c>
      <c r="AO63" s="60">
        <f>($D63)*'Task2A)values_PHI_dependent'!$P$9</f>
        <v>1201.1367842028769</v>
      </c>
      <c r="AP63" s="6">
        <f>$K63*'Task2A)values_PHI_dependent'!$R$9</f>
        <v>4613.5167185504224</v>
      </c>
      <c r="AQ63" s="6">
        <f>$R63*'Task2A)values_PHI_dependent'!$Q$9</f>
        <v>12.98700321769439</v>
      </c>
      <c r="AR63" s="61">
        <f>($Y63)*'Task2A)values_PHI_dependent'!$O$9</f>
        <v>1283.4714515807079</v>
      </c>
      <c r="AU63" s="62">
        <f t="shared" si="2"/>
        <v>7099.0019078826936</v>
      </c>
      <c r="AV63" s="64">
        <v>3150</v>
      </c>
      <c r="AW63" s="60">
        <f>($D63)*'Task2A)values_PHI_dependent'!$P$10</f>
        <v>1189.004089412949</v>
      </c>
      <c r="AX63" s="6">
        <f>$K63*'Task2A)values_PHI_dependent'!$R$10</f>
        <v>4613.5167185504224</v>
      </c>
      <c r="AY63" s="6">
        <f>$R63*'Task2A)values_PHI_dependent'!$Q$10</f>
        <v>25.97400643538878</v>
      </c>
      <c r="AZ63" s="61">
        <f>($Y63)*'Task2A)values_PHI_dependent'!$O$10</f>
        <v>1270.507093483933</v>
      </c>
      <c r="BC63" s="62">
        <f t="shared" si="3"/>
        <v>7086.8918582136848</v>
      </c>
      <c r="BD63" s="64">
        <v>3150</v>
      </c>
      <c r="BE63" s="60">
        <f>($D63)*'Task2A)values_PHI_dependent'!$P$11</f>
        <v>1176.8713946230209</v>
      </c>
      <c r="BF63" s="6">
        <f>$K63*'Task2A)values_PHI_dependent'!$R$10</f>
        <v>4613.5167185504224</v>
      </c>
      <c r="BG63" s="6">
        <f>$R63*'Task2A)values_PHI_dependent'!$Q$11</f>
        <v>38.961009653083167</v>
      </c>
      <c r="BH63" s="61">
        <f>($Y63)*'Task2A)values_PHI_dependent'!$O$11</f>
        <v>1257.5427353871582</v>
      </c>
    </row>
    <row r="64" spans="1:60" x14ac:dyDescent="0.3">
      <c r="A64" s="43">
        <v>3200</v>
      </c>
      <c r="B64">
        <v>56.35</v>
      </c>
      <c r="C64">
        <v>137.77000000000001</v>
      </c>
      <c r="D64" s="52">
        <f t="shared" si="4"/>
        <v>137.5727433796973</v>
      </c>
      <c r="E64">
        <v>290.02999999999997</v>
      </c>
      <c r="F64">
        <v>38.799999999999997</v>
      </c>
      <c r="H64" s="43">
        <v>3200</v>
      </c>
      <c r="I64">
        <v>37.14</v>
      </c>
      <c r="J64">
        <v>100.14</v>
      </c>
      <c r="K64" s="51">
        <f t="shared" si="5"/>
        <v>99.973637943797371</v>
      </c>
      <c r="L64">
        <v>269.19</v>
      </c>
      <c r="M64">
        <v>28.61</v>
      </c>
      <c r="O64" s="43">
        <v>3200</v>
      </c>
      <c r="P64">
        <v>40.19</v>
      </c>
      <c r="Q64">
        <v>106.03</v>
      </c>
      <c r="R64" s="53">
        <f t="shared" si="6"/>
        <v>105.8582514136349</v>
      </c>
      <c r="S64">
        <v>286.95999999999998</v>
      </c>
      <c r="T64">
        <v>30.53</v>
      </c>
      <c r="V64" s="43">
        <v>3200</v>
      </c>
      <c r="W64">
        <v>62.4</v>
      </c>
      <c r="X64">
        <v>165.34</v>
      </c>
      <c r="Y64" s="54">
        <f t="shared" si="7"/>
        <v>165.114105781284</v>
      </c>
      <c r="Z64">
        <v>338.13</v>
      </c>
      <c r="AA64">
        <v>49.25</v>
      </c>
      <c r="AE64" s="62">
        <f t="shared" si="8"/>
        <v>7257.8285200260243</v>
      </c>
      <c r="AF64" s="64">
        <v>3200</v>
      </c>
      <c r="AG64" s="60">
        <f>($D64)*'Task2A)values_PHI_dependent'!$T$2</f>
        <v>1238.1546904172758</v>
      </c>
      <c r="AH64" s="6">
        <f>$K64*'Task2A)values_PHI_dependent'!$V$2</f>
        <v>4698.7609833584766</v>
      </c>
      <c r="AI64" s="6">
        <f>$R64*'Task2A)values_PHI_dependent'!$U$2</f>
        <v>0</v>
      </c>
      <c r="AJ64" s="61">
        <f>($Y64)*'Task2A)values_PHI_dependent'!$S$2</f>
        <v>1320.912846250272</v>
      </c>
      <c r="AM64" s="62">
        <f t="shared" si="1"/>
        <v>7245.4701260860529</v>
      </c>
      <c r="AN64" s="64">
        <v>3200</v>
      </c>
      <c r="AO64" s="60">
        <f>($D64)*'Task2A)values_PHI_dependent'!$P$9</f>
        <v>1225.7731435131029</v>
      </c>
      <c r="AP64" s="6">
        <f>$K64*'Task2A)values_PHI_dependent'!$R$9</f>
        <v>4698.7609833584766</v>
      </c>
      <c r="AQ64" s="6">
        <f>$R64*'Task2A)values_PHI_dependent'!$Q$9</f>
        <v>13.232281426704363</v>
      </c>
      <c r="AR64" s="61">
        <f>($Y64)*'Task2A)values_PHI_dependent'!$O$9</f>
        <v>1307.7037177877692</v>
      </c>
      <c r="AU64" s="62">
        <f t="shared" si="2"/>
        <v>7233.1117321460824</v>
      </c>
      <c r="AV64" s="64">
        <v>3200</v>
      </c>
      <c r="AW64" s="60">
        <f>($D64)*'Task2A)values_PHI_dependent'!$P$10</f>
        <v>1213.3915966089303</v>
      </c>
      <c r="AX64" s="6">
        <f>$K64*'Task2A)values_PHI_dependent'!$R$10</f>
        <v>4698.7609833584766</v>
      </c>
      <c r="AY64" s="6">
        <f>$R64*'Task2A)values_PHI_dependent'!$Q$10</f>
        <v>26.464562853408726</v>
      </c>
      <c r="AZ64" s="61">
        <f>($Y64)*'Task2A)values_PHI_dependent'!$O$10</f>
        <v>1294.4945893252666</v>
      </c>
      <c r="BC64" s="62">
        <f t="shared" si="3"/>
        <v>7220.7533382061119</v>
      </c>
      <c r="BD64" s="64">
        <v>3200</v>
      </c>
      <c r="BE64" s="60">
        <f>($D64)*'Task2A)values_PHI_dependent'!$P$11</f>
        <v>1201.0100497047574</v>
      </c>
      <c r="BF64" s="6">
        <f>$K64*'Task2A)values_PHI_dependent'!$R$10</f>
        <v>4698.7609833584766</v>
      </c>
      <c r="BG64" s="6">
        <f>$R64*'Task2A)values_PHI_dependent'!$Q$11</f>
        <v>39.696844280113091</v>
      </c>
      <c r="BH64" s="61">
        <f>($Y64)*'Task2A)values_PHI_dependent'!$O$11</f>
        <v>1281.2854608627638</v>
      </c>
    </row>
    <row r="65" spans="1:60" x14ac:dyDescent="0.3">
      <c r="A65" s="43">
        <v>3250</v>
      </c>
      <c r="B65">
        <v>56.48</v>
      </c>
      <c r="C65">
        <v>140.59</v>
      </c>
      <c r="D65" s="52">
        <f t="shared" si="4"/>
        <v>140.36409439294746</v>
      </c>
      <c r="E65">
        <v>290.89999999999998</v>
      </c>
      <c r="F65">
        <v>38.74</v>
      </c>
      <c r="H65" s="43">
        <v>3250</v>
      </c>
      <c r="I65">
        <v>37.17</v>
      </c>
      <c r="J65">
        <v>102</v>
      </c>
      <c r="K65" s="51">
        <f t="shared" si="5"/>
        <v>101.80554321511954</v>
      </c>
      <c r="L65">
        <v>269.77</v>
      </c>
      <c r="M65">
        <v>28.67</v>
      </c>
      <c r="O65" s="43">
        <v>3250</v>
      </c>
      <c r="P65">
        <v>40.28</v>
      </c>
      <c r="Q65">
        <v>108.05</v>
      </c>
      <c r="R65" s="53">
        <f t="shared" si="6"/>
        <v>107.84216120795243</v>
      </c>
      <c r="S65">
        <v>287.58</v>
      </c>
      <c r="T65">
        <v>30.59</v>
      </c>
      <c r="V65" s="43">
        <v>3250</v>
      </c>
      <c r="W65">
        <v>62.45</v>
      </c>
      <c r="X65">
        <v>168.46</v>
      </c>
      <c r="Y65" s="54">
        <f t="shared" si="7"/>
        <v>168.19894812009508</v>
      </c>
      <c r="Z65">
        <v>339.1</v>
      </c>
      <c r="AA65">
        <v>49.12</v>
      </c>
      <c r="AE65" s="62">
        <f t="shared" si="8"/>
        <v>7393.7289656079065</v>
      </c>
      <c r="AF65" s="64">
        <v>3250</v>
      </c>
      <c r="AG65" s="60">
        <f>($D65)*'Task2A)values_PHI_dependent'!$T$2</f>
        <v>1263.2768495365272</v>
      </c>
      <c r="AH65" s="6">
        <f>$K65*'Task2A)values_PHI_dependent'!$V$2</f>
        <v>4784.8605311106185</v>
      </c>
      <c r="AI65" s="6">
        <f>$R65*'Task2A)values_PHI_dependent'!$U$2</f>
        <v>0</v>
      </c>
      <c r="AJ65" s="61">
        <f>($Y65)*'Task2A)values_PHI_dependent'!$S$2</f>
        <v>1345.5915849607607</v>
      </c>
      <c r="AM65" s="62">
        <f t="shared" si="1"/>
        <v>7381.1205514139283</v>
      </c>
      <c r="AN65" s="64">
        <v>3250</v>
      </c>
      <c r="AO65" s="60">
        <f>($D65)*'Task2A)values_PHI_dependent'!$P$9</f>
        <v>1250.6440810411618</v>
      </c>
      <c r="AP65" s="6">
        <f>$K65*'Task2A)values_PHI_dependent'!$R$9</f>
        <v>4784.8605311106185</v>
      </c>
      <c r="AQ65" s="6">
        <f>$R65*'Task2A)values_PHI_dependent'!$Q$9</f>
        <v>13.480270150994054</v>
      </c>
      <c r="AR65" s="61">
        <f>($Y65)*'Task2A)values_PHI_dependent'!$O$9</f>
        <v>1332.135669111153</v>
      </c>
      <c r="AU65" s="62">
        <f t="shared" si="2"/>
        <v>7368.5121372199483</v>
      </c>
      <c r="AV65" s="64">
        <v>3250</v>
      </c>
      <c r="AW65" s="60">
        <f>($D65)*'Task2A)values_PHI_dependent'!$P$10</f>
        <v>1238.0113125457967</v>
      </c>
      <c r="AX65" s="6">
        <f>$K65*'Task2A)values_PHI_dependent'!$R$10</f>
        <v>4784.8605311106185</v>
      </c>
      <c r="AY65" s="6">
        <f>$R65*'Task2A)values_PHI_dependent'!$Q$10</f>
        <v>26.960540301988107</v>
      </c>
      <c r="AZ65" s="61">
        <f>($Y65)*'Task2A)values_PHI_dependent'!$O$10</f>
        <v>1318.6797532615453</v>
      </c>
      <c r="BC65" s="62">
        <f t="shared" si="3"/>
        <v>7355.9037230259701</v>
      </c>
      <c r="BD65" s="64">
        <v>3250</v>
      </c>
      <c r="BE65" s="60">
        <f>($D65)*'Task2A)values_PHI_dependent'!$P$11</f>
        <v>1225.3785440504314</v>
      </c>
      <c r="BF65" s="6">
        <f>$K65*'Task2A)values_PHI_dependent'!$R$10</f>
        <v>4784.8605311106185</v>
      </c>
      <c r="BG65" s="6">
        <f>$R65*'Task2A)values_PHI_dependent'!$Q$11</f>
        <v>40.440810452982163</v>
      </c>
      <c r="BH65" s="61">
        <f>($Y65)*'Task2A)values_PHI_dependent'!$O$11</f>
        <v>1305.2238374119379</v>
      </c>
    </row>
    <row r="66" spans="1:60" x14ac:dyDescent="0.3">
      <c r="A66" s="43">
        <v>3300</v>
      </c>
      <c r="B66">
        <v>56.61</v>
      </c>
      <c r="C66">
        <v>143.41999999999999</v>
      </c>
      <c r="D66" s="52">
        <f t="shared" si="4"/>
        <v>143.19232032020014</v>
      </c>
      <c r="E66">
        <v>291.76</v>
      </c>
      <c r="F66">
        <v>38.68</v>
      </c>
      <c r="H66" s="43">
        <v>3300</v>
      </c>
      <c r="I66">
        <v>37.200000000000003</v>
      </c>
      <c r="J66">
        <v>103.86</v>
      </c>
      <c r="K66" s="51">
        <f t="shared" si="5"/>
        <v>103.6649654311701</v>
      </c>
      <c r="L66">
        <v>270.33</v>
      </c>
      <c r="M66">
        <v>28.73</v>
      </c>
      <c r="O66" s="43">
        <v>3300</v>
      </c>
      <c r="P66">
        <v>40.36</v>
      </c>
      <c r="Q66">
        <v>110.06</v>
      </c>
      <c r="R66" s="53">
        <f t="shared" si="6"/>
        <v>109.85756684958972</v>
      </c>
      <c r="S66">
        <v>288.2</v>
      </c>
      <c r="T66">
        <v>30.65</v>
      </c>
      <c r="V66" s="43">
        <v>3300</v>
      </c>
      <c r="W66">
        <v>62.51</v>
      </c>
      <c r="X66">
        <v>171.59</v>
      </c>
      <c r="Y66" s="54">
        <f t="shared" si="7"/>
        <v>171.32188123691731</v>
      </c>
      <c r="Z66">
        <v>340.05</v>
      </c>
      <c r="AA66">
        <v>48.99</v>
      </c>
      <c r="AE66" s="62">
        <f t="shared" si="8"/>
        <v>7531.5593080421349</v>
      </c>
      <c r="AF66" s="64">
        <v>3300</v>
      </c>
      <c r="AG66" s="60">
        <f>($D66)*'Task2A)values_PHI_dependent'!$T$2</f>
        <v>1288.7308828818013</v>
      </c>
      <c r="AH66" s="6">
        <f>$K66*'Task2A)values_PHI_dependent'!$V$2</f>
        <v>4872.2533752649952</v>
      </c>
      <c r="AI66" s="6">
        <f>$R66*'Task2A)values_PHI_dependent'!$U$2</f>
        <v>0</v>
      </c>
      <c r="AJ66" s="61">
        <f>($Y66)*'Task2A)values_PHI_dependent'!$S$2</f>
        <v>1370.5750498953385</v>
      </c>
      <c r="AM66" s="62">
        <f t="shared" si="1"/>
        <v>7518.6984445705621</v>
      </c>
      <c r="AN66" s="64">
        <v>3300</v>
      </c>
      <c r="AO66" s="60">
        <f>($D66)*'Task2A)values_PHI_dependent'!$P$9</f>
        <v>1275.8435740529833</v>
      </c>
      <c r="AP66" s="6">
        <f>$K66*'Task2A)values_PHI_dependent'!$R$9</f>
        <v>4872.2533752649952</v>
      </c>
      <c r="AQ66" s="6">
        <f>$R66*'Task2A)values_PHI_dependent'!$Q$9</f>
        <v>13.732195856198715</v>
      </c>
      <c r="AR66" s="61">
        <f>($Y66)*'Task2A)values_PHI_dependent'!$O$9</f>
        <v>1356.869299396385</v>
      </c>
      <c r="AU66" s="62">
        <f t="shared" si="2"/>
        <v>7505.8375810989892</v>
      </c>
      <c r="AV66" s="64">
        <v>3300</v>
      </c>
      <c r="AW66" s="60">
        <f>($D66)*'Task2A)values_PHI_dependent'!$P$10</f>
        <v>1262.9562652241652</v>
      </c>
      <c r="AX66" s="6">
        <f>$K66*'Task2A)values_PHI_dependent'!$R$10</f>
        <v>4872.2533752649952</v>
      </c>
      <c r="AY66" s="6">
        <f>$R66*'Task2A)values_PHI_dependent'!$Q$10</f>
        <v>27.464391712397429</v>
      </c>
      <c r="AZ66" s="61">
        <f>($Y66)*'Task2A)values_PHI_dependent'!$O$10</f>
        <v>1343.1635488974316</v>
      </c>
      <c r="BC66" s="62">
        <f t="shared" si="3"/>
        <v>7492.9767176274172</v>
      </c>
      <c r="BD66" s="64">
        <v>3300</v>
      </c>
      <c r="BE66" s="60">
        <f>($D66)*'Task2A)values_PHI_dependent'!$P$11</f>
        <v>1250.0689563953472</v>
      </c>
      <c r="BF66" s="6">
        <f>$K66*'Task2A)values_PHI_dependent'!$R$10</f>
        <v>4872.2533752649952</v>
      </c>
      <c r="BG66" s="6">
        <f>$R66*'Task2A)values_PHI_dependent'!$Q$11</f>
        <v>41.196587568596144</v>
      </c>
      <c r="BH66" s="61">
        <f>($Y66)*'Task2A)values_PHI_dependent'!$O$11</f>
        <v>1329.4577983984782</v>
      </c>
    </row>
    <row r="67" spans="1:60" x14ac:dyDescent="0.3">
      <c r="A67" s="43">
        <v>3350</v>
      </c>
      <c r="B67">
        <v>56.73</v>
      </c>
      <c r="C67">
        <v>146.25</v>
      </c>
      <c r="D67" s="52">
        <f t="shared" si="4"/>
        <v>146.07005511542093</v>
      </c>
      <c r="E67">
        <v>292.62</v>
      </c>
      <c r="F67">
        <v>38.630000000000003</v>
      </c>
      <c r="H67" s="43">
        <v>3350</v>
      </c>
      <c r="I67">
        <v>37.22</v>
      </c>
      <c r="J67">
        <v>105.72</v>
      </c>
      <c r="K67" s="51">
        <f t="shared" si="5"/>
        <v>105.56304420185596</v>
      </c>
      <c r="L67">
        <v>270.89</v>
      </c>
      <c r="M67">
        <v>28.79</v>
      </c>
      <c r="O67" s="43">
        <v>3350</v>
      </c>
      <c r="P67">
        <v>40.44</v>
      </c>
      <c r="Q67">
        <v>112.08</v>
      </c>
      <c r="R67" s="53">
        <f t="shared" si="6"/>
        <v>111.91621985940873</v>
      </c>
      <c r="S67">
        <v>288.8</v>
      </c>
      <c r="T67">
        <v>30.71</v>
      </c>
      <c r="V67" s="43">
        <v>3350</v>
      </c>
      <c r="W67">
        <v>62.56</v>
      </c>
      <c r="X67">
        <v>174.72</v>
      </c>
      <c r="Y67" s="54">
        <f t="shared" si="7"/>
        <v>174.49833322145835</v>
      </c>
      <c r="Z67">
        <v>340.99</v>
      </c>
      <c r="AA67">
        <v>48.87</v>
      </c>
      <c r="AE67" s="62">
        <f t="shared" si="8"/>
        <v>7672.0802392976857</v>
      </c>
      <c r="AF67" s="64">
        <v>3350</v>
      </c>
      <c r="AG67" s="60">
        <f>($D67)*'Task2A)values_PHI_dependent'!$T$2</f>
        <v>1314.6304960387884</v>
      </c>
      <c r="AH67" s="6">
        <f>$K67*'Task2A)values_PHI_dependent'!$V$2</f>
        <v>4961.4630774872303</v>
      </c>
      <c r="AI67" s="6">
        <f>$R67*'Task2A)values_PHI_dependent'!$U$2</f>
        <v>0</v>
      </c>
      <c r="AJ67" s="61">
        <f>($Y67)*'Task2A)values_PHI_dependent'!$S$2</f>
        <v>1395.9866657716668</v>
      </c>
      <c r="AM67" s="62">
        <f t="shared" ref="AM67:AM70" si="9">AO67+AP67+AQ67+AR67</f>
        <v>7658.9635951620066</v>
      </c>
      <c r="AN67" s="64">
        <v>3350</v>
      </c>
      <c r="AO67" s="60">
        <f>($D67)*'Task2A)values_PHI_dependent'!$P$9</f>
        <v>1301.4841910784005</v>
      </c>
      <c r="AP67" s="6">
        <f>$K67*'Task2A)values_PHI_dependent'!$R$9</f>
        <v>4961.4630774872303</v>
      </c>
      <c r="AQ67" s="6">
        <f>$R67*'Task2A)values_PHI_dependent'!$Q$9</f>
        <v>13.989527482426091</v>
      </c>
      <c r="AR67" s="61">
        <f>($Y67)*'Task2A)values_PHI_dependent'!$O$9</f>
        <v>1382.0267991139501</v>
      </c>
      <c r="AU67" s="62">
        <f t="shared" ref="AU67:AU70" si="10">AW67+AX67+AY67+AZ67</f>
        <v>7645.8469510263285</v>
      </c>
      <c r="AV67" s="64">
        <v>3350</v>
      </c>
      <c r="AW67" s="60">
        <f>($D67)*'Task2A)values_PHI_dependent'!$P$10</f>
        <v>1288.3378861180126</v>
      </c>
      <c r="AX67" s="6">
        <f>$K67*'Task2A)values_PHI_dependent'!$R$10</f>
        <v>4961.4630774872303</v>
      </c>
      <c r="AY67" s="6">
        <f>$R67*'Task2A)values_PHI_dependent'!$Q$10</f>
        <v>27.979054964852182</v>
      </c>
      <c r="AZ67" s="61">
        <f>($Y67)*'Task2A)values_PHI_dependent'!$O$10</f>
        <v>1368.0669324562334</v>
      </c>
      <c r="BC67" s="62">
        <f t="shared" ref="BC67:BC70" si="11">BE67+BF67+BG67+BH67</f>
        <v>7632.7303068906494</v>
      </c>
      <c r="BD67" s="64">
        <v>3350</v>
      </c>
      <c r="BE67" s="60">
        <f>($D67)*'Task2A)values_PHI_dependent'!$P$11</f>
        <v>1275.1915811576248</v>
      </c>
      <c r="BF67" s="6">
        <f>$K67*'Task2A)values_PHI_dependent'!$R$10</f>
        <v>4961.4630774872303</v>
      </c>
      <c r="BG67" s="6">
        <f>$R67*'Task2A)values_PHI_dependent'!$Q$11</f>
        <v>41.968582447278273</v>
      </c>
      <c r="BH67" s="61">
        <f>($Y67)*'Task2A)values_PHI_dependent'!$O$11</f>
        <v>1354.1070657985167</v>
      </c>
    </row>
    <row r="68" spans="1:60" x14ac:dyDescent="0.3">
      <c r="A68" s="43">
        <v>3400</v>
      </c>
      <c r="B68">
        <v>56.85</v>
      </c>
      <c r="C68">
        <v>149.09</v>
      </c>
      <c r="D68" s="52">
        <f t="shared" ref="D68:D70" si="12">((6.6506859177*10^-19)*(A68^6))-((7.8984343104*10^-15)*(A68^5))+((3.6879849877*10^-11)*(A68^4))-((8.6386228559*10^-8)*(A68^3))+((1.1074017861*10^-4)*(A68^2))-((3.1241611608*10^-2)*(A68))+(3.3006694533)</f>
        <v>149.01221317531201</v>
      </c>
      <c r="E68">
        <v>293.45999999999998</v>
      </c>
      <c r="F68">
        <v>38.58</v>
      </c>
      <c r="H68" s="43">
        <v>3400</v>
      </c>
      <c r="I68">
        <v>37.25</v>
      </c>
      <c r="J68">
        <v>107.58</v>
      </c>
      <c r="K68" s="51">
        <f t="shared" ref="K68:K70" si="13">(((5.9376621671*(10^-19)*(H68^6))-((7.1020711589*10^-15)*(H68^5))+((3.3460896805*10^-11)*(H68^4))-((7.8909601634*10^-8)*(H68^3))+((9.8599769212*10^-5)*(H68^2))-((2.8172899156*10^-2)*(H68))+((3.05378908))))</f>
        <v>107.51291051552275</v>
      </c>
      <c r="L68">
        <v>271.45</v>
      </c>
      <c r="M68">
        <v>28.84</v>
      </c>
      <c r="O68" s="43">
        <v>3400</v>
      </c>
      <c r="P68">
        <v>40.520000000000003</v>
      </c>
      <c r="Q68">
        <v>114.11</v>
      </c>
      <c r="R68" s="53">
        <f t="shared" ref="R68:R70" si="14" xml:space="preserve"> ((6.4958291549*10^-19)*(O68^6)) -((7.8224528491*10^-15)*(O68^5)) + ((3.7120417697*10^-11)*(O68^4)) -((8.798317617*10^-8)*(O68^3)) + ((1.0982327235*10^-4)*(O68^2)) -((3.2606444641*10^-2)*(O68))+(3.5786489003)</f>
        <v>114.03199687348022</v>
      </c>
      <c r="S68">
        <v>289.39999999999998</v>
      </c>
      <c r="T68">
        <v>30.77</v>
      </c>
      <c r="V68" s="43">
        <v>3400</v>
      </c>
      <c r="W68">
        <v>62.61</v>
      </c>
      <c r="X68">
        <v>177.84</v>
      </c>
      <c r="Y68" s="54">
        <f t="shared" ref="Y68:Y70" si="15">((8.5770134353*10^-19)*(V68^6))-((1.0374875556*10^-14)*(V68^5))+((4.9689475953*10^-11)*(V68^4))-((1.2019118054*10^-7)*(V68^3))+((1.5650954893*10^-4)*(V68^2))-((4.8239362033*10^-2)*(V68))+(5.2084519626)</f>
        <v>177.74652520318094</v>
      </c>
      <c r="Z68">
        <v>341.92</v>
      </c>
      <c r="AA68">
        <v>48.76</v>
      </c>
      <c r="AE68" s="62">
        <f t="shared" si="8"/>
        <v>7816.1889144328252</v>
      </c>
      <c r="AF68" s="64">
        <v>3400</v>
      </c>
      <c r="AG68" s="60">
        <f>($D68)*'Task2A)values_PHI_dependent'!$T$2</f>
        <v>1341.109918577808</v>
      </c>
      <c r="AH68" s="6">
        <f>$K68*'Task2A)values_PHI_dependent'!$V$2</f>
        <v>5053.1067942295695</v>
      </c>
      <c r="AI68" s="6">
        <f>$R68*'Task2A)values_PHI_dependent'!$U$2</f>
        <v>0</v>
      </c>
      <c r="AJ68" s="61">
        <f>($Y68)*'Task2A)values_PHI_dependent'!$S$2</f>
        <v>1421.9722016254475</v>
      </c>
      <c r="AM68" s="62">
        <f t="shared" si="9"/>
        <v>7802.8120928399776</v>
      </c>
      <c r="AN68" s="64">
        <v>3400</v>
      </c>
      <c r="AO68" s="60">
        <f>($D68)*'Task2A)values_PHI_dependent'!$P$9</f>
        <v>1327.6988193920301</v>
      </c>
      <c r="AP68" s="6">
        <f>$K68*'Task2A)values_PHI_dependent'!$R$9</f>
        <v>5053.1067942295695</v>
      </c>
      <c r="AQ68" s="6">
        <f>$R68*'Task2A)values_PHI_dependent'!$Q$9</f>
        <v>14.253999609185028</v>
      </c>
      <c r="AR68" s="61">
        <f>($Y68)*'Task2A)values_PHI_dependent'!$O$9</f>
        <v>1407.752479609193</v>
      </c>
      <c r="AU68" s="62">
        <f t="shared" si="10"/>
        <v>7789.43527124713</v>
      </c>
      <c r="AV68" s="64">
        <v>3400</v>
      </c>
      <c r="AW68" s="60">
        <f>($D68)*'Task2A)values_PHI_dependent'!$P$10</f>
        <v>1314.2877202062521</v>
      </c>
      <c r="AX68" s="6">
        <f>$K68*'Task2A)values_PHI_dependent'!$R$10</f>
        <v>5053.1067942295695</v>
      </c>
      <c r="AY68" s="6">
        <f>$R68*'Task2A)values_PHI_dependent'!$Q$10</f>
        <v>28.507999218370056</v>
      </c>
      <c r="AZ68" s="61">
        <f>($Y68)*'Task2A)values_PHI_dependent'!$O$10</f>
        <v>1393.5327575929384</v>
      </c>
      <c r="BC68" s="62">
        <f t="shared" si="11"/>
        <v>7776.0584496542824</v>
      </c>
      <c r="BD68" s="64">
        <v>3400</v>
      </c>
      <c r="BE68" s="60">
        <f>($D68)*'Task2A)values_PHI_dependent'!$P$11</f>
        <v>1300.876621020474</v>
      </c>
      <c r="BF68" s="6">
        <f>$K68*'Task2A)values_PHI_dependent'!$R$10</f>
        <v>5053.1067942295695</v>
      </c>
      <c r="BG68" s="6">
        <f>$R68*'Task2A)values_PHI_dependent'!$Q$11</f>
        <v>42.761998827555082</v>
      </c>
      <c r="BH68" s="61">
        <f>($Y68)*'Task2A)values_PHI_dependent'!$O$11</f>
        <v>1379.3130355766841</v>
      </c>
    </row>
    <row r="69" spans="1:60" x14ac:dyDescent="0.3">
      <c r="A69" s="43">
        <v>3450</v>
      </c>
      <c r="B69">
        <v>56.96</v>
      </c>
      <c r="C69">
        <v>151.94</v>
      </c>
      <c r="D69" s="52">
        <f t="shared" si="12"/>
        <v>152.03619070246461</v>
      </c>
      <c r="E69">
        <v>294.29000000000002</v>
      </c>
      <c r="F69">
        <v>38.53</v>
      </c>
      <c r="H69" s="43">
        <v>3450</v>
      </c>
      <c r="I69">
        <v>37.270000000000003</v>
      </c>
      <c r="J69">
        <v>109.45</v>
      </c>
      <c r="K69" s="51">
        <f t="shared" si="13"/>
        <v>109.52986462263968</v>
      </c>
      <c r="L69">
        <v>271.99</v>
      </c>
      <c r="M69">
        <v>28.9</v>
      </c>
      <c r="O69" s="43">
        <v>3450</v>
      </c>
      <c r="P69">
        <v>40.6</v>
      </c>
      <c r="Q69">
        <v>116.13</v>
      </c>
      <c r="R69" s="53">
        <f t="shared" si="14"/>
        <v>116.22109227031549</v>
      </c>
      <c r="S69">
        <v>290</v>
      </c>
      <c r="T69">
        <v>30.83</v>
      </c>
      <c r="V69" s="43">
        <v>3450</v>
      </c>
      <c r="W69">
        <v>62.66</v>
      </c>
      <c r="X69">
        <v>180.98</v>
      </c>
      <c r="Y69" s="54">
        <f t="shared" si="15"/>
        <v>181.08772396127694</v>
      </c>
      <c r="Z69">
        <v>342.83</v>
      </c>
      <c r="AA69">
        <v>48.65</v>
      </c>
      <c r="AE69" s="62">
        <f t="shared" si="8"/>
        <v>7964.9311452764614</v>
      </c>
      <c r="AF69" s="64">
        <v>3450</v>
      </c>
      <c r="AG69" s="60">
        <f>($D69)*'Task2A)values_PHI_dependent'!$T$2</f>
        <v>1368.3257163221815</v>
      </c>
      <c r="AH69" s="6">
        <f>$K69*'Task2A)values_PHI_dependent'!$V$2</f>
        <v>5147.9036372640649</v>
      </c>
      <c r="AI69" s="6">
        <f>$R69*'Task2A)values_PHI_dependent'!$U$2</f>
        <v>0</v>
      </c>
      <c r="AJ69" s="61">
        <f>($Y69)*'Task2A)values_PHI_dependent'!$S$2</f>
        <v>1448.7017916902155</v>
      </c>
      <c r="AM69" s="62">
        <f t="shared" si="9"/>
        <v>7951.2885067301268</v>
      </c>
      <c r="AN69" s="64">
        <v>3450</v>
      </c>
      <c r="AO69" s="60">
        <f>($D69)*'Task2A)values_PHI_dependent'!$P$9</f>
        <v>1354.6424591589596</v>
      </c>
      <c r="AP69" s="6">
        <f>$K69*'Task2A)values_PHI_dependent'!$R$9</f>
        <v>5147.9036372640649</v>
      </c>
      <c r="AQ69" s="6">
        <f>$R69*'Task2A)values_PHI_dependent'!$Q$9</f>
        <v>14.527636533789437</v>
      </c>
      <c r="AR69" s="61">
        <f>($Y69)*'Task2A)values_PHI_dependent'!$O$9</f>
        <v>1434.2147737733133</v>
      </c>
      <c r="AU69" s="62">
        <f t="shared" si="10"/>
        <v>7937.645868183793</v>
      </c>
      <c r="AV69" s="64">
        <v>3450</v>
      </c>
      <c r="AW69" s="60">
        <f>($D69)*'Task2A)values_PHI_dependent'!$P$10</f>
        <v>1340.9592019957379</v>
      </c>
      <c r="AX69" s="6">
        <f>$K69*'Task2A)values_PHI_dependent'!$R$10</f>
        <v>5147.9036372640649</v>
      </c>
      <c r="AY69" s="6">
        <f>$R69*'Task2A)values_PHI_dependent'!$Q$10</f>
        <v>29.055273067578874</v>
      </c>
      <c r="AZ69" s="61">
        <f>($Y69)*'Task2A)values_PHI_dependent'!$O$10</f>
        <v>1419.7277558564112</v>
      </c>
      <c r="BC69" s="62">
        <f t="shared" si="11"/>
        <v>7924.0032296374584</v>
      </c>
      <c r="BD69" s="64">
        <v>3450</v>
      </c>
      <c r="BE69" s="60">
        <f>($D69)*'Task2A)values_PHI_dependent'!$P$11</f>
        <v>1327.2759448325162</v>
      </c>
      <c r="BF69" s="6">
        <f>$K69*'Task2A)values_PHI_dependent'!$R$10</f>
        <v>5147.9036372640649</v>
      </c>
      <c r="BG69" s="6">
        <f>$R69*'Task2A)values_PHI_dependent'!$Q$11</f>
        <v>43.582909601368314</v>
      </c>
      <c r="BH69" s="61">
        <f>($Y69)*'Task2A)values_PHI_dependent'!$O$11</f>
        <v>1405.240737939509</v>
      </c>
    </row>
    <row r="70" spans="1:60" x14ac:dyDescent="0.3">
      <c r="A70" s="43">
        <v>3500</v>
      </c>
      <c r="B70">
        <v>57.07</v>
      </c>
      <c r="C70">
        <v>154.79</v>
      </c>
      <c r="D70" s="52">
        <f t="shared" si="12"/>
        <v>155.1620745505364</v>
      </c>
      <c r="E70">
        <v>295.11</v>
      </c>
      <c r="F70">
        <v>38.49</v>
      </c>
      <c r="H70" s="43">
        <v>3500</v>
      </c>
      <c r="I70">
        <v>37.299999999999997</v>
      </c>
      <c r="J70">
        <v>111.31</v>
      </c>
      <c r="K70" s="51">
        <f t="shared" si="13"/>
        <v>111.63156059934643</v>
      </c>
      <c r="L70">
        <v>272.52999999999997</v>
      </c>
      <c r="M70">
        <v>28.95</v>
      </c>
      <c r="O70" s="43">
        <v>3500</v>
      </c>
      <c r="P70">
        <v>40.68</v>
      </c>
      <c r="Q70">
        <v>118.17</v>
      </c>
      <c r="R70" s="53">
        <f t="shared" si="14"/>
        <v>118.50221810591856</v>
      </c>
      <c r="S70">
        <v>290.58</v>
      </c>
      <c r="T70">
        <v>30.89</v>
      </c>
      <c r="V70" s="43">
        <v>3500</v>
      </c>
      <c r="W70">
        <v>62.72</v>
      </c>
      <c r="X70">
        <v>184.11</v>
      </c>
      <c r="Y70" s="54">
        <f t="shared" si="15"/>
        <v>184.54650418380206</v>
      </c>
      <c r="Z70">
        <v>343.73</v>
      </c>
      <c r="AA70">
        <v>48.54</v>
      </c>
      <c r="AE70" s="62">
        <f t="shared" si="8"/>
        <v>8119.5140525945262</v>
      </c>
      <c r="AF70" s="66">
        <v>3500</v>
      </c>
      <c r="AG70" s="60">
        <f>($D70)*'Task2A)values_PHI_dependent'!$T$2</f>
        <v>1396.4586709548275</v>
      </c>
      <c r="AH70" s="6">
        <f>$K70*'Task2A)values_PHI_dependent'!$V$2</f>
        <v>5246.683348169282</v>
      </c>
      <c r="AI70" s="6">
        <f>$R70*'Task2A)values_PHI_dependent'!$U$2</f>
        <v>0</v>
      </c>
      <c r="AJ70" s="61">
        <f>($Y70)*'Task2A)values_PHI_dependent'!$S$2</f>
        <v>1476.3720334704165</v>
      </c>
      <c r="AM70" s="62">
        <f t="shared" si="9"/>
        <v>8105.5985228135123</v>
      </c>
      <c r="AN70" s="66">
        <v>3500</v>
      </c>
      <c r="AO70" s="60">
        <f>($D70)*'Task2A)values_PHI_dependent'!$P$9</f>
        <v>1382.4940842452793</v>
      </c>
      <c r="AP70" s="6">
        <f>$K70*'Task2A)values_PHI_dependent'!$R$9</f>
        <v>5246.683348169282</v>
      </c>
      <c r="AQ70" s="6">
        <f>$R70*'Task2A)values_PHI_dependent'!$Q$9</f>
        <v>14.81277726323982</v>
      </c>
      <c r="AR70" s="61">
        <f>($Y70)*'Task2A)values_PHI_dependent'!$O$9</f>
        <v>1461.6083131357123</v>
      </c>
      <c r="AU70" s="62">
        <f t="shared" si="10"/>
        <v>8091.6829930325002</v>
      </c>
      <c r="AV70" s="66">
        <v>3500</v>
      </c>
      <c r="AW70" s="60">
        <f>($D70)*'Task2A)values_PHI_dependent'!$P$10</f>
        <v>1368.529497535731</v>
      </c>
      <c r="AX70" s="6">
        <f>$K70*'Task2A)values_PHI_dependent'!$R$10</f>
        <v>5246.683348169282</v>
      </c>
      <c r="AY70" s="6">
        <f>$R70*'Task2A)values_PHI_dependent'!$Q$10</f>
        <v>29.62555452647964</v>
      </c>
      <c r="AZ70" s="61">
        <f>($Y70)*'Task2A)values_PHI_dependent'!$O$10</f>
        <v>1446.844592801008</v>
      </c>
      <c r="BC70" s="62">
        <f t="shared" si="11"/>
        <v>8077.7674632514882</v>
      </c>
      <c r="BD70" s="66">
        <v>3500</v>
      </c>
      <c r="BE70" s="60">
        <f>($D70)*'Task2A)values_PHI_dependent'!$P$11</f>
        <v>1354.5649108261828</v>
      </c>
      <c r="BF70" s="6">
        <f>$K70*'Task2A)values_PHI_dependent'!$R$10</f>
        <v>5246.683348169282</v>
      </c>
      <c r="BG70" s="6">
        <f>$R70*'Task2A)values_PHI_dependent'!$Q$11</f>
        <v>44.438331789719456</v>
      </c>
      <c r="BH70" s="61">
        <f>($Y70)*'Task2A)values_PHI_dependent'!$O$11</f>
        <v>1432.0808724663038</v>
      </c>
    </row>
    <row r="88" spans="1:26" x14ac:dyDescent="0.3">
      <c r="J88" s="47" t="s">
        <v>116</v>
      </c>
      <c r="K88" s="47"/>
    </row>
    <row r="90" spans="1:26" x14ac:dyDescent="0.3">
      <c r="B90" s="226"/>
      <c r="C90" s="226"/>
      <c r="D90" s="226"/>
      <c r="E90" s="48"/>
      <c r="F90" s="48"/>
      <c r="G90" s="48"/>
      <c r="H90" s="48" t="s">
        <v>1</v>
      </c>
      <c r="I90" s="48">
        <f>(((5.9376621671*(10^-19)*($H$91^6))-((7.1020711589*10^-15)*($H$91^5))+((3.3460896805*10^-11)*($H$91^4))-((7.8909601634*10^-8)*($H$91^3))+((9.8599769212*10^-5)*($H$91^2))-((2.8172899156*10^-2)*($H$91))+((3.05378908))))</f>
        <v>55.939364208639915</v>
      </c>
      <c r="J90" s="48"/>
      <c r="K90" s="48"/>
      <c r="L90" s="48"/>
      <c r="M90" s="48"/>
      <c r="N90" s="48"/>
      <c r="O90" s="48"/>
      <c r="P90" s="48"/>
      <c r="Q90" s="48"/>
      <c r="R90" s="47" t="s">
        <v>122</v>
      </c>
      <c r="S90" s="48"/>
      <c r="T90" s="48"/>
      <c r="U90" s="48"/>
      <c r="V90" s="48"/>
      <c r="W90" s="48"/>
    </row>
    <row r="91" spans="1:26" x14ac:dyDescent="0.3">
      <c r="H91">
        <v>2000</v>
      </c>
      <c r="I91" t="s">
        <v>117</v>
      </c>
    </row>
    <row r="92" spans="1:26" x14ac:dyDescent="0.3">
      <c r="A92" t="s">
        <v>121</v>
      </c>
      <c r="B92" s="226"/>
      <c r="C92" s="226"/>
      <c r="D92" s="226"/>
    </row>
    <row r="93" spans="1:26" x14ac:dyDescent="0.3">
      <c r="B93" s="48" t="s">
        <v>120</v>
      </c>
      <c r="C93" s="48"/>
      <c r="D93" s="48"/>
      <c r="E93" s="48"/>
    </row>
    <row r="95" spans="1:26" x14ac:dyDescent="0.3"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49"/>
      <c r="Y95" s="49"/>
      <c r="Z95" s="49"/>
    </row>
  </sheetData>
  <mergeCells count="10">
    <mergeCell ref="B90:D90"/>
    <mergeCell ref="B92:D92"/>
    <mergeCell ref="A1:F1"/>
    <mergeCell ref="H1:M1"/>
    <mergeCell ref="O1:T1"/>
    <mergeCell ref="AF1:AJ1"/>
    <mergeCell ref="AN1:AR1"/>
    <mergeCell ref="AV1:AZ1"/>
    <mergeCell ref="BD1:BH1"/>
    <mergeCell ref="V1:AA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28A98-270B-4BD1-9A09-5126DB7953D1}">
  <dimension ref="A2:R33"/>
  <sheetViews>
    <sheetView topLeftCell="A16" zoomScale="98" zoomScaleNormal="98" workbookViewId="0">
      <selection activeCell="K21" sqref="K21"/>
    </sheetView>
  </sheetViews>
  <sheetFormatPr defaultRowHeight="14.4" x14ac:dyDescent="0.3"/>
  <cols>
    <col min="3" max="3" width="11.6640625" customWidth="1"/>
    <col min="4" max="4" width="12.109375" customWidth="1"/>
    <col min="5" max="5" width="9.5546875" customWidth="1"/>
    <col min="7" max="7" width="12" bestFit="1" customWidth="1"/>
    <col min="9" max="9" width="12" bestFit="1" customWidth="1"/>
    <col min="11" max="11" width="16.5546875" customWidth="1"/>
    <col min="12" max="12" width="14.6640625" customWidth="1"/>
    <col min="13" max="13" width="14.5546875" customWidth="1"/>
  </cols>
  <sheetData>
    <row r="2" spans="3:18" x14ac:dyDescent="0.3">
      <c r="C2" s="227"/>
      <c r="D2" s="227"/>
      <c r="E2" s="227"/>
      <c r="F2" s="227"/>
    </row>
    <row r="7" spans="3:18" x14ac:dyDescent="0.3">
      <c r="H7" s="173" t="s">
        <v>93</v>
      </c>
      <c r="I7" s="174"/>
      <c r="J7" s="3"/>
      <c r="K7" s="3"/>
      <c r="L7" s="3"/>
      <c r="M7" s="4"/>
    </row>
    <row r="8" spans="3:18" x14ac:dyDescent="0.3">
      <c r="H8" s="172" t="s">
        <v>95</v>
      </c>
      <c r="I8" s="171"/>
      <c r="J8" s="171"/>
      <c r="K8" s="171"/>
      <c r="L8" s="171"/>
      <c r="M8" s="176"/>
    </row>
    <row r="9" spans="3:18" x14ac:dyDescent="0.3">
      <c r="H9" s="5"/>
      <c r="I9" s="6"/>
      <c r="J9" s="6"/>
      <c r="K9" s="6"/>
      <c r="L9" s="6"/>
      <c r="M9" s="7"/>
    </row>
    <row r="10" spans="3:18" x14ac:dyDescent="0.3">
      <c r="H10" s="11"/>
      <c r="I10" s="12"/>
      <c r="J10" s="12"/>
      <c r="K10" s="12"/>
      <c r="L10" s="12"/>
      <c r="M10" s="13"/>
    </row>
    <row r="11" spans="3:18" x14ac:dyDescent="0.3">
      <c r="H11" s="45" t="s">
        <v>94</v>
      </c>
      <c r="I11" s="46" t="s">
        <v>52</v>
      </c>
      <c r="J11" s="3"/>
      <c r="K11" s="3"/>
      <c r="L11" s="3" t="s">
        <v>16</v>
      </c>
      <c r="M11" s="4">
        <v>12.5</v>
      </c>
      <c r="N11" s="40"/>
      <c r="O11" s="40"/>
      <c r="P11" s="40"/>
      <c r="Q11" s="40"/>
      <c r="R11" s="40"/>
    </row>
    <row r="12" spans="3:18" x14ac:dyDescent="0.3">
      <c r="H12" s="5"/>
      <c r="I12" s="30"/>
      <c r="J12" s="6"/>
      <c r="K12" s="6"/>
      <c r="L12" s="6"/>
      <c r="M12" s="7"/>
    </row>
    <row r="13" spans="3:18" x14ac:dyDescent="0.3">
      <c r="H13" s="5" t="s">
        <v>6</v>
      </c>
      <c r="I13" s="6">
        <f>8*$H$18</f>
        <v>8</v>
      </c>
      <c r="J13" s="6"/>
      <c r="K13" s="6"/>
      <c r="L13" s="6" t="s">
        <v>17</v>
      </c>
      <c r="M13" s="7">
        <f>$I$13</f>
        <v>8</v>
      </c>
    </row>
    <row r="14" spans="3:18" x14ac:dyDescent="0.3">
      <c r="H14" s="5" t="s">
        <v>7</v>
      </c>
      <c r="I14" s="6">
        <f>18*$H$18</f>
        <v>18</v>
      </c>
      <c r="J14" s="6"/>
      <c r="K14" s="6"/>
      <c r="L14" s="6" t="s">
        <v>18</v>
      </c>
      <c r="M14" s="7">
        <f>$I$14/2</f>
        <v>9</v>
      </c>
    </row>
    <row r="15" spans="3:18" x14ac:dyDescent="0.3">
      <c r="H15" s="5" t="s">
        <v>34</v>
      </c>
      <c r="I15" s="6">
        <f>2*12.5</f>
        <v>25</v>
      </c>
      <c r="J15" s="6"/>
      <c r="K15" s="6"/>
      <c r="L15" s="6" t="s">
        <v>97</v>
      </c>
      <c r="M15" s="7">
        <f>($I$15-(2*$M$13)-$M$14)/2</f>
        <v>0</v>
      </c>
    </row>
    <row r="16" spans="3:18" x14ac:dyDescent="0.3">
      <c r="H16" s="11"/>
      <c r="I16" s="12"/>
      <c r="J16" s="12"/>
      <c r="K16" s="12"/>
      <c r="L16" s="12" t="s">
        <v>98</v>
      </c>
      <c r="M16" s="13">
        <f>12.5*3.76</f>
        <v>47</v>
      </c>
    </row>
    <row r="17" spans="1:16" x14ac:dyDescent="0.3">
      <c r="H17" s="37" t="s">
        <v>96</v>
      </c>
      <c r="I17" s="6"/>
      <c r="J17" s="7"/>
    </row>
    <row r="18" spans="1:16" x14ac:dyDescent="0.3">
      <c r="G18" s="42" t="s">
        <v>100</v>
      </c>
      <c r="H18" s="41">
        <v>1</v>
      </c>
      <c r="I18" s="12">
        <f>($M$15*'Task2A)values_PHI_dependent'!$D$18)/('Task2A)values_PHI_dependent'!$D$5*10^-6)</f>
        <v>0</v>
      </c>
      <c r="J18" s="13">
        <f>($M$16*'Task2A)values_PHI_dependent'!$D$18)/('Task2A)values_PHI_dependent'!$D$5*10^-6)</f>
        <v>0.12756303223597212</v>
      </c>
      <c r="N18" s="5"/>
      <c r="O18" s="171" t="s">
        <v>58</v>
      </c>
      <c r="P18" s="171"/>
    </row>
    <row r="19" spans="1:16" x14ac:dyDescent="0.3">
      <c r="N19" s="5"/>
      <c r="O19" s="171" t="s">
        <v>77</v>
      </c>
      <c r="P19" s="171"/>
    </row>
    <row r="20" spans="1:16" x14ac:dyDescent="0.3">
      <c r="G20" s="39"/>
      <c r="I20" t="s">
        <v>99</v>
      </c>
    </row>
    <row r="21" spans="1:16" x14ac:dyDescent="0.3">
      <c r="G21" t="s">
        <v>91</v>
      </c>
      <c r="H21" s="38" t="s">
        <v>96</v>
      </c>
      <c r="K21" t="s">
        <v>127</v>
      </c>
    </row>
    <row r="22" spans="1:16" x14ac:dyDescent="0.3">
      <c r="G22">
        <f>'Task2A)values_PHI_dependent'!$D$16/(H22+$M$11*(1+3.76))</f>
        <v>1.0856428275401881E-7</v>
      </c>
      <c r="H22">
        <v>1</v>
      </c>
      <c r="I22">
        <f>($M$15*G22)/('Task2A)values_PHI_dependent'!$D$5*10^-6)</f>
        <v>0</v>
      </c>
      <c r="J22">
        <f>($M$16*G22)/('Task2A)values_PHI_dependent'!$D$5*10^-6)</f>
        <v>0.12756303223597212</v>
      </c>
    </row>
    <row r="23" spans="1:16" x14ac:dyDescent="0.3">
      <c r="G23">
        <f>'Task2A)values_PHI_dependent'!$D$16/(H23+$M$11*(1+3.76))</f>
        <v>1.0858223023008991E-7</v>
      </c>
      <c r="H23">
        <v>0.99</v>
      </c>
      <c r="I23">
        <f>($M$15*G23)/('Task2A)values_PHI_dependent'!$D$5*10^-6)</f>
        <v>0</v>
      </c>
      <c r="J23">
        <f>($M$16*G23)/('Task2A)values_PHI_dependent'!$D$5*10^-6)</f>
        <v>0.12758412052035564</v>
      </c>
    </row>
    <row r="24" spans="1:16" x14ac:dyDescent="0.3">
      <c r="G24">
        <f>'Task2A)values_PHI_dependent'!$D$16/(H24+$M$11*(1+3.76))</f>
        <v>1.0860018364117293E-7</v>
      </c>
      <c r="H24">
        <v>0.98</v>
      </c>
      <c r="I24">
        <f>($M$15*G24)/('Task2A)values_PHI_dependent'!$D$5*10^-6)</f>
        <v>0</v>
      </c>
      <c r="J24">
        <f>($M$16*G24)/('Task2A)values_PHI_dependent'!$D$5*10^-6)</f>
        <v>0.12760521577837822</v>
      </c>
    </row>
    <row r="25" spans="1:16" x14ac:dyDescent="0.3">
      <c r="G25">
        <f>'Task2A)values_PHI_dependent'!$D$16/(H25+$M$11*(1+3.76))</f>
        <v>1.0861814299021231E-7</v>
      </c>
      <c r="H25">
        <v>0.97</v>
      </c>
      <c r="I25">
        <f>($M$15*G25)/('Task2A)values_PHI_dependent'!$D$5*10^-6)</f>
        <v>0</v>
      </c>
      <c r="J25">
        <f>($M$16*G25)/('Task2A)values_PHI_dependent'!$D$5*10^-6)</f>
        <v>0.12762631801349947</v>
      </c>
    </row>
    <row r="26" spans="1:16" x14ac:dyDescent="0.3">
      <c r="A26" s="173" t="s">
        <v>50</v>
      </c>
      <c r="B26" s="174"/>
      <c r="C26" s="174"/>
      <c r="D26" s="4"/>
      <c r="G26">
        <f>'Task2A)values_PHI_dependent'!$D$16/(H26+$M$11*(1+3.76))</f>
        <v>1.0863610828015446E-7</v>
      </c>
      <c r="H26">
        <v>0.96</v>
      </c>
      <c r="I26">
        <f>($M$15*G26)/('Task2A)values_PHI_dependent'!$D$5*10^-6)</f>
        <v>0</v>
      </c>
      <c r="J26">
        <f>($M$16*G26)/('Task2A)values_PHI_dependent'!$D$5*10^-6)</f>
        <v>0.12764742722918151</v>
      </c>
    </row>
    <row r="27" spans="1:16" x14ac:dyDescent="0.3">
      <c r="A27" s="5"/>
      <c r="B27" s="6"/>
      <c r="C27" s="6"/>
      <c r="D27" s="7"/>
      <c r="G27">
        <f>'Task2A)values_PHI_dependent'!$D$16/(H27+$M$11*(1+3.76))</f>
        <v>1.0865407951394769E-7</v>
      </c>
      <c r="H27">
        <v>0.95</v>
      </c>
      <c r="I27">
        <f>($M$15*G27)/('Task2A)values_PHI_dependent'!$D$5*10^-6)</f>
        <v>0</v>
      </c>
      <c r="J27">
        <f>($M$16*G27)/('Task2A)values_PHI_dependent'!$D$5*10^-6)</f>
        <v>0.12766854342888853</v>
      </c>
    </row>
    <row r="28" spans="1:16" x14ac:dyDescent="0.3">
      <c r="A28" s="5"/>
      <c r="B28" s="6" t="s">
        <v>47</v>
      </c>
      <c r="C28" s="6">
        <v>-393.5</v>
      </c>
      <c r="D28" s="7" t="s">
        <v>48</v>
      </c>
      <c r="G28">
        <f>'Task2A)values_PHI_dependent'!$D$16/(H28+$M$11*(1+3.76))</f>
        <v>1.0867205669454233E-7</v>
      </c>
      <c r="H28">
        <v>0.94</v>
      </c>
      <c r="I28">
        <f>($M$15*G28)/('Task2A)values_PHI_dependent'!$D$5*10^-6)</f>
        <v>0</v>
      </c>
      <c r="J28">
        <f>($M$16*G28)/('Task2A)values_PHI_dependent'!$D$5*10^-6)</f>
        <v>0.12768966661608727</v>
      </c>
    </row>
    <row r="29" spans="1:16" x14ac:dyDescent="0.3">
      <c r="A29" s="5"/>
      <c r="B29" s="6" t="s">
        <v>62</v>
      </c>
      <c r="C29" s="6">
        <v>-285.8</v>
      </c>
      <c r="D29" s="7" t="s">
        <v>48</v>
      </c>
      <c r="G29">
        <f>'Task2A)values_PHI_dependent'!$D$16/(H29+$M$11*(1+3.76))</f>
        <v>1.0869003982489059E-7</v>
      </c>
      <c r="H29">
        <v>0.93</v>
      </c>
      <c r="I29">
        <f>($M$15*G29)/('Task2A)values_PHI_dependent'!$D$5*10^-6)</f>
        <v>0</v>
      </c>
      <c r="J29">
        <f>($M$16*G29)/('Task2A)values_PHI_dependent'!$D$5*10^-6)</f>
        <v>0.12771079679424643</v>
      </c>
    </row>
    <row r="30" spans="1:16" x14ac:dyDescent="0.3">
      <c r="A30" s="5"/>
      <c r="B30" s="6" t="s">
        <v>63</v>
      </c>
      <c r="C30" s="6">
        <v>-241.8</v>
      </c>
      <c r="D30" s="7" t="s">
        <v>48</v>
      </c>
      <c r="G30">
        <f>'Task2A)values_PHI_dependent'!$D$16/(H30+$M$11*(1+3.76))</f>
        <v>1.0870802890794668E-7</v>
      </c>
      <c r="H30">
        <v>0.92</v>
      </c>
      <c r="I30">
        <f>($M$15*G30)/('Task2A)values_PHI_dependent'!$D$5*10^-6)</f>
        <v>0</v>
      </c>
      <c r="J30">
        <f>($M$16*G30)/('Task2A)values_PHI_dependent'!$D$5*10^-6)</f>
        <v>0.12773193396683738</v>
      </c>
    </row>
    <row r="31" spans="1:16" x14ac:dyDescent="0.3">
      <c r="A31" s="5"/>
      <c r="B31" s="6" t="s">
        <v>49</v>
      </c>
      <c r="C31" s="6">
        <v>-259.2</v>
      </c>
      <c r="D31" s="7" t="s">
        <v>48</v>
      </c>
      <c r="G31">
        <f>'Task2A)values_PHI_dependent'!$D$16/(H31+$M$11*(1+3.76))</f>
        <v>1.0872602394666675E-7</v>
      </c>
      <c r="H31">
        <v>0.91</v>
      </c>
      <c r="I31">
        <f>($M$15*G31)/('Task2A)values_PHI_dependent'!$D$5*10^-6)</f>
        <v>0</v>
      </c>
      <c r="J31">
        <f>($M$16*G31)/('Task2A)values_PHI_dependent'!$D$5*10^-6)</f>
        <v>0.12775307813733344</v>
      </c>
    </row>
    <row r="32" spans="1:16" x14ac:dyDescent="0.3">
      <c r="A32" s="5"/>
      <c r="B32" s="12" t="s">
        <v>47</v>
      </c>
      <c r="C32" s="12">
        <v>-201.5</v>
      </c>
      <c r="D32" s="13" t="s">
        <v>48</v>
      </c>
      <c r="G32">
        <f>'Task2A)values_PHI_dependent'!$D$16/(H32+$M$11*(1+3.76))</f>
        <v>1.0874402494400892E-7</v>
      </c>
      <c r="H32">
        <v>0.9</v>
      </c>
      <c r="I32">
        <f>($M$15*G32)/('Task2A)values_PHI_dependent'!$D$5*10^-6)</f>
        <v>0</v>
      </c>
      <c r="J32">
        <f>($M$16*G32)/('Task2A)values_PHI_dependent'!$D$5*10^-6)</f>
        <v>0.12777422930921048</v>
      </c>
    </row>
    <row r="33" spans="7:10" x14ac:dyDescent="0.3">
      <c r="G33">
        <f>'Task2A)values_PHI_dependent'!$D$16/(H33+$M$11*(1+3.76))</f>
        <v>1.0883411941372226E-7</v>
      </c>
      <c r="H33">
        <v>0.85</v>
      </c>
      <c r="I33">
        <f>($M$15*G33)/('Task2A)values_PHI_dependent'!$D$5*10^-6)</f>
        <v>0</v>
      </c>
      <c r="J33">
        <f>($M$16*G33)/('Task2A)values_PHI_dependent'!$D$5*10^-6)</f>
        <v>0.12788009031112366</v>
      </c>
    </row>
  </sheetData>
  <mergeCells count="6">
    <mergeCell ref="A26:C26"/>
    <mergeCell ref="C2:F2"/>
    <mergeCell ref="H7:I7"/>
    <mergeCell ref="O18:P18"/>
    <mergeCell ref="O19:P19"/>
    <mergeCell ref="H8:M8"/>
  </mergeCells>
  <dataValidations disablePrompts="1" count="1">
    <dataValidation type="list" allowBlank="1" showInputMessage="1" showErrorMessage="1" sqref="H18" xr:uid="{608D26CB-8A5A-4BB0-8A27-D11BC051F372}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Task1</vt:lpstr>
      <vt:lpstr>Task2A)values_PHI_dependent</vt:lpstr>
      <vt:lpstr>EGR EFFECT</vt:lpstr>
      <vt:lpstr>Ent_tables</vt:lpstr>
      <vt:lpstr>draft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 </cp:lastModifiedBy>
  <dcterms:created xsi:type="dcterms:W3CDTF">2019-11-19T16:46:41Z</dcterms:created>
  <dcterms:modified xsi:type="dcterms:W3CDTF">2020-01-05T19:05:02Z</dcterms:modified>
</cp:coreProperties>
</file>