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IntegratedProjectACBA60162526_GRP-Group1/Shared Documents/Tawe Construction/"/>
    </mc:Choice>
  </mc:AlternateContent>
  <xr:revisionPtr revIDLastSave="1138" documentId="13_ncr:1_{C7395479-FD2D-4966-9E6D-7BEAC9A5DE88}" xr6:coauthVersionLast="47" xr6:coauthVersionMax="47" xr10:uidLastSave="{B4DEFDED-EE76-4E0B-95C3-980F45EE0894}"/>
  <bookViews>
    <workbookView xWindow="-108" yWindow="-108" windowWidth="23256" windowHeight="12456" activeTab="2" xr2:uid="{977C85A3-CFE0-4262-B389-C0424CC04A6A}"/>
  </bookViews>
  <sheets>
    <sheet name="Taw Construction - GIFA" sheetId="1" r:id="rId1"/>
    <sheet name="Tender Cover" sheetId="4" r:id="rId2"/>
    <sheet name="Taw Construction Cost Breakdown" sheetId="3" r:id="rId3"/>
  </sheets>
  <externalReferences>
    <externalReference r:id="rId4"/>
  </externalReferences>
  <definedNames>
    <definedName name="_xlnm._FilterDatabase" localSheetId="2" hidden="1">'Taw Construction Cost Breakdown'!$A$32:$K$95</definedName>
    <definedName name="Acoustic">#REF!</definedName>
    <definedName name="Architrave">#REF!</definedName>
    <definedName name="Beadfix">#REF!</definedName>
    <definedName name="BeadType">#REF!</definedName>
    <definedName name="Bill021Page1">#REF!</definedName>
    <definedName name="Bill021Page2">#REF!</definedName>
    <definedName name="Bill021Page3">#REF!</definedName>
    <definedName name="Bill021Page4">#REF!</definedName>
    <definedName name="Bill021Page5">#REF!</definedName>
    <definedName name="Bill021Page6">#REF!</definedName>
    <definedName name="Bill021Page7">#REF!</definedName>
    <definedName name="Bill021Page8">#REF!</definedName>
    <definedName name="Bill021Page9">#REF!</definedName>
    <definedName name="Bolts">[1]Validation!$B$27:$B$30</definedName>
    <definedName name="Config">#REF!</definedName>
    <definedName name="Core">[1]Validation!$B$52:$B$88</definedName>
    <definedName name="Customer">#REF!</definedName>
    <definedName name="FaceType">#REF!</definedName>
    <definedName name="FConfig">#REF!</definedName>
    <definedName name="Finish">#REF!</definedName>
    <definedName name="Fire">[1]Validation!$B$91:$B$99</definedName>
    <definedName name="Freb">#REF!</definedName>
    <definedName name="FSEAL">#REF!</definedName>
    <definedName name="Furn">#REF!</definedName>
    <definedName name="Glass">#REF!</definedName>
    <definedName name="Hand">#REF!</definedName>
    <definedName name="Hinge">[1]Validation!$B$38:$B$49</definedName>
    <definedName name="LipConfig">#REF!</definedName>
    <definedName name="Lock">#REF!</definedName>
    <definedName name="Locks">[1]Validation!$B$19:$B$25</definedName>
    <definedName name="MS">#REF!</definedName>
    <definedName name="Opanel">#REF!</definedName>
    <definedName name="_xlnm.Print_Area" localSheetId="0">'Taw Construction - GIFA'!$A$1:$L$72</definedName>
    <definedName name="_xlnm.Print_Area" localSheetId="2">'Taw Construction Cost Breakdown'!$A$1:$K$100</definedName>
    <definedName name="_xlnm.Print_Area" localSheetId="1">'Tender Cover'!$A$1:$I$25</definedName>
    <definedName name="SBDLIP">#REF!</definedName>
    <definedName name="Slight">#REF!</definedName>
    <definedName name="SPORTSLIP">#REF!</definedName>
    <definedName name="Timber">#REF!</definedName>
    <definedName name="Users">#REF!</definedName>
    <definedName name="VP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9" i="1" l="1"/>
  <c r="B16" i="3"/>
  <c r="G40" i="3"/>
  <c r="D66" i="3"/>
  <c r="D65" i="3"/>
  <c r="D64" i="3"/>
  <c r="D55" i="3"/>
  <c r="D54" i="3"/>
  <c r="D67" i="3"/>
  <c r="D61" i="3"/>
  <c r="D60" i="3"/>
  <c r="D59" i="3"/>
  <c r="D58" i="3"/>
  <c r="D62" i="3"/>
  <c r="D88" i="3"/>
  <c r="D87" i="3"/>
  <c r="D86" i="3"/>
  <c r="C81" i="3"/>
  <c r="D81" i="3" s="1"/>
  <c r="E79" i="3"/>
  <c r="B79" i="3" s="1"/>
  <c r="C79" i="3" s="1"/>
  <c r="D79" i="3" s="1"/>
  <c r="D78" i="3"/>
  <c r="E77" i="3"/>
  <c r="B77" i="3" s="1"/>
  <c r="C77" i="3" s="1"/>
  <c r="D77" i="3" s="1"/>
  <c r="E74" i="3"/>
  <c r="B74" i="3" s="1"/>
  <c r="C74" i="3" s="1"/>
  <c r="D74" i="3" s="1"/>
  <c r="B75" i="3"/>
  <c r="C75" i="3" s="1"/>
  <c r="D75" i="3" s="1"/>
  <c r="G68" i="3"/>
  <c r="B68" i="3" s="1"/>
  <c r="C68" i="3" s="1"/>
  <c r="D68" i="3" s="1"/>
  <c r="E52" i="3"/>
  <c r="B52" i="3" s="1"/>
  <c r="C52" i="3" s="1"/>
  <c r="D52" i="3" s="1"/>
  <c r="E50" i="3"/>
  <c r="B50" i="3" s="1"/>
  <c r="C50" i="3" s="1"/>
  <c r="D50" i="3" s="1"/>
  <c r="E46" i="3"/>
  <c r="E45" i="3"/>
  <c r="B45" i="3" s="1"/>
  <c r="C45" i="3" s="1"/>
  <c r="D45" i="3" s="1"/>
  <c r="G46" i="3"/>
  <c r="E47" i="3"/>
  <c r="B47" i="3" s="1"/>
  <c r="C47" i="3" s="1"/>
  <c r="D47" i="3" s="1"/>
  <c r="B54" i="3"/>
  <c r="B55" i="3"/>
  <c r="B58" i="3"/>
  <c r="B59" i="3"/>
  <c r="B60" i="3"/>
  <c r="B61" i="3"/>
  <c r="B62" i="3"/>
  <c r="B64" i="3"/>
  <c r="B65" i="3"/>
  <c r="B66" i="3"/>
  <c r="B67" i="3"/>
  <c r="B73" i="3"/>
  <c r="C73" i="3" s="1"/>
  <c r="D73" i="3" s="1"/>
  <c r="B76" i="3"/>
  <c r="C76" i="3" s="1"/>
  <c r="D76" i="3" s="1"/>
  <c r="B78" i="3"/>
  <c r="B80" i="3"/>
  <c r="B81" i="3"/>
  <c r="B86" i="3"/>
  <c r="B87" i="3"/>
  <c r="B88" i="3"/>
  <c r="B90" i="3"/>
  <c r="B91" i="3"/>
  <c r="B92" i="3"/>
  <c r="E48" i="3"/>
  <c r="B48" i="3" s="1"/>
  <c r="C48" i="3" s="1"/>
  <c r="D48" i="3" s="1"/>
  <c r="B43" i="3"/>
  <c r="C43" i="3" s="1"/>
  <c r="D43" i="3" s="1"/>
  <c r="B42" i="3"/>
  <c r="C42" i="3" s="1"/>
  <c r="D42" i="3" s="1"/>
  <c r="B41" i="3"/>
  <c r="C41" i="3" s="1"/>
  <c r="D41" i="3" s="1"/>
  <c r="E44" i="3"/>
  <c r="B44" i="3" s="1"/>
  <c r="C44" i="3" s="1"/>
  <c r="E40" i="3"/>
  <c r="E38" i="3"/>
  <c r="B38" i="3" s="1"/>
  <c r="C38" i="3" s="1"/>
  <c r="D38" i="3" s="1"/>
  <c r="E39" i="3"/>
  <c r="B39" i="3" s="1"/>
  <c r="C39" i="3" s="1"/>
  <c r="D39" i="3" s="1"/>
  <c r="B37" i="3"/>
  <c r="C37" i="3" s="1"/>
  <c r="G36" i="3"/>
  <c r="E36" i="3"/>
  <c r="E34" i="3"/>
  <c r="B34" i="3" s="1"/>
  <c r="C34" i="3" s="1"/>
  <c r="D34" i="3" s="1"/>
  <c r="K43" i="1"/>
  <c r="G44" i="1"/>
  <c r="C29" i="1"/>
  <c r="C66" i="1"/>
  <c r="C57" i="1"/>
  <c r="C69" i="1" s="1"/>
  <c r="K46" i="1"/>
  <c r="G46" i="1"/>
  <c r="B26" i="3" s="1"/>
  <c r="E35" i="3" s="1"/>
  <c r="B35" i="3" s="1"/>
  <c r="C35" i="3" s="1"/>
  <c r="D35" i="3" s="1"/>
  <c r="C46" i="1"/>
  <c r="B25" i="3" s="1"/>
  <c r="E33" i="3" s="1"/>
  <c r="B33" i="3" s="1"/>
  <c r="C33" i="3" s="1"/>
  <c r="D37" i="3" l="1"/>
  <c r="B36" i="3"/>
  <c r="C36" i="3" s="1"/>
  <c r="B40" i="3"/>
  <c r="C40" i="3" s="1"/>
  <c r="B46" i="3"/>
  <c r="C46" i="3" s="1"/>
  <c r="D44" i="3"/>
  <c r="B27" i="3"/>
  <c r="B28" i="3" s="1"/>
  <c r="E51" i="3" s="1"/>
  <c r="B51" i="3" s="1"/>
  <c r="C51" i="3" s="1"/>
  <c r="D95" i="3"/>
  <c r="B50" i="1"/>
  <c r="D40" i="3" l="1"/>
  <c r="D51" i="3"/>
  <c r="D46" i="3"/>
  <c r="B15" i="3"/>
  <c r="D36" i="3"/>
  <c r="C94" i="3"/>
  <c r="C90" i="3"/>
  <c r="C91" i="3"/>
  <c r="C93" i="3"/>
  <c r="D50" i="1"/>
  <c r="B57" i="1"/>
  <c r="D33" i="3"/>
  <c r="B20" i="3" l="1"/>
  <c r="B19" i="3"/>
  <c r="B18" i="3"/>
  <c r="B21" i="3" s="1"/>
  <c r="D19" i="4"/>
  <c r="C95" i="3"/>
  <c r="B69" i="1"/>
  <c r="D57" i="1"/>
  <c r="D16" i="4" l="1"/>
  <c r="D22" i="4" s="1"/>
  <c r="H88" i="3"/>
  <c r="H80" i="3"/>
  <c r="H62" i="3"/>
  <c r="H66" i="3"/>
  <c r="H77" i="3"/>
  <c r="H67" i="3"/>
  <c r="H78" i="3"/>
  <c r="H52" i="3"/>
  <c r="H44" i="3"/>
  <c r="H63" i="3"/>
  <c r="H41" i="3"/>
  <c r="H68" i="3"/>
  <c r="H87" i="3"/>
  <c r="H61" i="3"/>
  <c r="H33" i="3"/>
  <c r="H54" i="3"/>
  <c r="H64" i="3"/>
  <c r="H58" i="3"/>
  <c r="H59" i="3"/>
  <c r="H42" i="3"/>
  <c r="H86" i="3"/>
  <c r="H43" i="3"/>
  <c r="H79" i="3"/>
  <c r="H55" i="3"/>
  <c r="H65" i="3"/>
  <c r="H60" i="3"/>
  <c r="H74" i="3"/>
  <c r="H35" i="3"/>
  <c r="H48" i="3"/>
  <c r="H81" i="3"/>
  <c r="H50" i="3"/>
  <c r="H37" i="3"/>
  <c r="H38" i="3"/>
  <c r="H76" i="3"/>
  <c r="H47" i="3"/>
  <c r="H34" i="3"/>
  <c r="H39" i="3"/>
  <c r="H45" i="3"/>
  <c r="H75" i="3"/>
  <c r="H73" i="3"/>
  <c r="H36" i="3"/>
  <c r="H40" i="3"/>
  <c r="H51" i="3"/>
  <c r="H46" i="3"/>
  <c r="H91" i="3"/>
  <c r="H90" i="3"/>
  <c r="H93" i="3"/>
  <c r="H94" i="3"/>
</calcChain>
</file>

<file path=xl/sharedStrings.xml><?xml version="1.0" encoding="utf-8"?>
<sst xmlns="http://schemas.openxmlformats.org/spreadsheetml/2006/main" count="431" uniqueCount="234">
  <si>
    <t>Module Name:</t>
  </si>
  <si>
    <t>Integrated Project</t>
  </si>
  <si>
    <t>Module Code:</t>
  </si>
  <si>
    <t>ACBA6016</t>
  </si>
  <si>
    <t>Client:</t>
  </si>
  <si>
    <t>Ace Capital Projects Limited</t>
  </si>
  <si>
    <t>Summary Project Costings</t>
  </si>
  <si>
    <t>Ground Floor</t>
  </si>
  <si>
    <t>First Floor</t>
  </si>
  <si>
    <t>Second Floor</t>
  </si>
  <si>
    <t xml:space="preserve">Room </t>
  </si>
  <si>
    <t>Quantity</t>
  </si>
  <si>
    <t>UOM</t>
  </si>
  <si>
    <t>Testing Chamber</t>
  </si>
  <si>
    <t>m2</t>
  </si>
  <si>
    <t>Stairwell 1</t>
  </si>
  <si>
    <t>Corridor</t>
  </si>
  <si>
    <t>Lift</t>
  </si>
  <si>
    <t>Unisex Toilet Block</t>
  </si>
  <si>
    <t>Workshop 1</t>
  </si>
  <si>
    <t>Computer Lab</t>
  </si>
  <si>
    <t>General Stores</t>
  </si>
  <si>
    <t>Lab Space</t>
  </si>
  <si>
    <t>Teaching Space 1</t>
  </si>
  <si>
    <t>Staff Area</t>
  </si>
  <si>
    <t>Workshop 2</t>
  </si>
  <si>
    <t>Teaching Space 2</t>
  </si>
  <si>
    <t>Reception Area</t>
  </si>
  <si>
    <t>Wash down Facility</t>
  </si>
  <si>
    <t>Teaching Space 3</t>
  </si>
  <si>
    <t>Plant Room</t>
  </si>
  <si>
    <t>Care Taker Room</t>
  </si>
  <si>
    <t>Control Room</t>
  </si>
  <si>
    <t>Stairwell 2</t>
  </si>
  <si>
    <t>Cafe Area</t>
  </si>
  <si>
    <t>Secondary Plant Room</t>
  </si>
  <si>
    <t>Learning Studio</t>
  </si>
  <si>
    <t>Server Room</t>
  </si>
  <si>
    <t>Secondary Systems Room</t>
  </si>
  <si>
    <t>Unisex Toilet Block 2</t>
  </si>
  <si>
    <t>Large HVAC Plant Room</t>
  </si>
  <si>
    <t>Second Floor Control Room</t>
  </si>
  <si>
    <t>Void Entrance</t>
  </si>
  <si>
    <t>Office Space</t>
  </si>
  <si>
    <t>Meeting Room</t>
  </si>
  <si>
    <t>Seating / Communal Area</t>
  </si>
  <si>
    <t>Primary Systems Room</t>
  </si>
  <si>
    <t>First Floor Control Room</t>
  </si>
  <si>
    <t>Primary Plant Room</t>
  </si>
  <si>
    <t>TOTAL GIFA</t>
  </si>
  <si>
    <t>Rate</t>
  </si>
  <si>
    <t>Total</t>
  </si>
  <si>
    <t>GIFA Rate taken from Secondary School (Range between £2,325.00 - £2,925.00)</t>
  </si>
  <si>
    <t>Adjust GIFA for Location</t>
  </si>
  <si>
    <t>Location - Wales</t>
  </si>
  <si>
    <t>Adjust GIFA for Duration / Time</t>
  </si>
  <si>
    <t>GIFA TPI (May 2023)</t>
  </si>
  <si>
    <t>Completion (May 2027)</t>
  </si>
  <si>
    <t xml:space="preserve">Building function: </t>
  </si>
  <si>
    <t>UWTSD university building</t>
  </si>
  <si>
    <t xml:space="preserve">Type of work: </t>
  </si>
  <si>
    <t>New build</t>
  </si>
  <si>
    <t xml:space="preserve">Gross floor area: </t>
  </si>
  <si>
    <t>UWTSD Construction Centre of Excellence</t>
  </si>
  <si>
    <t xml:space="preserve">Location: </t>
  </si>
  <si>
    <t>Swansea SA1</t>
  </si>
  <si>
    <t xml:space="preserve">District: </t>
  </si>
  <si>
    <t>South Wales</t>
  </si>
  <si>
    <t xml:space="preserve">Postcode: </t>
  </si>
  <si>
    <t>SA1 8EW</t>
  </si>
  <si>
    <t xml:space="preserve">Project details: </t>
  </si>
  <si>
    <t>3 Storey university building, comprising of a state of the art testing fascility, teaching space, office space and other accomodating fascilities</t>
  </si>
  <si>
    <t xml:space="preserve">Site conditions: </t>
  </si>
  <si>
    <t>Level surface with no prior developments, no major site restrictions</t>
  </si>
  <si>
    <t xml:space="preserve">Client: </t>
  </si>
  <si>
    <t>ACE Capital</t>
  </si>
  <si>
    <t xml:space="preserve">Tender documentation: </t>
  </si>
  <si>
    <t xml:space="preserve">Contract: </t>
  </si>
  <si>
    <t xml:space="preserve">Cost fluctuations: </t>
  </si>
  <si>
    <t xml:space="preserve">Basis of cost: </t>
  </si>
  <si>
    <t>Contract breakdown</t>
  </si>
  <si>
    <t xml:space="preserve">Measured work: </t>
  </si>
  <si>
    <t xml:space="preserve">Provisional sums: </t>
  </si>
  <si>
    <t xml:space="preserve">Prime cost sums: </t>
  </si>
  <si>
    <t xml:space="preserve">Preliminaries: </t>
  </si>
  <si>
    <t xml:space="preserve">Contractor design fees: </t>
  </si>
  <si>
    <t xml:space="preserve">Contract sum: </t>
  </si>
  <si>
    <t xml:space="preserve">Accommodation and design features: </t>
  </si>
  <si>
    <t xml:space="preserve">Ground floor: </t>
  </si>
  <si>
    <t>First Floor:</t>
  </si>
  <si>
    <t>Second Floor:</t>
  </si>
  <si>
    <t>Elements</t>
  </si>
  <si>
    <t>Element</t>
  </si>
  <si>
    <t>Total cost: 2023</t>
  </si>
  <si>
    <t>Total cost: 2027</t>
  </si>
  <si>
    <t>Cost per m² (2027)</t>
  </si>
  <si>
    <t>Element unit quantity</t>
  </si>
  <si>
    <t>Element Unit</t>
  </si>
  <si>
    <t>Element unit rate - SPONS</t>
  </si>
  <si>
    <t>Percentage</t>
  </si>
  <si>
    <t>Comments</t>
  </si>
  <si>
    <t>SPONS Architects &amp; Price List 2023</t>
  </si>
  <si>
    <t>01 Substructure</t>
  </si>
  <si>
    <t>Rate used as building is a large scale commercial building. (Car showroom)
Building chosen due to being a steel frame structure, incorperating pile caps to take the columns</t>
  </si>
  <si>
    <t>02.01 Structural Steel Frame</t>
  </si>
  <si>
    <t>%</t>
  </si>
  <si>
    <t>02.02 Composite concrete floor on structural metal decking</t>
  </si>
  <si>
    <t>02.03 Proprietary roof covering, insulation, paving slabs; including extra over cost for green roof</t>
  </si>
  <si>
    <t>02.04 Stairs</t>
  </si>
  <si>
    <t>Nr</t>
  </si>
  <si>
    <t>02.05 External Walls - Brickwork</t>
  </si>
  <si>
    <t>02.05a External Walls - Composite Cladding</t>
  </si>
  <si>
    <t>02.06a External Windows</t>
  </si>
  <si>
    <t>Page 159</t>
  </si>
  <si>
    <t>02.06b External Doors - Single Fire Doors</t>
  </si>
  <si>
    <t>nr</t>
  </si>
  <si>
    <t>Composite Alumium Allowed for</t>
  </si>
  <si>
    <t>Page 160</t>
  </si>
  <si>
    <t>02.06c External Doors - Double Fire Doors</t>
  </si>
  <si>
    <t>02.06d External Doors - Revolving Door</t>
  </si>
  <si>
    <t>02.06e External Doors - Roller Shutter</t>
  </si>
  <si>
    <t>Power Operated Fire Shutter (18m Wide x 5m High)</t>
  </si>
  <si>
    <t>02.07 Internal Walls and Partitions</t>
  </si>
  <si>
    <t>102mm Partition Wall consists of 70mm Steel Stud, 1 Layer of 15mm SoundblockPlasterboard either side and Decorating / Paint &amp; Skirting.</t>
  </si>
  <si>
    <t>Page 161</t>
  </si>
  <si>
    <t>02.07a Dry Lining to External Walls</t>
  </si>
  <si>
    <t>Half rate of above for only one face to external walls</t>
  </si>
  <si>
    <t>02.08 Internal Doors: Single Doors</t>
  </si>
  <si>
    <t>FD60 Oak veneered door</t>
  </si>
  <si>
    <t>Page 164</t>
  </si>
  <si>
    <t>02.08 Internal Doors: Double doors</t>
  </si>
  <si>
    <t>02 Superstructure</t>
  </si>
  <si>
    <t>03.01 Wall Finishes</t>
  </si>
  <si>
    <t>Included in 02.07 &amp; 02.07a. Rate includes to Toilet Blocks Only - Hygienic Wall Cladding (Altro Whiterock)</t>
  </si>
  <si>
    <t>03.02 Floor Finishes</t>
  </si>
  <si>
    <t>Vinyl safety flooring</t>
  </si>
  <si>
    <t>03.03 Ceiling Finishes</t>
  </si>
  <si>
    <t>03 Finishes</t>
  </si>
  <si>
    <t>04 Fittings, Furnishings and Equipment</t>
  </si>
  <si>
    <t>05.01 Sanitary Installations</t>
  </si>
  <si>
    <t>05.02 Services Equipment</t>
  </si>
  <si>
    <t>05.03 Disposal Installations</t>
  </si>
  <si>
    <t>05.04 Water Installations</t>
  </si>
  <si>
    <t>05.06 Space Heating and Air Conditioning (Costs include other elements)</t>
  </si>
  <si>
    <t>05.07 Ventilating Systems</t>
  </si>
  <si>
    <t>05.08 Electrical Installations</t>
  </si>
  <si>
    <t>05.09 Fuel Installations</t>
  </si>
  <si>
    <t>05.11 Fire and Lightning Protection</t>
  </si>
  <si>
    <t>05.12 Communications and Security Installations</t>
  </si>
  <si>
    <t>05.13 Special Installations</t>
  </si>
  <si>
    <t>05.14 Builder's Work in Connection with Services (BWIC)</t>
  </si>
  <si>
    <t>05 Services</t>
  </si>
  <si>
    <t>06 Prefabricated Buildings and Building Units</t>
  </si>
  <si>
    <t>07 Work to Existing Building</t>
  </si>
  <si>
    <t xml:space="preserve"> Building Sub-total</t>
  </si>
  <si>
    <t>08.01 Site Preparation Works</t>
  </si>
  <si>
    <t>08.03 Soft Landscaping, Planting and Irrigation Systems</t>
  </si>
  <si>
    <t>08.04 Fencing, Railings and Walls</t>
  </si>
  <si>
    <t>08.05 External Fixtures</t>
  </si>
  <si>
    <t>08.06 External Drainage</t>
  </si>
  <si>
    <t>08.07 External Services (Costs include other elements)</t>
  </si>
  <si>
    <t>08.08 Minor Building Works and Ancillary Buildings</t>
  </si>
  <si>
    <t>08 External Works</t>
  </si>
  <si>
    <t>00.01 Toxic/Hazardous/Contaminated Material Treatment</t>
  </si>
  <si>
    <t>00.02 Major Demolition Works</t>
  </si>
  <si>
    <t>00.03 Temporary Support to Adjacent Structures</t>
  </si>
  <si>
    <t>00.04 Specialist Groundworks</t>
  </si>
  <si>
    <t>00.05 Temporary Diversion Works (Costs included elsewhere)</t>
  </si>
  <si>
    <t>00.06 Extraordinary Site Investigation</t>
  </si>
  <si>
    <t>00 Facilitating Works</t>
  </si>
  <si>
    <t>09 Preliminaries</t>
  </si>
  <si>
    <t>10 Main Contractor's Overheads and Profit</t>
  </si>
  <si>
    <t xml:space="preserve"> Total (less Design Fees)</t>
  </si>
  <si>
    <t>11 Project/Design Team Fees</t>
  </si>
  <si>
    <t xml:space="preserve"> Total Contract sum</t>
  </si>
  <si>
    <t>Credits:</t>
  </si>
  <si>
    <t>Prov Sum</t>
  </si>
  <si>
    <t>BWIC with electrical, mechanical, HVAC</t>
  </si>
  <si>
    <t>Page 176</t>
  </si>
  <si>
    <t xml:space="preserve">Allows for 1 Main Road Access to the Building, 40nr Cycle Bays, 6nr Disabled Car Park Bays, 4nr EV Charging Park Bays and 40nr Standard Car Park Bays. </t>
  </si>
  <si>
    <t>08.02 Roads and Surfacings</t>
  </si>
  <si>
    <t>08.02a Paths and pavings</t>
  </si>
  <si>
    <t>Page 178</t>
  </si>
  <si>
    <t>Allowed for 1.80lm High Timber Fencing to Behind the Building (Opposite side to Car Park and Access to Building)</t>
  </si>
  <si>
    <t>m</t>
  </si>
  <si>
    <t>Tawe Construction</t>
  </si>
  <si>
    <t>TBC</t>
  </si>
  <si>
    <t>Submitted by:</t>
  </si>
  <si>
    <t>Architect:</t>
  </si>
  <si>
    <t>Allowance only for a 3 Bedroom Detatched House within the testing chamber</t>
  </si>
  <si>
    <t/>
  </si>
  <si>
    <t>N/A</t>
  </si>
  <si>
    <t>12 Risk (Clients Contingencies)</t>
  </si>
  <si>
    <t>05.05 Heat Source</t>
  </si>
  <si>
    <t>inc</t>
  </si>
  <si>
    <t>05.10 Lift Installations</t>
  </si>
  <si>
    <t>Page 92</t>
  </si>
  <si>
    <t>Page 90</t>
  </si>
  <si>
    <t>Composite Alumium Allowed for (2100mm x 1500mm Window Size Allowed for) Inflated rate to allow for triple glazed units</t>
  </si>
  <si>
    <t>Integrated ceilings coffered;with steel surfaces</t>
  </si>
  <si>
    <t>Page 169</t>
  </si>
  <si>
    <t xml:space="preserve">Project title: </t>
  </si>
  <si>
    <t>Client Brief (No Acitivity Schedule or Drawings)</t>
  </si>
  <si>
    <t>JCT Design &amp; Build 2016 Version</t>
  </si>
  <si>
    <t>Contractor overhead &amp; profit &amp; Risk allowance</t>
  </si>
  <si>
    <t>Fixed Based on anticipated Start Date 2026</t>
  </si>
  <si>
    <t>Schedule of Rates and Provisional Sum items</t>
  </si>
  <si>
    <t xml:space="preserve">Date: </t>
  </si>
  <si>
    <t>Company :</t>
  </si>
  <si>
    <t xml:space="preserve"> </t>
  </si>
  <si>
    <t>Project :</t>
  </si>
  <si>
    <t>Package:</t>
  </si>
  <si>
    <t>FAO:</t>
  </si>
  <si>
    <t>We have the pleasure of enclosing our tender submission for the the above Project.</t>
  </si>
  <si>
    <t>Our tender has been based on information issued and allowances are deemed as notes below.</t>
  </si>
  <si>
    <t>BoQ</t>
  </si>
  <si>
    <t>Drawings  and spec</t>
  </si>
  <si>
    <t xml:space="preserve">We offer our tender for the sum of </t>
  </si>
  <si>
    <t xml:space="preserve">Based on  </t>
  </si>
  <si>
    <t>ü</t>
  </si>
  <si>
    <t>Per wk</t>
  </si>
  <si>
    <t>Lump sum</t>
  </si>
  <si>
    <t xml:space="preserve">We offer prelims for the rate of </t>
  </si>
  <si>
    <t xml:space="preserve">Based on </t>
  </si>
  <si>
    <t xml:space="preserve">Based on current value and period </t>
  </si>
  <si>
    <t xml:space="preserve">Revised Tender Value </t>
  </si>
  <si>
    <t>rev 001</t>
  </si>
  <si>
    <t>Client Brief</t>
  </si>
  <si>
    <t>Remeasurable</t>
  </si>
  <si>
    <t>Ace Capitals Ltd</t>
  </si>
  <si>
    <t>Complete Project</t>
  </si>
  <si>
    <t>Deborah Hughes</t>
  </si>
  <si>
    <t>d.hughes@uwtsd.ac.uk</t>
  </si>
  <si>
    <t>Page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</si>
</sst>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&quot;£&quot;#,##0.0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4"/>
      <color rgb="FF000000"/>
      <name val="Times New Roman"/>
      <family val="1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Wingdings"/>
      <charset val="2"/>
    </font>
    <font>
      <b/>
      <i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3" xfId="0" applyBorder="1"/>
    <xf numFmtId="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/>
    <xf numFmtId="2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6" xfId="0" applyNumberFormat="1" applyBorder="1" applyAlignment="1">
      <alignment horizontal="center"/>
    </xf>
    <xf numFmtId="0" fontId="7" fillId="0" borderId="0" xfId="0" applyFont="1"/>
    <xf numFmtId="44" fontId="2" fillId="0" borderId="6" xfId="0" applyNumberFormat="1" applyFont="1" applyBorder="1" applyAlignment="1">
      <alignment horizontal="center"/>
    </xf>
    <xf numFmtId="0" fontId="0" fillId="4" borderId="0" xfId="0" applyFill="1"/>
    <xf numFmtId="0" fontId="0" fillId="4" borderId="2" xfId="0" applyFill="1" applyBorder="1"/>
    <xf numFmtId="0" fontId="0" fillId="3" borderId="4" xfId="0" applyFill="1" applyBorder="1" applyAlignment="1">
      <alignment vertical="center"/>
    </xf>
    <xf numFmtId="164" fontId="2" fillId="3" borderId="5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164" fontId="0" fillId="4" borderId="9" xfId="1" applyNumberFormat="1" applyFon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164" fontId="5" fillId="4" borderId="9" xfId="0" applyNumberFormat="1" applyFont="1" applyFill="1" applyBorder="1" applyAlignment="1">
      <alignment horizontal="center" vertical="center"/>
    </xf>
    <xf numFmtId="164" fontId="5" fillId="4" borderId="9" xfId="1" applyNumberFormat="1" applyFont="1" applyFill="1" applyBorder="1" applyAlignment="1">
      <alignment horizontal="center" vertical="center"/>
    </xf>
    <xf numFmtId="44" fontId="0" fillId="0" borderId="0" xfId="0" applyNumberFormat="1"/>
    <xf numFmtId="0" fontId="0" fillId="4" borderId="9" xfId="0" applyFill="1" applyBorder="1" applyAlignment="1">
      <alignment vertical="center" wrapText="1"/>
    </xf>
    <xf numFmtId="0" fontId="0" fillId="0" borderId="6" xfId="0" applyBorder="1"/>
    <xf numFmtId="0" fontId="0" fillId="4" borderId="6" xfId="0" applyFill="1" applyBorder="1" applyAlignment="1">
      <alignment wrapText="1"/>
    </xf>
    <xf numFmtId="0" fontId="0" fillId="4" borderId="6" xfId="0" applyFill="1" applyBorder="1"/>
    <xf numFmtId="0" fontId="2" fillId="0" borderId="7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0" borderId="8" xfId="0" applyFont="1" applyBorder="1"/>
    <xf numFmtId="0" fontId="2" fillId="0" borderId="7" xfId="0" applyFont="1" applyBorder="1"/>
    <xf numFmtId="164" fontId="0" fillId="4" borderId="9" xfId="0" applyNumberFormat="1" applyFill="1" applyBorder="1" applyAlignment="1">
      <alignment horizontal="center" vertical="center" wrapText="1"/>
    </xf>
    <xf numFmtId="2" fontId="0" fillId="4" borderId="9" xfId="0" applyNumberForma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2" fillId="0" borderId="3" xfId="0" applyFont="1" applyBorder="1"/>
    <xf numFmtId="0" fontId="0" fillId="4" borderId="6" xfId="0" quotePrefix="1" applyFill="1" applyBorder="1"/>
    <xf numFmtId="164" fontId="2" fillId="3" borderId="5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wrapText="1"/>
    </xf>
    <xf numFmtId="10" fontId="0" fillId="4" borderId="9" xfId="0" applyNumberFormat="1" applyFill="1" applyBorder="1" applyAlignment="1">
      <alignment horizontal="center" vertical="center"/>
    </xf>
    <xf numFmtId="14" fontId="2" fillId="0" borderId="0" xfId="0" applyNumberFormat="1" applyFont="1" applyAlignment="1">
      <alignment horizontal="left"/>
    </xf>
    <xf numFmtId="44" fontId="0" fillId="2" borderId="0" xfId="1" applyFont="1" applyFill="1" applyAlignment="1">
      <alignment horizontal="center"/>
    </xf>
    <xf numFmtId="44" fontId="0" fillId="0" borderId="0" xfId="1" applyFont="1" applyFill="1" applyAlignment="1">
      <alignment horizontal="center"/>
    </xf>
    <xf numFmtId="49" fontId="10" fillId="0" borderId="0" xfId="2" applyNumberFormat="1" applyFont="1"/>
    <xf numFmtId="0" fontId="9" fillId="0" borderId="0" xfId="2"/>
    <xf numFmtId="0" fontId="2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/>
    </xf>
    <xf numFmtId="0" fontId="5" fillId="0" borderId="0" xfId="0" applyFont="1" applyAlignment="1">
      <alignment horizontal="left"/>
    </xf>
    <xf numFmtId="44" fontId="8" fillId="0" borderId="0" xfId="1" applyFont="1" applyFill="1" applyAlignment="1">
      <alignment horizontal="center"/>
    </xf>
    <xf numFmtId="44" fontId="0" fillId="0" borderId="0" xfId="1" applyFont="1" applyFill="1" applyAlignment="1">
      <alignment horizontal="left"/>
    </xf>
    <xf numFmtId="44" fontId="2" fillId="0" borderId="0" xfId="1" applyFont="1" applyFill="1" applyAlignment="1">
      <alignment horizontal="left"/>
    </xf>
    <xf numFmtId="0" fontId="2" fillId="2" borderId="0" xfId="0" applyFont="1" applyFill="1" applyAlignment="1">
      <alignment horizontal="left"/>
    </xf>
    <xf numFmtId="44" fontId="2" fillId="2" borderId="0" xfId="1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44" fontId="13" fillId="0" borderId="0" xfId="1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 applyAlignment="1">
      <alignment wrapText="1"/>
    </xf>
    <xf numFmtId="164" fontId="6" fillId="0" borderId="0" xfId="0" applyNumberFormat="1" applyFont="1"/>
    <xf numFmtId="0" fontId="2" fillId="0" borderId="1" xfId="0" applyFont="1" applyBorder="1" applyAlignment="1">
      <alignment horizontal="center"/>
    </xf>
    <xf numFmtId="0" fontId="2" fillId="0" borderId="10" xfId="0" applyFont="1" applyBorder="1"/>
    <xf numFmtId="0" fontId="0" fillId="0" borderId="8" xfId="0" applyBorder="1"/>
    <xf numFmtId="0" fontId="0" fillId="0" borderId="0" xfId="0" applyBorder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59690</xdr:colOff>
      <xdr:row>14</xdr:row>
      <xdr:rowOff>135890</xdr:rowOff>
    </xdr:to>
    <xdr:pic>
      <xdr:nvPicPr>
        <xdr:cNvPr id="2" name="Picture 1" descr="A logo on a wall&#10;&#10;AI-generated content may be incorrect.">
          <a:extLst>
            <a:ext uri="{FF2B5EF4-FFF2-40B4-BE49-F238E27FC236}">
              <a16:creationId xmlns:a16="http://schemas.microsoft.com/office/drawing/2014/main" id="{8909D734-CE88-081F-0D9B-52C7B9997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79800" cy="267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925830</xdr:colOff>
      <xdr:row>0</xdr:row>
      <xdr:rowOff>0</xdr:rowOff>
    </xdr:from>
    <xdr:to>
      <xdr:col>8</xdr:col>
      <xdr:colOff>1040130</xdr:colOff>
      <xdr:row>11</xdr:row>
      <xdr:rowOff>95250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D9BDAD4E-424C-D74D-7E6B-84C2855F12BE}"/>
            </a:ext>
            <a:ext uri="{147F2762-F138-4A5C-976F-8EAC2B608ADB}">
              <a16:predDERef xmlns:a16="http://schemas.microsoft.com/office/drawing/2014/main" pred="{4E36FC13-444F-4C85-8C7C-00694193E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3330" y="0"/>
          <a:ext cx="2918460" cy="21983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2226972</xdr:colOff>
      <xdr:row>0</xdr:row>
      <xdr:rowOff>0</xdr:rowOff>
    </xdr:from>
    <xdr:to>
      <xdr:col>10</xdr:col>
      <xdr:colOff>2856003</xdr:colOff>
      <xdr:row>9</xdr:row>
      <xdr:rowOff>59530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70731D-45E0-B51F-DA25-8D187D0F7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46373" y="0"/>
          <a:ext cx="3473116" cy="26256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orburygroup-my.sharepoint.com/Users/LocalUser/Desktop/DS16229%20Rev%20B(BC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ummary Page (Int Only)"/>
      <sheetName val="Customers"/>
      <sheetName val="Project Specific Notes"/>
      <sheetName val="General Notes"/>
      <sheetName val="Product Spec "/>
      <sheetName val="Revision Log"/>
      <sheetName val="Doorset Schedule"/>
      <sheetName val="Screen Schedule"/>
      <sheetName val="Screen Types"/>
      <sheetName val="Glass Quote"/>
      <sheetName val="Joinery Schedule"/>
      <sheetName val="Misc"/>
      <sheetName val="Intumescent Protection"/>
      <sheetName val="UKD Drwgs"/>
      <sheetName val="Drawing Register"/>
      <sheetName val="Order Check List"/>
      <sheetName val="SBD Pricer Rev F"/>
      <sheetName val="Screen Costings"/>
      <sheetName val="Door Pivot"/>
      <sheetName val="Validation"/>
      <sheetName val="Rev Sheet"/>
      <sheetName val="Timber Picking List"/>
      <sheetName val="Door Picking List"/>
      <sheetName val="Cutting Pivot"/>
      <sheetName val="Frame CNC"/>
      <sheetName val="Door CNC"/>
      <sheetName val="Assembly"/>
    </sheetNames>
    <sheetDataSet>
      <sheetData sheetId="0"/>
      <sheetData sheetId="1"/>
      <sheetData sheetId="2">
        <row r="2">
          <cell r="A2" t="str">
            <v>Avon Joinery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B3" t="str">
            <v>Clockwise</v>
          </cell>
        </row>
        <row r="19">
          <cell r="B19" t="str">
            <v>Tubular Latch</v>
          </cell>
        </row>
        <row r="20">
          <cell r="B20" t="str">
            <v>Bathlock</v>
          </cell>
        </row>
        <row r="21">
          <cell r="B21" t="str">
            <v>Cut out lock and keep</v>
          </cell>
        </row>
        <row r="22">
          <cell r="B22" t="str">
            <v>Cut out and fit lock and keep</v>
          </cell>
        </row>
        <row r="23">
          <cell r="B23" t="str">
            <v>Manual Multi-Point</v>
          </cell>
        </row>
        <row r="24">
          <cell r="B24" t="str">
            <v>Automatic Multi-Point</v>
          </cell>
        </row>
        <row r="25">
          <cell r="B25" t="str">
            <v>AV2-E Multi-Point</v>
          </cell>
        </row>
        <row r="27">
          <cell r="B27" t="str">
            <v>Cut out only, top only.</v>
          </cell>
        </row>
        <row r="28">
          <cell r="B28" t="str">
            <v>Cut out only,  top and bottom.</v>
          </cell>
        </row>
        <row r="29">
          <cell r="B29" t="str">
            <v>Cut out and fit , top only.</v>
          </cell>
        </row>
        <row r="30">
          <cell r="B30" t="str">
            <v>Cut out and fit , top and bottom.</v>
          </cell>
        </row>
        <row r="38">
          <cell r="B38" t="str">
            <v>Lift Off Hinges SZP (HL1)</v>
          </cell>
        </row>
        <row r="39">
          <cell r="B39" t="str">
            <v>Lift Off Hinges SZP (TRAD1)</v>
          </cell>
        </row>
        <row r="40">
          <cell r="B40" t="str">
            <v>Lift Off Hinges BZP (HL1)</v>
          </cell>
        </row>
        <row r="41">
          <cell r="B41" t="str">
            <v>Lift Off Hinges BZP (TRAD1)</v>
          </cell>
        </row>
        <row r="42">
          <cell r="B42" t="str">
            <v>Butt Hinges SZP (HL1)</v>
          </cell>
        </row>
        <row r="43">
          <cell r="B43" t="str">
            <v>Butt Hinges SZP (TRAD1)</v>
          </cell>
        </row>
        <row r="44">
          <cell r="B44" t="str">
            <v>20mm Projection Hinges SZP (HL1)</v>
          </cell>
        </row>
        <row r="45">
          <cell r="B45" t="str">
            <v>Butt Hinges SZP (TRAD1)</v>
          </cell>
        </row>
        <row r="46">
          <cell r="B46" t="str">
            <v>40mm Projection Hinges SZP (HL1)</v>
          </cell>
        </row>
        <row r="47">
          <cell r="B47" t="str">
            <v>40mm Projection Hinges SZP (TRAD1)</v>
          </cell>
        </row>
        <row r="48">
          <cell r="B48" t="str">
            <v>H131-400 R&amp;T Pivot Hinges</v>
          </cell>
        </row>
        <row r="49">
          <cell r="B49" t="str">
            <v>DogBolt Lift Off Hinges SZP</v>
          </cell>
        </row>
        <row r="52">
          <cell r="B52" t="str">
            <v>Hollowcore NFR</v>
          </cell>
        </row>
        <row r="53">
          <cell r="B53" t="str">
            <v>Hollow Double Stiled NFR</v>
          </cell>
        </row>
        <row r="54">
          <cell r="B54" t="str">
            <v>Solid NFR</v>
          </cell>
        </row>
        <row r="55">
          <cell r="B55" t="str">
            <v>Framed JW PG30</v>
          </cell>
        </row>
        <row r="56">
          <cell r="B56" t="str">
            <v>Framed PD PG30</v>
          </cell>
        </row>
        <row r="57">
          <cell r="B57" t="str">
            <v>Framed JW Mld30</v>
          </cell>
        </row>
        <row r="58">
          <cell r="B58" t="str">
            <v>Framed PD Mld30</v>
          </cell>
        </row>
        <row r="59">
          <cell r="B59" t="str">
            <v>GDC JW Ven30</v>
          </cell>
        </row>
        <row r="60">
          <cell r="B60" t="str">
            <v>GDC PD Ven30</v>
          </cell>
        </row>
        <row r="61">
          <cell r="B61" t="str">
            <v>Framed VC30</v>
          </cell>
        </row>
        <row r="62">
          <cell r="B62" t="str">
            <v>GDC VC60</v>
          </cell>
        </row>
        <row r="63">
          <cell r="B63" t="str">
            <v>Framed JW Mld60</v>
          </cell>
        </row>
        <row r="64">
          <cell r="B64" t="str">
            <v>GDC PD Mld60</v>
          </cell>
        </row>
        <row r="65">
          <cell r="B65" t="str">
            <v>Strebord 30</v>
          </cell>
        </row>
        <row r="66">
          <cell r="B66" t="str">
            <v>Strebord 60</v>
          </cell>
        </row>
        <row r="67">
          <cell r="B67" t="str">
            <v>Flamebreak 30</v>
          </cell>
        </row>
        <row r="68">
          <cell r="B68" t="str">
            <v>Flamebreak 60</v>
          </cell>
        </row>
        <row r="69">
          <cell r="B69" t="str">
            <v>Stredor 30</v>
          </cell>
        </row>
        <row r="70">
          <cell r="B70" t="str">
            <v>Stredor 60</v>
          </cell>
        </row>
        <row r="71">
          <cell r="B71" t="str">
            <v>Tri-Sound 30</v>
          </cell>
        </row>
        <row r="72">
          <cell r="B72" t="str">
            <v>Tri-Sound 60</v>
          </cell>
        </row>
        <row r="73">
          <cell r="B73" t="str">
            <v>Blankfort 30</v>
          </cell>
        </row>
        <row r="74">
          <cell r="B74" t="str">
            <v>Blankfort 60</v>
          </cell>
        </row>
        <row r="75">
          <cell r="B75" t="str">
            <v>FireSmoke 30</v>
          </cell>
        </row>
        <row r="76">
          <cell r="B76" t="str">
            <v>FireSmoke 60</v>
          </cell>
        </row>
        <row r="77">
          <cell r="B77" t="str">
            <v>FireSound 30</v>
          </cell>
        </row>
        <row r="78">
          <cell r="B78" t="str">
            <v>FireSound 60</v>
          </cell>
        </row>
        <row r="79">
          <cell r="B79" t="str">
            <v>Deanta NFR</v>
          </cell>
        </row>
        <row r="80">
          <cell r="B80" t="str">
            <v>Deanta Type 5 FD30</v>
          </cell>
        </row>
        <row r="81">
          <cell r="B81" t="str">
            <v>FD90 Core</v>
          </cell>
        </row>
        <row r="82">
          <cell r="B82" t="str">
            <v>FD120 Core</v>
          </cell>
        </row>
        <row r="83">
          <cell r="B83" t="str">
            <v>SecureSound 30</v>
          </cell>
        </row>
        <row r="84">
          <cell r="B84" t="str">
            <v>SecureSound 60</v>
          </cell>
        </row>
        <row r="85">
          <cell r="B85" t="str">
            <v>SecureSound VC 30</v>
          </cell>
        </row>
        <row r="86">
          <cell r="B86" t="str">
            <v>SecureSound SD 30</v>
          </cell>
        </row>
        <row r="87">
          <cell r="B87" t="str">
            <v>SecureSound SD 60</v>
          </cell>
        </row>
        <row r="88">
          <cell r="B88" t="str">
            <v>SecureSound FLM 30</v>
          </cell>
        </row>
        <row r="91">
          <cell r="B91" t="str">
            <v>nfr</v>
          </cell>
        </row>
        <row r="92">
          <cell r="B92" t="str">
            <v>FD30</v>
          </cell>
        </row>
        <row r="93">
          <cell r="B93" t="str">
            <v>FD30s</v>
          </cell>
        </row>
        <row r="94">
          <cell r="B94" t="str">
            <v>FD60</v>
          </cell>
        </row>
        <row r="95">
          <cell r="B95" t="str">
            <v>FD60s</v>
          </cell>
        </row>
        <row r="96">
          <cell r="B96" t="str">
            <v>FD90</v>
          </cell>
        </row>
        <row r="97">
          <cell r="B97" t="str">
            <v>FD90s</v>
          </cell>
        </row>
        <row r="98">
          <cell r="B98" t="str">
            <v>FD120</v>
          </cell>
        </row>
        <row r="99">
          <cell r="B99" t="str">
            <v>FD120s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.hughes@uwtsd.ac.uk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B819-26AC-42EC-B62A-C853A39BD150}">
  <dimension ref="A2:L69"/>
  <sheetViews>
    <sheetView view="pageBreakPreview" topLeftCell="A47" zoomScale="60" zoomScaleNormal="100" workbookViewId="0">
      <selection activeCell="D69" sqref="D69"/>
    </sheetView>
  </sheetViews>
  <sheetFormatPr defaultRowHeight="14.4" x14ac:dyDescent="0.3"/>
  <cols>
    <col min="1" max="1" width="17.33203125" customWidth="1"/>
    <col min="2" max="2" width="32.5546875" bestFit="1" customWidth="1"/>
    <col min="3" max="3" width="14.109375" style="4" customWidth="1"/>
    <col min="4" max="4" width="21" bestFit="1" customWidth="1"/>
    <col min="6" max="6" width="23.44140625" bestFit="1" customWidth="1"/>
    <col min="7" max="7" width="13" customWidth="1"/>
    <col min="8" max="8" width="14.109375" bestFit="1" customWidth="1"/>
    <col min="9" max="9" width="12.44140625" style="5" customWidth="1"/>
    <col min="10" max="10" width="23" style="3" bestFit="1" customWidth="1"/>
    <col min="11" max="11" width="12.44140625" style="3" bestFit="1" customWidth="1"/>
  </cols>
  <sheetData>
    <row r="2" spans="1:1" ht="18" x14ac:dyDescent="0.35">
      <c r="A2" s="21"/>
    </row>
    <row r="17" spans="1:12" x14ac:dyDescent="0.3">
      <c r="A17" s="1" t="s">
        <v>0</v>
      </c>
      <c r="B17" t="s">
        <v>1</v>
      </c>
    </row>
    <row r="18" spans="1:12" x14ac:dyDescent="0.3">
      <c r="A18" s="1" t="s">
        <v>2</v>
      </c>
      <c r="B18" t="s">
        <v>3</v>
      </c>
      <c r="F18" s="12"/>
      <c r="G18" s="13"/>
      <c r="H18" s="13"/>
    </row>
    <row r="19" spans="1:12" x14ac:dyDescent="0.3">
      <c r="A19" s="1" t="s">
        <v>4</v>
      </c>
      <c r="B19" t="s">
        <v>5</v>
      </c>
      <c r="F19" s="12"/>
      <c r="G19" s="6"/>
      <c r="H19" s="7"/>
    </row>
    <row r="20" spans="1:12" x14ac:dyDescent="0.3">
      <c r="F20" s="12"/>
      <c r="J20" s="6"/>
      <c r="K20" s="7"/>
    </row>
    <row r="21" spans="1:12" x14ac:dyDescent="0.3">
      <c r="B21" s="15" t="s">
        <v>6</v>
      </c>
      <c r="J21" s="6"/>
      <c r="K21" s="7"/>
    </row>
    <row r="22" spans="1:12" x14ac:dyDescent="0.3">
      <c r="J22" s="6"/>
      <c r="K22" s="7"/>
    </row>
    <row r="23" spans="1:12" x14ac:dyDescent="0.3">
      <c r="J23" s="6"/>
      <c r="K23" s="7"/>
    </row>
    <row r="24" spans="1:12" x14ac:dyDescent="0.3">
      <c r="J24" s="6"/>
      <c r="K24" s="7"/>
    </row>
    <row r="25" spans="1:12" x14ac:dyDescent="0.3">
      <c r="B25" s="76" t="s">
        <v>7</v>
      </c>
      <c r="C25" s="76"/>
      <c r="D25" s="76"/>
      <c r="F25" s="76" t="s">
        <v>8</v>
      </c>
      <c r="G25" s="76"/>
      <c r="H25" s="76"/>
      <c r="J25" s="76" t="s">
        <v>9</v>
      </c>
      <c r="K25" s="76"/>
      <c r="L25" s="76"/>
    </row>
    <row r="26" spans="1:12" x14ac:dyDescent="0.3">
      <c r="G26" s="4"/>
      <c r="J26"/>
      <c r="K26" s="4"/>
    </row>
    <row r="27" spans="1:12" x14ac:dyDescent="0.3">
      <c r="B27" s="1" t="s">
        <v>10</v>
      </c>
      <c r="C27" s="11" t="s">
        <v>11</v>
      </c>
      <c r="D27" s="1" t="s">
        <v>12</v>
      </c>
      <c r="E27" s="1"/>
      <c r="F27" s="1" t="s">
        <v>10</v>
      </c>
      <c r="G27" s="11" t="s">
        <v>11</v>
      </c>
      <c r="H27" s="1" t="s">
        <v>12</v>
      </c>
      <c r="I27" s="12"/>
      <c r="J27" s="1" t="s">
        <v>10</v>
      </c>
      <c r="K27" s="11" t="s">
        <v>11</v>
      </c>
      <c r="L27" s="1" t="s">
        <v>12</v>
      </c>
    </row>
    <row r="28" spans="1:12" x14ac:dyDescent="0.3">
      <c r="B28" t="s">
        <v>13</v>
      </c>
      <c r="C28" s="4">
        <v>2304</v>
      </c>
      <c r="D28" t="s">
        <v>14</v>
      </c>
      <c r="F28" t="s">
        <v>15</v>
      </c>
      <c r="G28" s="4">
        <v>29.5</v>
      </c>
      <c r="H28" t="s">
        <v>14</v>
      </c>
      <c r="J28" s="14" t="s">
        <v>15</v>
      </c>
      <c r="K28" s="4">
        <v>29.5</v>
      </c>
      <c r="L28" t="s">
        <v>14</v>
      </c>
    </row>
    <row r="29" spans="1:12" x14ac:dyDescent="0.3">
      <c r="B29" t="s">
        <v>16</v>
      </c>
      <c r="C29" s="4">
        <f>181+171.5+211+159+81.6-5.4</f>
        <v>798.7</v>
      </c>
      <c r="D29" t="s">
        <v>14</v>
      </c>
      <c r="F29" t="s">
        <v>17</v>
      </c>
      <c r="G29" s="4">
        <v>1.5</v>
      </c>
      <c r="H29" t="s">
        <v>14</v>
      </c>
      <c r="J29" s="14" t="s">
        <v>17</v>
      </c>
      <c r="K29" s="4">
        <v>1.5</v>
      </c>
      <c r="L29" t="s">
        <v>14</v>
      </c>
    </row>
    <row r="30" spans="1:12" x14ac:dyDescent="0.3">
      <c r="B30" t="s">
        <v>18</v>
      </c>
      <c r="C30" s="4">
        <v>5.4</v>
      </c>
      <c r="D30" t="s">
        <v>14</v>
      </c>
      <c r="F30" t="s">
        <v>19</v>
      </c>
      <c r="G30" s="4">
        <v>50.5</v>
      </c>
      <c r="H30" t="s">
        <v>14</v>
      </c>
      <c r="J30" s="14" t="s">
        <v>20</v>
      </c>
      <c r="K30" s="5">
        <v>60.5</v>
      </c>
      <c r="L30" t="s">
        <v>14</v>
      </c>
    </row>
    <row r="31" spans="1:12" x14ac:dyDescent="0.3">
      <c r="B31" t="s">
        <v>21</v>
      </c>
      <c r="C31" s="4">
        <v>18</v>
      </c>
      <c r="D31" t="s">
        <v>14</v>
      </c>
      <c r="F31" t="s">
        <v>22</v>
      </c>
      <c r="G31" s="4">
        <v>53.5</v>
      </c>
      <c r="H31" t="s">
        <v>14</v>
      </c>
      <c r="J31" s="14" t="s">
        <v>23</v>
      </c>
      <c r="K31" s="5">
        <v>60.5</v>
      </c>
      <c r="L31" t="s">
        <v>14</v>
      </c>
    </row>
    <row r="32" spans="1:12" x14ac:dyDescent="0.3">
      <c r="B32" t="s">
        <v>24</v>
      </c>
      <c r="C32" s="4">
        <v>30</v>
      </c>
      <c r="D32" t="s">
        <v>14</v>
      </c>
      <c r="F32" t="s">
        <v>25</v>
      </c>
      <c r="G32" s="4">
        <v>50.5</v>
      </c>
      <c r="H32" t="s">
        <v>14</v>
      </c>
      <c r="J32" s="14" t="s">
        <v>26</v>
      </c>
      <c r="K32" s="5">
        <v>60.5</v>
      </c>
      <c r="L32" t="s">
        <v>14</v>
      </c>
    </row>
    <row r="33" spans="2:12" x14ac:dyDescent="0.3">
      <c r="B33" t="s">
        <v>27</v>
      </c>
      <c r="C33" s="4">
        <v>22.5</v>
      </c>
      <c r="D33" t="s">
        <v>14</v>
      </c>
      <c r="F33" t="s">
        <v>28</v>
      </c>
      <c r="G33" s="4">
        <v>9</v>
      </c>
      <c r="H33" t="s">
        <v>14</v>
      </c>
      <c r="J33" s="14" t="s">
        <v>29</v>
      </c>
      <c r="K33" s="5">
        <v>14</v>
      </c>
      <c r="L33" t="s">
        <v>14</v>
      </c>
    </row>
    <row r="34" spans="2:12" x14ac:dyDescent="0.3">
      <c r="B34" t="s">
        <v>30</v>
      </c>
      <c r="C34" s="4">
        <v>14</v>
      </c>
      <c r="D34" t="s">
        <v>14</v>
      </c>
      <c r="F34" t="s">
        <v>31</v>
      </c>
      <c r="G34" s="4">
        <v>9</v>
      </c>
      <c r="H34" t="s">
        <v>14</v>
      </c>
      <c r="J34" s="14" t="s">
        <v>18</v>
      </c>
      <c r="K34" s="5">
        <v>28</v>
      </c>
      <c r="L34" t="s">
        <v>14</v>
      </c>
    </row>
    <row r="35" spans="2:12" x14ac:dyDescent="0.3">
      <c r="B35" t="s">
        <v>32</v>
      </c>
      <c r="C35" s="4">
        <v>27.5</v>
      </c>
      <c r="D35" t="s">
        <v>14</v>
      </c>
      <c r="F35" t="s">
        <v>21</v>
      </c>
      <c r="G35" s="4">
        <v>25.5</v>
      </c>
      <c r="H35" t="s">
        <v>14</v>
      </c>
      <c r="J35" s="14" t="s">
        <v>33</v>
      </c>
      <c r="K35" s="5">
        <v>29.5</v>
      </c>
      <c r="L35" t="s">
        <v>14</v>
      </c>
    </row>
    <row r="36" spans="2:12" x14ac:dyDescent="0.3">
      <c r="B36" t="s">
        <v>34</v>
      </c>
      <c r="C36" s="4">
        <v>22</v>
      </c>
      <c r="D36" t="s">
        <v>14</v>
      </c>
      <c r="F36" t="s">
        <v>33</v>
      </c>
      <c r="G36" s="4">
        <v>29.5</v>
      </c>
      <c r="H36" t="s">
        <v>14</v>
      </c>
      <c r="J36" s="14" t="s">
        <v>35</v>
      </c>
      <c r="K36" s="5">
        <v>46</v>
      </c>
      <c r="L36" t="s">
        <v>14</v>
      </c>
    </row>
    <row r="37" spans="2:12" x14ac:dyDescent="0.3">
      <c r="B37" t="s">
        <v>36</v>
      </c>
      <c r="C37" s="4">
        <v>56</v>
      </c>
      <c r="D37" t="s">
        <v>14</v>
      </c>
      <c r="F37" t="s">
        <v>37</v>
      </c>
      <c r="G37" s="4">
        <v>6</v>
      </c>
      <c r="H37" t="s">
        <v>14</v>
      </c>
      <c r="J37" s="14" t="s">
        <v>38</v>
      </c>
      <c r="K37" s="5">
        <v>19</v>
      </c>
      <c r="L37" t="s">
        <v>14</v>
      </c>
    </row>
    <row r="38" spans="2:12" x14ac:dyDescent="0.3">
      <c r="B38" t="s">
        <v>39</v>
      </c>
      <c r="C38" s="4">
        <v>28</v>
      </c>
      <c r="D38" t="s">
        <v>14</v>
      </c>
      <c r="F38" t="s">
        <v>40</v>
      </c>
      <c r="G38" s="4">
        <v>31</v>
      </c>
      <c r="H38" t="s">
        <v>14</v>
      </c>
      <c r="J38" s="14" t="s">
        <v>41</v>
      </c>
      <c r="K38" s="5">
        <v>29</v>
      </c>
      <c r="L38" t="s">
        <v>14</v>
      </c>
    </row>
    <row r="39" spans="2:12" x14ac:dyDescent="0.3">
      <c r="B39" t="s">
        <v>42</v>
      </c>
      <c r="C39" s="4">
        <v>20</v>
      </c>
      <c r="D39" t="s">
        <v>14</v>
      </c>
      <c r="F39" t="s">
        <v>43</v>
      </c>
      <c r="G39" s="4">
        <v>36.5</v>
      </c>
      <c r="H39" t="s">
        <v>14</v>
      </c>
      <c r="J39" s="14" t="s">
        <v>44</v>
      </c>
      <c r="K39" s="5">
        <v>46.2</v>
      </c>
      <c r="L39" t="s">
        <v>14</v>
      </c>
    </row>
    <row r="40" spans="2:12" x14ac:dyDescent="0.3">
      <c r="B40" t="s">
        <v>45</v>
      </c>
      <c r="C40" s="4">
        <v>40</v>
      </c>
      <c r="D40" t="s">
        <v>14</v>
      </c>
      <c r="F40" t="s">
        <v>46</v>
      </c>
      <c r="G40" s="4">
        <v>24</v>
      </c>
      <c r="H40" t="s">
        <v>14</v>
      </c>
      <c r="J40" s="14" t="s">
        <v>43</v>
      </c>
      <c r="K40" s="5">
        <v>25.5</v>
      </c>
      <c r="L40" t="s">
        <v>14</v>
      </c>
    </row>
    <row r="41" spans="2:12" x14ac:dyDescent="0.3">
      <c r="B41" t="s">
        <v>15</v>
      </c>
      <c r="C41" s="4">
        <v>29.5</v>
      </c>
      <c r="D41" t="s">
        <v>14</v>
      </c>
      <c r="F41" t="s">
        <v>47</v>
      </c>
      <c r="G41" s="4">
        <v>38.5</v>
      </c>
      <c r="H41" t="s">
        <v>14</v>
      </c>
      <c r="J41" s="14" t="s">
        <v>21</v>
      </c>
      <c r="K41" s="5">
        <v>12.5</v>
      </c>
      <c r="L41" t="s">
        <v>14</v>
      </c>
    </row>
    <row r="42" spans="2:12" x14ac:dyDescent="0.3">
      <c r="B42" t="s">
        <v>33</v>
      </c>
      <c r="C42" s="4">
        <v>29.5</v>
      </c>
      <c r="D42" t="s">
        <v>14</v>
      </c>
      <c r="F42" t="s">
        <v>48</v>
      </c>
      <c r="G42" s="4">
        <v>58</v>
      </c>
      <c r="H42" t="s">
        <v>14</v>
      </c>
      <c r="J42" s="14" t="s">
        <v>18</v>
      </c>
      <c r="K42" s="5">
        <v>5.4</v>
      </c>
      <c r="L42" t="s">
        <v>14</v>
      </c>
    </row>
    <row r="43" spans="2:12" x14ac:dyDescent="0.3">
      <c r="B43" t="s">
        <v>17</v>
      </c>
      <c r="C43" s="4">
        <v>1.5</v>
      </c>
      <c r="D43" t="s">
        <v>14</v>
      </c>
      <c r="F43" t="s">
        <v>18</v>
      </c>
      <c r="G43" s="4">
        <v>5.4</v>
      </c>
      <c r="H43" t="s">
        <v>14</v>
      </c>
      <c r="J43" t="s">
        <v>16</v>
      </c>
      <c r="K43" s="4">
        <f>178+290.5+159+81.6</f>
        <v>709.1</v>
      </c>
      <c r="L43" t="s">
        <v>14</v>
      </c>
    </row>
    <row r="44" spans="2:12" x14ac:dyDescent="0.3">
      <c r="F44" t="s">
        <v>16</v>
      </c>
      <c r="G44" s="4">
        <f>186.3+292+159+81.5</f>
        <v>718.8</v>
      </c>
      <c r="H44" t="s">
        <v>14</v>
      </c>
    </row>
    <row r="45" spans="2:12" x14ac:dyDescent="0.3">
      <c r="G45" s="4"/>
    </row>
    <row r="46" spans="2:12" x14ac:dyDescent="0.3">
      <c r="C46" s="11">
        <f>SUM(C28:C45)</f>
        <v>3446.6</v>
      </c>
      <c r="D46" t="s">
        <v>14</v>
      </c>
      <c r="G46" s="11">
        <f>SUM(G28:G45)</f>
        <v>1176.6999999999998</v>
      </c>
      <c r="H46" t="s">
        <v>14</v>
      </c>
      <c r="K46" s="11">
        <f>SUM(K28:K45)</f>
        <v>1176.7</v>
      </c>
      <c r="L46" t="s">
        <v>14</v>
      </c>
    </row>
    <row r="47" spans="2:12" x14ac:dyDescent="0.3">
      <c r="G47" s="4"/>
    </row>
    <row r="49" spans="2:6" x14ac:dyDescent="0.3">
      <c r="B49" s="16" t="s">
        <v>49</v>
      </c>
      <c r="C49" s="17" t="s">
        <v>50</v>
      </c>
      <c r="D49" s="17" t="s">
        <v>51</v>
      </c>
    </row>
    <row r="50" spans="2:6" x14ac:dyDescent="0.3">
      <c r="B50" s="18">
        <f>C46+G46+K46</f>
        <v>5799.9999999999991</v>
      </c>
      <c r="C50" s="19">
        <v>2925</v>
      </c>
      <c r="D50" s="20">
        <f>B50*C50</f>
        <v>16964999.999999996</v>
      </c>
      <c r="F50" t="s">
        <v>52</v>
      </c>
    </row>
    <row r="52" spans="2:6" x14ac:dyDescent="0.3">
      <c r="B52" s="2" t="s">
        <v>53</v>
      </c>
    </row>
    <row r="53" spans="2:6" x14ac:dyDescent="0.3">
      <c r="B53" t="s">
        <v>54</v>
      </c>
      <c r="C53" s="11">
        <v>0.88</v>
      </c>
    </row>
    <row r="56" spans="2:6" x14ac:dyDescent="0.3">
      <c r="B56" s="16" t="s">
        <v>49</v>
      </c>
      <c r="C56" s="17" t="s">
        <v>50</v>
      </c>
      <c r="D56" s="17" t="s">
        <v>51</v>
      </c>
    </row>
    <row r="57" spans="2:6" x14ac:dyDescent="0.3">
      <c r="B57" s="18">
        <f>B50</f>
        <v>5799.9999999999991</v>
      </c>
      <c r="C57" s="19">
        <f>C50*C53</f>
        <v>2574</v>
      </c>
      <c r="D57" s="20">
        <f>B57*C57</f>
        <v>14929199.999999998</v>
      </c>
    </row>
    <row r="60" spans="2:6" x14ac:dyDescent="0.3">
      <c r="B60" s="2" t="s">
        <v>55</v>
      </c>
    </row>
    <row r="62" spans="2:6" x14ac:dyDescent="0.3">
      <c r="B62" t="s">
        <v>56</v>
      </c>
      <c r="C62" s="4">
        <v>383</v>
      </c>
    </row>
    <row r="64" spans="2:6" x14ac:dyDescent="0.3">
      <c r="B64" t="s">
        <v>57</v>
      </c>
      <c r="C64" s="4">
        <v>425</v>
      </c>
    </row>
    <row r="66" spans="2:6" x14ac:dyDescent="0.3">
      <c r="C66" s="11">
        <f>C64/C62</f>
        <v>1.1096605744125327</v>
      </c>
    </row>
    <row r="68" spans="2:6" x14ac:dyDescent="0.3">
      <c r="B68" s="16" t="s">
        <v>49</v>
      </c>
      <c r="C68" s="17" t="s">
        <v>50</v>
      </c>
      <c r="D68" s="17" t="s">
        <v>51</v>
      </c>
    </row>
    <row r="69" spans="2:6" x14ac:dyDescent="0.3">
      <c r="B69" s="18">
        <f>B57</f>
        <v>5799.9999999999991</v>
      </c>
      <c r="C69" s="19">
        <f>C57*C66</f>
        <v>2856.2663185378592</v>
      </c>
      <c r="D69" s="22">
        <f>B69*C69</f>
        <v>16566344.647519581</v>
      </c>
      <c r="F69" s="36"/>
    </row>
  </sheetData>
  <mergeCells count="3">
    <mergeCell ref="B25:D25"/>
    <mergeCell ref="F25:H25"/>
    <mergeCell ref="J25:L25"/>
  </mergeCells>
  <phoneticPr fontId="4" type="noConversion"/>
  <pageMargins left="0.7" right="0.7" top="0.75" bottom="0.75" header="0.3" footer="0.3"/>
  <pageSetup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9748-8397-41F2-9476-7F08AFA95E6E}">
  <dimension ref="A1:I42"/>
  <sheetViews>
    <sheetView view="pageBreakPreview" zoomScaleNormal="100" zoomScaleSheetLayoutView="100" workbookViewId="0">
      <selection activeCell="D22" sqref="D22"/>
    </sheetView>
  </sheetViews>
  <sheetFormatPr defaultRowHeight="14.4" x14ac:dyDescent="0.3"/>
  <cols>
    <col min="1" max="1" width="9.88671875" customWidth="1"/>
    <col min="2" max="2" width="22.88671875" customWidth="1"/>
    <col min="3" max="3" width="5.33203125" style="3" customWidth="1"/>
    <col min="4" max="4" width="15.5546875" style="6" customWidth="1"/>
    <col min="5" max="5" width="15.109375" style="3" customWidth="1"/>
    <col min="6" max="6" width="18.6640625" style="6" customWidth="1"/>
    <col min="7" max="7" width="20.6640625" customWidth="1"/>
    <col min="8" max="8" width="16.109375" customWidth="1"/>
    <col min="9" max="9" width="16.77734375" customWidth="1"/>
  </cols>
  <sheetData>
    <row r="1" spans="1:9" x14ac:dyDescent="0.3">
      <c r="A1" s="1" t="s">
        <v>207</v>
      </c>
      <c r="B1" s="56">
        <v>46149</v>
      </c>
      <c r="C1" s="13"/>
      <c r="D1" s="57" t="s">
        <v>226</v>
      </c>
    </row>
    <row r="2" spans="1:9" x14ac:dyDescent="0.3">
      <c r="A2" s="1"/>
      <c r="B2" s="1"/>
      <c r="C2" s="13"/>
    </row>
    <row r="3" spans="1:9" x14ac:dyDescent="0.3">
      <c r="A3" s="1" t="s">
        <v>208</v>
      </c>
      <c r="B3" s="1" t="s">
        <v>229</v>
      </c>
      <c r="C3" s="13"/>
      <c r="D3" s="58"/>
    </row>
    <row r="4" spans="1:9" x14ac:dyDescent="0.3">
      <c r="A4" s="1"/>
      <c r="B4" s="1"/>
      <c r="C4" s="13"/>
      <c r="D4" s="58" t="s">
        <v>209</v>
      </c>
    </row>
    <row r="5" spans="1:9" ht="28.8" x14ac:dyDescent="0.3">
      <c r="A5" s="1" t="s">
        <v>210</v>
      </c>
      <c r="B5" s="74" t="s">
        <v>63</v>
      </c>
      <c r="C5" s="13"/>
      <c r="D5" s="58" t="s">
        <v>209</v>
      </c>
    </row>
    <row r="6" spans="1:9" x14ac:dyDescent="0.3">
      <c r="A6" s="1"/>
      <c r="B6" s="1"/>
      <c r="C6" s="13"/>
    </row>
    <row r="7" spans="1:9" x14ac:dyDescent="0.3">
      <c r="A7" s="1" t="s">
        <v>211</v>
      </c>
      <c r="B7" s="1" t="s">
        <v>230</v>
      </c>
      <c r="C7" s="13"/>
      <c r="E7" s="3" t="s">
        <v>209</v>
      </c>
    </row>
    <row r="8" spans="1:9" x14ac:dyDescent="0.3">
      <c r="A8" s="1"/>
      <c r="B8" s="1"/>
      <c r="C8" s="13"/>
      <c r="E8" s="3" t="s">
        <v>209</v>
      </c>
    </row>
    <row r="9" spans="1:9" x14ac:dyDescent="0.3">
      <c r="A9" s="1" t="s">
        <v>212</v>
      </c>
      <c r="B9" s="59" t="s">
        <v>231</v>
      </c>
      <c r="C9" s="13"/>
    </row>
    <row r="10" spans="1:9" x14ac:dyDescent="0.3">
      <c r="A10" s="1"/>
      <c r="B10" s="60" t="s">
        <v>232</v>
      </c>
      <c r="C10" s="13"/>
    </row>
    <row r="12" spans="1:9" x14ac:dyDescent="0.3">
      <c r="A12" t="s">
        <v>213</v>
      </c>
    </row>
    <row r="14" spans="1:9" x14ac:dyDescent="0.3">
      <c r="A14" t="s">
        <v>214</v>
      </c>
    </row>
    <row r="15" spans="1:9" ht="28.8" x14ac:dyDescent="0.3">
      <c r="G15" s="13" t="s">
        <v>215</v>
      </c>
      <c r="H15" s="61" t="s">
        <v>216</v>
      </c>
      <c r="I15" s="61" t="s">
        <v>227</v>
      </c>
    </row>
    <row r="16" spans="1:9" x14ac:dyDescent="0.3">
      <c r="A16" t="s">
        <v>217</v>
      </c>
      <c r="D16" s="6">
        <f>'Taw Construction Cost Breakdown'!C95-'Taw Construction Cost Breakdown'!C90</f>
        <v>14889006.289878279</v>
      </c>
      <c r="E16" s="14" t="s">
        <v>218</v>
      </c>
      <c r="G16" s="62"/>
      <c r="H16" s="62" t="s">
        <v>209</v>
      </c>
      <c r="I16" s="62" t="s">
        <v>219</v>
      </c>
    </row>
    <row r="17" spans="1:9" x14ac:dyDescent="0.3">
      <c r="E17" s="14"/>
    </row>
    <row r="18" spans="1:9" x14ac:dyDescent="0.3">
      <c r="D18" s="58"/>
      <c r="E18" s="14"/>
      <c r="F18" s="58"/>
      <c r="G18" s="13" t="s">
        <v>220</v>
      </c>
      <c r="H18" s="13" t="s">
        <v>228</v>
      </c>
      <c r="I18" s="13" t="s">
        <v>221</v>
      </c>
    </row>
    <row r="19" spans="1:9" x14ac:dyDescent="0.3">
      <c r="A19" t="s">
        <v>222</v>
      </c>
      <c r="D19" s="58">
        <f>'Taw Construction Cost Breakdown'!C90</f>
        <v>1235602.1817326373</v>
      </c>
      <c r="E19" s="63" t="s">
        <v>223</v>
      </c>
      <c r="F19" s="64"/>
      <c r="G19" s="38"/>
      <c r="H19" s="38"/>
      <c r="I19" s="62" t="s">
        <v>219</v>
      </c>
    </row>
    <row r="20" spans="1:9" x14ac:dyDescent="0.3">
      <c r="D20" s="65"/>
      <c r="E20" s="65"/>
      <c r="F20" s="65"/>
      <c r="G20" s="65"/>
    </row>
    <row r="21" spans="1:9" x14ac:dyDescent="0.3">
      <c r="D21" s="65"/>
      <c r="F21" s="58"/>
    </row>
    <row r="22" spans="1:9" x14ac:dyDescent="0.3">
      <c r="A22" s="1" t="s">
        <v>225</v>
      </c>
      <c r="B22" s="1"/>
      <c r="C22" s="13"/>
      <c r="D22" s="66">
        <f>D16+D19</f>
        <v>16124608.471610917</v>
      </c>
      <c r="E22" s="67" t="s">
        <v>224</v>
      </c>
      <c r="F22" s="68"/>
    </row>
    <row r="23" spans="1:9" x14ac:dyDescent="0.3">
      <c r="D23" s="65"/>
      <c r="F23" s="58"/>
    </row>
    <row r="24" spans="1:9" x14ac:dyDescent="0.3">
      <c r="D24" s="65"/>
      <c r="F24" s="58"/>
    </row>
    <row r="26" spans="1:9" x14ac:dyDescent="0.3">
      <c r="A26" s="70"/>
      <c r="B26" s="69"/>
      <c r="C26" s="70"/>
      <c r="D26" s="71"/>
      <c r="E26" s="70"/>
      <c r="F26" s="71"/>
    </row>
    <row r="27" spans="1:9" x14ac:dyDescent="0.3">
      <c r="A27" s="70"/>
      <c r="B27" s="69"/>
      <c r="C27" s="70"/>
      <c r="D27" s="71"/>
      <c r="E27" s="70"/>
      <c r="F27" s="71"/>
    </row>
    <row r="28" spans="1:9" x14ac:dyDescent="0.3">
      <c r="A28" s="70"/>
      <c r="B28" s="69"/>
      <c r="C28" s="70"/>
      <c r="D28" s="71"/>
      <c r="E28" s="70"/>
      <c r="F28" s="71"/>
    </row>
    <row r="29" spans="1:9" x14ac:dyDescent="0.3">
      <c r="A29" s="70"/>
      <c r="B29" s="69"/>
      <c r="C29" s="70"/>
      <c r="D29" s="71"/>
      <c r="E29" s="70"/>
      <c r="F29" s="71"/>
    </row>
    <row r="30" spans="1:9" x14ac:dyDescent="0.3">
      <c r="A30" s="70"/>
      <c r="B30" s="69"/>
      <c r="C30" s="70"/>
      <c r="D30" s="71"/>
      <c r="E30" s="70"/>
      <c r="F30" s="71"/>
    </row>
    <row r="31" spans="1:9" x14ac:dyDescent="0.3">
      <c r="A31" s="70"/>
      <c r="B31" s="69"/>
      <c r="C31" s="70"/>
      <c r="D31" s="71"/>
      <c r="E31" s="70"/>
      <c r="F31" s="71"/>
    </row>
    <row r="32" spans="1:9" x14ac:dyDescent="0.3">
      <c r="A32" s="72"/>
      <c r="B32" s="69"/>
      <c r="C32" s="70"/>
      <c r="D32" s="71"/>
      <c r="E32" s="70"/>
      <c r="F32" s="71"/>
    </row>
    <row r="33" spans="1:6" x14ac:dyDescent="0.3">
      <c r="A33" s="70"/>
      <c r="B33" s="69"/>
      <c r="C33" s="70"/>
      <c r="D33" s="71"/>
      <c r="E33" s="70"/>
      <c r="F33" s="71"/>
    </row>
    <row r="34" spans="1:6" x14ac:dyDescent="0.3">
      <c r="A34" s="70"/>
      <c r="B34" s="69"/>
      <c r="C34" s="70"/>
      <c r="D34" s="71"/>
      <c r="E34" s="70"/>
      <c r="F34" s="71"/>
    </row>
    <row r="35" spans="1:6" x14ac:dyDescent="0.3">
      <c r="A35" s="70"/>
      <c r="B35" s="69"/>
      <c r="C35" s="70"/>
      <c r="D35" s="71"/>
      <c r="E35" s="70"/>
      <c r="F35" s="71"/>
    </row>
    <row r="36" spans="1:6" x14ac:dyDescent="0.3">
      <c r="A36" s="70"/>
      <c r="B36" s="69"/>
      <c r="C36" s="70"/>
      <c r="D36" s="71"/>
      <c r="E36" s="70"/>
      <c r="F36" s="71"/>
    </row>
    <row r="37" spans="1:6" x14ac:dyDescent="0.3">
      <c r="A37" s="70"/>
      <c r="B37" s="69"/>
      <c r="C37" s="70"/>
      <c r="D37" s="71"/>
      <c r="E37" s="70"/>
      <c r="F37" s="71"/>
    </row>
    <row r="38" spans="1:6" x14ac:dyDescent="0.3">
      <c r="A38" s="70"/>
      <c r="B38" s="69"/>
      <c r="C38" s="70"/>
      <c r="D38" s="71"/>
      <c r="E38" s="70"/>
      <c r="F38" s="71"/>
    </row>
    <row r="39" spans="1:6" x14ac:dyDescent="0.3">
      <c r="A39" s="70"/>
      <c r="B39" s="69"/>
      <c r="C39" s="70"/>
      <c r="D39" s="71"/>
      <c r="E39" s="70"/>
      <c r="F39" s="71"/>
    </row>
    <row r="40" spans="1:6" x14ac:dyDescent="0.3">
      <c r="A40" s="73"/>
      <c r="B40" s="69"/>
      <c r="C40" s="70"/>
      <c r="D40" s="71"/>
      <c r="E40" s="70"/>
      <c r="F40" s="71"/>
    </row>
    <row r="41" spans="1:6" x14ac:dyDescent="0.3">
      <c r="A41" s="69"/>
      <c r="B41" s="69"/>
      <c r="C41" s="70"/>
      <c r="D41" s="71"/>
      <c r="E41" s="70"/>
      <c r="F41" s="71"/>
    </row>
    <row r="42" spans="1:6" x14ac:dyDescent="0.3">
      <c r="A42" s="73"/>
      <c r="B42" s="69"/>
      <c r="C42" s="70"/>
      <c r="D42" s="71"/>
      <c r="E42" s="70"/>
      <c r="F42" s="71"/>
    </row>
  </sheetData>
  <hyperlinks>
    <hyperlink ref="B10" r:id="rId1" xr:uid="{35778711-816A-48B1-9CA2-07B550AB456D}"/>
  </hyperlinks>
  <pageMargins left="0.70866141732283472" right="0.70866141732283472" top="0.74803149606299213" bottom="0.74803149606299213" header="0.31496062992125984" footer="0.31496062992125984"/>
  <pageSetup paperSize="9" scale="61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D367-0DAA-478B-9BF2-3DC0DD181C15}">
  <dimension ref="A1:AER100"/>
  <sheetViews>
    <sheetView tabSelected="1" view="pageBreakPreview" topLeftCell="A72" zoomScale="47" zoomScaleNormal="70" workbookViewId="0">
      <selection activeCell="J96" sqref="J96:J100"/>
    </sheetView>
  </sheetViews>
  <sheetFormatPr defaultRowHeight="14.4" x14ac:dyDescent="0.3"/>
  <cols>
    <col min="1" max="1" width="59.5546875" bestFit="1" customWidth="1"/>
    <col min="2" max="2" width="48.21875" style="9" customWidth="1"/>
    <col min="3" max="3" width="19.44140625" style="9" customWidth="1"/>
    <col min="4" max="4" width="21.6640625" style="8" customWidth="1"/>
    <col min="5" max="5" width="26" style="8" customWidth="1"/>
    <col min="6" max="6" width="23.6640625" style="8" customWidth="1"/>
    <col min="7" max="7" width="32" customWidth="1"/>
    <col min="8" max="8" width="16" customWidth="1"/>
    <col min="9" max="9" width="11.6640625" customWidth="1"/>
    <col min="10" max="10" width="41.5546875" customWidth="1"/>
    <col min="11" max="11" width="43" customWidth="1"/>
    <col min="12" max="12" width="8.44140625" customWidth="1"/>
  </cols>
  <sheetData>
    <row r="1" spans="1:2" x14ac:dyDescent="0.3">
      <c r="A1" s="1" t="s">
        <v>58</v>
      </c>
      <c r="B1" s="9" t="s">
        <v>59</v>
      </c>
    </row>
    <row r="2" spans="1:2" x14ac:dyDescent="0.3">
      <c r="A2" s="1" t="s">
        <v>60</v>
      </c>
      <c r="B2" s="9" t="s">
        <v>61</v>
      </c>
    </row>
    <row r="3" spans="1:2" x14ac:dyDescent="0.3">
      <c r="A3" s="1" t="s">
        <v>201</v>
      </c>
      <c r="B3" s="9" t="s">
        <v>63</v>
      </c>
    </row>
    <row r="4" spans="1:2" x14ac:dyDescent="0.3">
      <c r="A4" s="1" t="s">
        <v>64</v>
      </c>
      <c r="B4" s="9" t="s">
        <v>65</v>
      </c>
    </row>
    <row r="5" spans="1:2" x14ac:dyDescent="0.3">
      <c r="A5" s="1" t="s">
        <v>66</v>
      </c>
      <c r="B5" s="9" t="s">
        <v>67</v>
      </c>
    </row>
    <row r="6" spans="1:2" x14ac:dyDescent="0.3">
      <c r="A6" s="1" t="s">
        <v>68</v>
      </c>
      <c r="B6" s="9" t="s">
        <v>69</v>
      </c>
    </row>
    <row r="7" spans="1:2" ht="72" customHeight="1" x14ac:dyDescent="0.3">
      <c r="A7" s="1" t="s">
        <v>70</v>
      </c>
      <c r="B7" s="54" t="s">
        <v>71</v>
      </c>
    </row>
    <row r="8" spans="1:2" ht="33.6" customHeight="1" x14ac:dyDescent="0.3">
      <c r="A8" s="1" t="s">
        <v>72</v>
      </c>
      <c r="B8" s="54" t="s">
        <v>73</v>
      </c>
    </row>
    <row r="9" spans="1:2" x14ac:dyDescent="0.3">
      <c r="A9" s="1" t="s">
        <v>74</v>
      </c>
      <c r="B9" s="9" t="s">
        <v>75</v>
      </c>
    </row>
    <row r="10" spans="1:2" x14ac:dyDescent="0.3">
      <c r="A10" s="1" t="s">
        <v>76</v>
      </c>
      <c r="B10" s="9" t="s">
        <v>202</v>
      </c>
    </row>
    <row r="11" spans="1:2" x14ac:dyDescent="0.3">
      <c r="A11" s="1" t="s">
        <v>77</v>
      </c>
      <c r="B11" s="9" t="s">
        <v>203</v>
      </c>
    </row>
    <row r="12" spans="1:2" x14ac:dyDescent="0.3">
      <c r="A12" s="1" t="s">
        <v>78</v>
      </c>
      <c r="B12" s="9" t="s">
        <v>205</v>
      </c>
    </row>
    <row r="13" spans="1:2" x14ac:dyDescent="0.3">
      <c r="A13" s="1" t="s">
        <v>79</v>
      </c>
      <c r="B13" s="9" t="s">
        <v>206</v>
      </c>
    </row>
    <row r="14" spans="1:2" x14ac:dyDescent="0.3">
      <c r="A14" s="15" t="s">
        <v>80</v>
      </c>
    </row>
    <row r="15" spans="1:2" x14ac:dyDescent="0.3">
      <c r="A15" s="1" t="s">
        <v>81</v>
      </c>
      <c r="B15" s="9">
        <f>SUM(C33:C53,C73:C77,C79,C81,C68)</f>
        <v>8226021.8173263697</v>
      </c>
    </row>
    <row r="16" spans="1:2" x14ac:dyDescent="0.3">
      <c r="A16" s="1" t="s">
        <v>82</v>
      </c>
      <c r="B16" s="9">
        <f>SUM(C54:C67,C78,C80,C86:C88)</f>
        <v>4130000</v>
      </c>
    </row>
    <row r="17" spans="1:11" x14ac:dyDescent="0.3">
      <c r="A17" s="1" t="s">
        <v>83</v>
      </c>
    </row>
    <row r="18" spans="1:11" x14ac:dyDescent="0.3">
      <c r="A18" s="1" t="s">
        <v>84</v>
      </c>
      <c r="B18" s="9">
        <f>SUM(C90)</f>
        <v>1235602.1817326373</v>
      </c>
    </row>
    <row r="19" spans="1:11" x14ac:dyDescent="0.3">
      <c r="A19" s="1" t="s">
        <v>85</v>
      </c>
      <c r="B19" s="9">
        <f>SUM(C93)</f>
        <v>988481.7453861098</v>
      </c>
    </row>
    <row r="20" spans="1:11" x14ac:dyDescent="0.3">
      <c r="A20" s="1" t="s">
        <v>204</v>
      </c>
      <c r="B20" s="9">
        <f>SUM(C91,C94)</f>
        <v>1544502.7271657966</v>
      </c>
    </row>
    <row r="21" spans="1:11" x14ac:dyDescent="0.3">
      <c r="A21" s="1" t="s">
        <v>86</v>
      </c>
      <c r="B21" s="75">
        <f>SUM(B15:B20)</f>
        <v>16124608.471610915</v>
      </c>
    </row>
    <row r="23" spans="1:11" x14ac:dyDescent="0.3">
      <c r="A23" t="s">
        <v>87</v>
      </c>
      <c r="B23" s="9" t="s">
        <v>71</v>
      </c>
    </row>
    <row r="25" spans="1:11" x14ac:dyDescent="0.3">
      <c r="A25" t="s">
        <v>88</v>
      </c>
      <c r="B25" s="8">
        <f>'Taw Construction - GIFA'!C46</f>
        <v>3446.6</v>
      </c>
      <c r="C25" s="9" t="s">
        <v>14</v>
      </c>
    </row>
    <row r="26" spans="1:11" x14ac:dyDescent="0.3">
      <c r="A26" t="s">
        <v>89</v>
      </c>
      <c r="B26" s="8">
        <f>'Taw Construction - GIFA'!G46</f>
        <v>1176.6999999999998</v>
      </c>
      <c r="C26" s="9" t="s">
        <v>14</v>
      </c>
    </row>
    <row r="27" spans="1:11" x14ac:dyDescent="0.3">
      <c r="A27" t="s">
        <v>90</v>
      </c>
      <c r="B27" s="8">
        <f>'Taw Construction - GIFA'!K46</f>
        <v>1176.7</v>
      </c>
      <c r="C27" s="9" t="s">
        <v>14</v>
      </c>
    </row>
    <row r="28" spans="1:11" x14ac:dyDescent="0.3">
      <c r="A28" t="s">
        <v>62</v>
      </c>
      <c r="B28" s="8">
        <f>SUM(B25:B27)</f>
        <v>5799.9999999999991</v>
      </c>
      <c r="C28" s="9" t="s">
        <v>14</v>
      </c>
    </row>
    <row r="31" spans="1:11" x14ac:dyDescent="0.3">
      <c r="A31" t="s">
        <v>91</v>
      </c>
      <c r="G31" s="8"/>
    </row>
    <row r="32" spans="1:11" x14ac:dyDescent="0.3">
      <c r="A32" s="41" t="s">
        <v>92</v>
      </c>
      <c r="B32" s="42" t="s">
        <v>93</v>
      </c>
      <c r="C32" s="42" t="s">
        <v>94</v>
      </c>
      <c r="D32" s="43" t="s">
        <v>95</v>
      </c>
      <c r="E32" s="44" t="s">
        <v>96</v>
      </c>
      <c r="F32" s="44" t="s">
        <v>97</v>
      </c>
      <c r="G32" s="44" t="s">
        <v>98</v>
      </c>
      <c r="H32" s="43" t="s">
        <v>99</v>
      </c>
      <c r="I32" s="45"/>
      <c r="J32" s="46" t="s">
        <v>100</v>
      </c>
      <c r="K32" s="77" t="s">
        <v>101</v>
      </c>
    </row>
    <row r="33" spans="1:11" s="23" customFormat="1" ht="72" x14ac:dyDescent="0.3">
      <c r="A33" s="33" t="s">
        <v>102</v>
      </c>
      <c r="B33" s="29">
        <f>G33*E33</f>
        <v>1620384.524</v>
      </c>
      <c r="C33" s="29">
        <f>B33*'Taw Construction - GIFA'!C53*'Taw Construction - GIFA'!C66</f>
        <v>1582307.6030704963</v>
      </c>
      <c r="D33" s="32">
        <f>C33/'Taw Construction - GIFA'!B50</f>
        <v>272.81165570180974</v>
      </c>
      <c r="E33" s="30">
        <f>B25</f>
        <v>3446.6</v>
      </c>
      <c r="F33" s="30" t="s">
        <v>14</v>
      </c>
      <c r="G33" s="32">
        <v>470.14</v>
      </c>
      <c r="H33" s="55">
        <f t="shared" ref="H33:H48" si="0">C33/$C$95</f>
        <v>9.8129985968733235E-2</v>
      </c>
      <c r="I33" s="31" t="s">
        <v>105</v>
      </c>
      <c r="J33" s="39" t="s">
        <v>103</v>
      </c>
      <c r="K33" s="40" t="s">
        <v>196</v>
      </c>
    </row>
    <row r="34" spans="1:11" s="23" customFormat="1" x14ac:dyDescent="0.3">
      <c r="A34" s="28" t="s">
        <v>104</v>
      </c>
      <c r="B34" s="32">
        <f t="shared" ref="B34:B46" si="1">E34*G34</f>
        <v>1119096</v>
      </c>
      <c r="C34" s="29">
        <f>B34*'Taw Construction - GIFA'!C53*'Taw Construction - GIFA'!C66</f>
        <v>1092798.7049608356</v>
      </c>
      <c r="D34" s="32">
        <f>C34/'Taw Construction - GIFA'!B50</f>
        <v>188.41356982083377</v>
      </c>
      <c r="E34" s="30">
        <f>240*15</f>
        <v>3600</v>
      </c>
      <c r="F34" s="30" t="s">
        <v>14</v>
      </c>
      <c r="G34" s="32">
        <v>310.86</v>
      </c>
      <c r="H34" s="55">
        <f t="shared" si="0"/>
        <v>6.7772107886205343E-2</v>
      </c>
      <c r="I34" s="31" t="s">
        <v>105</v>
      </c>
      <c r="J34" s="40"/>
      <c r="K34" s="40" t="s">
        <v>196</v>
      </c>
    </row>
    <row r="35" spans="1:11" s="23" customFormat="1" x14ac:dyDescent="0.3">
      <c r="A35" s="28" t="s">
        <v>106</v>
      </c>
      <c r="B35" s="32">
        <f t="shared" si="1"/>
        <v>164737.99999999997</v>
      </c>
      <c r="C35" s="29">
        <f>B35*'Taw Construction - GIFA'!C53*'Taw Construction - GIFA'!C66</f>
        <v>160866.87206266317</v>
      </c>
      <c r="D35" s="32">
        <f>C35/'Taw Construction - GIFA'!B50</f>
        <v>27.735667597010895</v>
      </c>
      <c r="E35" s="30">
        <f>B26+'Taw Construction - GIFA'!K46</f>
        <v>2353.3999999999996</v>
      </c>
      <c r="F35" s="30" t="s">
        <v>14</v>
      </c>
      <c r="G35" s="32">
        <v>70</v>
      </c>
      <c r="H35" s="55">
        <f t="shared" si="0"/>
        <v>9.9764823651927025E-3</v>
      </c>
      <c r="I35" s="31" t="s">
        <v>105</v>
      </c>
      <c r="J35" s="40"/>
      <c r="K35" s="40"/>
    </row>
    <row r="36" spans="1:11" s="23" customFormat="1" ht="28.8" x14ac:dyDescent="0.3">
      <c r="A36" s="37" t="s">
        <v>107</v>
      </c>
      <c r="B36" s="32">
        <f t="shared" si="1"/>
        <v>1085679</v>
      </c>
      <c r="C36" s="29">
        <f>B36*'Taw Construction - GIFA'!C53*'Taw Construction - GIFA'!C66</f>
        <v>1060166.9608355092</v>
      </c>
      <c r="D36" s="32">
        <f>C36/'Taw Construction - GIFA'!B50</f>
        <v>182.78740704060507</v>
      </c>
      <c r="E36" s="30">
        <f>'Taw Construction - GIFA'!C46</f>
        <v>3446.6</v>
      </c>
      <c r="F36" s="30" t="s">
        <v>14</v>
      </c>
      <c r="G36" s="32">
        <f>210+105</f>
        <v>315</v>
      </c>
      <c r="H36" s="55">
        <f t="shared" si="0"/>
        <v>6.5748384694242074E-2</v>
      </c>
      <c r="I36" s="31" t="s">
        <v>105</v>
      </c>
      <c r="J36" s="40"/>
      <c r="K36" s="40"/>
    </row>
    <row r="37" spans="1:11" s="23" customFormat="1" x14ac:dyDescent="0.3">
      <c r="A37" s="28" t="s">
        <v>108</v>
      </c>
      <c r="B37" s="32">
        <f t="shared" si="1"/>
        <v>104000</v>
      </c>
      <c r="C37" s="29">
        <f>B37*'Taw Construction - GIFA'!C53*'Taw Construction - GIFA'!C66</f>
        <v>101556.13577023499</v>
      </c>
      <c r="D37" s="32">
        <f>C37/'Taw Construction - GIFA'!B50</f>
        <v>17.509678581075001</v>
      </c>
      <c r="E37" s="30">
        <v>4</v>
      </c>
      <c r="F37" s="30" t="s">
        <v>109</v>
      </c>
      <c r="G37" s="32">
        <v>26000</v>
      </c>
      <c r="H37" s="55">
        <f t="shared" si="0"/>
        <v>6.2982078572038098E-3</v>
      </c>
      <c r="I37" s="31" t="s">
        <v>105</v>
      </c>
      <c r="J37" s="40"/>
      <c r="K37" s="40" t="s">
        <v>197</v>
      </c>
    </row>
    <row r="38" spans="1:11" s="23" customFormat="1" x14ac:dyDescent="0.3">
      <c r="A38" s="28" t="s">
        <v>110</v>
      </c>
      <c r="B38" s="32">
        <f t="shared" si="1"/>
        <v>663000</v>
      </c>
      <c r="C38" s="29">
        <f>B38*'Taw Construction - GIFA'!C53*'Taw Construction - GIFA'!C66</f>
        <v>647420.36553524807</v>
      </c>
      <c r="D38" s="32">
        <f>C38/'Taw Construction - GIFA'!B50</f>
        <v>111.62420095435313</v>
      </c>
      <c r="E38" s="30">
        <f>(65*2)*15</f>
        <v>1950</v>
      </c>
      <c r="F38" s="30" t="s">
        <v>14</v>
      </c>
      <c r="G38" s="32">
        <v>340</v>
      </c>
      <c r="H38" s="55">
        <f t="shared" si="0"/>
        <v>4.015107508967429E-2</v>
      </c>
      <c r="I38" s="31" t="s">
        <v>105</v>
      </c>
      <c r="J38" s="40"/>
      <c r="K38" s="40"/>
    </row>
    <row r="39" spans="1:11" s="23" customFormat="1" x14ac:dyDescent="0.3">
      <c r="A39" s="28" t="s">
        <v>111</v>
      </c>
      <c r="B39" s="32">
        <f t="shared" si="1"/>
        <v>379500</v>
      </c>
      <c r="C39" s="29">
        <f>B39*'Taw Construction - GIFA'!C53*'Taw Construction - GIFA'!C66</f>
        <v>370582.24543080945</v>
      </c>
      <c r="D39" s="32">
        <f>C39/'Taw Construction - GIFA'!B50</f>
        <v>63.893490591518876</v>
      </c>
      <c r="E39" s="30">
        <f>(55*2)*15</f>
        <v>1650</v>
      </c>
      <c r="F39" s="30" t="s">
        <v>14</v>
      </c>
      <c r="G39" s="32">
        <v>230</v>
      </c>
      <c r="H39" s="55">
        <f t="shared" si="0"/>
        <v>2.2982402709700443E-2</v>
      </c>
      <c r="I39" s="31" t="s">
        <v>105</v>
      </c>
      <c r="J39" s="40"/>
      <c r="K39" s="40"/>
    </row>
    <row r="40" spans="1:11" s="23" customFormat="1" ht="43.2" x14ac:dyDescent="0.3">
      <c r="A40" s="28" t="s">
        <v>112</v>
      </c>
      <c r="B40" s="32">
        <f t="shared" si="1"/>
        <v>352957.50000000006</v>
      </c>
      <c r="C40" s="29">
        <f>B40*'Taw Construction - GIFA'!C53*'Taw Construction - GIFA'!C66</f>
        <v>344663.45953002619</v>
      </c>
      <c r="D40" s="32">
        <f>C40/'Taw Construction - GIFA'!B50</f>
        <v>59.424734401728664</v>
      </c>
      <c r="E40" s="30">
        <f>(2.1*1.5)*60*3</f>
        <v>567.00000000000011</v>
      </c>
      <c r="F40" s="30" t="s">
        <v>14</v>
      </c>
      <c r="G40" s="32">
        <f>415*150%</f>
        <v>622.5</v>
      </c>
      <c r="H40" s="55">
        <f t="shared" si="0"/>
        <v>2.1374997113067444E-2</v>
      </c>
      <c r="I40" s="31" t="s">
        <v>105</v>
      </c>
      <c r="J40" s="39" t="s">
        <v>198</v>
      </c>
      <c r="K40" s="40" t="s">
        <v>113</v>
      </c>
    </row>
    <row r="41" spans="1:11" s="23" customFormat="1" x14ac:dyDescent="0.3">
      <c r="A41" s="28" t="s">
        <v>114</v>
      </c>
      <c r="B41" s="32">
        <f t="shared" si="1"/>
        <v>5850</v>
      </c>
      <c r="C41" s="29">
        <f>B41*'Taw Construction - GIFA'!C53*'Taw Construction - GIFA'!C66</f>
        <v>5712.5326370757184</v>
      </c>
      <c r="D41" s="32">
        <f>C41/'Taw Construction - GIFA'!B50</f>
        <v>0.98491942018546885</v>
      </c>
      <c r="E41" s="30">
        <v>2</v>
      </c>
      <c r="F41" s="30" t="s">
        <v>115</v>
      </c>
      <c r="G41" s="32">
        <v>2925</v>
      </c>
      <c r="H41" s="55">
        <f t="shared" si="0"/>
        <v>3.5427419196771431E-4</v>
      </c>
      <c r="I41" s="31" t="s">
        <v>105</v>
      </c>
      <c r="J41" s="39" t="s">
        <v>116</v>
      </c>
      <c r="K41" s="40" t="s">
        <v>117</v>
      </c>
    </row>
    <row r="42" spans="1:11" s="23" customFormat="1" x14ac:dyDescent="0.3">
      <c r="A42" s="28" t="s">
        <v>118</v>
      </c>
      <c r="B42" s="32">
        <f t="shared" si="1"/>
        <v>4525</v>
      </c>
      <c r="C42" s="29">
        <f>B42*'Taw Construction - GIFA'!C53*'Taw Construction - GIFA'!C66</f>
        <v>4418.6684073107053</v>
      </c>
      <c r="D42" s="32">
        <f>C42/'Taw Construction - GIFA'!B50</f>
        <v>0.76183938057081135</v>
      </c>
      <c r="E42" s="30">
        <v>1</v>
      </c>
      <c r="F42" s="30" t="s">
        <v>115</v>
      </c>
      <c r="G42" s="32">
        <v>4525</v>
      </c>
      <c r="H42" s="55">
        <f t="shared" si="0"/>
        <v>2.740326014793004E-4</v>
      </c>
      <c r="I42" s="31" t="s">
        <v>105</v>
      </c>
      <c r="J42" s="39" t="s">
        <v>116</v>
      </c>
      <c r="K42" s="40" t="s">
        <v>117</v>
      </c>
    </row>
    <row r="43" spans="1:11" s="23" customFormat="1" x14ac:dyDescent="0.3">
      <c r="A43" s="28" t="s">
        <v>119</v>
      </c>
      <c r="B43" s="32">
        <f t="shared" si="1"/>
        <v>56000</v>
      </c>
      <c r="C43" s="29">
        <f>B43*'Taw Construction - GIFA'!C53*'Taw Construction - GIFA'!C66</f>
        <v>54684.073107049611</v>
      </c>
      <c r="D43" s="32">
        <f>C43/'Taw Construction - GIFA'!B50</f>
        <v>9.4282884667326936</v>
      </c>
      <c r="E43" s="30">
        <v>1</v>
      </c>
      <c r="F43" s="30" t="s">
        <v>115</v>
      </c>
      <c r="G43" s="32">
        <v>56000</v>
      </c>
      <c r="H43" s="55">
        <f t="shared" si="0"/>
        <v>3.3913426923405129E-3</v>
      </c>
      <c r="I43" s="31" t="s">
        <v>105</v>
      </c>
      <c r="J43" s="39" t="s">
        <v>116</v>
      </c>
      <c r="K43" s="40" t="s">
        <v>117</v>
      </c>
    </row>
    <row r="44" spans="1:11" s="23" customFormat="1" ht="28.8" x14ac:dyDescent="0.3">
      <c r="A44" s="28" t="s">
        <v>120</v>
      </c>
      <c r="B44" s="32">
        <f>E44*G44</f>
        <v>60300</v>
      </c>
      <c r="C44" s="29">
        <f>B44*'Taw Construction - GIFA'!C53*'Taw Construction - GIFA'!C66</f>
        <v>58883.028720626637</v>
      </c>
      <c r="D44" s="32">
        <f>C44/'Taw Construction - GIFA'!B50</f>
        <v>10.152246331142525</v>
      </c>
      <c r="E44" s="30">
        <f>18*5</f>
        <v>90</v>
      </c>
      <c r="F44" s="30" t="s">
        <v>14</v>
      </c>
      <c r="G44" s="32">
        <v>670</v>
      </c>
      <c r="H44" s="55">
        <f t="shared" si="0"/>
        <v>3.6517493633595167E-3</v>
      </c>
      <c r="I44" s="31" t="s">
        <v>105</v>
      </c>
      <c r="J44" s="39" t="s">
        <v>121</v>
      </c>
      <c r="K44" s="40" t="s">
        <v>117</v>
      </c>
    </row>
    <row r="45" spans="1:11" s="23" customFormat="1" ht="63" customHeight="1" x14ac:dyDescent="0.3">
      <c r="A45" s="28" t="s">
        <v>122</v>
      </c>
      <c r="B45" s="32">
        <f t="shared" si="1"/>
        <v>277809.84000000003</v>
      </c>
      <c r="C45" s="29">
        <f>B45*'Taw Construction - GIFA'!C53*'Taw Construction - GIFA'!C66</f>
        <v>271281.67143603141</v>
      </c>
      <c r="D45" s="32">
        <f>C45/'Taw Construction - GIFA'!B50</f>
        <v>46.77270197172956</v>
      </c>
      <c r="E45" s="30">
        <f>(378.28*3)+(402.37*3)+(421.99*3)</f>
        <v>3607.92</v>
      </c>
      <c r="F45" s="30" t="s">
        <v>14</v>
      </c>
      <c r="G45" s="32">
        <v>77</v>
      </c>
      <c r="H45" s="55">
        <f t="shared" si="0"/>
        <v>1.6824078049005133E-2</v>
      </c>
      <c r="I45" s="31" t="s">
        <v>105</v>
      </c>
      <c r="J45" s="39" t="s">
        <v>123</v>
      </c>
      <c r="K45" s="40" t="s">
        <v>124</v>
      </c>
    </row>
    <row r="46" spans="1:11" s="23" customFormat="1" ht="63" customHeight="1" x14ac:dyDescent="0.3">
      <c r="A46" s="28" t="s">
        <v>125</v>
      </c>
      <c r="B46" s="32">
        <f t="shared" si="1"/>
        <v>137179.35</v>
      </c>
      <c r="C46" s="29">
        <f>B46*'Taw Construction - GIFA'!C53*'Taw Construction - GIFA'!C66</f>
        <v>133955.81436031335</v>
      </c>
      <c r="D46" s="32">
        <f>C46/'Taw Construction - GIFA'!B50</f>
        <v>23.095830062122996</v>
      </c>
      <c r="E46" s="30">
        <f>237.54*15</f>
        <v>3563.1</v>
      </c>
      <c r="F46" s="30" t="s">
        <v>14</v>
      </c>
      <c r="G46" s="32">
        <f>77/2</f>
        <v>38.5</v>
      </c>
      <c r="H46" s="55">
        <f t="shared" si="0"/>
        <v>8.3075390386164582E-3</v>
      </c>
      <c r="I46" s="31" t="s">
        <v>105</v>
      </c>
      <c r="J46" s="39" t="s">
        <v>126</v>
      </c>
      <c r="K46" s="40" t="s">
        <v>124</v>
      </c>
    </row>
    <row r="47" spans="1:11" s="23" customFormat="1" x14ac:dyDescent="0.3">
      <c r="A47" s="28" t="s">
        <v>127</v>
      </c>
      <c r="B47" s="32">
        <f t="shared" ref="B47:B92" si="2">E47*G47</f>
        <v>63000</v>
      </c>
      <c r="C47" s="29">
        <f>B47*'Taw Construction - GIFA'!C53*'Taw Construction - GIFA'!C66</f>
        <v>61519.582245430815</v>
      </c>
      <c r="D47" s="32">
        <f>C47/'Taw Construction - GIFA'!B50</f>
        <v>10.606824525074281</v>
      </c>
      <c r="E47" s="30">
        <f>14+15+16</f>
        <v>45</v>
      </c>
      <c r="F47" s="30" t="s">
        <v>115</v>
      </c>
      <c r="G47" s="32">
        <v>1400</v>
      </c>
      <c r="H47" s="55">
        <f t="shared" si="0"/>
        <v>3.8152605288830771E-3</v>
      </c>
      <c r="I47" s="31" t="s">
        <v>105</v>
      </c>
      <c r="J47" s="40" t="s">
        <v>128</v>
      </c>
      <c r="K47" s="40" t="s">
        <v>129</v>
      </c>
    </row>
    <row r="48" spans="1:11" s="23" customFormat="1" x14ac:dyDescent="0.3">
      <c r="A48" s="28" t="s">
        <v>130</v>
      </c>
      <c r="B48" s="32">
        <f t="shared" si="2"/>
        <v>2625</v>
      </c>
      <c r="C48" s="29">
        <f>B48*'Taw Construction - GIFA'!C53*'Taw Construction - GIFA'!C66</f>
        <v>2563.3159268929508</v>
      </c>
      <c r="D48" s="32">
        <f>C48/'Taw Construction - GIFA'!B50</f>
        <v>0.44195102187809504</v>
      </c>
      <c r="E48" s="30">
        <f>1</f>
        <v>1</v>
      </c>
      <c r="F48" s="30" t="s">
        <v>115</v>
      </c>
      <c r="G48" s="32">
        <v>2625</v>
      </c>
      <c r="H48" s="55">
        <f t="shared" si="0"/>
        <v>1.5896918870346156E-4</v>
      </c>
      <c r="I48" s="31" t="s">
        <v>105</v>
      </c>
      <c r="J48" s="40" t="s">
        <v>128</v>
      </c>
      <c r="K48" s="40" t="s">
        <v>129</v>
      </c>
    </row>
    <row r="49" spans="1:11" s="23" customFormat="1" x14ac:dyDescent="0.3">
      <c r="A49" s="33" t="s">
        <v>131</v>
      </c>
      <c r="B49" s="32"/>
      <c r="C49" s="29"/>
      <c r="D49" s="32"/>
      <c r="E49" s="30"/>
      <c r="F49" s="30"/>
      <c r="G49" s="32"/>
      <c r="H49" s="55"/>
      <c r="I49" s="31"/>
      <c r="J49" s="40"/>
      <c r="K49" s="40"/>
    </row>
    <row r="50" spans="1:11" s="23" customFormat="1" ht="52.2" customHeight="1" x14ac:dyDescent="0.3">
      <c r="A50" s="28" t="s">
        <v>132</v>
      </c>
      <c r="B50" s="32">
        <f t="shared" si="2"/>
        <v>13680</v>
      </c>
      <c r="C50" s="29">
        <f>B50*'Taw Construction - GIFA'!C53*'Taw Construction - GIFA'!C66</f>
        <v>13358.537859007834</v>
      </c>
      <c r="D50" s="32">
        <f>C50/'Taw Construction - GIFA'!B50</f>
        <v>2.3031961825875582</v>
      </c>
      <c r="E50" s="30">
        <f>48*3</f>
        <v>144</v>
      </c>
      <c r="F50" s="30" t="s">
        <v>14</v>
      </c>
      <c r="G50" s="32">
        <v>95</v>
      </c>
      <c r="H50" s="55">
        <f>C50/$C$95</f>
        <v>8.2845657198603968E-4</v>
      </c>
      <c r="I50" s="31" t="s">
        <v>105</v>
      </c>
      <c r="J50" s="39" t="s">
        <v>133</v>
      </c>
      <c r="K50" s="40"/>
    </row>
    <row r="51" spans="1:11" s="23" customFormat="1" x14ac:dyDescent="0.3">
      <c r="A51" s="28" t="s">
        <v>134</v>
      </c>
      <c r="B51" s="32">
        <f t="shared" si="2"/>
        <v>408899.99999999994</v>
      </c>
      <c r="C51" s="29">
        <f>B51*'Taw Construction - GIFA'!C53*'Taw Construction - GIFA'!C66</f>
        <v>399291.3838120104</v>
      </c>
      <c r="D51" s="32">
        <f>C51/'Taw Construction - GIFA'!B50</f>
        <v>68.843342036553523</v>
      </c>
      <c r="E51" s="30">
        <f>B28</f>
        <v>5799.9999999999991</v>
      </c>
      <c r="F51" s="30" t="s">
        <v>14</v>
      </c>
      <c r="G51" s="32">
        <v>70.5</v>
      </c>
      <c r="H51" s="55">
        <f>C51/$C$95</f>
        <v>2.4762857623179205E-2</v>
      </c>
      <c r="I51" s="31" t="s">
        <v>105</v>
      </c>
      <c r="J51" s="40" t="s">
        <v>135</v>
      </c>
      <c r="K51" s="40"/>
    </row>
    <row r="52" spans="1:11" s="23" customFormat="1" x14ac:dyDescent="0.3">
      <c r="A52" s="28" t="s">
        <v>136</v>
      </c>
      <c r="B52" s="32">
        <f t="shared" si="2"/>
        <v>736976.99999999988</v>
      </c>
      <c r="C52" s="29">
        <f>B52*'Taw Construction - GIFA'!C53*'Taw Construction - GIFA'!C66</f>
        <v>719659.00261096598</v>
      </c>
      <c r="D52" s="32">
        <f>C52/'Taw Construction - GIFA'!B50</f>
        <v>124.07913838120105</v>
      </c>
      <c r="E52" s="30">
        <f>(3446.6-2304)*3</f>
        <v>3427.7999999999997</v>
      </c>
      <c r="F52" s="30" t="s">
        <v>14</v>
      </c>
      <c r="G52" s="32">
        <v>215</v>
      </c>
      <c r="H52" s="55">
        <f>C52/$C$95</f>
        <v>4.4631099345947035E-2</v>
      </c>
      <c r="I52" s="31" t="s">
        <v>105</v>
      </c>
      <c r="J52" s="40" t="s">
        <v>199</v>
      </c>
      <c r="K52" s="40" t="s">
        <v>200</v>
      </c>
    </row>
    <row r="53" spans="1:11" s="23" customFormat="1" x14ac:dyDescent="0.3">
      <c r="A53" s="33" t="s">
        <v>137</v>
      </c>
      <c r="B53" s="32"/>
      <c r="C53" s="29"/>
      <c r="D53" s="32"/>
      <c r="E53" s="30"/>
      <c r="F53" s="30"/>
      <c r="G53" s="32"/>
      <c r="H53" s="31"/>
      <c r="I53" s="31"/>
      <c r="J53" s="40"/>
      <c r="K53" s="40"/>
    </row>
    <row r="54" spans="1:11" s="23" customFormat="1" x14ac:dyDescent="0.3">
      <c r="A54" s="28" t="s">
        <v>138</v>
      </c>
      <c r="B54" s="32">
        <f t="shared" si="2"/>
        <v>350000</v>
      </c>
      <c r="C54" s="32">
        <v>350000</v>
      </c>
      <c r="D54" s="32">
        <f>C54/'Taw Construction - GIFA'!B50</f>
        <v>60.344827586206904</v>
      </c>
      <c r="E54" s="30">
        <v>1</v>
      </c>
      <c r="F54" s="30" t="s">
        <v>176</v>
      </c>
      <c r="G54" s="32">
        <v>350000</v>
      </c>
      <c r="H54" s="55">
        <f>C54/$C$95</f>
        <v>2.1705953395160703E-2</v>
      </c>
      <c r="I54" s="31" t="s">
        <v>105</v>
      </c>
      <c r="J54" s="40"/>
      <c r="K54" s="40"/>
    </row>
    <row r="55" spans="1:11" s="23" customFormat="1" x14ac:dyDescent="0.3">
      <c r="A55" s="28" t="s">
        <v>139</v>
      </c>
      <c r="B55" s="32">
        <f t="shared" si="2"/>
        <v>50000</v>
      </c>
      <c r="C55" s="29">
        <v>50000</v>
      </c>
      <c r="D55" s="32">
        <f>C55/'Taw Construction - GIFA'!B50</f>
        <v>8.6206896551724146</v>
      </c>
      <c r="E55" s="30">
        <v>1</v>
      </c>
      <c r="F55" s="30" t="s">
        <v>176</v>
      </c>
      <c r="G55" s="32">
        <v>50000</v>
      </c>
      <c r="H55" s="55">
        <f>C55/$C$95</f>
        <v>3.1008504850229576E-3</v>
      </c>
      <c r="I55" s="31" t="s">
        <v>105</v>
      </c>
      <c r="J55" s="40"/>
      <c r="K55" s="40"/>
    </row>
    <row r="56" spans="1:11" s="23" customFormat="1" x14ac:dyDescent="0.3">
      <c r="A56" s="28" t="s">
        <v>140</v>
      </c>
      <c r="B56" s="32" t="s">
        <v>194</v>
      </c>
      <c r="C56" s="29" t="s">
        <v>194</v>
      </c>
      <c r="D56" s="32"/>
      <c r="E56" s="30">
        <v>1</v>
      </c>
      <c r="F56" s="30" t="s">
        <v>176</v>
      </c>
      <c r="G56" s="32" t="s">
        <v>194</v>
      </c>
      <c r="H56" s="55">
        <v>0</v>
      </c>
      <c r="I56" s="31" t="s">
        <v>105</v>
      </c>
      <c r="J56" s="40"/>
      <c r="K56" s="40"/>
    </row>
    <row r="57" spans="1:11" s="23" customFormat="1" x14ac:dyDescent="0.3">
      <c r="A57" s="28" t="s">
        <v>141</v>
      </c>
      <c r="B57" s="32" t="s">
        <v>194</v>
      </c>
      <c r="C57" s="29" t="s">
        <v>194</v>
      </c>
      <c r="D57" s="32"/>
      <c r="E57" s="30">
        <v>1</v>
      </c>
      <c r="F57" s="30" t="s">
        <v>176</v>
      </c>
      <c r="G57" s="32" t="s">
        <v>194</v>
      </c>
      <c r="H57" s="55">
        <v>0</v>
      </c>
      <c r="I57" s="31" t="s">
        <v>105</v>
      </c>
      <c r="J57" s="40"/>
      <c r="K57" s="40"/>
    </row>
    <row r="58" spans="1:11" s="23" customFormat="1" x14ac:dyDescent="0.3">
      <c r="A58" s="28" t="s">
        <v>142</v>
      </c>
      <c r="B58" s="32">
        <f t="shared" si="2"/>
        <v>50000</v>
      </c>
      <c r="C58" s="32">
        <v>50000</v>
      </c>
      <c r="D58" s="32">
        <f>C58/'Taw Construction - GIFA'!B50</f>
        <v>8.6206896551724146</v>
      </c>
      <c r="E58" s="30">
        <v>1</v>
      </c>
      <c r="F58" s="30" t="s">
        <v>176</v>
      </c>
      <c r="G58" s="32">
        <v>50000</v>
      </c>
      <c r="H58" s="55">
        <f t="shared" ref="H58:H68" si="3">C58/$C$95</f>
        <v>3.1008504850229576E-3</v>
      </c>
      <c r="I58" s="31" t="s">
        <v>105</v>
      </c>
      <c r="J58" s="40"/>
      <c r="K58" s="40"/>
    </row>
    <row r="59" spans="1:11" s="23" customFormat="1" x14ac:dyDescent="0.3">
      <c r="A59" s="28" t="s">
        <v>193</v>
      </c>
      <c r="B59" s="32">
        <f t="shared" si="2"/>
        <v>250000</v>
      </c>
      <c r="C59" s="29">
        <v>250000</v>
      </c>
      <c r="D59" s="32">
        <f>C59/'Taw Construction - GIFA'!B50</f>
        <v>43.103448275862078</v>
      </c>
      <c r="E59" s="30">
        <v>1</v>
      </c>
      <c r="F59" s="30" t="s">
        <v>176</v>
      </c>
      <c r="G59" s="32">
        <v>250000</v>
      </c>
      <c r="H59" s="55">
        <f t="shared" si="3"/>
        <v>1.5504252425114787E-2</v>
      </c>
      <c r="I59" s="31" t="s">
        <v>105</v>
      </c>
      <c r="J59" s="40"/>
      <c r="K59" s="40"/>
    </row>
    <row r="60" spans="1:11" s="23" customFormat="1" x14ac:dyDescent="0.3">
      <c r="A60" s="28" t="s">
        <v>143</v>
      </c>
      <c r="B60" s="32">
        <f t="shared" si="2"/>
        <v>1100000</v>
      </c>
      <c r="C60" s="29">
        <v>1100000</v>
      </c>
      <c r="D60" s="32">
        <f>C60/'Taw Construction - GIFA'!B50</f>
        <v>189.65517241379314</v>
      </c>
      <c r="E60" s="30">
        <v>1</v>
      </c>
      <c r="F60" s="30" t="s">
        <v>176</v>
      </c>
      <c r="G60" s="32">
        <v>1100000</v>
      </c>
      <c r="H60" s="55">
        <f t="shared" si="3"/>
        <v>6.821871067050507E-2</v>
      </c>
      <c r="I60" s="31" t="s">
        <v>105</v>
      </c>
      <c r="J60" s="40"/>
      <c r="K60" s="40"/>
    </row>
    <row r="61" spans="1:11" s="23" customFormat="1" x14ac:dyDescent="0.3">
      <c r="A61" s="28" t="s">
        <v>144</v>
      </c>
      <c r="B61" s="32">
        <f t="shared" si="2"/>
        <v>250000</v>
      </c>
      <c r="C61" s="29">
        <v>250000</v>
      </c>
      <c r="D61" s="32">
        <f>C61/'Taw Construction - GIFA'!B50</f>
        <v>43.103448275862078</v>
      </c>
      <c r="E61" s="30">
        <v>1</v>
      </c>
      <c r="F61" s="30" t="s">
        <v>176</v>
      </c>
      <c r="G61" s="32">
        <v>250000</v>
      </c>
      <c r="H61" s="55">
        <f t="shared" si="3"/>
        <v>1.5504252425114787E-2</v>
      </c>
      <c r="I61" s="31" t="s">
        <v>105</v>
      </c>
      <c r="J61" s="40"/>
      <c r="K61" s="40"/>
    </row>
    <row r="62" spans="1:11" s="23" customFormat="1" x14ac:dyDescent="0.3">
      <c r="A62" s="28" t="s">
        <v>145</v>
      </c>
      <c r="B62" s="32">
        <f t="shared" si="2"/>
        <v>1100000</v>
      </c>
      <c r="C62" s="32">
        <v>1100000</v>
      </c>
      <c r="D62" s="32">
        <f>C62/'Taw Construction - GIFA'!B50</f>
        <v>189.65517241379314</v>
      </c>
      <c r="E62" s="30">
        <v>1</v>
      </c>
      <c r="F62" s="30" t="s">
        <v>176</v>
      </c>
      <c r="G62" s="32">
        <v>1100000</v>
      </c>
      <c r="H62" s="55">
        <f t="shared" si="3"/>
        <v>6.821871067050507E-2</v>
      </c>
      <c r="I62" s="31" t="s">
        <v>105</v>
      </c>
      <c r="J62" s="40"/>
      <c r="K62" s="40"/>
    </row>
    <row r="63" spans="1:11" s="23" customFormat="1" x14ac:dyDescent="0.3">
      <c r="A63" s="28" t="s">
        <v>146</v>
      </c>
      <c r="B63" s="32"/>
      <c r="C63" s="29"/>
      <c r="D63" s="32"/>
      <c r="E63" s="30"/>
      <c r="F63" s="30" t="s">
        <v>191</v>
      </c>
      <c r="G63" s="32"/>
      <c r="H63" s="55">
        <f t="shared" si="3"/>
        <v>0</v>
      </c>
      <c r="I63" s="31" t="s">
        <v>105</v>
      </c>
      <c r="J63" s="40"/>
      <c r="K63" s="40"/>
    </row>
    <row r="64" spans="1:11" s="23" customFormat="1" x14ac:dyDescent="0.3">
      <c r="A64" s="28" t="s">
        <v>195</v>
      </c>
      <c r="B64" s="32">
        <f t="shared" si="2"/>
        <v>100000</v>
      </c>
      <c r="C64" s="32">
        <v>100000</v>
      </c>
      <c r="D64" s="32">
        <f>C64/'Taw Construction - GIFA'!B50</f>
        <v>17.241379310344829</v>
      </c>
      <c r="E64" s="30">
        <v>1</v>
      </c>
      <c r="F64" s="30" t="s">
        <v>176</v>
      </c>
      <c r="G64" s="32">
        <v>100000</v>
      </c>
      <c r="H64" s="55">
        <f t="shared" si="3"/>
        <v>6.2017009700459152E-3</v>
      </c>
      <c r="I64" s="31" t="s">
        <v>105</v>
      </c>
      <c r="J64" s="40"/>
      <c r="K64" s="40"/>
    </row>
    <row r="65" spans="1:12" s="23" customFormat="1" x14ac:dyDescent="0.3">
      <c r="A65" s="28" t="s">
        <v>147</v>
      </c>
      <c r="B65" s="32">
        <f t="shared" si="2"/>
        <v>25000</v>
      </c>
      <c r="C65" s="32">
        <v>25000</v>
      </c>
      <c r="D65" s="32">
        <f>C65/'Taw Construction - GIFA'!B50</f>
        <v>4.3103448275862073</v>
      </c>
      <c r="E65" s="30">
        <v>1</v>
      </c>
      <c r="F65" s="30" t="s">
        <v>176</v>
      </c>
      <c r="G65" s="32">
        <v>25000</v>
      </c>
      <c r="H65" s="55">
        <f t="shared" si="3"/>
        <v>1.5504252425114788E-3</v>
      </c>
      <c r="I65" s="31" t="s">
        <v>105</v>
      </c>
      <c r="J65" s="40"/>
      <c r="K65" s="40"/>
    </row>
    <row r="66" spans="1:12" s="23" customFormat="1" x14ac:dyDescent="0.3">
      <c r="A66" s="28" t="s">
        <v>148</v>
      </c>
      <c r="B66" s="32">
        <f t="shared" si="2"/>
        <v>200000</v>
      </c>
      <c r="C66" s="32">
        <v>200000</v>
      </c>
      <c r="D66" s="32">
        <f>C66/'Taw Construction - GIFA'!B50</f>
        <v>34.482758620689658</v>
      </c>
      <c r="E66" s="30">
        <v>1</v>
      </c>
      <c r="F66" s="30" t="s">
        <v>176</v>
      </c>
      <c r="G66" s="32">
        <v>200000</v>
      </c>
      <c r="H66" s="55">
        <f t="shared" si="3"/>
        <v>1.240340194009183E-2</v>
      </c>
      <c r="I66" s="31" t="s">
        <v>105</v>
      </c>
      <c r="J66" s="40"/>
      <c r="K66" s="40"/>
    </row>
    <row r="67" spans="1:12" s="23" customFormat="1" x14ac:dyDescent="0.3">
      <c r="A67" s="28" t="s">
        <v>149</v>
      </c>
      <c r="B67" s="32">
        <f t="shared" si="2"/>
        <v>500000</v>
      </c>
      <c r="C67" s="29">
        <v>500000</v>
      </c>
      <c r="D67" s="32">
        <f>C67/'Taw Construction - GIFA'!B50</f>
        <v>86.206896551724157</v>
      </c>
      <c r="E67" s="30">
        <v>1</v>
      </c>
      <c r="F67" s="30" t="s">
        <v>176</v>
      </c>
      <c r="G67" s="32">
        <v>500000</v>
      </c>
      <c r="H67" s="55">
        <f t="shared" si="3"/>
        <v>3.1008504850229573E-2</v>
      </c>
      <c r="I67" s="31" t="s">
        <v>105</v>
      </c>
      <c r="J67" s="40"/>
      <c r="K67" s="40"/>
    </row>
    <row r="68" spans="1:12" s="23" customFormat="1" x14ac:dyDescent="0.3">
      <c r="A68" s="28" t="s">
        <v>150</v>
      </c>
      <c r="B68" s="32">
        <f t="shared" si="2"/>
        <v>487200</v>
      </c>
      <c r="C68" s="29">
        <f>B68*'Taw Construction - GIFA'!C53*'Taw Construction - GIFA'!C66</f>
        <v>475751.43603133166</v>
      </c>
      <c r="D68" s="32">
        <f>C68/'Taw Construction - GIFA'!B50</f>
        <v>82.026109660574434</v>
      </c>
      <c r="E68" s="30">
        <v>5800</v>
      </c>
      <c r="F68" s="30" t="s">
        <v>14</v>
      </c>
      <c r="G68" s="32">
        <f>29+55</f>
        <v>84</v>
      </c>
      <c r="H68" s="55">
        <f t="shared" si="3"/>
        <v>2.9504681423362464E-2</v>
      </c>
      <c r="I68" s="31" t="s">
        <v>105</v>
      </c>
      <c r="J68" s="40" t="s">
        <v>177</v>
      </c>
      <c r="K68" s="40" t="s">
        <v>178</v>
      </c>
    </row>
    <row r="69" spans="1:12" s="23" customFormat="1" x14ac:dyDescent="0.3">
      <c r="A69" s="33" t="s">
        <v>151</v>
      </c>
      <c r="B69" s="32"/>
      <c r="C69" s="29"/>
      <c r="D69" s="32"/>
      <c r="E69" s="30"/>
      <c r="F69" s="30"/>
      <c r="G69" s="32"/>
      <c r="H69" s="31"/>
      <c r="I69" s="31"/>
      <c r="J69" s="40"/>
      <c r="K69" s="40"/>
    </row>
    <row r="70" spans="1:12" s="23" customFormat="1" x14ac:dyDescent="0.3">
      <c r="A70" s="33" t="s">
        <v>152</v>
      </c>
      <c r="B70" s="32"/>
      <c r="C70" s="29"/>
      <c r="D70" s="32"/>
      <c r="E70" s="30"/>
      <c r="F70" s="30"/>
      <c r="G70" s="32"/>
      <c r="H70" s="31"/>
      <c r="I70" s="31"/>
      <c r="J70" s="40"/>
      <c r="K70" s="40"/>
    </row>
    <row r="71" spans="1:12" s="23" customFormat="1" x14ac:dyDescent="0.3">
      <c r="A71" s="33" t="s">
        <v>153</v>
      </c>
      <c r="B71" s="32"/>
      <c r="C71" s="29"/>
      <c r="D71" s="32"/>
      <c r="E71" s="30"/>
      <c r="F71" s="30"/>
      <c r="G71" s="32"/>
      <c r="H71" s="31"/>
      <c r="I71" s="31"/>
      <c r="J71" s="40"/>
      <c r="K71" s="40"/>
    </row>
    <row r="72" spans="1:12" s="23" customFormat="1" x14ac:dyDescent="0.3">
      <c r="A72" s="33" t="s">
        <v>154</v>
      </c>
      <c r="B72" s="32"/>
      <c r="C72" s="29"/>
      <c r="D72" s="32"/>
      <c r="E72" s="30"/>
      <c r="F72" s="30"/>
      <c r="G72" s="32"/>
      <c r="H72" s="31"/>
      <c r="I72" s="31"/>
      <c r="J72" s="40"/>
      <c r="K72" s="40"/>
    </row>
    <row r="73" spans="1:12" s="23" customFormat="1" x14ac:dyDescent="0.3">
      <c r="A73" s="28" t="s">
        <v>155</v>
      </c>
      <c r="B73" s="32">
        <f t="shared" si="2"/>
        <v>3000</v>
      </c>
      <c r="C73" s="29">
        <f>B73*'Taw Construction - GIFA'!C53*'Taw Construction - GIFA'!C66</f>
        <v>2929.5039164490863</v>
      </c>
      <c r="D73" s="32">
        <f>C73/'Taw Construction - GIFA'!B50</f>
        <v>0.5050868821463943</v>
      </c>
      <c r="E73" s="30">
        <v>6000</v>
      </c>
      <c r="F73" s="30" t="s">
        <v>14</v>
      </c>
      <c r="G73" s="32">
        <v>0.5</v>
      </c>
      <c r="H73" s="55">
        <f t="shared" ref="H73:H81" si="4">C73/$C$95</f>
        <v>1.8167907280395605E-4</v>
      </c>
      <c r="I73" s="31" t="s">
        <v>105</v>
      </c>
      <c r="J73" s="40"/>
      <c r="K73" s="40"/>
    </row>
    <row r="74" spans="1:12" s="50" customFormat="1" ht="57.6" x14ac:dyDescent="0.3">
      <c r="A74" s="37" t="s">
        <v>180</v>
      </c>
      <c r="B74" s="47">
        <f t="shared" si="2"/>
        <v>263250</v>
      </c>
      <c r="C74" s="29">
        <f>B74*'Taw Construction - GIFA'!C53*'Taw Construction - GIFA'!C66</f>
        <v>257063.96866840732</v>
      </c>
      <c r="D74" s="32">
        <f>C74/'Taw Construction - GIFA'!B50</f>
        <v>44.321373908346096</v>
      </c>
      <c r="E74" s="48">
        <f>6000-3500-500-50</f>
        <v>1950</v>
      </c>
      <c r="F74" s="48" t="s">
        <v>14</v>
      </c>
      <c r="G74" s="47">
        <v>135</v>
      </c>
      <c r="H74" s="55">
        <f t="shared" si="4"/>
        <v>1.5942338638547143E-2</v>
      </c>
      <c r="I74" s="49" t="s">
        <v>105</v>
      </c>
      <c r="J74" s="39" t="s">
        <v>179</v>
      </c>
      <c r="K74" s="39" t="s">
        <v>233</v>
      </c>
      <c r="L74"/>
    </row>
    <row r="75" spans="1:12" s="50" customFormat="1" x14ac:dyDescent="0.3">
      <c r="A75" s="37" t="s">
        <v>181</v>
      </c>
      <c r="B75" s="47">
        <f>E75*G75</f>
        <v>24000</v>
      </c>
      <c r="C75" s="29">
        <f>B75*'Taw Construction - GIFA'!C53*'Taw Construction - GIFA'!C66</f>
        <v>23436.031331592691</v>
      </c>
      <c r="D75" s="32">
        <f>C75/'Taw Construction - GIFA'!B50</f>
        <v>4.0406950571711544</v>
      </c>
      <c r="E75" s="48">
        <v>500</v>
      </c>
      <c r="F75" s="48" t="s">
        <v>14</v>
      </c>
      <c r="G75" s="47">
        <v>48</v>
      </c>
      <c r="H75" s="55">
        <f t="shared" si="4"/>
        <v>1.4534325824316484E-3</v>
      </c>
      <c r="I75" s="49" t="s">
        <v>105</v>
      </c>
      <c r="J75" s="39"/>
      <c r="K75" s="39"/>
      <c r="L75"/>
    </row>
    <row r="76" spans="1:12" s="23" customFormat="1" x14ac:dyDescent="0.3">
      <c r="A76" s="28" t="s">
        <v>156</v>
      </c>
      <c r="B76" s="32">
        <f t="shared" si="2"/>
        <v>1700</v>
      </c>
      <c r="C76" s="29">
        <f>B76*'Taw Construction - GIFA'!C53*'Taw Construction - GIFA'!C66</f>
        <v>1660.0522193211489</v>
      </c>
      <c r="D76" s="32">
        <f>C76/'Taw Construction - GIFA'!B50</f>
        <v>0.28621589988295676</v>
      </c>
      <c r="E76" s="30">
        <v>50</v>
      </c>
      <c r="F76" s="30" t="s">
        <v>14</v>
      </c>
      <c r="G76" s="32">
        <v>34</v>
      </c>
      <c r="H76" s="55">
        <f t="shared" si="4"/>
        <v>1.0295147458890843E-4</v>
      </c>
      <c r="I76" s="49" t="s">
        <v>105</v>
      </c>
      <c r="J76" s="40"/>
      <c r="K76" s="40" t="s">
        <v>182</v>
      </c>
    </row>
    <row r="77" spans="1:12" s="23" customFormat="1" ht="43.2" x14ac:dyDescent="0.3">
      <c r="A77" s="28" t="s">
        <v>157</v>
      </c>
      <c r="B77" s="32">
        <f t="shared" si="2"/>
        <v>2992</v>
      </c>
      <c r="C77" s="29">
        <f>B77*'Taw Construction - GIFA'!C53*'Taw Construction - GIFA'!C66</f>
        <v>2921.6919060052223</v>
      </c>
      <c r="D77" s="32">
        <f>C77/'Taw Construction - GIFA'!B50</f>
        <v>0.50373998379400398</v>
      </c>
      <c r="E77" s="30">
        <f>68</f>
        <v>68</v>
      </c>
      <c r="F77" s="30" t="s">
        <v>184</v>
      </c>
      <c r="G77" s="32">
        <v>44</v>
      </c>
      <c r="H77" s="55">
        <f t="shared" si="4"/>
        <v>1.8119459527647885E-4</v>
      </c>
      <c r="I77" s="49" t="s">
        <v>105</v>
      </c>
      <c r="J77" s="39" t="s">
        <v>183</v>
      </c>
      <c r="K77" s="40"/>
    </row>
    <row r="78" spans="1:12" s="23" customFormat="1" x14ac:dyDescent="0.3">
      <c r="A78" s="28" t="s">
        <v>158</v>
      </c>
      <c r="B78" s="32">
        <f t="shared" si="2"/>
        <v>20000</v>
      </c>
      <c r="C78" s="29">
        <v>20000</v>
      </c>
      <c r="D78" s="32">
        <f>C78/'Taw Construction - GIFA'!B50</f>
        <v>3.4482758620689662</v>
      </c>
      <c r="E78" s="30">
        <v>1</v>
      </c>
      <c r="F78" s="30" t="s">
        <v>176</v>
      </c>
      <c r="G78" s="32">
        <v>20000</v>
      </c>
      <c r="H78" s="55">
        <f t="shared" si="4"/>
        <v>1.240340194009183E-3</v>
      </c>
      <c r="I78" s="49" t="s">
        <v>105</v>
      </c>
      <c r="J78" s="40"/>
      <c r="K78" s="40"/>
    </row>
    <row r="79" spans="1:12" s="23" customFormat="1" x14ac:dyDescent="0.3">
      <c r="A79" s="28" t="s">
        <v>159</v>
      </c>
      <c r="B79" s="32">
        <f t="shared" si="2"/>
        <v>120631</v>
      </c>
      <c r="C79" s="29">
        <f>B79*'Taw Construction - GIFA'!C53*'Taw Construction - GIFA'!C66</f>
        <v>117796.32898172324</v>
      </c>
      <c r="D79" s="32">
        <f>C79/'Taw Construction - GIFA'!B50</f>
        <v>20.309711893400561</v>
      </c>
      <c r="E79" s="30">
        <f>3446.6</f>
        <v>3446.6</v>
      </c>
      <c r="F79" s="30" t="s">
        <v>14</v>
      </c>
      <c r="G79" s="32">
        <v>35</v>
      </c>
      <c r="H79" s="55">
        <f t="shared" si="4"/>
        <v>7.3053760771380075E-3</v>
      </c>
      <c r="I79" s="31" t="s">
        <v>105</v>
      </c>
      <c r="J79" s="40"/>
      <c r="K79" s="40"/>
    </row>
    <row r="80" spans="1:12" s="23" customFormat="1" x14ac:dyDescent="0.3">
      <c r="A80" s="28" t="s">
        <v>160</v>
      </c>
      <c r="B80" s="32">
        <f t="shared" si="2"/>
        <v>0</v>
      </c>
      <c r="C80" s="29"/>
      <c r="D80" s="32"/>
      <c r="E80" s="30"/>
      <c r="F80" s="30" t="s">
        <v>176</v>
      </c>
      <c r="G80" s="32"/>
      <c r="H80" s="55">
        <f t="shared" si="4"/>
        <v>0</v>
      </c>
      <c r="I80" s="31" t="s">
        <v>105</v>
      </c>
      <c r="J80" s="40"/>
      <c r="K80" s="40"/>
    </row>
    <row r="81" spans="1:824" s="23" customFormat="1" ht="28.8" x14ac:dyDescent="0.3">
      <c r="A81" s="28" t="s">
        <v>161</v>
      </c>
      <c r="B81" s="32">
        <f t="shared" si="2"/>
        <v>265000</v>
      </c>
      <c r="C81" s="29">
        <f>B81*'Taw Construction - GIFA'!C53*'Taw Construction - GIFA'!C66</f>
        <v>258772.84595300263</v>
      </c>
      <c r="D81" s="32">
        <f>C81/'Taw Construction - GIFA'!B50</f>
        <v>44.616007922931495</v>
      </c>
      <c r="E81" s="30">
        <v>100</v>
      </c>
      <c r="F81" s="30" t="s">
        <v>14</v>
      </c>
      <c r="G81" s="32">
        <v>2650</v>
      </c>
      <c r="H81" s="55">
        <f t="shared" si="4"/>
        <v>1.6048318097682784E-2</v>
      </c>
      <c r="I81" s="31" t="s">
        <v>105</v>
      </c>
      <c r="J81" s="39" t="s">
        <v>189</v>
      </c>
      <c r="K81" s="40"/>
    </row>
    <row r="82" spans="1:824" s="23" customFormat="1" x14ac:dyDescent="0.3">
      <c r="A82" s="33" t="s">
        <v>162</v>
      </c>
      <c r="B82" s="32"/>
      <c r="C82" s="29"/>
      <c r="D82" s="32"/>
      <c r="E82" s="30"/>
      <c r="F82" s="30"/>
      <c r="G82" s="32"/>
      <c r="H82" s="31"/>
      <c r="I82" s="31"/>
      <c r="J82" s="52" t="s">
        <v>190</v>
      </c>
      <c r="K82" s="40"/>
    </row>
    <row r="83" spans="1:824" s="23" customFormat="1" x14ac:dyDescent="0.3">
      <c r="A83" s="28" t="s">
        <v>163</v>
      </c>
      <c r="B83" s="32"/>
      <c r="C83" s="29"/>
      <c r="D83" s="32"/>
      <c r="E83" s="30"/>
      <c r="F83" s="30" t="s">
        <v>191</v>
      </c>
      <c r="G83" s="32"/>
      <c r="H83" s="31"/>
      <c r="I83" s="31"/>
      <c r="J83" s="40"/>
      <c r="K83" s="40"/>
    </row>
    <row r="84" spans="1:824" s="23" customFormat="1" x14ac:dyDescent="0.3">
      <c r="A84" s="28" t="s">
        <v>164</v>
      </c>
      <c r="B84" s="32"/>
      <c r="C84" s="29"/>
      <c r="D84" s="32"/>
      <c r="E84" s="30"/>
      <c r="F84" s="30" t="s">
        <v>191</v>
      </c>
      <c r="G84" s="32"/>
      <c r="H84" s="31"/>
      <c r="I84" s="31"/>
      <c r="J84" s="40"/>
      <c r="K84" s="40"/>
    </row>
    <row r="85" spans="1:824" s="23" customFormat="1" x14ac:dyDescent="0.3">
      <c r="A85" s="28" t="s">
        <v>165</v>
      </c>
      <c r="B85" s="32"/>
      <c r="C85" s="29"/>
      <c r="D85" s="32"/>
      <c r="E85" s="30"/>
      <c r="F85" s="30" t="s">
        <v>191</v>
      </c>
      <c r="G85" s="32"/>
      <c r="H85" s="31"/>
      <c r="I85" s="31"/>
      <c r="J85" s="40"/>
      <c r="K85" s="40"/>
    </row>
    <row r="86" spans="1:824" s="23" customFormat="1" x14ac:dyDescent="0.3">
      <c r="A86" s="28" t="s">
        <v>166</v>
      </c>
      <c r="B86" s="32">
        <f t="shared" si="2"/>
        <v>100000</v>
      </c>
      <c r="C86" s="32">
        <v>100000</v>
      </c>
      <c r="D86" s="32">
        <f>C86/'Taw Construction - GIFA'!B50</f>
        <v>17.241379310344829</v>
      </c>
      <c r="E86" s="30">
        <v>1</v>
      </c>
      <c r="F86" s="30" t="s">
        <v>176</v>
      </c>
      <c r="G86" s="32">
        <v>100000</v>
      </c>
      <c r="H86" s="55">
        <f>C86/$C$95</f>
        <v>6.2017009700459152E-3</v>
      </c>
      <c r="I86" s="31" t="s">
        <v>105</v>
      </c>
      <c r="J86" s="40"/>
      <c r="K86" s="40"/>
    </row>
    <row r="87" spans="1:824" s="23" customFormat="1" x14ac:dyDescent="0.3">
      <c r="A87" s="28" t="s">
        <v>167</v>
      </c>
      <c r="B87" s="32">
        <f t="shared" si="2"/>
        <v>25000</v>
      </c>
      <c r="C87" s="32">
        <v>25000</v>
      </c>
      <c r="D87" s="32">
        <f>C87/'Taw Construction - GIFA'!B50</f>
        <v>4.3103448275862073</v>
      </c>
      <c r="E87" s="30">
        <v>1</v>
      </c>
      <c r="F87" s="30" t="s">
        <v>176</v>
      </c>
      <c r="G87" s="32">
        <v>25000</v>
      </c>
      <c r="H87" s="55">
        <f>C87/$C$95</f>
        <v>1.5504252425114788E-3</v>
      </c>
      <c r="I87" s="31" t="s">
        <v>105</v>
      </c>
      <c r="J87" s="40"/>
      <c r="K87" s="40"/>
    </row>
    <row r="88" spans="1:824" s="23" customFormat="1" x14ac:dyDescent="0.3">
      <c r="A88" s="28" t="s">
        <v>168</v>
      </c>
      <c r="B88" s="32">
        <f t="shared" si="2"/>
        <v>10000</v>
      </c>
      <c r="C88" s="32">
        <v>10000</v>
      </c>
      <c r="D88" s="32">
        <f>C88/'Taw Construction - GIFA'!B50</f>
        <v>1.7241379310344831</v>
      </c>
      <c r="E88" s="30">
        <v>1</v>
      </c>
      <c r="F88" s="30" t="s">
        <v>176</v>
      </c>
      <c r="G88" s="32">
        <v>10000</v>
      </c>
      <c r="H88" s="55">
        <f>C88/$C$95</f>
        <v>6.201700970045915E-4</v>
      </c>
      <c r="I88" s="31" t="s">
        <v>105</v>
      </c>
      <c r="J88" s="40"/>
      <c r="K88" s="40"/>
    </row>
    <row r="89" spans="1:824" s="23" customFormat="1" x14ac:dyDescent="0.3">
      <c r="A89" s="33" t="s">
        <v>169</v>
      </c>
      <c r="B89" s="32"/>
      <c r="C89" s="29"/>
      <c r="D89" s="32"/>
      <c r="E89" s="30"/>
      <c r="F89" s="30"/>
      <c r="G89" s="32"/>
      <c r="H89" s="31"/>
      <c r="I89" s="31"/>
      <c r="J89" s="40"/>
      <c r="K89" s="40"/>
    </row>
    <row r="90" spans="1:824" s="23" customFormat="1" x14ac:dyDescent="0.3">
      <c r="A90" s="28" t="s">
        <v>170</v>
      </c>
      <c r="B90" s="32">
        <f t="shared" si="2"/>
        <v>0</v>
      </c>
      <c r="C90" s="29">
        <f>SUM(C33:C88)*10%</f>
        <v>1235602.1817326373</v>
      </c>
      <c r="D90" s="32"/>
      <c r="E90" s="30"/>
      <c r="F90" s="30"/>
      <c r="G90" s="32"/>
      <c r="H90" s="55">
        <f>C90/$C$95</f>
        <v>7.6628352490421464E-2</v>
      </c>
      <c r="I90" s="31" t="s">
        <v>105</v>
      </c>
      <c r="J90" s="40"/>
      <c r="K90" s="40"/>
    </row>
    <row r="91" spans="1:824" s="23" customFormat="1" x14ac:dyDescent="0.3">
      <c r="A91" s="28" t="s">
        <v>171</v>
      </c>
      <c r="B91" s="32">
        <f t="shared" si="2"/>
        <v>0</v>
      </c>
      <c r="C91" s="29">
        <f>SUM(C33:C88)*7.5%</f>
        <v>926701.63629947789</v>
      </c>
      <c r="D91" s="32"/>
      <c r="E91" s="30"/>
      <c r="F91" s="30"/>
      <c r="G91" s="32"/>
      <c r="H91" s="55">
        <f>C91/$C$95</f>
        <v>5.7471264367816084E-2</v>
      </c>
      <c r="I91" s="31" t="s">
        <v>105</v>
      </c>
      <c r="J91" s="40"/>
      <c r="K91" s="40"/>
    </row>
    <row r="92" spans="1:824" s="24" customFormat="1" x14ac:dyDescent="0.3">
      <c r="A92" s="33" t="s">
        <v>172</v>
      </c>
      <c r="B92" s="32">
        <f t="shared" si="2"/>
        <v>0</v>
      </c>
      <c r="C92" s="35"/>
      <c r="D92" s="34"/>
      <c r="E92" s="30"/>
      <c r="F92" s="30"/>
      <c r="G92" s="32"/>
      <c r="H92" s="31"/>
      <c r="I92" s="31"/>
      <c r="J92" s="40"/>
      <c r="K92" s="40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  <c r="IW92" s="23"/>
      <c r="IX92" s="23"/>
      <c r="IY92" s="23"/>
      <c r="IZ92" s="23"/>
      <c r="JA92" s="23"/>
      <c r="JB92" s="23"/>
      <c r="JC92" s="23"/>
      <c r="JD92" s="23"/>
      <c r="JE92" s="23"/>
      <c r="JF92" s="23"/>
      <c r="JG92" s="23"/>
      <c r="JH92" s="23"/>
      <c r="JI92" s="23"/>
      <c r="JJ92" s="23"/>
      <c r="JK92" s="23"/>
      <c r="JL92" s="23"/>
      <c r="JM92" s="23"/>
      <c r="JN92" s="23"/>
      <c r="JO92" s="23"/>
      <c r="JP92" s="23"/>
      <c r="JQ92" s="23"/>
      <c r="JR92" s="23"/>
      <c r="JS92" s="23"/>
      <c r="JT92" s="23"/>
      <c r="JU92" s="23"/>
      <c r="JV92" s="23"/>
      <c r="JW92" s="23"/>
      <c r="JX92" s="23"/>
      <c r="JY92" s="23"/>
      <c r="JZ92" s="23"/>
      <c r="KA92" s="23"/>
      <c r="KB92" s="23"/>
      <c r="KC92" s="23"/>
      <c r="KD92" s="23"/>
      <c r="KE92" s="23"/>
      <c r="KF92" s="23"/>
      <c r="KG92" s="23"/>
      <c r="KH92" s="23"/>
      <c r="KI92" s="23"/>
      <c r="KJ92" s="23"/>
      <c r="KK92" s="23"/>
      <c r="KL92" s="23"/>
      <c r="KM92" s="23"/>
      <c r="KN92" s="23"/>
      <c r="KO92" s="23"/>
      <c r="KP92" s="23"/>
      <c r="KQ92" s="23"/>
      <c r="KR92" s="23"/>
      <c r="KS92" s="23"/>
      <c r="KT92" s="23"/>
      <c r="KU92" s="23"/>
      <c r="KV92" s="23"/>
      <c r="KW92" s="23"/>
      <c r="KX92" s="23"/>
      <c r="KY92" s="23"/>
      <c r="KZ92" s="23"/>
      <c r="LA92" s="23"/>
      <c r="LB92" s="23"/>
      <c r="LC92" s="23"/>
      <c r="LD92" s="23"/>
      <c r="LE92" s="23"/>
      <c r="LF92" s="23"/>
      <c r="LG92" s="23"/>
      <c r="LH92" s="23"/>
      <c r="LI92" s="23"/>
      <c r="LJ92" s="23"/>
      <c r="LK92" s="23"/>
      <c r="LL92" s="23"/>
      <c r="LM92" s="23"/>
      <c r="LN92" s="23"/>
      <c r="LO92" s="23"/>
      <c r="LP92" s="23"/>
      <c r="LQ92" s="23"/>
      <c r="LR92" s="23"/>
      <c r="LS92" s="23"/>
      <c r="LT92" s="23"/>
      <c r="LU92" s="23"/>
      <c r="LV92" s="23"/>
      <c r="LW92" s="23"/>
      <c r="LX92" s="23"/>
      <c r="LY92" s="23"/>
      <c r="LZ92" s="23"/>
      <c r="MA92" s="23"/>
      <c r="MB92" s="23"/>
      <c r="MC92" s="23"/>
      <c r="MD92" s="23"/>
      <c r="ME92" s="23"/>
      <c r="MF92" s="23"/>
      <c r="MG92" s="23"/>
      <c r="MH92" s="23"/>
      <c r="MI92" s="23"/>
      <c r="MJ92" s="23"/>
      <c r="MK92" s="23"/>
      <c r="ML92" s="23"/>
      <c r="MM92" s="23"/>
      <c r="MN92" s="23"/>
      <c r="MO92" s="23"/>
      <c r="MP92" s="23"/>
      <c r="MQ92" s="23"/>
      <c r="MR92" s="23"/>
      <c r="MS92" s="23"/>
      <c r="MT92" s="23"/>
      <c r="MU92" s="23"/>
      <c r="MV92" s="23"/>
      <c r="MW92" s="23"/>
      <c r="MX92" s="23"/>
      <c r="MY92" s="23"/>
      <c r="MZ92" s="23"/>
      <c r="NA92" s="23"/>
      <c r="NB92" s="23"/>
      <c r="NC92" s="23"/>
      <c r="ND92" s="23"/>
      <c r="NE92" s="23"/>
      <c r="NF92" s="23"/>
      <c r="NG92" s="23"/>
      <c r="NH92" s="23"/>
      <c r="NI92" s="23"/>
      <c r="NJ92" s="23"/>
      <c r="NK92" s="23"/>
      <c r="NL92" s="23"/>
      <c r="NM92" s="23"/>
      <c r="NN92" s="23"/>
      <c r="NO92" s="23"/>
      <c r="NP92" s="23"/>
      <c r="NQ92" s="23"/>
      <c r="NR92" s="23"/>
      <c r="NS92" s="23"/>
      <c r="NT92" s="23"/>
      <c r="NU92" s="23"/>
      <c r="NV92" s="23"/>
      <c r="NW92" s="23"/>
      <c r="NX92" s="23"/>
      <c r="NY92" s="23"/>
      <c r="NZ92" s="23"/>
      <c r="OA92" s="23"/>
      <c r="OB92" s="23"/>
      <c r="OC92" s="23"/>
      <c r="OD92" s="23"/>
      <c r="OE92" s="23"/>
      <c r="OF92" s="23"/>
      <c r="OG92" s="23"/>
      <c r="OH92" s="23"/>
      <c r="OI92" s="23"/>
      <c r="OJ92" s="23"/>
      <c r="OK92" s="23"/>
      <c r="OL92" s="23"/>
      <c r="OM92" s="23"/>
      <c r="ON92" s="23"/>
      <c r="OO92" s="23"/>
      <c r="OP92" s="23"/>
      <c r="OQ92" s="23"/>
      <c r="OR92" s="23"/>
      <c r="OS92" s="23"/>
      <c r="OT92" s="23"/>
      <c r="OU92" s="23"/>
      <c r="OV92" s="23"/>
      <c r="OW92" s="23"/>
      <c r="OX92" s="23"/>
      <c r="OY92" s="23"/>
      <c r="OZ92" s="23"/>
      <c r="PA92" s="23"/>
      <c r="PB92" s="23"/>
      <c r="PC92" s="23"/>
      <c r="PD92" s="23"/>
      <c r="PE92" s="23"/>
      <c r="PF92" s="23"/>
      <c r="PG92" s="23"/>
      <c r="PH92" s="23"/>
      <c r="PI92" s="23"/>
      <c r="PJ92" s="23"/>
      <c r="PK92" s="23"/>
      <c r="PL92" s="23"/>
      <c r="PM92" s="23"/>
      <c r="PN92" s="23"/>
      <c r="PO92" s="23"/>
      <c r="PP92" s="23"/>
      <c r="PQ92" s="23"/>
      <c r="PR92" s="23"/>
      <c r="PS92" s="23"/>
      <c r="PT92" s="23"/>
      <c r="PU92" s="23"/>
      <c r="PV92" s="23"/>
      <c r="PW92" s="23"/>
      <c r="PX92" s="23"/>
      <c r="PY92" s="23"/>
      <c r="PZ92" s="23"/>
      <c r="QA92" s="23"/>
      <c r="QB92" s="23"/>
      <c r="QC92" s="23"/>
      <c r="QD92" s="23"/>
      <c r="QE92" s="23"/>
      <c r="QF92" s="23"/>
      <c r="QG92" s="23"/>
      <c r="QH92" s="23"/>
      <c r="QI92" s="23"/>
      <c r="QJ92" s="23"/>
      <c r="QK92" s="23"/>
      <c r="QL92" s="23"/>
      <c r="QM92" s="23"/>
      <c r="QN92" s="23"/>
      <c r="QO92" s="23"/>
      <c r="QP92" s="23"/>
      <c r="QQ92" s="23"/>
      <c r="QR92" s="23"/>
      <c r="QS92" s="23"/>
      <c r="QT92" s="23"/>
      <c r="QU92" s="23"/>
      <c r="QV92" s="23"/>
      <c r="QW92" s="23"/>
      <c r="QX92" s="23"/>
      <c r="QY92" s="23"/>
      <c r="QZ92" s="23"/>
      <c r="RA92" s="23"/>
      <c r="RB92" s="23"/>
      <c r="RC92" s="23"/>
      <c r="RD92" s="23"/>
      <c r="RE92" s="23"/>
      <c r="RF92" s="23"/>
      <c r="RG92" s="23"/>
      <c r="RH92" s="23"/>
      <c r="RI92" s="23"/>
      <c r="RJ92" s="23"/>
      <c r="RK92" s="23"/>
      <c r="RL92" s="23"/>
      <c r="RM92" s="23"/>
      <c r="RN92" s="23"/>
      <c r="RO92" s="23"/>
      <c r="RP92" s="23"/>
      <c r="RQ92" s="23"/>
      <c r="RR92" s="23"/>
      <c r="RS92" s="23"/>
      <c r="RT92" s="23"/>
      <c r="RU92" s="23"/>
      <c r="RV92" s="23"/>
      <c r="RW92" s="23"/>
      <c r="RX92" s="23"/>
      <c r="RY92" s="23"/>
      <c r="RZ92" s="23"/>
      <c r="SA92" s="23"/>
      <c r="SB92" s="23"/>
      <c r="SC92" s="23"/>
      <c r="SD92" s="23"/>
      <c r="SE92" s="23"/>
      <c r="SF92" s="23"/>
      <c r="SG92" s="23"/>
      <c r="SH92" s="23"/>
      <c r="SI92" s="23"/>
      <c r="SJ92" s="23"/>
      <c r="SK92" s="23"/>
      <c r="SL92" s="23"/>
      <c r="SM92" s="23"/>
      <c r="SN92" s="23"/>
      <c r="SO92" s="23"/>
      <c r="SP92" s="23"/>
      <c r="SQ92" s="23"/>
      <c r="SR92" s="23"/>
      <c r="SS92" s="23"/>
      <c r="ST92" s="23"/>
      <c r="SU92" s="23"/>
      <c r="SV92" s="23"/>
      <c r="SW92" s="23"/>
      <c r="SX92" s="23"/>
      <c r="SY92" s="23"/>
      <c r="SZ92" s="23"/>
      <c r="TA92" s="23"/>
      <c r="TB92" s="23"/>
      <c r="TC92" s="23"/>
      <c r="TD92" s="23"/>
      <c r="TE92" s="23"/>
      <c r="TF92" s="23"/>
      <c r="TG92" s="23"/>
      <c r="TH92" s="23"/>
      <c r="TI92" s="23"/>
      <c r="TJ92" s="23"/>
      <c r="TK92" s="23"/>
      <c r="TL92" s="23"/>
      <c r="TM92" s="23"/>
      <c r="TN92" s="23"/>
      <c r="TO92" s="23"/>
      <c r="TP92" s="23"/>
      <c r="TQ92" s="23"/>
      <c r="TR92" s="23"/>
      <c r="TS92" s="23"/>
      <c r="TT92" s="23"/>
      <c r="TU92" s="23"/>
      <c r="TV92" s="23"/>
      <c r="TW92" s="23"/>
      <c r="TX92" s="23"/>
      <c r="TY92" s="23"/>
      <c r="TZ92" s="23"/>
      <c r="UA92" s="23"/>
      <c r="UB92" s="23"/>
      <c r="UC92" s="23"/>
      <c r="UD92" s="23"/>
      <c r="UE92" s="23"/>
      <c r="UF92" s="23"/>
      <c r="UG92" s="23"/>
      <c r="UH92" s="23"/>
      <c r="UI92" s="23"/>
      <c r="UJ92" s="23"/>
      <c r="UK92" s="23"/>
      <c r="UL92" s="23"/>
      <c r="UM92" s="23"/>
      <c r="UN92" s="23"/>
      <c r="UO92" s="23"/>
      <c r="UP92" s="23"/>
      <c r="UQ92" s="23"/>
      <c r="UR92" s="23"/>
      <c r="US92" s="23"/>
      <c r="UT92" s="23"/>
      <c r="UU92" s="23"/>
      <c r="UV92" s="23"/>
      <c r="UW92" s="23"/>
      <c r="UX92" s="23"/>
      <c r="UY92" s="23"/>
      <c r="UZ92" s="23"/>
      <c r="VA92" s="23"/>
      <c r="VB92" s="23"/>
      <c r="VC92" s="23"/>
      <c r="VD92" s="23"/>
      <c r="VE92" s="23"/>
      <c r="VF92" s="23"/>
      <c r="VG92" s="23"/>
      <c r="VH92" s="23"/>
      <c r="VI92" s="23"/>
      <c r="VJ92" s="23"/>
      <c r="VK92" s="23"/>
      <c r="VL92" s="23"/>
      <c r="VM92" s="23"/>
      <c r="VN92" s="23"/>
      <c r="VO92" s="23"/>
      <c r="VP92" s="23"/>
      <c r="VQ92" s="23"/>
      <c r="VR92" s="23"/>
      <c r="VS92" s="23"/>
      <c r="VT92" s="23"/>
      <c r="VU92" s="23"/>
      <c r="VV92" s="23"/>
      <c r="VW92" s="23"/>
      <c r="VX92" s="23"/>
      <c r="VY92" s="23"/>
      <c r="VZ92" s="23"/>
      <c r="WA92" s="23"/>
      <c r="WB92" s="23"/>
      <c r="WC92" s="23"/>
      <c r="WD92" s="23"/>
      <c r="WE92" s="23"/>
      <c r="WF92" s="23"/>
      <c r="WG92" s="23"/>
      <c r="WH92" s="23"/>
      <c r="WI92" s="23"/>
      <c r="WJ92" s="23"/>
      <c r="WK92" s="23"/>
      <c r="WL92" s="23"/>
      <c r="WM92" s="23"/>
      <c r="WN92" s="23"/>
      <c r="WO92" s="23"/>
      <c r="WP92" s="23"/>
      <c r="WQ92" s="23"/>
      <c r="WR92" s="23"/>
      <c r="WS92" s="23"/>
      <c r="WT92" s="23"/>
      <c r="WU92" s="23"/>
      <c r="WV92" s="23"/>
      <c r="WW92" s="23"/>
      <c r="WX92" s="23"/>
      <c r="WY92" s="23"/>
      <c r="WZ92" s="23"/>
      <c r="XA92" s="23"/>
      <c r="XB92" s="23"/>
      <c r="XC92" s="23"/>
      <c r="XD92" s="23"/>
      <c r="XE92" s="23"/>
      <c r="XF92" s="23"/>
      <c r="XG92" s="23"/>
      <c r="XH92" s="23"/>
      <c r="XI92" s="23"/>
      <c r="XJ92" s="23"/>
      <c r="XK92" s="23"/>
      <c r="XL92" s="23"/>
      <c r="XM92" s="23"/>
      <c r="XN92" s="23"/>
      <c r="XO92" s="23"/>
      <c r="XP92" s="23"/>
      <c r="XQ92" s="23"/>
      <c r="XR92" s="23"/>
      <c r="XS92" s="23"/>
      <c r="XT92" s="23"/>
      <c r="XU92" s="23"/>
      <c r="XV92" s="23"/>
      <c r="XW92" s="23"/>
      <c r="XX92" s="23"/>
      <c r="XY92" s="23"/>
      <c r="XZ92" s="23"/>
      <c r="YA92" s="23"/>
      <c r="YB92" s="23"/>
      <c r="YC92" s="23"/>
      <c r="YD92" s="23"/>
      <c r="YE92" s="23"/>
      <c r="YF92" s="23"/>
      <c r="YG92" s="23"/>
      <c r="YH92" s="23"/>
      <c r="YI92" s="23"/>
      <c r="YJ92" s="23"/>
      <c r="YK92" s="23"/>
      <c r="YL92" s="23"/>
      <c r="YM92" s="23"/>
      <c r="YN92" s="23"/>
      <c r="YO92" s="23"/>
      <c r="YP92" s="23"/>
      <c r="YQ92" s="23"/>
      <c r="YR92" s="23"/>
      <c r="YS92" s="23"/>
      <c r="YT92" s="23"/>
      <c r="YU92" s="23"/>
      <c r="YV92" s="23"/>
      <c r="YW92" s="23"/>
      <c r="YX92" s="23"/>
      <c r="YY92" s="23"/>
      <c r="YZ92" s="23"/>
      <c r="ZA92" s="23"/>
      <c r="ZB92" s="23"/>
      <c r="ZC92" s="23"/>
      <c r="ZD92" s="23"/>
      <c r="ZE92" s="23"/>
      <c r="ZF92" s="23"/>
      <c r="ZG92" s="23"/>
      <c r="ZH92" s="23"/>
      <c r="ZI92" s="23"/>
      <c r="ZJ92" s="23"/>
      <c r="ZK92" s="23"/>
      <c r="ZL92" s="23"/>
      <c r="ZM92" s="23"/>
      <c r="ZN92" s="23"/>
      <c r="ZO92" s="23"/>
      <c r="ZP92" s="23"/>
      <c r="ZQ92" s="23"/>
      <c r="ZR92" s="23"/>
      <c r="ZS92" s="23"/>
      <c r="ZT92" s="23"/>
      <c r="ZU92" s="23"/>
      <c r="ZV92" s="23"/>
      <c r="ZW92" s="23"/>
      <c r="ZX92" s="23"/>
      <c r="ZY92" s="23"/>
      <c r="ZZ92" s="23"/>
      <c r="AAA92" s="23"/>
      <c r="AAB92" s="23"/>
      <c r="AAC92" s="23"/>
      <c r="AAD92" s="23"/>
      <c r="AAE92" s="23"/>
      <c r="AAF92" s="23"/>
      <c r="AAG92" s="23"/>
      <c r="AAH92" s="23"/>
      <c r="AAI92" s="23"/>
      <c r="AAJ92" s="23"/>
      <c r="AAK92" s="23"/>
      <c r="AAL92" s="23"/>
      <c r="AAM92" s="23"/>
      <c r="AAN92" s="23"/>
      <c r="AAO92" s="23"/>
      <c r="AAP92" s="23"/>
      <c r="AAQ92" s="23"/>
      <c r="AAR92" s="23"/>
      <c r="AAS92" s="23"/>
      <c r="AAT92" s="23"/>
      <c r="AAU92" s="23"/>
      <c r="AAV92" s="23"/>
      <c r="AAW92" s="23"/>
      <c r="AAX92" s="23"/>
      <c r="AAY92" s="23"/>
      <c r="AAZ92" s="23"/>
      <c r="ABA92" s="23"/>
      <c r="ABB92" s="23"/>
      <c r="ABC92" s="23"/>
      <c r="ABD92" s="23"/>
      <c r="ABE92" s="23"/>
      <c r="ABF92" s="23"/>
      <c r="ABG92" s="23"/>
      <c r="ABH92" s="23"/>
      <c r="ABI92" s="23"/>
      <c r="ABJ92" s="23"/>
      <c r="ABK92" s="23"/>
      <c r="ABL92" s="23"/>
      <c r="ABM92" s="23"/>
      <c r="ABN92" s="23"/>
      <c r="ABO92" s="23"/>
      <c r="ABP92" s="23"/>
      <c r="ABQ92" s="23"/>
      <c r="ABR92" s="23"/>
      <c r="ABS92" s="23"/>
      <c r="ABT92" s="23"/>
      <c r="ABU92" s="23"/>
      <c r="ABV92" s="23"/>
      <c r="ABW92" s="23"/>
      <c r="ABX92" s="23"/>
      <c r="ABY92" s="23"/>
      <c r="ABZ92" s="23"/>
      <c r="ACA92" s="23"/>
      <c r="ACB92" s="23"/>
      <c r="ACC92" s="23"/>
      <c r="ACD92" s="23"/>
      <c r="ACE92" s="23"/>
      <c r="ACF92" s="23"/>
      <c r="ACG92" s="23"/>
      <c r="ACH92" s="23"/>
      <c r="ACI92" s="23"/>
      <c r="ACJ92" s="23"/>
      <c r="ACK92" s="23"/>
      <c r="ACL92" s="23"/>
      <c r="ACM92" s="23"/>
      <c r="ACN92" s="23"/>
      <c r="ACO92" s="23"/>
      <c r="ACP92" s="23"/>
      <c r="ACQ92" s="23"/>
      <c r="ACR92" s="23"/>
      <c r="ACS92" s="23"/>
      <c r="ACT92" s="23"/>
      <c r="ACU92" s="23"/>
      <c r="ACV92" s="23"/>
      <c r="ACW92" s="23"/>
      <c r="ACX92" s="23"/>
      <c r="ACY92" s="23"/>
      <c r="ACZ92" s="23"/>
      <c r="ADA92" s="23"/>
      <c r="ADB92" s="23"/>
      <c r="ADC92" s="23"/>
      <c r="ADD92" s="23"/>
      <c r="ADE92" s="23"/>
      <c r="ADF92" s="23"/>
      <c r="ADG92" s="23"/>
      <c r="ADH92" s="23"/>
      <c r="ADI92" s="23"/>
      <c r="ADJ92" s="23"/>
      <c r="ADK92" s="23"/>
      <c r="ADL92" s="23"/>
      <c r="ADM92" s="23"/>
      <c r="ADN92" s="23"/>
      <c r="ADO92" s="23"/>
      <c r="ADP92" s="23"/>
      <c r="ADQ92" s="23"/>
      <c r="ADR92" s="23"/>
      <c r="ADS92" s="23"/>
      <c r="ADT92" s="23"/>
      <c r="ADU92" s="23"/>
      <c r="ADV92" s="23"/>
      <c r="ADW92" s="23"/>
      <c r="ADX92" s="23"/>
      <c r="ADY92" s="23"/>
      <c r="ADZ92" s="23"/>
      <c r="AEA92" s="23"/>
      <c r="AEB92" s="23"/>
      <c r="AEC92" s="23"/>
      <c r="AED92" s="23"/>
      <c r="AEE92" s="23"/>
      <c r="AEF92" s="23"/>
      <c r="AEG92" s="23"/>
      <c r="AEH92" s="23"/>
      <c r="AEI92" s="23"/>
      <c r="AEJ92" s="23"/>
      <c r="AEK92" s="23"/>
      <c r="AEL92" s="23"/>
      <c r="AEM92" s="23"/>
      <c r="AEN92" s="23"/>
      <c r="AEO92" s="23"/>
      <c r="AEP92" s="23"/>
      <c r="AEQ92" s="23"/>
      <c r="AER92" s="23"/>
    </row>
    <row r="93" spans="1:824" s="23" customFormat="1" x14ac:dyDescent="0.3">
      <c r="A93" s="28" t="s">
        <v>173</v>
      </c>
      <c r="B93" s="32"/>
      <c r="C93" s="29">
        <f>SUM(C33:C88)*8%</f>
        <v>988481.7453861098</v>
      </c>
      <c r="D93" s="32"/>
      <c r="E93" s="30"/>
      <c r="F93" s="30"/>
      <c r="G93" s="32"/>
      <c r="H93" s="55">
        <f>C93/$C$95</f>
        <v>6.1302681992337162E-2</v>
      </c>
      <c r="I93" s="31" t="s">
        <v>105</v>
      </c>
      <c r="J93" s="40"/>
      <c r="K93" s="40"/>
    </row>
    <row r="94" spans="1:824" s="23" customFormat="1" x14ac:dyDescent="0.3">
      <c r="A94" s="28" t="s">
        <v>192</v>
      </c>
      <c r="B94" s="32">
        <v>0</v>
      </c>
      <c r="C94" s="29">
        <f>SUM(C33:C88)*5%</f>
        <v>617801.09086631867</v>
      </c>
      <c r="D94" s="32"/>
      <c r="E94" s="30"/>
      <c r="F94" s="30"/>
      <c r="G94" s="32"/>
      <c r="H94" s="55">
        <f>C94/$C$95</f>
        <v>3.8314176245210732E-2</v>
      </c>
      <c r="I94" s="31" t="s">
        <v>105</v>
      </c>
      <c r="J94" s="40"/>
      <c r="K94" s="40"/>
    </row>
    <row r="95" spans="1:824" ht="15" thickBot="1" x14ac:dyDescent="0.35">
      <c r="A95" s="25" t="s">
        <v>174</v>
      </c>
      <c r="B95" s="26"/>
      <c r="C95" s="53">
        <f>SUM(C33:C94)</f>
        <v>16124608.471610917</v>
      </c>
      <c r="D95" s="53">
        <f>SUM(D92:D94)</f>
        <v>0</v>
      </c>
      <c r="E95" s="27"/>
      <c r="F95" s="27"/>
      <c r="G95" s="27"/>
      <c r="H95" s="27"/>
      <c r="I95" s="27"/>
      <c r="J95" s="38"/>
      <c r="K95" s="38"/>
    </row>
    <row r="96" spans="1:824" x14ac:dyDescent="0.3">
      <c r="A96" s="10"/>
      <c r="J96" s="78"/>
    </row>
    <row r="97" spans="1:10" x14ac:dyDescent="0.3">
      <c r="A97" s="10" t="s">
        <v>175</v>
      </c>
      <c r="J97" s="79"/>
    </row>
    <row r="98" spans="1:10" x14ac:dyDescent="0.3">
      <c r="A98" s="51" t="s">
        <v>187</v>
      </c>
      <c r="B98" s="9" t="s">
        <v>185</v>
      </c>
      <c r="J98" s="79"/>
    </row>
    <row r="99" spans="1:10" x14ac:dyDescent="0.3">
      <c r="A99" s="51" t="s">
        <v>4</v>
      </c>
      <c r="B99" s="9" t="s">
        <v>75</v>
      </c>
      <c r="J99" s="79"/>
    </row>
    <row r="100" spans="1:10" x14ac:dyDescent="0.3">
      <c r="A100" s="51" t="s">
        <v>188</v>
      </c>
      <c r="B100" s="9" t="s">
        <v>186</v>
      </c>
      <c r="J100" s="79"/>
    </row>
  </sheetData>
  <autoFilter ref="A32:K95" xr:uid="{6846D367-0DAA-478B-9BF2-3DC0DD181C15}"/>
  <pageMargins left="0.7" right="0.7" top="0.75" bottom="0.75" header="0.3" footer="0.3"/>
  <pageSetup paperSize="9" scale="2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bfcde1f-a262-4696-b7bf-2400aaacede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446F8822C25E4BB00FBD106CD55981" ma:contentTypeVersion="12" ma:contentTypeDescription="Create a new document." ma:contentTypeScope="" ma:versionID="12a395c6ba0f4d9700cd2638d0d8fe4e">
  <xsd:schema xmlns:xsd="http://www.w3.org/2001/XMLSchema" xmlns:xs="http://www.w3.org/2001/XMLSchema" xmlns:p="http://schemas.microsoft.com/office/2006/metadata/properties" xmlns:ns2="3bfcde1f-a262-4696-b7bf-2400aaacede1" targetNamespace="http://schemas.microsoft.com/office/2006/metadata/properties" ma:root="true" ma:fieldsID="3f08cdb74412a91f307c7b4db970aa8a" ns2:_="">
    <xsd:import namespace="3bfcde1f-a262-4696-b7bf-2400aaaced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fcde1f-a262-4696-b7bf-2400aaaced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F21003-2988-4BEC-99C2-658F442A2D91}">
  <ds:schemaRefs>
    <ds:schemaRef ds:uri="3bfcde1f-a262-4696-b7bf-2400aaacede1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FBB4D83-C7F0-4A68-A395-CAE31A7C3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fcde1f-a262-4696-b7bf-2400aaaced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485EAC-5553-4924-A328-4A410D7E2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Taw Construction - GIFA</vt:lpstr>
      <vt:lpstr>Tender Cover</vt:lpstr>
      <vt:lpstr>Taw Construction Cost Breakdown</vt:lpstr>
      <vt:lpstr>'Taw Construction - GIFA'!Print_Area</vt:lpstr>
      <vt:lpstr>'Taw Construction Cost Breakdown'!Print_Area</vt:lpstr>
      <vt:lpstr>'Tender Cover'!Print_Area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Liam Evans (2110014)</dc:creator>
  <cp:keywords/>
  <dc:description/>
  <cp:lastModifiedBy>Kieran Bowen (1801413)</cp:lastModifiedBy>
  <cp:revision/>
  <dcterms:created xsi:type="dcterms:W3CDTF">2024-10-18T13:28:54Z</dcterms:created>
  <dcterms:modified xsi:type="dcterms:W3CDTF">2026-04-22T10:49:14Z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0x010100BD446F8822C25E4BB00FBD106CD55981</vt:lpwstr>
  </property>
  <property fmtid="{D5CDD505-2E9C-101B-9397-08002B2CF9AE}" pid="3" name="MediaServiceImageTags">
    <vt:lpwstr/>
  </property>
</Properties>
</file>