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B2520414-3FB0-4D60-8566-752638363E26}" xr6:coauthVersionLast="45" xr6:coauthVersionMax="45" xr10:uidLastSave="{00000000-0000-0000-0000-000000000000}"/>
  <bookViews>
    <workbookView xWindow="-120" yWindow="-120" windowWidth="19440" windowHeight="15000" xr2:uid="{3424E9E5-F330-478B-93F6-B2DC62861C3E}"/>
  </bookViews>
  <sheets>
    <sheet name="Centre Of Gravity" sheetId="1" r:id="rId1"/>
    <sheet name="Veloc-power" sheetId="2" r:id="rId2"/>
    <sheet name="Velo.Torque-acc" sheetId="3" r:id="rId3"/>
  </sheets>
  <externalReferences>
    <externalReference r:id="rId4"/>
    <externalReference r:id="rId5"/>
    <externalReference r:id="rId6"/>
    <externalReference r:id="rId7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7" i="2" l="1"/>
  <c r="C45" i="2"/>
  <c r="F48" i="2" s="1"/>
  <c r="C40" i="2"/>
  <c r="F46" i="2" s="1"/>
  <c r="D34" i="2"/>
  <c r="D33" i="2"/>
  <c r="D32" i="2"/>
  <c r="D31" i="2"/>
  <c r="D30" i="2"/>
  <c r="D29" i="2"/>
  <c r="D14" i="2"/>
  <c r="E14" i="2" s="1"/>
  <c r="B14" i="2"/>
  <c r="D13" i="2"/>
  <c r="B13" i="2"/>
  <c r="D12" i="2"/>
  <c r="B12" i="2"/>
  <c r="D11" i="2"/>
  <c r="B11" i="2"/>
  <c r="D10" i="2"/>
  <c r="B10" i="2"/>
  <c r="D9" i="2"/>
  <c r="B9" i="2"/>
  <c r="G8" i="2"/>
  <c r="C14" i="2" s="1"/>
  <c r="D8" i="2"/>
  <c r="B8" i="2"/>
  <c r="D7" i="2"/>
  <c r="B7" i="2"/>
  <c r="I6" i="2"/>
  <c r="C6" i="2" s="1"/>
  <c r="D6" i="2"/>
  <c r="B6" i="2"/>
  <c r="D5" i="2"/>
  <c r="B5" i="2"/>
  <c r="I4" i="2"/>
  <c r="D4" i="2"/>
  <c r="B4" i="2"/>
  <c r="I3" i="2"/>
  <c r="G2" i="2"/>
  <c r="E6" i="2" l="1"/>
  <c r="E4" i="2"/>
  <c r="E10" i="2"/>
  <c r="C7" i="2"/>
  <c r="E7" i="2" s="1"/>
  <c r="B18" i="2"/>
  <c r="B20" i="2" s="1"/>
  <c r="C9" i="2"/>
  <c r="E9" i="2" s="1"/>
  <c r="C11" i="2"/>
  <c r="E11" i="2" s="1"/>
  <c r="C13" i="2"/>
  <c r="E13" i="2" s="1"/>
  <c r="F43" i="2"/>
  <c r="C5" i="2"/>
  <c r="E5" i="2" s="1"/>
  <c r="C4" i="2"/>
  <c r="F44" i="2"/>
  <c r="C8" i="2"/>
  <c r="E8" i="2" s="1"/>
  <c r="F45" i="2"/>
  <c r="C10" i="2"/>
  <c r="C12" i="2"/>
  <c r="E12" i="2" s="1"/>
  <c r="E85" i="1" l="1"/>
  <c r="E83" i="1"/>
  <c r="E79" i="1"/>
  <c r="E78" i="1"/>
  <c r="E74" i="1"/>
  <c r="E68" i="1"/>
  <c r="E75" i="1" s="1"/>
  <c r="E81" i="1" s="1"/>
  <c r="E66" i="1"/>
  <c r="E65" i="1"/>
  <c r="A68" i="1" s="1"/>
  <c r="A69" i="1" s="1"/>
  <c r="E69" i="1" s="1"/>
  <c r="B60" i="1"/>
  <c r="B5" i="1"/>
  <c r="B73" i="1" l="1"/>
  <c r="B92" i="1" s="1"/>
  <c r="B87" i="1"/>
  <c r="B65" i="1"/>
  <c r="B88" i="1"/>
  <c r="A81" i="1"/>
  <c r="A82" i="1" s="1"/>
  <c r="E82" i="1" s="1"/>
  <c r="B78" i="1" s="1"/>
  <c r="B91" i="1" l="1"/>
  <c r="B37" i="1"/>
  <c r="B36" i="1"/>
  <c r="B33" i="1"/>
  <c r="E30" i="1"/>
  <c r="E28" i="1"/>
  <c r="A26" i="1"/>
  <c r="A27" i="1" s="1"/>
  <c r="E27" i="1" s="1"/>
  <c r="E24" i="1"/>
  <c r="E23" i="1"/>
  <c r="B32" i="1" s="1"/>
  <c r="E19" i="1"/>
  <c r="E13" i="1"/>
  <c r="E20" i="1" s="1"/>
  <c r="E26" i="1" s="1"/>
  <c r="B23" i="1" s="1"/>
  <c r="E11" i="1"/>
  <c r="E10" i="1"/>
  <c r="A13" i="1" s="1"/>
  <c r="A14" i="1" s="1"/>
  <c r="E14" i="1" s="1"/>
  <c r="B10" i="1" l="1"/>
  <c r="B18" i="1"/>
</calcChain>
</file>

<file path=xl/sharedStrings.xml><?xml version="1.0" encoding="utf-8"?>
<sst xmlns="http://schemas.openxmlformats.org/spreadsheetml/2006/main" count="254" uniqueCount="112">
  <si>
    <t>CENTER OF GRAVITY</t>
  </si>
  <si>
    <t>BIKE: VFR400</t>
  </si>
  <si>
    <t>TEST: NO RIDER - LEVEL</t>
  </si>
  <si>
    <t xml:space="preserve">XCOG= (WRearWheel*WheelBase L)/WBikeTotal= WheelRrear+Wfront -&gt;                                             </t>
  </si>
  <si>
    <t>MM</t>
  </si>
  <si>
    <t xml:space="preserve">WRearWheel= </t>
  </si>
  <si>
    <t>KG</t>
  </si>
  <si>
    <t>WheelBase L=</t>
  </si>
  <si>
    <t>WBikeTotal= WheelRrear+Wfront</t>
  </si>
  <si>
    <t>WFront=</t>
  </si>
  <si>
    <t>TEST: NO RIDER - LIFTED</t>
  </si>
  <si>
    <t>YCOG= {WheelBase L*(WRearWheel-Wrear Lifted)/WBikeTotal* TANGΘ}+RAV   -&gt;</t>
  </si>
  <si>
    <t>Wheel Base L=</t>
  </si>
  <si>
    <t>Θ = SIN^-1 = ( STOOL HEIGHT= / WHEEL BASE )</t>
  </si>
  <si>
    <t>Wrear Lifted=</t>
  </si>
  <si>
    <t>TANΘ</t>
  </si>
  <si>
    <t>RAV= AVARAGE WHEEL RADIUS</t>
  </si>
  <si>
    <t>STOOL HEIGHT=</t>
  </si>
  <si>
    <t>TEST: WITH RIDER +LEVEL</t>
  </si>
  <si>
    <t>XCOG= (Wrear Wheel *WheelBase L)/WTotal-&gt;</t>
  </si>
  <si>
    <t xml:space="preserve">Wrear Wheel= </t>
  </si>
  <si>
    <t>TEST: RIDER +LEVEL</t>
  </si>
  <si>
    <t>WTotal=Wrider+Wtotal Bike</t>
  </si>
  <si>
    <t xml:space="preserve">W Rider = </t>
  </si>
  <si>
    <t>TEST: (WITH RIDER +LIFTED )- STOOL</t>
  </si>
  <si>
    <t>YCOG= {L*(Wear Wheel-Wrear(rider+Bike)-Stool)/WTotal* TANGΘ}+RAV -&gt;</t>
  </si>
  <si>
    <t>W(rider+Bike)-Stool</t>
  </si>
  <si>
    <t>TEST: (RIDER +LIFTED )- STOOL</t>
  </si>
  <si>
    <t>Trail = (R x SinØ – O) / CosØ -&gt;</t>
  </si>
  <si>
    <t>WITH NO RIDER</t>
  </si>
  <si>
    <t>Wheel Radius R</t>
  </si>
  <si>
    <t>mm</t>
  </si>
  <si>
    <t>%F=((Wb-Xcog)/Wb)X100</t>
  </si>
  <si>
    <t>%</t>
  </si>
  <si>
    <t xml:space="preserve">RAKE ANGLE Ø </t>
  </si>
  <si>
    <t>%R=(Xcog/Wb)X100</t>
  </si>
  <si>
    <t>TRIPLE CLAMP OFFSET</t>
  </si>
  <si>
    <t>WITH THE RIDER</t>
  </si>
  <si>
    <t>Vertical location of CG</t>
  </si>
  <si>
    <t>Horizontal location of CG</t>
  </si>
  <si>
    <t>BIKE: ER6N</t>
  </si>
  <si>
    <t>Torque</t>
  </si>
  <si>
    <t>Horsepower</t>
  </si>
  <si>
    <t xml:space="preserve">velocity m/s </t>
  </si>
  <si>
    <t>Velocity mph</t>
  </si>
  <si>
    <t xml:space="preserve"> Force opposed(N)</t>
  </si>
  <si>
    <t>Driving force(N)</t>
  </si>
  <si>
    <t>Resultant Force(N)</t>
  </si>
  <si>
    <t>Circ of tyre (inches).</t>
  </si>
  <si>
    <t>Circ of tyre (m).</t>
  </si>
  <si>
    <t>Redline (RPM)</t>
  </si>
  <si>
    <t>Redline (rps)</t>
  </si>
  <si>
    <t>Power (watts).</t>
  </si>
  <si>
    <t>Frontal Area (m^2)</t>
  </si>
  <si>
    <t>Gravity (m/s)^2</t>
  </si>
  <si>
    <t>Coefficient of Drag</t>
  </si>
  <si>
    <t>Mass bike and rider (kg)</t>
  </si>
  <si>
    <t>Air Density(kg/m^3)</t>
  </si>
  <si>
    <t>Friction (N)</t>
  </si>
  <si>
    <t>Gradient Ratio</t>
  </si>
  <si>
    <t>CdA</t>
  </si>
  <si>
    <t>Maximum Velocity Formula</t>
  </si>
  <si>
    <t xml:space="preserve">Max Vel </t>
  </si>
  <si>
    <t>m/s</t>
  </si>
  <si>
    <t>mph</t>
  </si>
  <si>
    <t>Gear ratios</t>
  </si>
  <si>
    <t>Gear</t>
  </si>
  <si>
    <t>No of teeth output</t>
  </si>
  <si>
    <t>No of teeth input</t>
  </si>
  <si>
    <t>Gear ratio</t>
  </si>
  <si>
    <t>1st</t>
  </si>
  <si>
    <t>2nd</t>
  </si>
  <si>
    <t>3rd</t>
  </si>
  <si>
    <t>4th</t>
  </si>
  <si>
    <t>5th</t>
  </si>
  <si>
    <t>6th</t>
  </si>
  <si>
    <t xml:space="preserve">Primary  ratio </t>
  </si>
  <si>
    <t>(crank to gearbox).</t>
  </si>
  <si>
    <t>Gearbox</t>
  </si>
  <si>
    <t>Crank</t>
  </si>
  <si>
    <t xml:space="preserve">Primary ratio </t>
  </si>
  <si>
    <t>Final  ratio</t>
  </si>
  <si>
    <t>Overall ratio</t>
  </si>
  <si>
    <t>(fr to rear sprocket).</t>
  </si>
  <si>
    <t>Front sprocket</t>
  </si>
  <si>
    <t>Rear sprocket</t>
  </si>
  <si>
    <t>Final ratio</t>
  </si>
  <si>
    <t>INPUT CELLS- ONLY COLOURED CELLS</t>
  </si>
  <si>
    <t>Max velocity using formula</t>
  </si>
  <si>
    <t>Horsepower Ps</t>
  </si>
  <si>
    <t>Max Velocity</t>
  </si>
  <si>
    <t>Tyre radius mm</t>
  </si>
  <si>
    <t>Combining</t>
  </si>
  <si>
    <t>Redline (revs per second)</t>
  </si>
  <si>
    <t>Formula</t>
  </si>
  <si>
    <t xml:space="preserve">                 Aero Drag (N)</t>
  </si>
  <si>
    <t>Total Resistive Force (N)</t>
  </si>
  <si>
    <t xml:space="preserve">                Driving Force (N)</t>
  </si>
  <si>
    <t xml:space="preserve"> Resultant Force (N)</t>
  </si>
  <si>
    <r>
      <t>Acceleration m/s</t>
    </r>
    <r>
      <rPr>
        <b/>
        <sz val="11"/>
        <color theme="1"/>
        <rFont val="Calibri"/>
        <family val="2"/>
      </rPr>
      <t>²</t>
    </r>
  </si>
  <si>
    <t>At Velocity m/s</t>
  </si>
  <si>
    <t xml:space="preserve">                   Aero Drag (N)</t>
  </si>
  <si>
    <t xml:space="preserve">                   Driving Force (N)</t>
  </si>
  <si>
    <t>Acceleration m/s²</t>
  </si>
  <si>
    <t>Number of teeth input</t>
  </si>
  <si>
    <t>Theoretical Velocity (m/s)</t>
  </si>
  <si>
    <t>(mph)</t>
  </si>
  <si>
    <t xml:space="preserve">Primary reduction ratio </t>
  </si>
  <si>
    <t xml:space="preserve">Overall gear ratios </t>
  </si>
  <si>
    <t>Final reduction ratio</t>
  </si>
  <si>
    <r>
      <t>Frontal Area (m</t>
    </r>
    <r>
      <rPr>
        <b/>
        <vertAlign val="superscript"/>
        <sz val="12"/>
        <color theme="1"/>
        <rFont val="Calibri"/>
        <family val="2"/>
        <scheme val="minor"/>
      </rPr>
      <t>2</t>
    </r>
    <r>
      <rPr>
        <b/>
        <sz val="12"/>
        <color theme="1"/>
        <rFont val="Calibri"/>
        <family val="2"/>
        <scheme val="minor"/>
      </rPr>
      <t>)</t>
    </r>
  </si>
  <si>
    <r>
      <t>Density of Air (kg/m</t>
    </r>
    <r>
      <rPr>
        <b/>
        <vertAlign val="superscript"/>
        <sz val="12"/>
        <color theme="1"/>
        <rFont val="Calibri"/>
        <family val="2"/>
        <scheme val="minor"/>
      </rPr>
      <t>3</t>
    </r>
    <r>
      <rPr>
        <b/>
        <sz val="12"/>
        <color theme="1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</si>
</sst>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0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rgb="FF444444"/>
      <name val="Calibri"/>
      <family val="2"/>
    </font>
    <font>
      <b/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sz val="11"/>
      <color theme="1"/>
      <name val="Calibri"/>
      <family val="2"/>
    </font>
    <font>
      <b/>
      <vertAlign val="superscript"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2" borderId="0" xfId="0" applyFill="1"/>
    <xf numFmtId="0" fontId="1" fillId="3" borderId="0" xfId="0" applyFont="1" applyFill="1" applyBorder="1" applyAlignment="1">
      <alignment horizontal="center"/>
    </xf>
    <xf numFmtId="2" fontId="3" fillId="3" borderId="0" xfId="0" quotePrefix="1" applyNumberFormat="1" applyFont="1" applyFill="1" applyBorder="1" applyAlignment="1">
      <alignment horizontal="right"/>
    </xf>
    <xf numFmtId="0" fontId="2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right"/>
    </xf>
    <xf numFmtId="2" fontId="1" fillId="3" borderId="0" xfId="0" applyNumberFormat="1" applyFont="1" applyFill="1" applyBorder="1" applyAlignment="1">
      <alignment horizontal="left"/>
    </xf>
    <xf numFmtId="0" fontId="4" fillId="3" borderId="0" xfId="0" applyFont="1" applyFill="1" applyBorder="1" applyAlignment="1">
      <alignment horizontal="right"/>
    </xf>
    <xf numFmtId="0" fontId="1" fillId="3" borderId="0" xfId="0" applyFont="1" applyFill="1" applyBorder="1" applyAlignment="1">
      <alignment horizontal="left" vertical="top"/>
    </xf>
    <xf numFmtId="0" fontId="1" fillId="3" borderId="0" xfId="0" applyFont="1" applyFill="1" applyBorder="1"/>
    <xf numFmtId="0" fontId="2" fillId="4" borderId="0" xfId="0" applyFont="1" applyFill="1" applyBorder="1" applyAlignment="1">
      <alignment horizontal="center"/>
    </xf>
    <xf numFmtId="0" fontId="1" fillId="4" borderId="0" xfId="0" applyFont="1" applyFill="1" applyBorder="1"/>
    <xf numFmtId="0" fontId="1" fillId="4" borderId="0" xfId="0" applyFont="1" applyFill="1" applyBorder="1" applyAlignment="1">
      <alignment horizontal="center"/>
    </xf>
    <xf numFmtId="2" fontId="1" fillId="4" borderId="0" xfId="0" applyNumberFormat="1" applyFont="1" applyFill="1" applyBorder="1" applyAlignment="1">
      <alignment horizontal="left" indent="13"/>
    </xf>
    <xf numFmtId="0" fontId="1" fillId="4" borderId="0" xfId="0" applyFont="1" applyFill="1" applyBorder="1" applyAlignment="1">
      <alignment horizontal="left"/>
    </xf>
    <xf numFmtId="0" fontId="1" fillId="4" borderId="0" xfId="0" applyFont="1" applyFill="1" applyBorder="1" applyAlignment="1">
      <alignment horizontal="left" vertical="top"/>
    </xf>
    <xf numFmtId="0" fontId="1" fillId="4" borderId="0" xfId="0" applyFont="1" applyFill="1" applyBorder="1" applyAlignment="1">
      <alignment horizontal="right"/>
    </xf>
    <xf numFmtId="0" fontId="2" fillId="5" borderId="0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right"/>
    </xf>
    <xf numFmtId="2" fontId="3" fillId="5" borderId="0" xfId="0" quotePrefix="1" applyNumberFormat="1" applyFont="1" applyFill="1" applyBorder="1" applyAlignment="1">
      <alignment horizontal="right"/>
    </xf>
    <xf numFmtId="2" fontId="1" fillId="5" borderId="0" xfId="0" applyNumberFormat="1" applyFont="1" applyFill="1" applyBorder="1" applyAlignment="1">
      <alignment horizontal="left"/>
    </xf>
    <xf numFmtId="0" fontId="4" fillId="5" borderId="0" xfId="0" applyFont="1" applyFill="1" applyBorder="1" applyAlignment="1">
      <alignment horizontal="right"/>
    </xf>
    <xf numFmtId="0" fontId="1" fillId="5" borderId="0" xfId="0" applyFont="1" applyFill="1" applyBorder="1" applyAlignment="1">
      <alignment horizontal="left" vertical="top"/>
    </xf>
    <xf numFmtId="0" fontId="1" fillId="5" borderId="0" xfId="0" applyFont="1" applyFill="1" applyBorder="1"/>
    <xf numFmtId="0" fontId="2" fillId="6" borderId="0" xfId="0" applyFont="1" applyFill="1" applyBorder="1" applyAlignment="1">
      <alignment horizontal="center"/>
    </xf>
    <xf numFmtId="0" fontId="1" fillId="6" borderId="0" xfId="0" applyFont="1" applyFill="1" applyBorder="1"/>
    <xf numFmtId="0" fontId="1" fillId="6" borderId="0" xfId="0" applyFont="1" applyFill="1" applyBorder="1" applyAlignment="1">
      <alignment horizontal="right"/>
    </xf>
    <xf numFmtId="0" fontId="1" fillId="6" borderId="0" xfId="0" applyFont="1" applyFill="1" applyBorder="1" applyAlignment="1">
      <alignment horizontal="left"/>
    </xf>
    <xf numFmtId="0" fontId="1" fillId="6" borderId="0" xfId="0" applyFont="1" applyFill="1" applyBorder="1" applyAlignment="1">
      <alignment horizontal="center"/>
    </xf>
    <xf numFmtId="0" fontId="1" fillId="6" borderId="0" xfId="0" applyFont="1" applyFill="1" applyBorder="1" applyAlignment="1">
      <alignment horizontal="left" vertical="top"/>
    </xf>
    <xf numFmtId="166" fontId="1" fillId="6" borderId="0" xfId="0" applyNumberFormat="1" applyFont="1" applyFill="1" applyBorder="1" applyAlignment="1">
      <alignment horizontal="center"/>
    </xf>
    <xf numFmtId="0" fontId="0" fillId="2" borderId="0" xfId="0" applyFill="1" applyBorder="1"/>
    <xf numFmtId="0" fontId="1" fillId="2" borderId="0" xfId="0" applyFont="1" applyFill="1" applyBorder="1" applyAlignment="1">
      <alignment horizontal="center"/>
    </xf>
    <xf numFmtId="166" fontId="1" fillId="2" borderId="0" xfId="0" applyNumberFormat="1" applyFont="1" applyFill="1" applyBorder="1" applyAlignment="1">
      <alignment horizontal="center"/>
    </xf>
    <xf numFmtId="0" fontId="5" fillId="2" borderId="0" xfId="0" applyFont="1" applyFill="1" applyBorder="1" applyAlignment="1">
      <alignment horizontal="right"/>
    </xf>
    <xf numFmtId="0" fontId="6" fillId="2" borderId="0" xfId="0" applyFont="1" applyFill="1" applyBorder="1" applyAlignment="1">
      <alignment horizontal="right"/>
    </xf>
    <xf numFmtId="0" fontId="0" fillId="2" borderId="0" xfId="0" applyFill="1" applyBorder="1" applyAlignment="1">
      <alignment horizontal="left"/>
    </xf>
    <xf numFmtId="0" fontId="1" fillId="2" borderId="0" xfId="0" applyFont="1" applyFill="1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1" fillId="2" borderId="0" xfId="0" applyFont="1" applyFill="1" applyBorder="1"/>
    <xf numFmtId="0" fontId="0" fillId="2" borderId="0" xfId="0" applyFill="1" applyBorder="1" applyAlignment="1">
      <alignment horizontal="center"/>
    </xf>
    <xf numFmtId="0" fontId="5" fillId="2" borderId="0" xfId="0" applyFont="1" applyFill="1" applyAlignment="1">
      <alignment horizontal="right"/>
    </xf>
    <xf numFmtId="0" fontId="6" fillId="2" borderId="0" xfId="0" applyFont="1" applyFill="1" applyAlignment="1">
      <alignment horizontal="right"/>
    </xf>
    <xf numFmtId="0" fontId="0" fillId="2" borderId="0" xfId="0" applyFill="1" applyAlignment="1">
      <alignment horizontal="left"/>
    </xf>
    <xf numFmtId="0" fontId="1" fillId="2" borderId="0" xfId="0" applyFont="1" applyFill="1" applyAlignment="1">
      <alignment horizontal="left"/>
    </xf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0" fillId="7" borderId="0" xfId="0" applyFill="1"/>
    <xf numFmtId="0" fontId="7" fillId="8" borderId="0" xfId="0" applyFont="1" applyFill="1"/>
    <xf numFmtId="0" fontId="8" fillId="8" borderId="0" xfId="0" applyFont="1" applyFill="1"/>
    <xf numFmtId="0" fontId="1" fillId="0" borderId="0" xfId="0" applyFont="1"/>
    <xf numFmtId="0" fontId="5" fillId="2" borderId="0" xfId="0" applyFont="1" applyFill="1"/>
    <xf numFmtId="0" fontId="1" fillId="2" borderId="0" xfId="0" applyFont="1" applyFill="1"/>
    <xf numFmtId="2" fontId="0" fillId="2" borderId="0" xfId="0" applyNumberFormat="1" applyFill="1"/>
    <xf numFmtId="0" fontId="9" fillId="2" borderId="0" xfId="0" applyFont="1" applyFill="1"/>
    <xf numFmtId="0" fontId="10" fillId="2" borderId="0" xfId="0" applyFont="1" applyFill="1"/>
    <xf numFmtId="0" fontId="1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[4]ER6!$C$3</c:f>
              <c:strCache>
                <c:ptCount val="1"/>
                <c:pt idx="0">
                  <c:v> Force opposed(N)</c:v>
                </c:pt>
              </c:strCache>
            </c:strRef>
          </c:tx>
          <c:marker>
            <c:symbol val="none"/>
          </c:marker>
          <c:xVal>
            <c:numRef>
              <c:f>[4]ER6!$B$4:$B$14</c:f>
              <c:numCache>
                <c:formatCode>General</c:formatCode>
                <c:ptCount val="11"/>
                <c:pt idx="0">
                  <c:v>12</c:v>
                </c:pt>
                <c:pt idx="1">
                  <c:v>24</c:v>
                </c:pt>
                <c:pt idx="2">
                  <c:v>36</c:v>
                </c:pt>
                <c:pt idx="3">
                  <c:v>48</c:v>
                </c:pt>
                <c:pt idx="4">
                  <c:v>60</c:v>
                </c:pt>
                <c:pt idx="5">
                  <c:v>72</c:v>
                </c:pt>
                <c:pt idx="6">
                  <c:v>84</c:v>
                </c:pt>
                <c:pt idx="7">
                  <c:v>96</c:v>
                </c:pt>
                <c:pt idx="8">
                  <c:v>108</c:v>
                </c:pt>
                <c:pt idx="9">
                  <c:v>120</c:v>
                </c:pt>
                <c:pt idx="10">
                  <c:v>132</c:v>
                </c:pt>
              </c:numCache>
            </c:numRef>
          </c:xVal>
          <c:yVal>
            <c:numRef>
              <c:f>[4]ER6!$C$4:$C$14</c:f>
              <c:numCache>
                <c:formatCode>General</c:formatCode>
                <c:ptCount val="11"/>
                <c:pt idx="0">
                  <c:v>61.837350000000008</c:v>
                </c:pt>
                <c:pt idx="1">
                  <c:v>83.718600000000009</c:v>
                </c:pt>
                <c:pt idx="2">
                  <c:v>120.18735000000001</c:v>
                </c:pt>
                <c:pt idx="3">
                  <c:v>171.24360000000001</c:v>
                </c:pt>
                <c:pt idx="4">
                  <c:v>236.88735</c:v>
                </c:pt>
                <c:pt idx="5">
                  <c:v>317.11860000000001</c:v>
                </c:pt>
                <c:pt idx="6">
                  <c:v>411.93735000000004</c:v>
                </c:pt>
                <c:pt idx="7">
                  <c:v>521.34360000000004</c:v>
                </c:pt>
                <c:pt idx="8">
                  <c:v>645.33735000000001</c:v>
                </c:pt>
                <c:pt idx="9">
                  <c:v>783.91859999999997</c:v>
                </c:pt>
                <c:pt idx="10">
                  <c:v>937.08735000000001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829-4899-A2EB-AE715D740919}"/>
            </c:ext>
          </c:extLst>
        </c:ser>
        <c:ser>
          <c:idx val="1"/>
          <c:order val="1"/>
          <c:tx>
            <c:strRef>
              <c:f>[4]ER6!$D$3</c:f>
              <c:strCache>
                <c:ptCount val="1"/>
                <c:pt idx="0">
                  <c:v>Driving force(N)</c:v>
                </c:pt>
              </c:strCache>
            </c:strRef>
          </c:tx>
          <c:marker>
            <c:symbol val="none"/>
          </c:marker>
          <c:xVal>
            <c:numRef>
              <c:f>[4]ER6!$B$4:$B$14</c:f>
              <c:numCache>
                <c:formatCode>General</c:formatCode>
                <c:ptCount val="11"/>
                <c:pt idx="0">
                  <c:v>12</c:v>
                </c:pt>
                <c:pt idx="1">
                  <c:v>24</c:v>
                </c:pt>
                <c:pt idx="2">
                  <c:v>36</c:v>
                </c:pt>
                <c:pt idx="3">
                  <c:v>48</c:v>
                </c:pt>
                <c:pt idx="4">
                  <c:v>60</c:v>
                </c:pt>
                <c:pt idx="5">
                  <c:v>72</c:v>
                </c:pt>
                <c:pt idx="6">
                  <c:v>84</c:v>
                </c:pt>
                <c:pt idx="7">
                  <c:v>96</c:v>
                </c:pt>
                <c:pt idx="8">
                  <c:v>108</c:v>
                </c:pt>
                <c:pt idx="9">
                  <c:v>120</c:v>
                </c:pt>
                <c:pt idx="10">
                  <c:v>132</c:v>
                </c:pt>
              </c:numCache>
            </c:numRef>
          </c:xVal>
          <c:yVal>
            <c:numRef>
              <c:f>[4]ER6!$D$4:$D$14</c:f>
              <c:numCache>
                <c:formatCode>General</c:formatCode>
                <c:ptCount val="11"/>
                <c:pt idx="0">
                  <c:v>10600</c:v>
                </c:pt>
                <c:pt idx="1">
                  <c:v>5300</c:v>
                </c:pt>
                <c:pt idx="2">
                  <c:v>3533.3333333333335</c:v>
                </c:pt>
                <c:pt idx="3">
                  <c:v>2650</c:v>
                </c:pt>
                <c:pt idx="4">
                  <c:v>2120</c:v>
                </c:pt>
                <c:pt idx="5">
                  <c:v>1766.6666666666667</c:v>
                </c:pt>
                <c:pt idx="6">
                  <c:v>1514.2857142857142</c:v>
                </c:pt>
                <c:pt idx="7">
                  <c:v>1325</c:v>
                </c:pt>
                <c:pt idx="8">
                  <c:v>1177.7777777777778</c:v>
                </c:pt>
                <c:pt idx="9">
                  <c:v>1060</c:v>
                </c:pt>
                <c:pt idx="10">
                  <c:v>963.63636363636363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829-4899-A2EB-AE715D7409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224192"/>
        <c:axId val="77225984"/>
      </c:scatterChart>
      <c:valAx>
        <c:axId val="772241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77225984"/>
        <c:crosses val="autoZero"/>
        <c:crossBetween val="midCat"/>
      </c:valAx>
      <c:valAx>
        <c:axId val="772259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722419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257176</xdr:colOff>
      <xdr:row>8</xdr:row>
      <xdr:rowOff>180977</xdr:rowOff>
    </xdr:from>
    <xdr:to>
      <xdr:col>13</xdr:col>
      <xdr:colOff>230545</xdr:colOff>
      <xdr:row>14</xdr:row>
      <xdr:rowOff>142876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EFFFEB6-113C-4527-B594-F2C88CDA9A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49476" y="1724027"/>
          <a:ext cx="1192569" cy="1123949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114300</xdr:colOff>
      <xdr:row>1</xdr:row>
      <xdr:rowOff>47625</xdr:rowOff>
    </xdr:from>
    <xdr:to>
      <xdr:col>13</xdr:col>
      <xdr:colOff>266699</xdr:colOff>
      <xdr:row>7</xdr:row>
      <xdr:rowOff>12577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F5F660E-5EF5-4C9B-AAF5-C160AF9E53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06600" y="238125"/>
          <a:ext cx="1371599" cy="1127002"/>
        </a:xfrm>
        <a:prstGeom prst="rect">
          <a:avLst/>
        </a:prstGeom>
      </xdr:spPr>
    </xdr:pic>
    <xdr:clientData/>
  </xdr:twoCellAnchor>
  <xdr:twoCellAnchor editAs="oneCell">
    <xdr:from>
      <xdr:col>11</xdr:col>
      <xdr:colOff>142876</xdr:colOff>
      <xdr:row>21</xdr:row>
      <xdr:rowOff>38099</xdr:rowOff>
    </xdr:from>
    <xdr:to>
      <xdr:col>13</xdr:col>
      <xdr:colOff>257176</xdr:colOff>
      <xdr:row>26</xdr:row>
      <xdr:rowOff>10663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5215472-D28D-4D19-9D2A-35D13ED4BA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35176" y="4095749"/>
          <a:ext cx="1333500" cy="944114"/>
        </a:xfrm>
        <a:prstGeom prst="rect">
          <a:avLst/>
        </a:prstGeom>
      </xdr:spPr>
    </xdr:pic>
    <xdr:clientData/>
  </xdr:twoCellAnchor>
  <xdr:twoCellAnchor editAs="oneCell">
    <xdr:from>
      <xdr:col>11</xdr:col>
      <xdr:colOff>219076</xdr:colOff>
      <xdr:row>15</xdr:row>
      <xdr:rowOff>85725</xdr:rowOff>
    </xdr:from>
    <xdr:to>
      <xdr:col>13</xdr:col>
      <xdr:colOff>247650</xdr:colOff>
      <xdr:row>20</xdr:row>
      <xdr:rowOff>27652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6F8CDB19-51E2-48EB-9539-5D94DBAF6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1376" y="2981325"/>
          <a:ext cx="1247774" cy="913477"/>
        </a:xfrm>
        <a:prstGeom prst="rect">
          <a:avLst/>
        </a:prstGeom>
      </xdr:spPr>
    </xdr:pic>
    <xdr:clientData/>
  </xdr:twoCellAnchor>
  <xdr:oneCellAnchor>
    <xdr:from>
      <xdr:col>11</xdr:col>
      <xdr:colOff>571501</xdr:colOff>
      <xdr:row>64</xdr:row>
      <xdr:rowOff>19052</xdr:rowOff>
    </xdr:from>
    <xdr:ext cx="1192569" cy="1123949"/>
    <xdr:pic>
      <xdr:nvPicPr>
        <xdr:cNvPr id="9" name="Picture 8">
          <a:extLst>
            <a:ext uri="{FF2B5EF4-FFF2-40B4-BE49-F238E27FC236}">
              <a16:creationId xmlns:a16="http://schemas.microsoft.com/office/drawing/2014/main" id="{E3D1F208-2F14-476C-8094-AE0B4964CF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63801" y="12382502"/>
          <a:ext cx="1192569" cy="1123949"/>
        </a:xfrm>
        <a:prstGeom prst="rect">
          <a:avLst/>
        </a:prstGeom>
        <a:noFill/>
      </xdr:spPr>
    </xdr:pic>
    <xdr:clientData/>
  </xdr:oneCellAnchor>
  <xdr:oneCellAnchor>
    <xdr:from>
      <xdr:col>11</xdr:col>
      <xdr:colOff>247650</xdr:colOff>
      <xdr:row>56</xdr:row>
      <xdr:rowOff>180975</xdr:rowOff>
    </xdr:from>
    <xdr:ext cx="1371599" cy="1127002"/>
    <xdr:pic>
      <xdr:nvPicPr>
        <xdr:cNvPr id="10" name="Picture 9">
          <a:extLst>
            <a:ext uri="{FF2B5EF4-FFF2-40B4-BE49-F238E27FC236}">
              <a16:creationId xmlns:a16="http://schemas.microsoft.com/office/drawing/2014/main" id="{B6CB741B-1EC0-422D-8B0A-A415C81921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39950" y="10991850"/>
          <a:ext cx="1371599" cy="1127002"/>
        </a:xfrm>
        <a:prstGeom prst="rect">
          <a:avLst/>
        </a:prstGeom>
      </xdr:spPr>
    </xdr:pic>
    <xdr:clientData/>
  </xdr:oneCellAnchor>
  <xdr:oneCellAnchor>
    <xdr:from>
      <xdr:col>11</xdr:col>
      <xdr:colOff>161926</xdr:colOff>
      <xdr:row>76</xdr:row>
      <xdr:rowOff>200024</xdr:rowOff>
    </xdr:from>
    <xdr:ext cx="1333500" cy="944114"/>
    <xdr:pic>
      <xdr:nvPicPr>
        <xdr:cNvPr id="11" name="Picture 10">
          <a:extLst>
            <a:ext uri="{FF2B5EF4-FFF2-40B4-BE49-F238E27FC236}">
              <a16:creationId xmlns:a16="http://schemas.microsoft.com/office/drawing/2014/main" id="{54193104-F1DB-4F2D-8C41-7E110497A2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54226" y="14878049"/>
          <a:ext cx="1333500" cy="944114"/>
        </a:xfrm>
        <a:prstGeom prst="rect">
          <a:avLst/>
        </a:prstGeom>
      </xdr:spPr>
    </xdr:pic>
    <xdr:clientData/>
  </xdr:oneCellAnchor>
  <xdr:oneCellAnchor>
    <xdr:from>
      <xdr:col>11</xdr:col>
      <xdr:colOff>304801</xdr:colOff>
      <xdr:row>71</xdr:row>
      <xdr:rowOff>9525</xdr:rowOff>
    </xdr:from>
    <xdr:ext cx="1247774" cy="913477"/>
    <xdr:pic>
      <xdr:nvPicPr>
        <xdr:cNvPr id="12" name="Picture 11">
          <a:extLst>
            <a:ext uri="{FF2B5EF4-FFF2-40B4-BE49-F238E27FC236}">
              <a16:creationId xmlns:a16="http://schemas.microsoft.com/office/drawing/2014/main" id="{C829DFAA-E0E4-4E70-9F93-9F70D94321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97101" y="13716000"/>
          <a:ext cx="1247774" cy="913477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10</xdr:row>
      <xdr:rowOff>38100</xdr:rowOff>
    </xdr:from>
    <xdr:to>
      <xdr:col>10</xdr:col>
      <xdr:colOff>352424</xdr:colOff>
      <xdr:row>37</xdr:row>
      <xdr:rowOff>161925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CC03688-7343-4BCF-97E0-8B1748091D4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C%20of%20G%20Geometry%20Assignment%20Dec%202010\C%20of%20G%20Calculator%20ER6%20Mega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rk%20Assign\COG%20&amp;%20Lean\COG%20and%20Lean%20Angle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rk%20Assign\COG%20&amp;%20Lean\COG%20and%20Lean%20Angl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rk%20Assign\COG%20&amp;%20Lean\VEL%20POW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6">
          <cell r="F6">
            <v>0</v>
          </cell>
          <cell r="G6">
            <v>0</v>
          </cell>
        </row>
        <row r="7">
          <cell r="F7">
            <v>1.66</v>
          </cell>
          <cell r="G7">
            <v>0</v>
          </cell>
        </row>
        <row r="8">
          <cell r="F8">
            <v>0.77548946716232958</v>
          </cell>
          <cell r="G8">
            <v>0.33754012179867998</v>
          </cell>
        </row>
      </sheetData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90 Megan"/>
      <sheetName val="ZX12R Mark"/>
      <sheetName val="ER6 Dave"/>
    </sheetNames>
    <sheetDataSet>
      <sheetData sheetId="0">
        <row r="6">
          <cell r="F6">
            <v>0</v>
          </cell>
          <cell r="G6">
            <v>0</v>
          </cell>
        </row>
        <row r="7">
          <cell r="F7">
            <v>1.345</v>
          </cell>
          <cell r="G7">
            <v>0</v>
          </cell>
        </row>
        <row r="8">
          <cell r="F8">
            <v>0.63046875000000002</v>
          </cell>
          <cell r="G8">
            <v>0.38138327463415378</v>
          </cell>
        </row>
      </sheetData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90 Megan"/>
      <sheetName val="ZX12R Mark"/>
      <sheetName val="ER6 Dave"/>
    </sheetNames>
    <sheetDataSet>
      <sheetData sheetId="0">
        <row r="6">
          <cell r="F6">
            <v>0</v>
          </cell>
          <cell r="G6">
            <v>0</v>
          </cell>
        </row>
        <row r="7">
          <cell r="F7">
            <v>1.66</v>
          </cell>
          <cell r="G7">
            <v>0</v>
          </cell>
        </row>
        <row r="8">
          <cell r="F8">
            <v>0.77548946716232958</v>
          </cell>
          <cell r="G8">
            <v>0.6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X12r"/>
      <sheetName val="ER6"/>
      <sheetName val="C90"/>
    </sheetNames>
    <sheetDataSet>
      <sheetData sheetId="0"/>
      <sheetData sheetId="1">
        <row r="3">
          <cell r="C3" t="str">
            <v xml:space="preserve"> Force opposed(N)</v>
          </cell>
          <cell r="D3" t="str">
            <v>Driving force(N)</v>
          </cell>
        </row>
        <row r="4">
          <cell r="B4">
            <v>12</v>
          </cell>
          <cell r="C4">
            <v>61.837350000000008</v>
          </cell>
          <cell r="D4">
            <v>10600</v>
          </cell>
        </row>
        <row r="5">
          <cell r="B5">
            <v>24</v>
          </cell>
          <cell r="C5">
            <v>83.718600000000009</v>
          </cell>
          <cell r="D5">
            <v>5300</v>
          </cell>
        </row>
        <row r="6">
          <cell r="B6">
            <v>36</v>
          </cell>
          <cell r="C6">
            <v>120.18735000000001</v>
          </cell>
          <cell r="D6">
            <v>3533.3333333333335</v>
          </cell>
        </row>
        <row r="7">
          <cell r="B7">
            <v>48</v>
          </cell>
          <cell r="C7">
            <v>171.24360000000001</v>
          </cell>
          <cell r="D7">
            <v>2650</v>
          </cell>
        </row>
        <row r="8">
          <cell r="B8">
            <v>60</v>
          </cell>
          <cell r="C8">
            <v>236.88735</v>
          </cell>
          <cell r="D8">
            <v>2120</v>
          </cell>
        </row>
        <row r="9">
          <cell r="B9">
            <v>72</v>
          </cell>
          <cell r="C9">
            <v>317.11860000000001</v>
          </cell>
          <cell r="D9">
            <v>1766.6666666666667</v>
          </cell>
        </row>
        <row r="10">
          <cell r="B10">
            <v>84</v>
          </cell>
          <cell r="C10">
            <v>411.93735000000004</v>
          </cell>
          <cell r="D10">
            <v>1514.2857142857142</v>
          </cell>
        </row>
        <row r="11">
          <cell r="B11">
            <v>96</v>
          </cell>
          <cell r="C11">
            <v>521.34360000000004</v>
          </cell>
          <cell r="D11">
            <v>1325</v>
          </cell>
        </row>
        <row r="12">
          <cell r="B12">
            <v>108</v>
          </cell>
          <cell r="C12">
            <v>645.33735000000001</v>
          </cell>
          <cell r="D12">
            <v>1177.7777777777778</v>
          </cell>
        </row>
        <row r="13">
          <cell r="B13">
            <v>120</v>
          </cell>
          <cell r="C13">
            <v>783.91859999999997</v>
          </cell>
          <cell r="D13">
            <v>1060</v>
          </cell>
        </row>
        <row r="14">
          <cell r="B14">
            <v>132</v>
          </cell>
          <cell r="C14">
            <v>937.08735000000001</v>
          </cell>
          <cell r="D14">
            <v>963.63636363636363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E8B79-C154-430D-A18E-B849D7F5AB6E}">
  <dimension ref="A1:Q121"/>
  <sheetViews>
    <sheetView tabSelected="1" topLeftCell="C58" workbookViewId="0">
      <selection activeCell="A4" sqref="A4:F8"/>
    </sheetView>
  </sheetViews>
  <sheetFormatPr defaultRowHeight="15" x14ac:dyDescent="0.25"/>
  <cols>
    <col min="1" max="1" width="86" customWidth="1"/>
    <col min="2" max="2" width="23" customWidth="1"/>
    <col min="3" max="3" width="4.5703125" customWidth="1"/>
    <col min="4" max="4" width="41.28515625" customWidth="1"/>
  </cols>
  <sheetData>
    <row r="1" spans="1:15" x14ac:dyDescent="0.2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L1" s="1"/>
      <c r="M1" s="1"/>
      <c r="N1" s="1"/>
      <c r="O1" s="1"/>
    </row>
    <row r="2" spans="1:15" x14ac:dyDescent="0.25">
      <c r="A2" s="32"/>
      <c r="B2" s="32"/>
      <c r="C2" s="32"/>
      <c r="D2" s="32"/>
      <c r="E2" s="32"/>
      <c r="F2" s="32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33">
        <v>1</v>
      </c>
      <c r="B3" s="40" t="s">
        <v>1</v>
      </c>
      <c r="C3" s="40"/>
      <c r="D3" s="40"/>
      <c r="E3" s="41"/>
      <c r="F3" s="41"/>
      <c r="G3" s="1"/>
      <c r="H3" s="1"/>
      <c r="I3" s="1"/>
      <c r="J3" s="1"/>
      <c r="K3" s="1"/>
      <c r="L3" s="1"/>
      <c r="M3" s="1"/>
      <c r="N3" s="1"/>
      <c r="O3" s="1"/>
    </row>
    <row r="4" spans="1:15" ht="15.75" x14ac:dyDescent="0.25">
      <c r="A4" s="4" t="s">
        <v>2</v>
      </c>
      <c r="B4" s="2" t="s">
        <v>38</v>
      </c>
      <c r="C4" s="2"/>
      <c r="D4" s="2"/>
      <c r="E4" s="2"/>
      <c r="F4" s="2"/>
      <c r="G4" s="1"/>
      <c r="H4" s="1"/>
      <c r="I4" s="1"/>
      <c r="J4" s="1"/>
      <c r="K4" s="1"/>
      <c r="L4" s="1"/>
      <c r="M4" s="1"/>
      <c r="N4" s="1"/>
      <c r="O4" s="1"/>
    </row>
    <row r="5" spans="1:15" ht="15.75" x14ac:dyDescent="0.25">
      <c r="A5" s="5" t="s">
        <v>3</v>
      </c>
      <c r="B5" s="3">
        <f>(E5*E6)/E7</f>
        <v>643.88297872340422</v>
      </c>
      <c r="C5" s="6" t="s">
        <v>4</v>
      </c>
      <c r="D5" s="2" t="s">
        <v>5</v>
      </c>
      <c r="E5" s="7">
        <v>90</v>
      </c>
      <c r="F5" s="8" t="s">
        <v>6</v>
      </c>
      <c r="G5" s="1"/>
      <c r="H5" s="1"/>
      <c r="I5" s="1"/>
      <c r="J5" s="46" t="s">
        <v>2</v>
      </c>
      <c r="K5" s="1"/>
      <c r="L5" s="1"/>
      <c r="M5" s="1"/>
      <c r="N5" s="1"/>
      <c r="O5" s="1"/>
    </row>
    <row r="6" spans="1:15" x14ac:dyDescent="0.25">
      <c r="A6" s="2"/>
      <c r="B6" s="2"/>
      <c r="C6" s="2"/>
      <c r="D6" s="2" t="s">
        <v>7</v>
      </c>
      <c r="E6" s="7">
        <v>1345</v>
      </c>
      <c r="F6" s="8" t="s">
        <v>4</v>
      </c>
      <c r="G6" s="1"/>
      <c r="H6" s="1"/>
      <c r="I6" s="1"/>
      <c r="J6" s="1"/>
      <c r="K6" s="1"/>
      <c r="L6" s="1"/>
      <c r="M6" s="1"/>
      <c r="N6" s="1"/>
      <c r="O6" s="1"/>
    </row>
    <row r="7" spans="1:15" x14ac:dyDescent="0.25">
      <c r="A7" s="2"/>
      <c r="B7" s="2"/>
      <c r="C7" s="2"/>
      <c r="D7" s="2" t="s">
        <v>8</v>
      </c>
      <c r="E7" s="5">
        <v>188</v>
      </c>
      <c r="F7" s="8" t="s">
        <v>6</v>
      </c>
      <c r="G7" s="1"/>
      <c r="H7" s="1"/>
      <c r="I7" s="1"/>
      <c r="J7" s="1"/>
      <c r="K7" s="1"/>
      <c r="L7" s="1"/>
      <c r="M7" s="1"/>
      <c r="N7" s="1"/>
      <c r="O7" s="1"/>
    </row>
    <row r="8" spans="1:15" x14ac:dyDescent="0.25">
      <c r="A8" s="2"/>
      <c r="B8" s="9"/>
      <c r="C8" s="9"/>
      <c r="D8" s="2" t="s">
        <v>9</v>
      </c>
      <c r="E8" s="9">
        <v>98</v>
      </c>
      <c r="F8" s="8" t="s">
        <v>6</v>
      </c>
      <c r="G8" s="1"/>
      <c r="H8" s="1"/>
      <c r="I8" s="1"/>
      <c r="J8" s="1"/>
      <c r="K8" s="1"/>
      <c r="L8" s="1"/>
      <c r="M8" s="1"/>
      <c r="N8" s="1"/>
      <c r="O8" s="1"/>
    </row>
    <row r="9" spans="1:15" ht="15.75" x14ac:dyDescent="0.25">
      <c r="A9" s="10" t="s">
        <v>10</v>
      </c>
      <c r="B9" s="11" t="s">
        <v>39</v>
      </c>
      <c r="C9" s="11"/>
      <c r="D9" s="11"/>
      <c r="E9" s="11"/>
      <c r="F9" s="1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25">
      <c r="A10" s="12" t="s">
        <v>11</v>
      </c>
      <c r="B10" s="13">
        <f>E10*((E11-E12)/(E13*E14))+E15</f>
        <v>487.25138977358279</v>
      </c>
      <c r="C10" s="14" t="s">
        <v>4</v>
      </c>
      <c r="D10" s="11" t="s">
        <v>12</v>
      </c>
      <c r="E10" s="11">
        <f>E6</f>
        <v>1345</v>
      </c>
      <c r="F10" s="11" t="s">
        <v>4</v>
      </c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25">
      <c r="A11" s="12"/>
      <c r="B11" s="11"/>
      <c r="C11" s="11"/>
      <c r="D11" s="11" t="s">
        <v>5</v>
      </c>
      <c r="E11" s="11">
        <f>E5</f>
        <v>90</v>
      </c>
      <c r="F11" s="15" t="s">
        <v>6</v>
      </c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25">
      <c r="A12" s="12" t="s">
        <v>13</v>
      </c>
      <c r="B12" s="11"/>
      <c r="C12" s="11"/>
      <c r="D12" s="11" t="s">
        <v>14</v>
      </c>
      <c r="E12" s="11">
        <v>83</v>
      </c>
      <c r="F12" s="11" t="s">
        <v>6</v>
      </c>
      <c r="G12" s="1"/>
      <c r="H12" s="1"/>
      <c r="I12" s="1"/>
      <c r="J12" s="1"/>
      <c r="K12" s="1"/>
      <c r="L12" s="1"/>
      <c r="M12" s="1"/>
      <c r="N12" s="1"/>
      <c r="O12" s="1"/>
    </row>
    <row r="13" spans="1:15" ht="15.75" x14ac:dyDescent="0.25">
      <c r="A13" s="12">
        <f>E16/E10</f>
        <v>0.26096654275092934</v>
      </c>
      <c r="B13" s="11"/>
      <c r="C13" s="11"/>
      <c r="D13" s="11" t="s">
        <v>8</v>
      </c>
      <c r="E13" s="11">
        <f>E7</f>
        <v>188</v>
      </c>
      <c r="F13" s="11" t="s">
        <v>6</v>
      </c>
      <c r="G13" s="1"/>
      <c r="H13" s="1"/>
      <c r="I13" s="1"/>
      <c r="J13" s="46" t="s">
        <v>10</v>
      </c>
      <c r="K13" s="1"/>
      <c r="L13" s="1"/>
      <c r="M13" s="1"/>
      <c r="N13" s="1"/>
      <c r="O13" s="1"/>
    </row>
    <row r="14" spans="1:15" x14ac:dyDescent="0.25">
      <c r="A14" s="12">
        <f>ASIN(A13)*180/PI()</f>
        <v>15.127421092958985</v>
      </c>
      <c r="B14" s="11"/>
      <c r="C14" s="11"/>
      <c r="D14" s="11" t="s">
        <v>15</v>
      </c>
      <c r="E14" s="16">
        <f>TAN(A14*PI()/180)</f>
        <v>0.27033420529395691</v>
      </c>
      <c r="F14" s="11"/>
      <c r="G14" s="1"/>
      <c r="H14" s="1"/>
      <c r="I14" s="1"/>
      <c r="J14" s="1"/>
      <c r="K14" s="1"/>
      <c r="L14" s="1"/>
      <c r="M14" s="1"/>
      <c r="N14" s="1"/>
      <c r="O14" s="1"/>
    </row>
    <row r="15" spans="1:15" x14ac:dyDescent="0.25">
      <c r="A15" s="12"/>
      <c r="B15" s="11"/>
      <c r="C15" s="11"/>
      <c r="D15" s="11" t="s">
        <v>16</v>
      </c>
      <c r="E15" s="11">
        <v>302</v>
      </c>
      <c r="F15" s="11" t="s">
        <v>4</v>
      </c>
      <c r="G15" s="1"/>
      <c r="H15" s="1"/>
      <c r="I15" s="1"/>
      <c r="J15" s="1"/>
      <c r="K15" s="1"/>
      <c r="L15" s="1"/>
      <c r="M15" s="1"/>
      <c r="N15" s="1"/>
      <c r="O15" s="1"/>
    </row>
    <row r="16" spans="1:15" x14ac:dyDescent="0.25">
      <c r="A16" s="12"/>
      <c r="B16" s="11"/>
      <c r="C16" s="11"/>
      <c r="D16" s="11" t="s">
        <v>17</v>
      </c>
      <c r="E16" s="11">
        <v>351</v>
      </c>
      <c r="F16" s="11" t="s">
        <v>4</v>
      </c>
      <c r="G16" s="1"/>
      <c r="H16" s="1"/>
      <c r="I16" s="1"/>
      <c r="J16" s="1"/>
      <c r="K16" s="1"/>
      <c r="L16" s="1"/>
      <c r="M16" s="1"/>
      <c r="N16" s="1"/>
      <c r="O16" s="1"/>
    </row>
    <row r="17" spans="1:15" ht="15.75" x14ac:dyDescent="0.25">
      <c r="A17" s="17" t="s">
        <v>18</v>
      </c>
      <c r="B17" s="18" t="s">
        <v>38</v>
      </c>
      <c r="C17" s="18"/>
      <c r="D17" s="18"/>
      <c r="E17" s="18"/>
      <c r="F17" s="18"/>
      <c r="G17" s="1"/>
      <c r="H17" s="1"/>
      <c r="I17" s="1"/>
      <c r="J17" s="1"/>
      <c r="K17" s="1"/>
      <c r="L17" s="1"/>
      <c r="M17" s="1"/>
      <c r="N17" s="1"/>
      <c r="O17" s="1"/>
    </row>
    <row r="18" spans="1:15" x14ac:dyDescent="0.25">
      <c r="A18" s="19" t="s">
        <v>19</v>
      </c>
      <c r="B18" s="20">
        <f>(E18*E19)/E20</f>
        <v>665.19718041531735</v>
      </c>
      <c r="C18" s="21" t="s">
        <v>4</v>
      </c>
      <c r="D18" s="18" t="s">
        <v>20</v>
      </c>
      <c r="E18" s="22">
        <v>129.80000000000001</v>
      </c>
      <c r="F18" s="23" t="s">
        <v>6</v>
      </c>
      <c r="G18" s="1"/>
      <c r="H18" s="1"/>
      <c r="I18" s="1"/>
      <c r="J18" s="1"/>
      <c r="K18" s="1"/>
      <c r="L18" s="1"/>
      <c r="M18" s="1"/>
      <c r="N18" s="1"/>
      <c r="O18" s="1"/>
    </row>
    <row r="19" spans="1:15" ht="15.75" x14ac:dyDescent="0.25">
      <c r="A19" s="18"/>
      <c r="B19" s="18"/>
      <c r="C19" s="18"/>
      <c r="D19" s="18" t="s">
        <v>7</v>
      </c>
      <c r="E19" s="22">
        <f>E6</f>
        <v>1345</v>
      </c>
      <c r="F19" s="23" t="s">
        <v>4</v>
      </c>
      <c r="G19" s="1"/>
      <c r="H19" s="1"/>
      <c r="I19" s="1"/>
      <c r="J19" s="46" t="s">
        <v>21</v>
      </c>
      <c r="K19" s="1"/>
      <c r="L19" s="1"/>
      <c r="M19" s="1"/>
      <c r="N19" s="1"/>
      <c r="O19" s="1"/>
    </row>
    <row r="20" spans="1:15" x14ac:dyDescent="0.25">
      <c r="A20" s="18"/>
      <c r="B20" s="18"/>
      <c r="C20" s="18"/>
      <c r="D20" s="18" t="s">
        <v>22</v>
      </c>
      <c r="E20" s="19">
        <f>E13+E21</f>
        <v>262.45</v>
      </c>
      <c r="F20" s="23" t="s">
        <v>6</v>
      </c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25">
      <c r="A21" s="18"/>
      <c r="B21" s="24"/>
      <c r="C21" s="24"/>
      <c r="D21" s="18" t="s">
        <v>23</v>
      </c>
      <c r="E21" s="24">
        <v>74.45</v>
      </c>
      <c r="F21" s="23" t="s">
        <v>6</v>
      </c>
      <c r="G21" s="1"/>
      <c r="H21" s="1"/>
      <c r="I21" s="1"/>
      <c r="J21" s="1"/>
      <c r="K21" s="1"/>
      <c r="L21" s="1"/>
      <c r="M21" s="1"/>
      <c r="N21" s="1"/>
      <c r="O21" s="1"/>
    </row>
    <row r="22" spans="1:15" ht="15.75" x14ac:dyDescent="0.25">
      <c r="A22" s="25" t="s">
        <v>24</v>
      </c>
      <c r="B22" s="26" t="s">
        <v>39</v>
      </c>
      <c r="C22" s="26"/>
      <c r="D22" s="26"/>
      <c r="E22" s="26"/>
      <c r="F22" s="26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25">
      <c r="A23" s="27" t="s">
        <v>25</v>
      </c>
      <c r="B23" s="26">
        <f>E23*((E24-E25)/(E26*E27))+E28</f>
        <v>563.60967021124225</v>
      </c>
      <c r="C23" s="28" t="s">
        <v>4</v>
      </c>
      <c r="D23" s="26" t="s">
        <v>7</v>
      </c>
      <c r="E23" s="26">
        <f>E6</f>
        <v>1345</v>
      </c>
      <c r="F23" s="26" t="s">
        <v>4</v>
      </c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25">
      <c r="A24" s="29"/>
      <c r="B24" s="26"/>
      <c r="C24" s="26"/>
      <c r="D24" s="26" t="s">
        <v>5</v>
      </c>
      <c r="E24" s="26">
        <f>E18</f>
        <v>129.80000000000001</v>
      </c>
      <c r="F24" s="30" t="s">
        <v>6</v>
      </c>
      <c r="G24" s="1"/>
      <c r="H24" s="1"/>
      <c r="I24" s="1"/>
      <c r="J24" s="1"/>
      <c r="K24" s="1"/>
      <c r="L24" s="1"/>
      <c r="M24" s="1"/>
      <c r="N24" s="1"/>
      <c r="O24" s="1"/>
    </row>
    <row r="25" spans="1:15" ht="15.75" x14ac:dyDescent="0.25">
      <c r="A25" s="29" t="s">
        <v>13</v>
      </c>
      <c r="B25" s="26"/>
      <c r="C25" s="26"/>
      <c r="D25" s="26" t="s">
        <v>26</v>
      </c>
      <c r="E25" s="26">
        <v>116</v>
      </c>
      <c r="F25" s="26" t="s">
        <v>6</v>
      </c>
      <c r="G25" s="1"/>
      <c r="H25" s="1"/>
      <c r="I25" s="1"/>
      <c r="J25" s="46" t="s">
        <v>27</v>
      </c>
      <c r="K25" s="1"/>
      <c r="L25" s="1"/>
      <c r="M25" s="1"/>
      <c r="N25" s="1"/>
      <c r="O25" s="1"/>
    </row>
    <row r="26" spans="1:15" x14ac:dyDescent="0.25">
      <c r="A26" s="29">
        <f>E29/E23</f>
        <v>0.26096654275092934</v>
      </c>
      <c r="B26" s="26"/>
      <c r="C26" s="26"/>
      <c r="D26" s="26" t="s">
        <v>22</v>
      </c>
      <c r="E26" s="26">
        <f>E20</f>
        <v>262.45</v>
      </c>
      <c r="F26" s="26" t="s">
        <v>6</v>
      </c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25">
      <c r="A27" s="29">
        <f>ASIN(A26)*180/PI()</f>
        <v>15.127421092958985</v>
      </c>
      <c r="B27" s="26"/>
      <c r="C27" s="26"/>
      <c r="D27" s="26" t="s">
        <v>15</v>
      </c>
      <c r="E27" s="27">
        <f>TAN(A27*PI()/180)</f>
        <v>0.27033420529395691</v>
      </c>
      <c r="F27" s="26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25">
      <c r="A28" s="29"/>
      <c r="B28" s="26"/>
      <c r="C28" s="26"/>
      <c r="D28" s="26" t="s">
        <v>16</v>
      </c>
      <c r="E28" s="26">
        <f>E15</f>
        <v>302</v>
      </c>
      <c r="F28" s="26" t="s">
        <v>4</v>
      </c>
      <c r="G28" s="1"/>
      <c r="H28" s="1"/>
      <c r="I28" s="1"/>
      <c r="J28" s="1"/>
      <c r="K28" s="1"/>
      <c r="L28" s="1"/>
      <c r="M28" s="1"/>
      <c r="N28" s="1"/>
      <c r="O28" s="1"/>
    </row>
    <row r="29" spans="1:15" x14ac:dyDescent="0.25">
      <c r="A29" s="26"/>
      <c r="B29" s="26"/>
      <c r="C29" s="26"/>
      <c r="D29" s="26" t="s">
        <v>17</v>
      </c>
      <c r="E29" s="26">
        <v>351</v>
      </c>
      <c r="F29" s="26" t="s">
        <v>4</v>
      </c>
      <c r="G29" s="1"/>
      <c r="H29" s="1"/>
      <c r="I29" s="1"/>
      <c r="J29" s="1"/>
      <c r="K29" s="1"/>
      <c r="L29" s="1"/>
      <c r="M29" s="1"/>
      <c r="N29" s="1"/>
      <c r="O29" s="1"/>
    </row>
    <row r="30" spans="1:15" x14ac:dyDescent="0.25">
      <c r="A30" s="32"/>
      <c r="B30" s="32"/>
      <c r="C30" s="32"/>
      <c r="D30" s="33" t="s">
        <v>28</v>
      </c>
      <c r="E30" s="34">
        <f>((E31*SIN(RADIANS(25)))-E33)/COS(RADIANS(E32))</f>
        <v>96.178197096381297</v>
      </c>
      <c r="F30" s="33"/>
      <c r="G30" s="1"/>
      <c r="H30" s="1"/>
      <c r="I30" s="1"/>
      <c r="J30" s="1"/>
      <c r="L30" s="1"/>
      <c r="M30" s="1"/>
      <c r="N30" s="1"/>
      <c r="O30" s="1"/>
    </row>
    <row r="31" spans="1:15" ht="15.75" x14ac:dyDescent="0.25">
      <c r="A31" s="35" t="s">
        <v>29</v>
      </c>
      <c r="B31" s="32"/>
      <c r="C31" s="32"/>
      <c r="D31" s="33" t="s">
        <v>30</v>
      </c>
      <c r="E31" s="33">
        <v>306.5</v>
      </c>
      <c r="F31" s="33" t="s">
        <v>31</v>
      </c>
      <c r="G31" s="1"/>
      <c r="H31" s="1"/>
      <c r="I31" s="1"/>
      <c r="J31" s="1"/>
      <c r="L31" s="1"/>
      <c r="M31" s="1"/>
      <c r="N31" s="1"/>
      <c r="O31" s="1"/>
    </row>
    <row r="32" spans="1:15" ht="15.75" x14ac:dyDescent="0.25">
      <c r="A32" s="36" t="s">
        <v>32</v>
      </c>
      <c r="B32" s="37">
        <f>((E23-B5)/E23)*100</f>
        <v>52.12765957446809</v>
      </c>
      <c r="C32" s="38" t="s">
        <v>33</v>
      </c>
      <c r="D32" s="33" t="s">
        <v>34</v>
      </c>
      <c r="E32" s="33">
        <v>23</v>
      </c>
      <c r="F32" s="33"/>
      <c r="G32" s="1"/>
      <c r="H32" s="1"/>
      <c r="I32" s="1"/>
      <c r="J32" s="1"/>
      <c r="L32" s="1"/>
      <c r="M32" s="1"/>
      <c r="N32" s="1"/>
      <c r="O32" s="1"/>
    </row>
    <row r="33" spans="1:15" ht="15.75" x14ac:dyDescent="0.25">
      <c r="A33" s="36" t="s">
        <v>35</v>
      </c>
      <c r="B33" s="37">
        <f>(B5/E23)*100</f>
        <v>47.87234042553191</v>
      </c>
      <c r="C33" s="38" t="s">
        <v>33</v>
      </c>
      <c r="D33" s="33" t="s">
        <v>36</v>
      </c>
      <c r="E33" s="33">
        <v>41</v>
      </c>
      <c r="F33" s="33" t="s">
        <v>31</v>
      </c>
      <c r="G33" s="1"/>
      <c r="H33" s="1"/>
      <c r="I33" s="1"/>
      <c r="J33" s="1"/>
      <c r="L33" s="1"/>
      <c r="M33" s="1"/>
      <c r="N33" s="1"/>
      <c r="O33" s="1"/>
    </row>
    <row r="34" spans="1:15" x14ac:dyDescent="0.25">
      <c r="A34" s="32"/>
      <c r="B34" s="32"/>
      <c r="C34" s="32"/>
      <c r="D34" s="32"/>
      <c r="E34" s="32"/>
      <c r="F34" s="32"/>
      <c r="G34" s="1"/>
      <c r="H34" s="1"/>
      <c r="I34" s="1"/>
      <c r="J34" s="1"/>
      <c r="L34" s="1"/>
      <c r="M34" s="1"/>
      <c r="N34" s="1"/>
      <c r="O34" s="1"/>
    </row>
    <row r="35" spans="1:15" ht="15.75" x14ac:dyDescent="0.25">
      <c r="A35" s="35" t="s">
        <v>37</v>
      </c>
      <c r="B35" s="32"/>
      <c r="C35" s="32"/>
      <c r="D35" s="32"/>
      <c r="E35" s="32"/>
      <c r="F35" s="32"/>
      <c r="G35" s="1"/>
      <c r="H35" s="1"/>
      <c r="I35" s="1"/>
      <c r="J35" s="1"/>
      <c r="L35" s="1"/>
      <c r="M35" s="1"/>
      <c r="N35" s="1"/>
      <c r="O35" s="1"/>
    </row>
    <row r="36" spans="1:15" ht="15.75" x14ac:dyDescent="0.25">
      <c r="A36" s="36" t="s">
        <v>32</v>
      </c>
      <c r="B36" s="37">
        <f>((E23-B18)/E23)*100</f>
        <v>50.542960563916928</v>
      </c>
      <c r="C36" s="38" t="s">
        <v>33</v>
      </c>
      <c r="D36" s="32"/>
      <c r="E36" s="32"/>
      <c r="F36" s="32"/>
      <c r="G36" s="1"/>
      <c r="H36" s="1"/>
      <c r="I36" s="1"/>
      <c r="J36" s="1"/>
      <c r="L36" s="1"/>
      <c r="M36" s="1"/>
      <c r="N36" s="1"/>
      <c r="O36" s="1"/>
    </row>
    <row r="37" spans="1:15" ht="15.75" x14ac:dyDescent="0.25">
      <c r="A37" s="36" t="s">
        <v>35</v>
      </c>
      <c r="B37" s="37">
        <f>(B18/E23)*100</f>
        <v>49.457039436083072</v>
      </c>
      <c r="C37" s="38" t="s">
        <v>33</v>
      </c>
      <c r="D37" s="32"/>
      <c r="E37" s="32"/>
      <c r="F37" s="32"/>
      <c r="G37" s="1"/>
      <c r="H37" s="1"/>
      <c r="I37" s="1"/>
      <c r="J37" s="1"/>
      <c r="L37" s="1"/>
      <c r="M37" s="1"/>
      <c r="N37" s="1"/>
      <c r="O37" s="1"/>
    </row>
    <row r="38" spans="1:15" x14ac:dyDescent="0.25">
      <c r="A38" s="32"/>
      <c r="B38" s="32"/>
      <c r="C38" s="32"/>
      <c r="D38" s="32"/>
      <c r="E38" s="32"/>
      <c r="F38" s="32"/>
      <c r="G38" s="1"/>
      <c r="H38" s="1"/>
      <c r="I38" s="1"/>
      <c r="J38" s="1"/>
      <c r="L38" s="1"/>
      <c r="M38" s="1"/>
      <c r="N38" s="1"/>
      <c r="O38" s="1"/>
    </row>
    <row r="39" spans="1:15" x14ac:dyDescent="0.25">
      <c r="A39" s="32"/>
      <c r="B39" s="32"/>
      <c r="C39" s="32"/>
      <c r="D39" s="32"/>
      <c r="E39" s="32"/>
      <c r="F39" s="32"/>
      <c r="G39" s="1"/>
      <c r="H39" s="1"/>
      <c r="I39" s="1"/>
      <c r="J39" s="1"/>
      <c r="L39" s="1"/>
      <c r="M39" s="1"/>
      <c r="N39" s="1"/>
      <c r="O39" s="1"/>
    </row>
    <row r="40" spans="1:15" x14ac:dyDescent="0.25">
      <c r="A40" s="32"/>
      <c r="B40" s="32"/>
      <c r="C40" s="32"/>
      <c r="D40" s="32"/>
      <c r="E40" s="32"/>
      <c r="F40" s="32"/>
      <c r="G40" s="1"/>
      <c r="H40" s="1"/>
      <c r="I40" s="1"/>
      <c r="J40" s="1"/>
      <c r="L40" s="1"/>
      <c r="M40" s="1"/>
      <c r="N40" s="1"/>
      <c r="O40" s="1"/>
    </row>
    <row r="41" spans="1:15" x14ac:dyDescent="0.25">
      <c r="A41" s="32"/>
      <c r="B41" s="32"/>
      <c r="C41" s="32"/>
      <c r="D41" s="32"/>
      <c r="E41" s="32"/>
      <c r="F41" s="32"/>
      <c r="G41" s="1"/>
      <c r="H41" s="1"/>
      <c r="I41" s="1"/>
      <c r="J41" s="1"/>
      <c r="L41" s="1"/>
      <c r="M41" s="1"/>
      <c r="N41" s="1"/>
      <c r="O41" s="1"/>
    </row>
    <row r="42" spans="1:15" ht="15.75" x14ac:dyDescent="0.25">
      <c r="A42" s="35"/>
      <c r="B42" s="32"/>
      <c r="C42" s="32"/>
      <c r="D42" s="32"/>
      <c r="E42" s="32"/>
      <c r="F42" s="32"/>
      <c r="G42" s="1"/>
      <c r="H42" s="1"/>
      <c r="I42" s="1"/>
      <c r="J42" s="1"/>
      <c r="L42" s="1"/>
      <c r="M42" s="1"/>
      <c r="N42" s="1"/>
      <c r="O42" s="1"/>
    </row>
    <row r="43" spans="1:15" x14ac:dyDescent="0.25">
      <c r="A43" s="32"/>
      <c r="B43" s="32"/>
      <c r="C43" s="32"/>
      <c r="D43" s="32"/>
      <c r="E43" s="32"/>
      <c r="F43" s="32"/>
      <c r="G43" s="1"/>
      <c r="H43" s="1"/>
      <c r="I43" s="1"/>
      <c r="J43" s="1"/>
      <c r="L43" s="1"/>
      <c r="M43" s="1"/>
      <c r="N43" s="1"/>
      <c r="O43" s="1"/>
    </row>
    <row r="44" spans="1:15" x14ac:dyDescent="0.25">
      <c r="A44" s="32"/>
      <c r="B44" s="32"/>
      <c r="C44" s="32"/>
      <c r="D44" s="32"/>
      <c r="E44" s="32"/>
      <c r="F44" s="32"/>
      <c r="G44" s="1"/>
      <c r="H44" s="1"/>
      <c r="I44" s="1"/>
      <c r="J44" s="1"/>
      <c r="L44" s="1"/>
      <c r="M44" s="1"/>
      <c r="N44" s="1"/>
      <c r="O44" s="1"/>
    </row>
    <row r="45" spans="1:15" x14ac:dyDescent="0.25">
      <c r="A45" s="32"/>
      <c r="B45" s="32"/>
      <c r="C45" s="32"/>
      <c r="D45" s="32"/>
      <c r="E45" s="32"/>
      <c r="F45" s="32"/>
      <c r="G45" s="1"/>
      <c r="H45" s="1"/>
      <c r="I45" s="1"/>
      <c r="J45" s="1"/>
      <c r="L45" s="1"/>
      <c r="M45" s="1"/>
      <c r="N45" s="1"/>
      <c r="O45" s="1"/>
    </row>
    <row r="46" spans="1:15" x14ac:dyDescent="0.25">
      <c r="A46" s="32"/>
      <c r="B46" s="32"/>
      <c r="C46" s="32"/>
      <c r="D46" s="32"/>
      <c r="E46" s="32"/>
      <c r="F46" s="32"/>
      <c r="G46" s="1"/>
      <c r="H46" s="1"/>
      <c r="I46" s="1"/>
      <c r="J46" s="1"/>
      <c r="L46" s="1"/>
      <c r="M46" s="1"/>
      <c r="N46" s="1"/>
      <c r="O46" s="1"/>
    </row>
    <row r="47" spans="1:15" x14ac:dyDescent="0.25">
      <c r="A47" s="32"/>
      <c r="B47" s="32"/>
      <c r="C47" s="32"/>
      <c r="D47" s="32"/>
      <c r="E47" s="32"/>
      <c r="F47" s="32"/>
      <c r="G47" s="1"/>
      <c r="H47" s="1"/>
      <c r="I47" s="1"/>
      <c r="J47" s="1"/>
      <c r="L47" s="1"/>
      <c r="M47" s="1"/>
      <c r="N47" s="1"/>
      <c r="O47" s="1"/>
    </row>
    <row r="48" spans="1:15" x14ac:dyDescent="0.25">
      <c r="A48" s="32"/>
      <c r="B48" s="32"/>
      <c r="C48" s="32"/>
      <c r="D48" s="32"/>
      <c r="E48" s="32"/>
      <c r="F48" s="32"/>
      <c r="G48" s="1"/>
      <c r="H48" s="1"/>
      <c r="I48" s="1"/>
      <c r="J48" s="1"/>
      <c r="L48" s="1"/>
      <c r="M48" s="1"/>
      <c r="N48" s="1"/>
      <c r="O48" s="1"/>
    </row>
    <row r="49" spans="1:15" x14ac:dyDescent="0.25">
      <c r="A49" s="32"/>
      <c r="B49" s="32"/>
      <c r="C49" s="32"/>
      <c r="D49" s="32"/>
      <c r="E49" s="32"/>
      <c r="F49" s="32"/>
      <c r="G49" s="1"/>
      <c r="H49" s="1"/>
      <c r="I49" s="1"/>
      <c r="J49" s="1"/>
      <c r="L49" s="1"/>
      <c r="M49" s="1"/>
      <c r="N49" s="1"/>
      <c r="O49" s="1"/>
    </row>
    <row r="50" spans="1:15" x14ac:dyDescent="0.25">
      <c r="A50" s="32"/>
      <c r="B50" s="32"/>
      <c r="C50" s="32"/>
      <c r="D50" s="32"/>
      <c r="E50" s="32"/>
      <c r="F50" s="32"/>
      <c r="G50" s="1"/>
      <c r="H50" s="1"/>
      <c r="I50" s="1"/>
      <c r="J50" s="1"/>
      <c r="L50" s="1"/>
      <c r="M50" s="1"/>
      <c r="N50" s="1"/>
      <c r="O50" s="1"/>
    </row>
    <row r="51" spans="1:15" x14ac:dyDescent="0.25">
      <c r="A51" s="32"/>
      <c r="B51" s="32"/>
      <c r="C51" s="32"/>
      <c r="D51" s="32"/>
      <c r="E51" s="32"/>
      <c r="F51" s="32"/>
      <c r="G51" s="1"/>
      <c r="H51" s="1"/>
      <c r="I51" s="1"/>
      <c r="J51" s="1"/>
      <c r="L51" s="1"/>
      <c r="M51" s="1"/>
      <c r="N51" s="1"/>
      <c r="O51" s="1"/>
    </row>
    <row r="52" spans="1:15" x14ac:dyDescent="0.25">
      <c r="A52" s="32"/>
      <c r="B52" s="32"/>
      <c r="C52" s="32"/>
      <c r="D52" s="32"/>
      <c r="E52" s="32"/>
      <c r="F52" s="32"/>
      <c r="G52" s="1"/>
      <c r="H52" s="1"/>
      <c r="I52" s="1"/>
      <c r="J52" s="1"/>
      <c r="L52" s="1"/>
      <c r="M52" s="1"/>
      <c r="N52" s="1"/>
      <c r="O52" s="1"/>
    </row>
    <row r="53" spans="1:15" x14ac:dyDescent="0.25">
      <c r="A53" s="32"/>
      <c r="B53" s="32"/>
      <c r="C53" s="32"/>
      <c r="D53" s="32"/>
      <c r="E53" s="32"/>
      <c r="F53" s="32"/>
      <c r="G53" s="1"/>
      <c r="H53" s="1"/>
      <c r="I53" s="1"/>
      <c r="J53" s="1"/>
      <c r="L53" s="1"/>
      <c r="M53" s="1"/>
      <c r="N53" s="1"/>
      <c r="O53" s="1"/>
    </row>
    <row r="54" spans="1:15" x14ac:dyDescent="0.25">
      <c r="A54" s="32"/>
      <c r="B54" s="32"/>
      <c r="C54" s="32"/>
      <c r="D54" s="32"/>
      <c r="E54" s="32"/>
      <c r="F54" s="32"/>
      <c r="G54" s="1"/>
      <c r="H54" s="1"/>
      <c r="I54" s="1"/>
      <c r="J54" s="1"/>
      <c r="L54" s="1"/>
      <c r="M54" s="1"/>
      <c r="N54" s="1"/>
      <c r="O54" s="1"/>
    </row>
    <row r="55" spans="1:15" x14ac:dyDescent="0.25">
      <c r="A55" s="32"/>
      <c r="B55" s="32"/>
      <c r="C55" s="32"/>
      <c r="D55" s="32"/>
      <c r="E55" s="32"/>
      <c r="F55" s="32"/>
      <c r="G55" s="1"/>
      <c r="H55" s="1"/>
      <c r="I55" s="1"/>
      <c r="J55" s="1"/>
      <c r="L55" s="1"/>
      <c r="M55" s="1"/>
      <c r="N55" s="1"/>
      <c r="O55" s="1"/>
    </row>
    <row r="56" spans="1:15" x14ac:dyDescent="0.25">
      <c r="A56" s="39"/>
      <c r="B56" s="39"/>
      <c r="C56" s="39"/>
      <c r="D56" s="39"/>
      <c r="E56" s="39"/>
      <c r="F56" s="39"/>
      <c r="G56" s="39"/>
      <c r="H56" s="39"/>
      <c r="I56" s="39"/>
      <c r="J56" s="39"/>
      <c r="L56" s="1"/>
      <c r="M56" s="1"/>
      <c r="N56" s="1"/>
      <c r="O56" s="1"/>
    </row>
    <row r="57" spans="1:15" x14ac:dyDescent="0.25">
      <c r="A57" s="32"/>
      <c r="B57" s="32"/>
      <c r="C57" s="32"/>
      <c r="D57" s="32"/>
      <c r="E57" s="32"/>
      <c r="F57" s="32"/>
      <c r="G57" s="1"/>
      <c r="H57" s="1"/>
      <c r="I57" s="1"/>
      <c r="J57" s="1"/>
      <c r="K57" s="1"/>
      <c r="L57" s="1"/>
      <c r="M57" s="1"/>
      <c r="N57" s="1"/>
      <c r="O57" s="1"/>
    </row>
    <row r="58" spans="1:15" x14ac:dyDescent="0.25">
      <c r="A58" s="33">
        <v>1</v>
      </c>
      <c r="B58" s="40" t="s">
        <v>40</v>
      </c>
      <c r="C58" s="40"/>
      <c r="D58" s="40"/>
      <c r="E58" s="41"/>
      <c r="F58" s="41"/>
      <c r="G58" s="1"/>
      <c r="H58" s="1"/>
      <c r="I58" s="1"/>
      <c r="J58" s="1"/>
      <c r="K58" s="1"/>
      <c r="L58" s="1"/>
      <c r="M58" s="1"/>
      <c r="N58" s="1"/>
      <c r="O58" s="1"/>
    </row>
    <row r="59" spans="1:15" ht="15.75" x14ac:dyDescent="0.25">
      <c r="A59" s="4" t="s">
        <v>2</v>
      </c>
      <c r="B59" s="2" t="s">
        <v>38</v>
      </c>
      <c r="C59" s="2"/>
      <c r="D59" s="2"/>
      <c r="E59" s="2"/>
      <c r="F59" s="2"/>
      <c r="G59" s="1"/>
      <c r="H59" s="1"/>
      <c r="I59" s="1"/>
      <c r="J59" s="1"/>
      <c r="K59" s="1"/>
      <c r="L59" s="1"/>
      <c r="M59" s="1"/>
      <c r="N59" s="1"/>
      <c r="O59" s="1"/>
    </row>
    <row r="60" spans="1:15" ht="15.75" x14ac:dyDescent="0.25">
      <c r="A60" s="5" t="s">
        <v>3</v>
      </c>
      <c r="B60" s="3">
        <f>(E60*E61)/E62</f>
        <v>773.29192546583852</v>
      </c>
      <c r="C60" s="6" t="s">
        <v>4</v>
      </c>
      <c r="D60" s="2" t="s">
        <v>5</v>
      </c>
      <c r="E60" s="7">
        <v>75</v>
      </c>
      <c r="F60" s="8" t="s">
        <v>6</v>
      </c>
      <c r="G60" s="1"/>
      <c r="H60" s="1"/>
      <c r="I60" s="1"/>
      <c r="J60" s="46" t="s">
        <v>2</v>
      </c>
      <c r="K60" s="1"/>
      <c r="L60" s="1"/>
      <c r="M60" s="1"/>
      <c r="N60" s="1"/>
      <c r="O60" s="1"/>
    </row>
    <row r="61" spans="1:15" x14ac:dyDescent="0.25">
      <c r="A61" s="2"/>
      <c r="B61" s="2"/>
      <c r="C61" s="2"/>
      <c r="D61" s="2" t="s">
        <v>7</v>
      </c>
      <c r="E61" s="7">
        <v>1660</v>
      </c>
      <c r="F61" s="8" t="s">
        <v>4</v>
      </c>
      <c r="G61" s="1"/>
      <c r="H61" s="1"/>
      <c r="I61" s="1"/>
      <c r="J61" s="1"/>
      <c r="K61" s="1"/>
      <c r="L61" s="1"/>
      <c r="M61" s="1"/>
      <c r="N61" s="1"/>
      <c r="O61" s="1"/>
    </row>
    <row r="62" spans="1:15" x14ac:dyDescent="0.25">
      <c r="A62" s="2"/>
      <c r="B62" s="2"/>
      <c r="C62" s="2"/>
      <c r="D62" s="2" t="s">
        <v>8</v>
      </c>
      <c r="E62" s="5">
        <v>161</v>
      </c>
      <c r="F62" s="8" t="s">
        <v>6</v>
      </c>
      <c r="G62" s="1"/>
      <c r="H62" s="1"/>
      <c r="I62" s="1"/>
      <c r="J62" s="1"/>
      <c r="K62" s="1"/>
      <c r="L62" s="1"/>
      <c r="M62" s="1"/>
      <c r="N62" s="1"/>
      <c r="O62" s="1"/>
    </row>
    <row r="63" spans="1:15" x14ac:dyDescent="0.25">
      <c r="A63" s="2"/>
      <c r="B63" s="9"/>
      <c r="C63" s="9"/>
      <c r="D63" s="2" t="s">
        <v>9</v>
      </c>
      <c r="E63" s="9">
        <v>86</v>
      </c>
      <c r="F63" s="8" t="s">
        <v>6</v>
      </c>
      <c r="G63" s="1"/>
      <c r="H63" s="1"/>
      <c r="I63" s="1"/>
      <c r="J63" s="1"/>
      <c r="K63" s="1"/>
      <c r="L63" s="1"/>
      <c r="M63" s="1"/>
      <c r="N63" s="1"/>
      <c r="O63" s="1"/>
    </row>
    <row r="64" spans="1:15" ht="15.75" x14ac:dyDescent="0.25">
      <c r="A64" s="10" t="s">
        <v>10</v>
      </c>
      <c r="B64" s="11" t="s">
        <v>39</v>
      </c>
      <c r="C64" s="11"/>
      <c r="D64" s="11"/>
      <c r="E64" s="11"/>
      <c r="F64" s="11"/>
      <c r="G64" s="1"/>
      <c r="H64" s="1"/>
      <c r="I64" s="1"/>
      <c r="J64" s="1"/>
      <c r="K64" s="1"/>
      <c r="L64" s="1"/>
      <c r="M64" s="1"/>
      <c r="N64" s="1"/>
      <c r="O64" s="1"/>
    </row>
    <row r="65" spans="1:15" x14ac:dyDescent="0.25">
      <c r="A65" s="12" t="s">
        <v>11</v>
      </c>
      <c r="B65" s="13">
        <f>E65*((E66-E67)/(E68*E69))+E70</f>
        <v>575.95796942553557</v>
      </c>
      <c r="C65" s="14" t="s">
        <v>4</v>
      </c>
      <c r="D65" s="11" t="s">
        <v>12</v>
      </c>
      <c r="E65" s="11">
        <f>E61</f>
        <v>1660</v>
      </c>
      <c r="F65" s="11" t="s">
        <v>4</v>
      </c>
      <c r="G65" s="1"/>
      <c r="H65" s="1"/>
      <c r="I65" s="1"/>
      <c r="J65" s="1"/>
      <c r="K65" s="1"/>
      <c r="L65" s="1"/>
      <c r="M65" s="1"/>
      <c r="N65" s="1"/>
      <c r="O65" s="1"/>
    </row>
    <row r="66" spans="1:15" x14ac:dyDescent="0.25">
      <c r="A66" s="12"/>
      <c r="B66" s="11"/>
      <c r="C66" s="11"/>
      <c r="D66" s="11" t="s">
        <v>5</v>
      </c>
      <c r="E66" s="11">
        <f>E60</f>
        <v>75</v>
      </c>
      <c r="F66" s="15" t="s">
        <v>6</v>
      </c>
      <c r="G66" s="1"/>
      <c r="H66" s="1"/>
      <c r="I66" s="1"/>
      <c r="J66" s="1"/>
      <c r="K66" s="1"/>
      <c r="L66" s="1"/>
      <c r="M66" s="1"/>
      <c r="N66" s="1"/>
      <c r="O66" s="1"/>
    </row>
    <row r="67" spans="1:15" x14ac:dyDescent="0.25">
      <c r="A67" s="12" t="s">
        <v>13</v>
      </c>
      <c r="B67" s="11"/>
      <c r="C67" s="11"/>
      <c r="D67" s="11" t="s">
        <v>14</v>
      </c>
      <c r="E67" s="11">
        <v>69</v>
      </c>
      <c r="F67" s="11" t="s">
        <v>6</v>
      </c>
      <c r="G67" s="1"/>
      <c r="H67" s="1"/>
      <c r="I67" s="1"/>
      <c r="J67" s="1"/>
      <c r="K67" s="1"/>
      <c r="L67" s="1"/>
      <c r="M67" s="1"/>
      <c r="N67" s="1"/>
      <c r="O67" s="1"/>
    </row>
    <row r="68" spans="1:15" ht="15.75" x14ac:dyDescent="0.25">
      <c r="A68" s="12">
        <f>E71/E65</f>
        <v>0.21144578313253012</v>
      </c>
      <c r="B68" s="11"/>
      <c r="C68" s="11"/>
      <c r="D68" s="11" t="s">
        <v>8</v>
      </c>
      <c r="E68" s="11">
        <f>E62</f>
        <v>161</v>
      </c>
      <c r="F68" s="11" t="s">
        <v>6</v>
      </c>
      <c r="G68" s="1"/>
      <c r="H68" s="1"/>
      <c r="I68" s="1"/>
      <c r="J68" s="46" t="s">
        <v>10</v>
      </c>
      <c r="K68" s="1"/>
      <c r="L68" s="1"/>
      <c r="M68" s="1"/>
      <c r="N68" s="1"/>
      <c r="O68" s="1"/>
    </row>
    <row r="69" spans="1:15" x14ac:dyDescent="0.25">
      <c r="A69" s="12">
        <f>ASIN(A68)*180/PI()</f>
        <v>12.207092291825765</v>
      </c>
      <c r="B69" s="11"/>
      <c r="C69" s="11"/>
      <c r="D69" s="11" t="s">
        <v>15</v>
      </c>
      <c r="E69" s="16">
        <f>TAN(A69*PI()/180)</f>
        <v>0.21633722662650437</v>
      </c>
      <c r="F69" s="11"/>
      <c r="G69" s="1"/>
      <c r="H69" s="1"/>
      <c r="I69" s="1"/>
      <c r="J69" s="1"/>
      <c r="K69" s="1"/>
      <c r="L69" s="1"/>
      <c r="M69" s="1"/>
      <c r="N69" s="1"/>
      <c r="O69" s="1"/>
    </row>
    <row r="70" spans="1:15" x14ac:dyDescent="0.25">
      <c r="A70" s="12"/>
      <c r="B70" s="11"/>
      <c r="C70" s="11"/>
      <c r="D70" s="11" t="s">
        <v>16</v>
      </c>
      <c r="E70" s="11">
        <v>290</v>
      </c>
      <c r="F70" s="11" t="s">
        <v>4</v>
      </c>
      <c r="G70" s="1"/>
      <c r="H70" s="1"/>
      <c r="I70" s="1"/>
      <c r="J70" s="1"/>
      <c r="K70" s="1"/>
      <c r="L70" s="1"/>
      <c r="M70" s="1"/>
      <c r="N70" s="1"/>
      <c r="O70" s="1"/>
    </row>
    <row r="71" spans="1:15" x14ac:dyDescent="0.25">
      <c r="A71" s="12"/>
      <c r="B71" s="11"/>
      <c r="C71" s="11"/>
      <c r="D71" s="11" t="s">
        <v>17</v>
      </c>
      <c r="E71" s="11">
        <v>351</v>
      </c>
      <c r="F71" s="11" t="s">
        <v>4</v>
      </c>
      <c r="G71" s="1"/>
      <c r="H71" s="1"/>
      <c r="I71" s="1"/>
      <c r="J71" s="1"/>
      <c r="K71" s="1"/>
      <c r="L71" s="1"/>
      <c r="M71" s="1"/>
      <c r="N71" s="1"/>
      <c r="O71" s="1"/>
    </row>
    <row r="72" spans="1:15" ht="15.75" x14ac:dyDescent="0.25">
      <c r="A72" s="17" t="s">
        <v>18</v>
      </c>
      <c r="B72" s="18" t="s">
        <v>38</v>
      </c>
      <c r="C72" s="18"/>
      <c r="D72" s="18"/>
      <c r="E72" s="18"/>
      <c r="F72" s="18"/>
      <c r="G72" s="1"/>
      <c r="H72" s="1"/>
      <c r="I72" s="1"/>
      <c r="J72" s="1"/>
      <c r="K72" s="1"/>
      <c r="L72" s="1"/>
      <c r="M72" s="1"/>
      <c r="N72" s="1"/>
      <c r="O72" s="1"/>
    </row>
    <row r="73" spans="1:15" x14ac:dyDescent="0.25">
      <c r="A73" s="19" t="s">
        <v>19</v>
      </c>
      <c r="B73" s="20">
        <f>(E73*E74)/E75</f>
        <v>810.78785304735618</v>
      </c>
      <c r="C73" s="21" t="s">
        <v>4</v>
      </c>
      <c r="D73" s="18" t="s">
        <v>20</v>
      </c>
      <c r="E73" s="22">
        <v>115</v>
      </c>
      <c r="F73" s="23" t="s">
        <v>6</v>
      </c>
      <c r="G73" s="1"/>
      <c r="H73" s="1"/>
      <c r="I73" s="1"/>
      <c r="J73" s="1"/>
      <c r="K73" s="1"/>
      <c r="L73" s="1"/>
      <c r="M73" s="1"/>
      <c r="N73" s="1"/>
      <c r="O73" s="1"/>
    </row>
    <row r="74" spans="1:15" ht="15.75" x14ac:dyDescent="0.25">
      <c r="A74" s="18"/>
      <c r="B74" s="18"/>
      <c r="C74" s="18"/>
      <c r="D74" s="18" t="s">
        <v>7</v>
      </c>
      <c r="E74" s="22">
        <f>E61</f>
        <v>1660</v>
      </c>
      <c r="F74" s="23" t="s">
        <v>4</v>
      </c>
      <c r="G74" s="1"/>
      <c r="H74" s="1"/>
      <c r="I74" s="1"/>
      <c r="J74" s="46" t="s">
        <v>21</v>
      </c>
      <c r="K74" s="1"/>
      <c r="L74" s="1"/>
      <c r="M74" s="1"/>
      <c r="N74" s="1"/>
      <c r="O74" s="1"/>
    </row>
    <row r="75" spans="1:15" x14ac:dyDescent="0.25">
      <c r="A75" s="18"/>
      <c r="B75" s="18"/>
      <c r="C75" s="18"/>
      <c r="D75" s="18" t="s">
        <v>22</v>
      </c>
      <c r="E75" s="19">
        <f>E68+E76</f>
        <v>235.45</v>
      </c>
      <c r="F75" s="23" t="s">
        <v>6</v>
      </c>
      <c r="G75" s="1"/>
      <c r="H75" s="1"/>
      <c r="I75" s="1"/>
      <c r="J75" s="1"/>
      <c r="K75" s="1"/>
      <c r="L75" s="1"/>
      <c r="M75" s="1"/>
      <c r="N75" s="1"/>
      <c r="O75" s="1"/>
    </row>
    <row r="76" spans="1:15" x14ac:dyDescent="0.25">
      <c r="A76" s="18"/>
      <c r="B76" s="24"/>
      <c r="C76" s="24"/>
      <c r="D76" s="18" t="s">
        <v>23</v>
      </c>
      <c r="E76" s="24">
        <v>74.45</v>
      </c>
      <c r="F76" s="23" t="s">
        <v>6</v>
      </c>
      <c r="G76" s="1"/>
      <c r="H76" s="1"/>
      <c r="I76" s="1"/>
      <c r="J76" s="1"/>
      <c r="K76" s="1"/>
      <c r="L76" s="1"/>
      <c r="M76" s="1"/>
      <c r="N76" s="1"/>
      <c r="O76" s="1"/>
    </row>
    <row r="77" spans="1:15" ht="15.75" x14ac:dyDescent="0.25">
      <c r="A77" s="25" t="s">
        <v>24</v>
      </c>
      <c r="B77" s="26" t="s">
        <v>39</v>
      </c>
      <c r="C77" s="26"/>
      <c r="D77" s="26"/>
      <c r="E77" s="26"/>
      <c r="F77" s="26"/>
      <c r="G77" s="1"/>
      <c r="H77" s="1"/>
      <c r="I77" s="1"/>
      <c r="J77" s="1"/>
      <c r="K77" s="1"/>
      <c r="L77" s="1"/>
      <c r="M77" s="1"/>
      <c r="N77" s="1"/>
      <c r="O77" s="1"/>
    </row>
    <row r="78" spans="1:15" x14ac:dyDescent="0.25">
      <c r="A78" s="27" t="s">
        <v>25</v>
      </c>
      <c r="B78" s="26">
        <f>E78*((E79-E80)/(E81*E82))+E83</f>
        <v>257.41046713561889</v>
      </c>
      <c r="C78" s="28" t="s">
        <v>4</v>
      </c>
      <c r="D78" s="26" t="s">
        <v>7</v>
      </c>
      <c r="E78" s="26">
        <f>E61</f>
        <v>1660</v>
      </c>
      <c r="F78" s="26" t="s">
        <v>4</v>
      </c>
      <c r="G78" s="1"/>
      <c r="H78" s="1"/>
      <c r="I78" s="1"/>
      <c r="J78" s="1"/>
      <c r="K78" s="1"/>
      <c r="L78" s="1"/>
      <c r="M78" s="1"/>
      <c r="N78" s="1"/>
      <c r="O78" s="1"/>
    </row>
    <row r="79" spans="1:15" x14ac:dyDescent="0.25">
      <c r="A79" s="29"/>
      <c r="B79" s="26"/>
      <c r="C79" s="26"/>
      <c r="D79" s="26" t="s">
        <v>5</v>
      </c>
      <c r="E79" s="26">
        <f>E73</f>
        <v>115</v>
      </c>
      <c r="F79" s="30" t="s">
        <v>6</v>
      </c>
      <c r="G79" s="1"/>
      <c r="H79" s="1"/>
      <c r="I79" s="1"/>
      <c r="J79" s="1"/>
      <c r="K79" s="1"/>
      <c r="L79" s="1"/>
      <c r="M79" s="1"/>
      <c r="N79" s="1"/>
      <c r="O79" s="1"/>
    </row>
    <row r="80" spans="1:15" ht="15.75" x14ac:dyDescent="0.25">
      <c r="A80" s="29" t="s">
        <v>13</v>
      </c>
      <c r="B80" s="26"/>
      <c r="C80" s="26"/>
      <c r="D80" s="26" t="s">
        <v>26</v>
      </c>
      <c r="E80" s="26">
        <v>116</v>
      </c>
      <c r="F80" s="26" t="s">
        <v>6</v>
      </c>
      <c r="G80" s="1"/>
      <c r="H80" s="1"/>
      <c r="I80" s="1"/>
      <c r="J80" s="46" t="s">
        <v>27</v>
      </c>
      <c r="K80" s="1"/>
      <c r="L80" s="1"/>
      <c r="M80" s="1"/>
      <c r="N80" s="1"/>
      <c r="O80" s="1"/>
    </row>
    <row r="81" spans="1:15" x14ac:dyDescent="0.25">
      <c r="A81" s="29">
        <f>E84/E78</f>
        <v>0.21144578313253012</v>
      </c>
      <c r="B81" s="26"/>
      <c r="C81" s="26"/>
      <c r="D81" s="26" t="s">
        <v>22</v>
      </c>
      <c r="E81" s="26">
        <f>E75</f>
        <v>235.45</v>
      </c>
      <c r="F81" s="26" t="s">
        <v>6</v>
      </c>
      <c r="G81" s="1"/>
      <c r="H81" s="1"/>
      <c r="I81" s="1"/>
      <c r="J81" s="1"/>
      <c r="K81" s="1"/>
      <c r="L81" s="1"/>
      <c r="M81" s="1"/>
      <c r="N81" s="1"/>
      <c r="O81" s="1"/>
    </row>
    <row r="82" spans="1:15" x14ac:dyDescent="0.25">
      <c r="A82" s="29">
        <f>ASIN(A81)*180/PI()</f>
        <v>12.207092291825765</v>
      </c>
      <c r="B82" s="26"/>
      <c r="C82" s="26"/>
      <c r="D82" s="26" t="s">
        <v>15</v>
      </c>
      <c r="E82" s="27">
        <f>TAN(A82*PI()/180)</f>
        <v>0.21633722662650437</v>
      </c>
      <c r="F82" s="26"/>
      <c r="G82" s="1"/>
      <c r="H82" s="1"/>
      <c r="I82" s="1"/>
      <c r="J82" s="1"/>
      <c r="K82" s="1"/>
      <c r="L82" s="1"/>
      <c r="M82" s="1"/>
      <c r="N82" s="1"/>
      <c r="O82" s="1"/>
    </row>
    <row r="83" spans="1:15" x14ac:dyDescent="0.25">
      <c r="A83" s="29"/>
      <c r="B83" s="26"/>
      <c r="C83" s="26"/>
      <c r="D83" s="26" t="s">
        <v>16</v>
      </c>
      <c r="E83" s="26">
        <f>E70</f>
        <v>290</v>
      </c>
      <c r="F83" s="26" t="s">
        <v>4</v>
      </c>
      <c r="G83" s="1"/>
      <c r="H83" s="1"/>
      <c r="I83" s="1"/>
      <c r="J83" s="1"/>
      <c r="K83" s="1"/>
      <c r="L83" s="1"/>
      <c r="M83" s="1"/>
      <c r="N83" s="1"/>
      <c r="O83" s="1"/>
    </row>
    <row r="84" spans="1:15" x14ac:dyDescent="0.25">
      <c r="A84" s="26"/>
      <c r="B84" s="26"/>
      <c r="C84" s="26"/>
      <c r="D84" s="26" t="s">
        <v>17</v>
      </c>
      <c r="E84" s="26">
        <v>351</v>
      </c>
      <c r="F84" s="26" t="s">
        <v>4</v>
      </c>
      <c r="G84" s="1"/>
      <c r="H84" s="1"/>
      <c r="I84" s="1"/>
      <c r="J84" s="1"/>
      <c r="K84" s="1"/>
      <c r="L84" s="1"/>
      <c r="M84" s="1"/>
      <c r="N84" s="1"/>
      <c r="O84" s="1"/>
    </row>
    <row r="85" spans="1:15" x14ac:dyDescent="0.25">
      <c r="A85" s="32"/>
      <c r="B85" s="32"/>
      <c r="C85" s="32"/>
      <c r="D85" s="29" t="s">
        <v>28</v>
      </c>
      <c r="E85" s="31">
        <f>((E86*SIN(RADIANS(25)))-E88)/COS(RADIANS(E87))</f>
        <v>111.86493533736974</v>
      </c>
      <c r="F85" s="29"/>
      <c r="G85" s="1"/>
      <c r="H85" s="1"/>
      <c r="I85" s="1"/>
      <c r="J85" s="1"/>
      <c r="K85" s="1"/>
      <c r="L85" s="1"/>
      <c r="M85" s="1"/>
      <c r="N85" s="1"/>
      <c r="O85" s="1"/>
    </row>
    <row r="86" spans="1:15" ht="15.75" x14ac:dyDescent="0.25">
      <c r="A86" s="35" t="s">
        <v>29</v>
      </c>
      <c r="B86" s="32"/>
      <c r="C86" s="32"/>
      <c r="D86" s="29" t="s">
        <v>30</v>
      </c>
      <c r="E86" s="29">
        <v>295</v>
      </c>
      <c r="F86" s="29" t="s">
        <v>31</v>
      </c>
      <c r="G86" s="1"/>
      <c r="H86" s="1"/>
      <c r="I86" s="1"/>
      <c r="J86" s="1"/>
      <c r="K86" s="1"/>
      <c r="L86" s="1"/>
      <c r="M86" s="1"/>
      <c r="N86" s="1"/>
      <c r="O86" s="1"/>
    </row>
    <row r="87" spans="1:15" ht="15.75" x14ac:dyDescent="0.25">
      <c r="A87" s="36" t="s">
        <v>32</v>
      </c>
      <c r="B87" s="37">
        <f>((E78-B60)/E78)*100</f>
        <v>53.41614906832298</v>
      </c>
      <c r="C87" s="38" t="s">
        <v>33</v>
      </c>
      <c r="D87" s="29" t="s">
        <v>34</v>
      </c>
      <c r="E87" s="29">
        <v>27</v>
      </c>
      <c r="F87" s="29"/>
      <c r="G87" s="1"/>
      <c r="H87" s="1"/>
      <c r="I87" s="1"/>
      <c r="J87" s="1"/>
      <c r="K87" s="1"/>
      <c r="L87" s="1"/>
      <c r="M87" s="1"/>
      <c r="N87" s="1"/>
      <c r="O87" s="1"/>
    </row>
    <row r="88" spans="1:15" ht="15.75" x14ac:dyDescent="0.25">
      <c r="A88" s="36" t="s">
        <v>35</v>
      </c>
      <c r="B88" s="37">
        <f>(B60/E78)*100</f>
        <v>46.58385093167702</v>
      </c>
      <c r="C88" s="38" t="s">
        <v>33</v>
      </c>
      <c r="D88" s="29" t="s">
        <v>36</v>
      </c>
      <c r="E88" s="29">
        <v>25</v>
      </c>
      <c r="F88" s="29" t="s">
        <v>31</v>
      </c>
      <c r="G88" s="1"/>
      <c r="H88" s="1"/>
      <c r="I88" s="1"/>
      <c r="J88" s="1"/>
      <c r="K88" s="1"/>
      <c r="L88" s="1"/>
      <c r="M88" s="1"/>
      <c r="N88" s="1"/>
      <c r="O88" s="1"/>
    </row>
    <row r="89" spans="1:1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5.75" x14ac:dyDescent="0.25">
      <c r="A90" s="42" t="s">
        <v>37</v>
      </c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5.75" x14ac:dyDescent="0.25">
      <c r="A91" s="43" t="s">
        <v>32</v>
      </c>
      <c r="B91" s="44">
        <f>((E78-B73)/E78)*100</f>
        <v>51.15735825015927</v>
      </c>
      <c r="C91" s="45" t="s">
        <v>33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ht="15.75" x14ac:dyDescent="0.25">
      <c r="A92" s="43" t="s">
        <v>35</v>
      </c>
      <c r="B92" s="44">
        <f>(B73/E78)*100</f>
        <v>48.84264174984073</v>
      </c>
      <c r="C92" s="45" t="s">
        <v>33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1:1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1:1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1:17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spans="1:17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1:17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1:17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spans="1:17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1:17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spans="1:17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spans="1:17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spans="1:17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7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7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</row>
    <row r="108" spans="1:17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</row>
    <row r="109" spans="1:17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</row>
    <row r="110" spans="1:17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</row>
    <row r="111" spans="1:17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1:17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</row>
    <row r="113" spans="1:17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</row>
    <row r="114" spans="1:17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</row>
    <row r="115" spans="1:17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</row>
    <row r="116" spans="1:17" x14ac:dyDescent="0.25">
      <c r="A116" s="1"/>
      <c r="B116" s="1"/>
      <c r="C116" s="1"/>
      <c r="D116" s="1"/>
    </row>
    <row r="117" spans="1:17" x14ac:dyDescent="0.25">
      <c r="A117" s="1"/>
      <c r="B117" s="1"/>
      <c r="C117" s="1"/>
      <c r="D117" s="1"/>
    </row>
    <row r="118" spans="1:17" x14ac:dyDescent="0.25">
      <c r="A118" s="1"/>
      <c r="B118" s="1"/>
      <c r="C118" s="1"/>
      <c r="D118" s="1"/>
    </row>
    <row r="119" spans="1:17" x14ac:dyDescent="0.25">
      <c r="A119" s="1"/>
      <c r="B119" s="1"/>
      <c r="C119" s="1"/>
      <c r="D119" s="1"/>
    </row>
    <row r="120" spans="1:17" x14ac:dyDescent="0.25">
      <c r="A120" s="1"/>
      <c r="B120" s="1"/>
      <c r="C120" s="1"/>
      <c r="D120" s="1"/>
    </row>
    <row r="121" spans="1:17" x14ac:dyDescent="0.25">
      <c r="A121" s="1"/>
      <c r="B121" s="1"/>
      <c r="C121" s="1"/>
      <c r="D121" s="1"/>
    </row>
  </sheetData>
  <mergeCells count="2">
    <mergeCell ref="A1:J1"/>
    <mergeCell ref="A56:J56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3F867-DEDE-45A1-84C8-5788AD10DA6F}">
  <dimension ref="A1:L48"/>
  <sheetViews>
    <sheetView topLeftCell="D7" workbookViewId="0">
      <selection activeCell="M10" sqref="M10"/>
    </sheetView>
  </sheetViews>
  <sheetFormatPr defaultRowHeight="15" x14ac:dyDescent="0.25"/>
  <cols>
    <col min="1" max="1" width="17.140625" customWidth="1"/>
    <col min="2" max="2" width="17.5703125" customWidth="1"/>
    <col min="3" max="3" width="28.7109375" customWidth="1"/>
    <col min="4" max="4" width="19.140625" customWidth="1"/>
    <col min="5" max="5" width="23" customWidth="1"/>
    <col min="6" max="6" width="25.85546875" customWidth="1"/>
    <col min="7" max="7" width="17.42578125" customWidth="1"/>
    <col min="8" max="8" width="30.85546875" customWidth="1"/>
    <col min="9" max="9" width="13.140625" customWidth="1"/>
  </cols>
  <sheetData>
    <row r="1" spans="1:12" x14ac:dyDescent="0.25">
      <c r="D1" s="1"/>
      <c r="E1" s="1"/>
      <c r="F1" s="1"/>
      <c r="G1" s="1"/>
      <c r="H1" s="1"/>
      <c r="I1" s="1"/>
      <c r="J1" s="1"/>
      <c r="K1" s="1"/>
      <c r="L1" s="1"/>
    </row>
    <row r="2" spans="1:12" ht="15.75" x14ac:dyDescent="0.25">
      <c r="D2" s="1"/>
      <c r="E2" s="1"/>
      <c r="F2" s="52" t="s">
        <v>41</v>
      </c>
      <c r="G2" s="1">
        <f>(5252*$I$2)/$G$4</f>
        <v>45.105411764705885</v>
      </c>
      <c r="H2" s="52" t="s">
        <v>42</v>
      </c>
      <c r="I2" s="1">
        <v>73</v>
      </c>
      <c r="J2" s="1"/>
      <c r="K2" s="1"/>
      <c r="L2" s="1"/>
    </row>
    <row r="3" spans="1:12" ht="15.75" x14ac:dyDescent="0.25">
      <c r="A3" s="47" t="s">
        <v>43</v>
      </c>
      <c r="B3" s="47" t="s">
        <v>44</v>
      </c>
      <c r="C3" s="47" t="s">
        <v>45</v>
      </c>
      <c r="D3" s="52" t="s">
        <v>46</v>
      </c>
      <c r="E3" s="52" t="s">
        <v>47</v>
      </c>
      <c r="F3" s="52" t="s">
        <v>48</v>
      </c>
      <c r="G3" s="1">
        <v>77.153999999999996</v>
      </c>
      <c r="H3" s="52" t="s">
        <v>49</v>
      </c>
      <c r="I3" s="1">
        <f>G3*0.0254</f>
        <v>1.9597115999999999</v>
      </c>
      <c r="J3" s="1"/>
      <c r="K3" s="1"/>
    </row>
    <row r="4" spans="1:12" ht="15.75" x14ac:dyDescent="0.25">
      <c r="A4">
        <v>5</v>
      </c>
      <c r="B4">
        <f t="shared" ref="B4:B14" si="0">A4*2.4</f>
        <v>12</v>
      </c>
      <c r="C4">
        <f>$G$8+(0.5*$I$5*$I$6*$I$7*A4^2)</f>
        <v>61.837350000000008</v>
      </c>
      <c r="D4" s="1">
        <f>$G$5/A4</f>
        <v>10600</v>
      </c>
      <c r="E4" s="1">
        <f t="shared" ref="E4:E14" si="1">D4-C4</f>
        <v>10538.16265</v>
      </c>
      <c r="F4" s="52" t="s">
        <v>50</v>
      </c>
      <c r="G4" s="1">
        <v>8500</v>
      </c>
      <c r="H4" s="52" t="s">
        <v>51</v>
      </c>
      <c r="I4" s="1">
        <f>+G4/60</f>
        <v>141.66666666666666</v>
      </c>
      <c r="J4" s="1"/>
      <c r="K4" s="1"/>
    </row>
    <row r="5" spans="1:12" ht="15.75" x14ac:dyDescent="0.25">
      <c r="A5">
        <v>10</v>
      </c>
      <c r="B5">
        <f t="shared" si="0"/>
        <v>24</v>
      </c>
      <c r="C5">
        <f t="shared" ref="C5:C14" si="2">$G$8+(0.5*$I$5*$I$6*$I$7*A5^2)</f>
        <v>83.718600000000009</v>
      </c>
      <c r="D5" s="1">
        <f t="shared" ref="D5:D14" si="3">$G$5/A5</f>
        <v>5300</v>
      </c>
      <c r="E5" s="1">
        <f t="shared" si="1"/>
        <v>5216.2813999999998</v>
      </c>
      <c r="F5" s="52" t="s">
        <v>52</v>
      </c>
      <c r="G5" s="1">
        <v>53000</v>
      </c>
      <c r="H5" s="52" t="s">
        <v>53</v>
      </c>
      <c r="I5" s="1">
        <v>0.45</v>
      </c>
      <c r="J5" s="1"/>
      <c r="K5" s="1"/>
    </row>
    <row r="6" spans="1:12" ht="15.75" x14ac:dyDescent="0.25">
      <c r="A6">
        <v>15</v>
      </c>
      <c r="B6">
        <f t="shared" si="0"/>
        <v>36</v>
      </c>
      <c r="C6">
        <f t="shared" si="2"/>
        <v>120.18735000000001</v>
      </c>
      <c r="D6" s="1">
        <f t="shared" si="3"/>
        <v>3533.3333333333335</v>
      </c>
      <c r="E6" s="1">
        <f t="shared" si="1"/>
        <v>3413.1459833333333</v>
      </c>
      <c r="F6" s="52" t="s">
        <v>54</v>
      </c>
      <c r="G6" s="1">
        <v>9.81</v>
      </c>
      <c r="H6" s="52" t="s">
        <v>55</v>
      </c>
      <c r="I6" s="1">
        <f>$G$9/$I$5</f>
        <v>1.1111111111111112</v>
      </c>
      <c r="J6" s="1"/>
      <c r="K6" s="1"/>
    </row>
    <row r="7" spans="1:12" ht="15.75" x14ac:dyDescent="0.25">
      <c r="A7">
        <v>20</v>
      </c>
      <c r="B7">
        <f t="shared" si="0"/>
        <v>48</v>
      </c>
      <c r="C7">
        <f t="shared" si="2"/>
        <v>171.24360000000001</v>
      </c>
      <c r="D7" s="1">
        <f t="shared" si="3"/>
        <v>2650</v>
      </c>
      <c r="E7" s="1">
        <f t="shared" si="1"/>
        <v>2478.7564000000002</v>
      </c>
      <c r="F7" s="52" t="s">
        <v>56</v>
      </c>
      <c r="G7" s="1">
        <v>278</v>
      </c>
      <c r="H7" s="52" t="s">
        <v>57</v>
      </c>
      <c r="I7" s="1">
        <v>1.167</v>
      </c>
      <c r="J7" s="1"/>
      <c r="K7" s="1"/>
    </row>
    <row r="8" spans="1:12" ht="15.75" x14ac:dyDescent="0.25">
      <c r="A8">
        <v>25</v>
      </c>
      <c r="B8">
        <f t="shared" si="0"/>
        <v>60</v>
      </c>
      <c r="C8">
        <f t="shared" si="2"/>
        <v>236.88735</v>
      </c>
      <c r="D8" s="1">
        <f>$G$5/A8</f>
        <v>2120</v>
      </c>
      <c r="E8" s="1">
        <f t="shared" si="1"/>
        <v>1883.11265</v>
      </c>
      <c r="F8" s="52" t="s">
        <v>58</v>
      </c>
      <c r="G8" s="1">
        <f>0.02*G7*G6</f>
        <v>54.543600000000005</v>
      </c>
      <c r="H8" s="52" t="s">
        <v>59</v>
      </c>
      <c r="I8" s="1">
        <v>1</v>
      </c>
      <c r="J8" s="1">
        <v>10</v>
      </c>
      <c r="K8" s="1"/>
    </row>
    <row r="9" spans="1:12" ht="15.75" x14ac:dyDescent="0.25">
      <c r="A9">
        <v>30</v>
      </c>
      <c r="B9">
        <f t="shared" si="0"/>
        <v>72</v>
      </c>
      <c r="C9">
        <f t="shared" si="2"/>
        <v>317.11860000000001</v>
      </c>
      <c r="D9" s="1">
        <f t="shared" si="3"/>
        <v>1766.6666666666667</v>
      </c>
      <c r="E9" s="1">
        <f t="shared" si="1"/>
        <v>1449.5480666666667</v>
      </c>
      <c r="F9" s="52" t="s">
        <v>60</v>
      </c>
      <c r="G9" s="1">
        <v>0.5</v>
      </c>
      <c r="H9" s="1"/>
      <c r="I9" s="1"/>
      <c r="J9" s="1"/>
      <c r="K9" s="1"/>
    </row>
    <row r="10" spans="1:12" x14ac:dyDescent="0.25">
      <c r="A10">
        <v>35</v>
      </c>
      <c r="B10">
        <f t="shared" si="0"/>
        <v>84</v>
      </c>
      <c r="C10">
        <f t="shared" si="2"/>
        <v>411.93735000000004</v>
      </c>
      <c r="D10" s="1">
        <f t="shared" si="3"/>
        <v>1514.2857142857142</v>
      </c>
      <c r="E10" s="1">
        <f t="shared" si="1"/>
        <v>1102.3483642857141</v>
      </c>
      <c r="F10" s="1"/>
      <c r="G10" s="1"/>
      <c r="H10" s="1"/>
      <c r="I10" s="1"/>
      <c r="J10" s="1"/>
      <c r="K10" s="1"/>
    </row>
    <row r="11" spans="1:12" x14ac:dyDescent="0.25">
      <c r="A11">
        <v>40</v>
      </c>
      <c r="B11">
        <f t="shared" si="0"/>
        <v>96</v>
      </c>
      <c r="C11">
        <f t="shared" si="2"/>
        <v>521.34360000000004</v>
      </c>
      <c r="D11" s="1">
        <f t="shared" si="3"/>
        <v>1325</v>
      </c>
      <c r="E11" s="1">
        <f t="shared" si="1"/>
        <v>803.65639999999996</v>
      </c>
      <c r="F11" s="1"/>
      <c r="G11" s="1"/>
      <c r="H11" s="1"/>
      <c r="I11" s="1"/>
      <c r="J11" s="1"/>
      <c r="K11" s="1"/>
    </row>
    <row r="12" spans="1:12" x14ac:dyDescent="0.25">
      <c r="A12">
        <v>45</v>
      </c>
      <c r="B12">
        <f t="shared" si="0"/>
        <v>108</v>
      </c>
      <c r="C12">
        <f t="shared" si="2"/>
        <v>645.33735000000001</v>
      </c>
      <c r="D12" s="1">
        <f t="shared" si="3"/>
        <v>1177.7777777777778</v>
      </c>
      <c r="E12" s="1">
        <f t="shared" si="1"/>
        <v>532.44042777777781</v>
      </c>
      <c r="F12" s="1"/>
      <c r="G12" s="1"/>
      <c r="H12" s="1"/>
      <c r="I12" s="1"/>
      <c r="J12" s="1"/>
      <c r="K12" s="1"/>
    </row>
    <row r="13" spans="1:12" x14ac:dyDescent="0.25">
      <c r="A13">
        <v>50</v>
      </c>
      <c r="B13">
        <f t="shared" si="0"/>
        <v>120</v>
      </c>
      <c r="C13">
        <f t="shared" si="2"/>
        <v>783.91859999999997</v>
      </c>
      <c r="D13" s="1">
        <f t="shared" si="3"/>
        <v>1060</v>
      </c>
      <c r="E13" s="1">
        <f t="shared" si="1"/>
        <v>276.08140000000003</v>
      </c>
      <c r="F13" s="1"/>
      <c r="G13" s="1"/>
      <c r="H13" s="1"/>
      <c r="I13" s="1"/>
      <c r="J13" s="1"/>
      <c r="K13" s="1"/>
    </row>
    <row r="14" spans="1:12" x14ac:dyDescent="0.25">
      <c r="A14">
        <v>55</v>
      </c>
      <c r="B14">
        <f t="shared" si="0"/>
        <v>132</v>
      </c>
      <c r="C14">
        <f t="shared" si="2"/>
        <v>937.08735000000001</v>
      </c>
      <c r="D14" s="1">
        <f t="shared" si="3"/>
        <v>963.63636363636363</v>
      </c>
      <c r="E14" s="1">
        <f t="shared" si="1"/>
        <v>26.549013636363611</v>
      </c>
      <c r="F14" s="1"/>
      <c r="G14" s="1"/>
      <c r="H14" s="1"/>
      <c r="I14" s="1"/>
      <c r="J14" s="1"/>
      <c r="K14" s="1"/>
    </row>
    <row r="15" spans="1:12" x14ac:dyDescent="0.25">
      <c r="D15" s="1"/>
      <c r="E15" s="1"/>
      <c r="F15" s="1"/>
      <c r="G15" s="1"/>
      <c r="H15" s="1"/>
      <c r="I15" s="1"/>
      <c r="J15" s="1"/>
      <c r="K15" s="1"/>
    </row>
    <row r="16" spans="1:12" x14ac:dyDescent="0.25">
      <c r="D16" s="1"/>
      <c r="E16" s="1"/>
      <c r="F16" s="1"/>
      <c r="G16" s="1"/>
      <c r="H16" s="1"/>
      <c r="I16" s="1"/>
      <c r="J16" s="1"/>
      <c r="K16" s="1"/>
    </row>
    <row r="17" spans="1:11" ht="23.25" x14ac:dyDescent="0.35">
      <c r="A17" s="49" t="s">
        <v>61</v>
      </c>
      <c r="B17" s="49"/>
      <c r="C17" s="50"/>
      <c r="D17" s="1"/>
      <c r="E17" s="1"/>
      <c r="F17" s="1"/>
      <c r="G17" s="1"/>
      <c r="H17" s="1"/>
      <c r="I17" s="1"/>
      <c r="J17" s="1"/>
      <c r="K17" s="1"/>
    </row>
    <row r="18" spans="1:11" ht="23.25" x14ac:dyDescent="0.35">
      <c r="A18" s="50" t="s">
        <v>62</v>
      </c>
      <c r="B18" s="50">
        <f>($G$5/(0.5*$I$7*$I$6*$I$5))^(1/3)</f>
        <v>56.635447312391094</v>
      </c>
      <c r="C18" s="50" t="s">
        <v>63</v>
      </c>
      <c r="D18" s="1"/>
      <c r="E18" s="1"/>
      <c r="F18" s="1"/>
      <c r="G18" s="1"/>
      <c r="H18" s="1"/>
      <c r="I18" s="1"/>
      <c r="J18" s="1"/>
      <c r="K18" s="1"/>
    </row>
    <row r="19" spans="1:11" ht="23.25" x14ac:dyDescent="0.35">
      <c r="A19" s="50"/>
      <c r="B19" s="50"/>
      <c r="C19" s="50"/>
      <c r="D19" s="1"/>
      <c r="E19" s="1"/>
      <c r="F19" s="1"/>
      <c r="G19" s="1"/>
      <c r="H19" s="1"/>
      <c r="I19" s="1"/>
      <c r="J19" s="1"/>
      <c r="K19" s="1"/>
    </row>
    <row r="20" spans="1:11" ht="23.25" x14ac:dyDescent="0.35">
      <c r="A20" s="50"/>
      <c r="B20" s="50">
        <f>B18*2.24</f>
        <v>126.86340197975606</v>
      </c>
      <c r="C20" s="50" t="s">
        <v>64</v>
      </c>
      <c r="D20" s="1"/>
      <c r="E20" s="1"/>
      <c r="F20" s="1"/>
      <c r="G20" s="1"/>
      <c r="H20" s="1"/>
      <c r="I20" s="1"/>
      <c r="J20" s="1"/>
      <c r="K20" s="1"/>
    </row>
    <row r="21" spans="1:11" x14ac:dyDescent="0.25">
      <c r="D21" s="1"/>
      <c r="E21" s="1"/>
      <c r="F21" s="1"/>
      <c r="G21" s="1"/>
      <c r="H21" s="1"/>
      <c r="I21" s="1"/>
      <c r="J21" s="1"/>
      <c r="K21" s="1"/>
    </row>
    <row r="22" spans="1:11" x14ac:dyDescent="0.25">
      <c r="D22" s="1"/>
      <c r="E22" s="1"/>
      <c r="F22" s="1"/>
      <c r="G22" s="1"/>
      <c r="H22" s="1"/>
      <c r="I22" s="1"/>
      <c r="J22" s="1"/>
      <c r="K22" s="1"/>
    </row>
    <row r="23" spans="1:11" x14ac:dyDescent="0.25">
      <c r="D23" s="1"/>
      <c r="E23" s="1"/>
      <c r="F23" s="1"/>
      <c r="G23" s="1"/>
      <c r="H23" s="1"/>
      <c r="I23" s="1"/>
      <c r="J23" s="1"/>
      <c r="K23" s="1"/>
    </row>
    <row r="24" spans="1:11" x14ac:dyDescent="0.25">
      <c r="D24" s="1"/>
      <c r="E24" s="1"/>
      <c r="F24" s="1"/>
      <c r="G24" s="1"/>
      <c r="H24" s="1"/>
      <c r="I24" s="1"/>
      <c r="J24" s="1"/>
      <c r="K24" s="1"/>
    </row>
    <row r="25" spans="1:11" x14ac:dyDescent="0.25">
      <c r="D25" s="1"/>
      <c r="E25" s="1"/>
      <c r="F25" s="1"/>
      <c r="G25" s="1"/>
      <c r="H25" s="1"/>
      <c r="I25" s="1"/>
      <c r="J25" s="1"/>
      <c r="K25" s="1"/>
    </row>
    <row r="26" spans="1:11" x14ac:dyDescent="0.25">
      <c r="D26" s="1"/>
      <c r="E26" s="1"/>
      <c r="F26" s="1"/>
      <c r="G26" s="1"/>
      <c r="H26" s="1"/>
      <c r="I26" s="1"/>
      <c r="J26" s="1"/>
      <c r="K26" s="1"/>
    </row>
    <row r="27" spans="1:11" ht="15.75" x14ac:dyDescent="0.25">
      <c r="A27" s="47" t="s">
        <v>65</v>
      </c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51" t="s">
        <v>66</v>
      </c>
      <c r="B28" s="51" t="s">
        <v>67</v>
      </c>
      <c r="C28" s="51" t="s">
        <v>68</v>
      </c>
      <c r="D28" s="53" t="s">
        <v>69</v>
      </c>
      <c r="E28" s="1"/>
      <c r="F28" s="1"/>
      <c r="G28" s="1"/>
      <c r="H28" s="1"/>
      <c r="I28" s="1"/>
      <c r="J28" s="1"/>
      <c r="K28" s="1"/>
    </row>
    <row r="29" spans="1:11" x14ac:dyDescent="0.25">
      <c r="A29" t="s">
        <v>70</v>
      </c>
      <c r="B29" s="48">
        <v>39</v>
      </c>
      <c r="C29" s="48">
        <v>16</v>
      </c>
      <c r="D29" s="1">
        <f>+B29/C29</f>
        <v>2.4375</v>
      </c>
      <c r="E29" s="1"/>
      <c r="F29" s="1"/>
      <c r="G29" s="1"/>
      <c r="H29" s="1"/>
      <c r="I29" s="1"/>
      <c r="J29" s="1"/>
      <c r="K29" s="1"/>
    </row>
    <row r="30" spans="1:11" x14ac:dyDescent="0.25">
      <c r="A30" t="s">
        <v>71</v>
      </c>
      <c r="B30" s="48">
        <v>36</v>
      </c>
      <c r="C30" s="48">
        <v>21</v>
      </c>
      <c r="D30" s="1">
        <f>+B30/C30</f>
        <v>1.7142857142857142</v>
      </c>
      <c r="E30" s="1"/>
      <c r="F30" s="1"/>
      <c r="G30" s="1"/>
      <c r="H30" s="1"/>
      <c r="I30" s="1"/>
      <c r="J30" s="1"/>
      <c r="K30" s="1"/>
    </row>
    <row r="31" spans="1:11" x14ac:dyDescent="0.25">
      <c r="A31" t="s">
        <v>72</v>
      </c>
      <c r="B31" s="48">
        <v>32</v>
      </c>
      <c r="C31" s="48">
        <v>24</v>
      </c>
      <c r="D31" s="1">
        <f t="shared" ref="D31:D33" si="4">+B31/C31</f>
        <v>1.3333333333333333</v>
      </c>
      <c r="E31" s="1"/>
      <c r="F31" s="1"/>
      <c r="G31" s="1"/>
      <c r="H31" s="1"/>
      <c r="I31" s="1"/>
      <c r="J31" s="1"/>
      <c r="K31" s="1"/>
    </row>
    <row r="32" spans="1:11" x14ac:dyDescent="0.25">
      <c r="A32" t="s">
        <v>73</v>
      </c>
      <c r="B32" s="48">
        <v>30</v>
      </c>
      <c r="C32" s="48">
        <v>27</v>
      </c>
      <c r="D32" s="1">
        <f t="shared" si="4"/>
        <v>1.1111111111111112</v>
      </c>
      <c r="E32" s="1"/>
      <c r="F32" s="1"/>
      <c r="G32" s="1"/>
      <c r="H32" s="1"/>
      <c r="I32" s="1"/>
      <c r="J32" s="1"/>
      <c r="K32" s="1"/>
    </row>
    <row r="33" spans="1:11" x14ac:dyDescent="0.25">
      <c r="A33" t="s">
        <v>74</v>
      </c>
      <c r="B33" s="48">
        <v>28</v>
      </c>
      <c r="C33" s="48">
        <v>29</v>
      </c>
      <c r="D33" s="1">
        <f t="shared" si="4"/>
        <v>0.96551724137931039</v>
      </c>
      <c r="E33" s="1"/>
      <c r="F33" s="1"/>
      <c r="G33" s="1"/>
      <c r="H33" s="1"/>
      <c r="I33" s="1"/>
      <c r="J33" s="1"/>
      <c r="K33" s="1"/>
    </row>
    <row r="34" spans="1:11" x14ac:dyDescent="0.25">
      <c r="A34" t="s">
        <v>75</v>
      </c>
      <c r="B34" s="48">
        <v>23</v>
      </c>
      <c r="C34" s="48">
        <v>27</v>
      </c>
      <c r="D34" s="1">
        <f>+B34/C34</f>
        <v>0.85185185185185186</v>
      </c>
      <c r="E34" s="1"/>
      <c r="F34" s="1"/>
      <c r="G34" s="1"/>
      <c r="H34" s="1"/>
      <c r="I34" s="1"/>
      <c r="J34" s="1"/>
      <c r="K34" s="1"/>
    </row>
    <row r="35" spans="1:11" x14ac:dyDescent="0.25">
      <c r="D35" s="1"/>
      <c r="E35" s="1"/>
      <c r="F35" s="1"/>
      <c r="G35" s="1"/>
      <c r="H35" s="1"/>
      <c r="I35" s="1"/>
      <c r="J35" s="1"/>
      <c r="K35" s="1"/>
    </row>
    <row r="36" spans="1:11" x14ac:dyDescent="0.25"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51" t="s">
        <v>76</v>
      </c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t="s">
        <v>77</v>
      </c>
      <c r="D38" s="1"/>
      <c r="E38" s="1"/>
      <c r="F38" s="1"/>
      <c r="G38" s="1"/>
      <c r="H38" s="1"/>
      <c r="I38" s="1"/>
      <c r="J38" s="1"/>
      <c r="K38" s="1"/>
    </row>
    <row r="39" spans="1:11" ht="15.75" x14ac:dyDescent="0.25">
      <c r="A39" s="51" t="s">
        <v>78</v>
      </c>
      <c r="B39" s="51" t="s">
        <v>79</v>
      </c>
      <c r="C39" s="51" t="s">
        <v>80</v>
      </c>
      <c r="D39" s="1"/>
      <c r="E39" s="52"/>
      <c r="F39" s="1"/>
      <c r="G39" s="1"/>
      <c r="H39" s="1"/>
      <c r="I39" s="1"/>
      <c r="J39" s="1"/>
      <c r="K39" s="1"/>
    </row>
    <row r="40" spans="1:11" x14ac:dyDescent="0.25">
      <c r="A40" s="48">
        <v>88</v>
      </c>
      <c r="B40" s="48">
        <v>42</v>
      </c>
      <c r="C40">
        <f>+A40/B40</f>
        <v>2.0952380952380953</v>
      </c>
      <c r="D40" s="1"/>
      <c r="E40" s="1"/>
      <c r="F40" s="1"/>
      <c r="G40" s="1"/>
      <c r="H40" s="1"/>
      <c r="I40" s="1"/>
      <c r="J40" s="1"/>
      <c r="K40" s="1"/>
    </row>
    <row r="41" spans="1:11" x14ac:dyDescent="0.25">
      <c r="D41" s="1"/>
      <c r="E41" s="1"/>
      <c r="F41" s="1"/>
      <c r="G41" s="1"/>
      <c r="H41" s="1"/>
      <c r="I41" s="1"/>
      <c r="J41" s="1"/>
      <c r="K41" s="1"/>
    </row>
    <row r="42" spans="1:11" ht="15.75" x14ac:dyDescent="0.25">
      <c r="A42" s="51" t="s">
        <v>81</v>
      </c>
      <c r="D42" s="1"/>
      <c r="E42" s="52" t="s">
        <v>82</v>
      </c>
      <c r="F42" s="1"/>
      <c r="G42" s="1"/>
      <c r="H42" s="1"/>
      <c r="I42" s="1"/>
      <c r="J42" s="1"/>
      <c r="K42" s="1"/>
    </row>
    <row r="43" spans="1:11" x14ac:dyDescent="0.25">
      <c r="A43" t="s">
        <v>83</v>
      </c>
      <c r="D43" s="1"/>
      <c r="E43" s="1" t="s">
        <v>70</v>
      </c>
      <c r="F43" s="54">
        <f>$C$40*$C$45*D29</f>
        <v>15.661904761904765</v>
      </c>
      <c r="G43" s="1"/>
      <c r="H43" s="1"/>
      <c r="I43" s="1"/>
      <c r="J43" s="1"/>
      <c r="K43" s="1"/>
    </row>
    <row r="44" spans="1:11" x14ac:dyDescent="0.25">
      <c r="A44" s="51" t="s">
        <v>84</v>
      </c>
      <c r="B44" s="51" t="s">
        <v>85</v>
      </c>
      <c r="C44" s="51" t="s">
        <v>86</v>
      </c>
      <c r="D44" s="1"/>
      <c r="E44" s="1" t="s">
        <v>71</v>
      </c>
      <c r="F44" s="54">
        <f t="shared" ref="F44:F48" si="5">$C$40*$C$45*D30</f>
        <v>11.014965986394559</v>
      </c>
      <c r="G44" s="1"/>
      <c r="H44" s="1"/>
      <c r="I44" s="1"/>
      <c r="J44" s="1"/>
      <c r="K44" s="1"/>
    </row>
    <row r="45" spans="1:11" x14ac:dyDescent="0.25">
      <c r="A45" s="48">
        <v>15</v>
      </c>
      <c r="B45" s="48">
        <v>46</v>
      </c>
      <c r="C45">
        <f>+B45/A45</f>
        <v>3.0666666666666669</v>
      </c>
      <c r="D45" s="1"/>
      <c r="E45" s="1" t="s">
        <v>72</v>
      </c>
      <c r="F45" s="54">
        <f t="shared" si="5"/>
        <v>8.5671957671957681</v>
      </c>
      <c r="G45" s="1"/>
      <c r="H45" s="1"/>
      <c r="I45" s="1"/>
      <c r="J45" s="1"/>
      <c r="K45" s="1"/>
    </row>
    <row r="46" spans="1:11" x14ac:dyDescent="0.25">
      <c r="D46" s="1"/>
      <c r="E46" s="1" t="s">
        <v>73</v>
      </c>
      <c r="F46" s="54">
        <f t="shared" si="5"/>
        <v>7.139329805996474</v>
      </c>
      <c r="G46" s="1"/>
      <c r="H46" s="1"/>
      <c r="I46" s="1"/>
      <c r="J46" s="1"/>
      <c r="K46" s="1"/>
    </row>
    <row r="47" spans="1:11" x14ac:dyDescent="0.25">
      <c r="D47" s="1"/>
      <c r="E47" s="53" t="s">
        <v>74</v>
      </c>
      <c r="F47" s="54">
        <f t="shared" si="5"/>
        <v>6.2038314176245226</v>
      </c>
      <c r="G47" s="1"/>
      <c r="H47" s="1"/>
      <c r="I47" s="1"/>
      <c r="J47" s="1"/>
      <c r="K47" s="1"/>
    </row>
    <row r="48" spans="1:11" x14ac:dyDescent="0.25">
      <c r="D48" s="1"/>
      <c r="E48" s="1" t="s">
        <v>75</v>
      </c>
      <c r="F48" s="54">
        <f t="shared" si="5"/>
        <v>5.4734861845972969</v>
      </c>
      <c r="G48" s="1"/>
      <c r="H48" s="1"/>
      <c r="I48" s="1"/>
      <c r="J48" s="1"/>
      <c r="K48" s="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73C02-BA72-4831-8CA8-199F3952A86C}">
  <dimension ref="A1:I41"/>
  <sheetViews>
    <sheetView workbookViewId="0">
      <selection activeCell="C1" sqref="C1"/>
    </sheetView>
  </sheetViews>
  <sheetFormatPr defaultRowHeight="15" x14ac:dyDescent="0.25"/>
  <cols>
    <col min="1" max="1" width="24.140625" customWidth="1"/>
    <col min="2" max="2" width="30" customWidth="1"/>
    <col min="3" max="3" width="25.85546875" customWidth="1"/>
    <col min="4" max="4" width="14.85546875" customWidth="1"/>
    <col min="5" max="5" width="20.85546875" customWidth="1"/>
    <col min="6" max="6" width="17.85546875" customWidth="1"/>
  </cols>
  <sheetData>
    <row r="1" spans="1:9" ht="26.25" x14ac:dyDescent="0.4">
      <c r="A1" s="55" t="s">
        <v>87</v>
      </c>
      <c r="B1" s="1"/>
      <c r="C1" s="57" t="s">
        <v>88</v>
      </c>
      <c r="D1" s="56"/>
      <c r="E1" s="1"/>
      <c r="F1" s="1"/>
      <c r="G1" s="1"/>
      <c r="H1" s="1"/>
      <c r="I1" s="1"/>
    </row>
    <row r="2" spans="1:9" ht="26.25" x14ac:dyDescent="0.4">
      <c r="A2" s="52" t="s">
        <v>89</v>
      </c>
      <c r="B2" s="1">
        <v>71</v>
      </c>
      <c r="C2" s="57" t="s">
        <v>90</v>
      </c>
      <c r="D2" s="1">
        <v>53.671181081566289</v>
      </c>
      <c r="E2" s="1" t="s">
        <v>63</v>
      </c>
      <c r="F2" s="1"/>
      <c r="G2" s="1"/>
      <c r="H2" s="1"/>
      <c r="I2" s="1"/>
    </row>
    <row r="3" spans="1:9" ht="26.25" x14ac:dyDescent="0.4">
      <c r="A3" s="52" t="s">
        <v>91</v>
      </c>
      <c r="B3" s="1">
        <v>300</v>
      </c>
      <c r="C3" s="57" t="s">
        <v>92</v>
      </c>
      <c r="D3" s="1"/>
      <c r="E3" s="1"/>
      <c r="F3" s="1"/>
      <c r="G3" s="1"/>
      <c r="H3" s="1"/>
      <c r="I3" s="1"/>
    </row>
    <row r="4" spans="1:9" ht="26.25" x14ac:dyDescent="0.4">
      <c r="A4" s="52" t="s">
        <v>93</v>
      </c>
      <c r="B4" s="1">
        <v>141.66666666666666</v>
      </c>
      <c r="C4" s="57" t="s">
        <v>94</v>
      </c>
      <c r="D4" s="1">
        <v>120.2234456227085</v>
      </c>
      <c r="E4" s="1" t="s">
        <v>64</v>
      </c>
      <c r="F4" s="1"/>
      <c r="G4" s="1"/>
      <c r="H4" s="1"/>
      <c r="I4" s="1"/>
    </row>
    <row r="5" spans="1:9" ht="18" x14ac:dyDescent="0.25">
      <c r="A5" s="52" t="s">
        <v>110</v>
      </c>
      <c r="B5" s="1">
        <v>0.46</v>
      </c>
      <c r="C5" s="1"/>
      <c r="D5" s="1"/>
      <c r="E5" s="1"/>
      <c r="F5" s="1"/>
      <c r="G5" s="1"/>
      <c r="H5" s="1"/>
      <c r="I5" s="1"/>
    </row>
    <row r="6" spans="1:9" ht="15.75" x14ac:dyDescent="0.25">
      <c r="A6" s="52" t="s">
        <v>55</v>
      </c>
      <c r="B6" s="1">
        <v>0.97826086956521741</v>
      </c>
      <c r="C6" s="1"/>
      <c r="D6" s="1"/>
      <c r="E6" s="1"/>
      <c r="F6" s="1"/>
      <c r="G6" s="1"/>
      <c r="H6" s="1"/>
      <c r="I6" s="1"/>
    </row>
    <row r="7" spans="1:9" ht="18" x14ac:dyDescent="0.25">
      <c r="A7" s="52" t="s">
        <v>111</v>
      </c>
      <c r="B7" s="1">
        <v>1.167</v>
      </c>
      <c r="C7" s="1"/>
      <c r="D7" s="1"/>
      <c r="E7" s="1"/>
      <c r="F7" s="1"/>
      <c r="G7" s="1"/>
      <c r="H7" s="1"/>
      <c r="I7" s="1"/>
    </row>
    <row r="8" spans="1:9" ht="15.75" x14ac:dyDescent="0.25">
      <c r="A8" s="52" t="s">
        <v>59</v>
      </c>
      <c r="B8" s="1">
        <v>1</v>
      </c>
      <c r="C8" s="1">
        <v>10</v>
      </c>
      <c r="D8" s="1"/>
      <c r="E8" s="1"/>
      <c r="F8" s="1"/>
      <c r="G8" s="1"/>
      <c r="H8" s="1"/>
      <c r="I8" s="1"/>
    </row>
    <row r="9" spans="1:9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x14ac:dyDescent="0.25">
      <c r="A10" s="53" t="s">
        <v>95</v>
      </c>
      <c r="B10" s="53" t="s">
        <v>96</v>
      </c>
      <c r="C10" s="53" t="s">
        <v>97</v>
      </c>
      <c r="D10" s="53" t="s">
        <v>98</v>
      </c>
      <c r="E10" s="53" t="s">
        <v>99</v>
      </c>
      <c r="F10" s="53" t="s">
        <v>100</v>
      </c>
      <c r="G10" s="1"/>
      <c r="H10" s="1"/>
      <c r="I10" s="1"/>
    </row>
    <row r="11" spans="1:9" x14ac:dyDescent="0.25">
      <c r="A11" s="1">
        <v>76.33115142488306</v>
      </c>
      <c r="B11" s="1">
        <v>120.35843142488307</v>
      </c>
      <c r="C11" s="1">
        <v>2290.2741139122318</v>
      </c>
      <c r="D11" s="1">
        <v>2169.9156824873489</v>
      </c>
      <c r="E11" s="1">
        <v>9.6698559825639432</v>
      </c>
      <c r="F11" s="1">
        <v>17.049993576740647</v>
      </c>
      <c r="G11" s="1"/>
      <c r="H11" s="1"/>
      <c r="I11" s="1"/>
    </row>
    <row r="12" spans="1:9" x14ac:dyDescent="0.25">
      <c r="A12" s="1">
        <v>154.32086546617597</v>
      </c>
      <c r="B12" s="1">
        <v>198.34814546617599</v>
      </c>
      <c r="C12" s="1">
        <v>1610.742233960251</v>
      </c>
      <c r="D12" s="1">
        <v>1412.394088494075</v>
      </c>
      <c r="E12" s="1">
        <v>6.294091303449532</v>
      </c>
      <c r="F12" s="1">
        <v>24.242959616928111</v>
      </c>
      <c r="G12" s="1"/>
      <c r="H12" s="1"/>
      <c r="I12" s="1"/>
    </row>
    <row r="13" spans="1:9" x14ac:dyDescent="0.25">
      <c r="A13" s="1">
        <v>255.10183883184192</v>
      </c>
      <c r="B13" s="1">
        <v>299.12911883184194</v>
      </c>
      <c r="C13" s="1">
        <v>1252.7995153024174</v>
      </c>
      <c r="D13" s="1">
        <v>953.6703964705755</v>
      </c>
      <c r="E13" s="1">
        <v>4.2498680769633488</v>
      </c>
      <c r="F13" s="1">
        <v>31.169519507478999</v>
      </c>
      <c r="G13" s="1"/>
      <c r="H13" s="1"/>
      <c r="I13" s="1"/>
    </row>
    <row r="14" spans="1:9" x14ac:dyDescent="0.25">
      <c r="A14" s="1">
        <v>367.34664791785229</v>
      </c>
      <c r="B14" s="1">
        <v>411.37392791785231</v>
      </c>
      <c r="C14" s="1">
        <v>1043.999596085348</v>
      </c>
      <c r="D14" s="1">
        <v>632.62566816749563</v>
      </c>
      <c r="E14" s="1">
        <v>2.8191874695521193</v>
      </c>
      <c r="F14" s="1">
        <v>37.403423408974795</v>
      </c>
      <c r="G14" s="1"/>
      <c r="H14" s="1"/>
      <c r="I14" s="1"/>
    </row>
    <row r="15" spans="1:9" x14ac:dyDescent="0.25">
      <c r="A15" s="1">
        <v>486.48672666117704</v>
      </c>
      <c r="B15" s="1">
        <v>530.51400666117706</v>
      </c>
      <c r="C15" s="1">
        <v>907.19964901209539</v>
      </c>
      <c r="D15" s="1">
        <v>376.68564235091833</v>
      </c>
      <c r="E15" s="1">
        <v>1.6786347698347519</v>
      </c>
      <c r="F15" s="1">
        <v>43.043622176994809</v>
      </c>
      <c r="G15" s="1"/>
      <c r="H15" s="1"/>
      <c r="I15" s="1"/>
    </row>
    <row r="16" spans="1:9" x14ac:dyDescent="0.25">
      <c r="A16" s="1">
        <v>624.97539343301901</v>
      </c>
      <c r="B16" s="1">
        <v>669.00267343301903</v>
      </c>
      <c r="C16" s="1">
        <v>800.39969033210014</v>
      </c>
      <c r="D16" s="1">
        <v>131.39701689908111</v>
      </c>
      <c r="E16" s="1">
        <v>0.58554820365009408</v>
      </c>
      <c r="F16" s="1">
        <v>48.787074011706252</v>
      </c>
      <c r="G16" s="1"/>
      <c r="H16" s="1"/>
      <c r="I16" s="1"/>
    </row>
    <row r="17" spans="1:9" x14ac:dyDescent="0.25">
      <c r="A17" s="1"/>
      <c r="B17" s="1"/>
      <c r="C17" s="1"/>
      <c r="D17" s="1"/>
      <c r="E17" s="1"/>
      <c r="F17" s="1"/>
      <c r="G17" s="1"/>
      <c r="H17" s="1"/>
      <c r="I17" s="1"/>
    </row>
    <row r="18" spans="1:9" x14ac:dyDescent="0.25">
      <c r="A18" s="53" t="s">
        <v>101</v>
      </c>
      <c r="B18" s="53" t="s">
        <v>96</v>
      </c>
      <c r="C18" s="53" t="s">
        <v>102</v>
      </c>
      <c r="D18" s="53" t="s">
        <v>98</v>
      </c>
      <c r="E18" s="53" t="s">
        <v>103</v>
      </c>
      <c r="F18" s="53" t="s">
        <v>100</v>
      </c>
      <c r="G18" s="1"/>
      <c r="H18" s="1"/>
      <c r="I18" s="1"/>
    </row>
    <row r="19" spans="1:9" x14ac:dyDescent="0.25">
      <c r="A19" s="1">
        <v>76.33115142488306</v>
      </c>
      <c r="B19" s="1">
        <v>340.4948314248831</v>
      </c>
      <c r="C19" s="1">
        <v>2290.2741139122318</v>
      </c>
      <c r="D19" s="1">
        <v>1949.7792824873486</v>
      </c>
      <c r="E19" s="1">
        <v>8.6888559825639415</v>
      </c>
      <c r="F19" s="1">
        <v>17.049993576740647</v>
      </c>
      <c r="G19" s="1"/>
      <c r="H19" s="1"/>
      <c r="I19" s="1"/>
    </row>
    <row r="20" spans="1:9" x14ac:dyDescent="0.25">
      <c r="A20" s="1">
        <v>154.32086546617597</v>
      </c>
      <c r="B20" s="1">
        <v>418.48454546617597</v>
      </c>
      <c r="C20" s="1">
        <v>1610.742233960251</v>
      </c>
      <c r="D20" s="1">
        <v>1192.257688494075</v>
      </c>
      <c r="E20" s="1">
        <v>5.3130913034495322</v>
      </c>
      <c r="F20" s="1">
        <v>24.242959616928111</v>
      </c>
      <c r="G20" s="1"/>
      <c r="H20" s="1"/>
      <c r="I20" s="1"/>
    </row>
    <row r="21" spans="1:9" x14ac:dyDescent="0.25">
      <c r="A21" s="1">
        <v>255.10183883184192</v>
      </c>
      <c r="B21" s="1">
        <v>519.26551883184197</v>
      </c>
      <c r="C21" s="1">
        <v>1252.7995153024174</v>
      </c>
      <c r="D21" s="1">
        <v>733.5339964705754</v>
      </c>
      <c r="E21" s="1">
        <v>3.2688680769633485</v>
      </c>
      <c r="F21" s="1">
        <v>31.169519507478999</v>
      </c>
      <c r="G21" s="1"/>
      <c r="H21" s="1"/>
      <c r="I21" s="1"/>
    </row>
    <row r="22" spans="1:9" x14ac:dyDescent="0.25">
      <c r="A22" s="1">
        <v>367.34664791785229</v>
      </c>
      <c r="B22" s="1">
        <v>631.51032791785235</v>
      </c>
      <c r="C22" s="1">
        <v>1043.999596085348</v>
      </c>
      <c r="D22" s="1">
        <v>412.48926816749565</v>
      </c>
      <c r="E22" s="1">
        <v>1.8381874695521196</v>
      </c>
      <c r="F22" s="1">
        <v>37.403423408974795</v>
      </c>
      <c r="G22" s="1"/>
      <c r="H22" s="1"/>
      <c r="I22" s="1"/>
    </row>
    <row r="23" spans="1:9" x14ac:dyDescent="0.25">
      <c r="A23" s="1">
        <v>486.48672666117704</v>
      </c>
      <c r="B23" s="1">
        <v>750.65040666117704</v>
      </c>
      <c r="C23" s="1">
        <v>907.19964901209539</v>
      </c>
      <c r="D23" s="1">
        <v>156.54924235091835</v>
      </c>
      <c r="E23" s="1">
        <v>0.69763476983475203</v>
      </c>
      <c r="F23" s="1">
        <v>43.043622176994809</v>
      </c>
      <c r="G23" s="1"/>
      <c r="H23" s="1"/>
      <c r="I23" s="1"/>
    </row>
    <row r="24" spans="1:9" x14ac:dyDescent="0.25">
      <c r="A24" s="1">
        <v>624.97539343301901</v>
      </c>
      <c r="B24" s="1">
        <v>889.13907343301901</v>
      </c>
      <c r="C24" s="1">
        <v>800.39969033210014</v>
      </c>
      <c r="D24" s="1">
        <v>-88.739383100918872</v>
      </c>
      <c r="E24" s="1">
        <v>-0.39545179634990585</v>
      </c>
      <c r="F24" s="1">
        <v>48.787074011706252</v>
      </c>
      <c r="G24" s="1"/>
      <c r="H24" s="1"/>
      <c r="I24" s="1"/>
    </row>
    <row r="25" spans="1:9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x14ac:dyDescent="0.25">
      <c r="A26" s="53" t="s">
        <v>104</v>
      </c>
      <c r="B26" s="53" t="s">
        <v>69</v>
      </c>
      <c r="C26" s="53" t="s">
        <v>105</v>
      </c>
      <c r="D26" s="53" t="s">
        <v>106</v>
      </c>
      <c r="E26" s="1"/>
      <c r="F26" s="1"/>
      <c r="G26" s="1"/>
      <c r="H26" s="1"/>
      <c r="I26" s="1"/>
    </row>
    <row r="27" spans="1:9" x14ac:dyDescent="0.25">
      <c r="A27" s="1">
        <v>16</v>
      </c>
      <c r="B27" s="1">
        <v>2.4375</v>
      </c>
      <c r="C27" s="1">
        <v>17.049993576740647</v>
      </c>
      <c r="D27" s="1">
        <v>38.19198561189905</v>
      </c>
      <c r="E27" s="1"/>
      <c r="F27" s="1"/>
      <c r="G27" s="1"/>
      <c r="H27" s="1"/>
      <c r="I27" s="1"/>
    </row>
    <row r="28" spans="1:9" x14ac:dyDescent="0.25">
      <c r="A28" s="1">
        <v>21</v>
      </c>
      <c r="B28" s="1">
        <v>1.7142857142857142</v>
      </c>
      <c r="C28" s="1">
        <v>24.242959616928111</v>
      </c>
      <c r="D28" s="1">
        <v>54.304229541918971</v>
      </c>
      <c r="E28" s="1"/>
      <c r="F28" s="1"/>
      <c r="G28" s="1"/>
      <c r="H28" s="1"/>
      <c r="I28" s="1"/>
    </row>
    <row r="29" spans="1:9" x14ac:dyDescent="0.25">
      <c r="A29" s="1">
        <v>24</v>
      </c>
      <c r="B29" s="1">
        <v>1.3333333333333333</v>
      </c>
      <c r="C29" s="1">
        <v>31.169519507478999</v>
      </c>
      <c r="D29" s="1">
        <v>69.819723696752959</v>
      </c>
      <c r="E29" s="1"/>
      <c r="F29" s="1"/>
      <c r="G29" s="1"/>
      <c r="H29" s="1"/>
      <c r="I29" s="1"/>
    </row>
    <row r="30" spans="1:9" x14ac:dyDescent="0.25">
      <c r="A30" s="1">
        <v>27</v>
      </c>
      <c r="B30" s="1">
        <v>1.1111111111111112</v>
      </c>
      <c r="C30" s="1">
        <v>37.403423408974795</v>
      </c>
      <c r="D30" s="1">
        <v>83.783668436103554</v>
      </c>
      <c r="E30" s="1"/>
      <c r="F30" s="1"/>
      <c r="G30" s="1"/>
      <c r="H30" s="1"/>
      <c r="I30" s="1"/>
    </row>
    <row r="31" spans="1:9" x14ac:dyDescent="0.25">
      <c r="A31" s="1">
        <v>29</v>
      </c>
      <c r="B31" s="1">
        <v>0.96551724137931039</v>
      </c>
      <c r="C31" s="1">
        <v>43.043622176994809</v>
      </c>
      <c r="D31" s="1">
        <v>96.417713676468381</v>
      </c>
      <c r="E31" s="1"/>
      <c r="F31" s="1"/>
      <c r="G31" s="1"/>
      <c r="H31" s="1"/>
      <c r="I31" s="1"/>
    </row>
    <row r="32" spans="1:9" x14ac:dyDescent="0.25">
      <c r="A32" s="1">
        <v>27</v>
      </c>
      <c r="B32" s="1">
        <v>0.85185185185185186</v>
      </c>
      <c r="C32" s="1">
        <v>48.787074011706252</v>
      </c>
      <c r="D32" s="1">
        <v>109.28304578622202</v>
      </c>
      <c r="E32" s="1"/>
      <c r="F32" s="1"/>
      <c r="G32" s="1"/>
      <c r="H32" s="1"/>
      <c r="I32" s="1"/>
    </row>
    <row r="33" spans="1:9" x14ac:dyDescent="0.25">
      <c r="A33" s="1"/>
      <c r="B33" s="1"/>
      <c r="C33" s="1"/>
      <c r="D33" s="1"/>
      <c r="E33" s="1"/>
      <c r="F33" s="1"/>
      <c r="G33" s="1"/>
      <c r="H33" s="1"/>
      <c r="I33" s="1"/>
    </row>
    <row r="34" spans="1:9" x14ac:dyDescent="0.25">
      <c r="A34" s="1"/>
      <c r="B34" s="1"/>
      <c r="C34" s="1"/>
      <c r="D34" s="1"/>
      <c r="E34" s="1"/>
      <c r="F34" s="1"/>
      <c r="G34" s="1"/>
      <c r="H34" s="1"/>
      <c r="I34" s="1"/>
    </row>
    <row r="35" spans="1:9" ht="15.75" x14ac:dyDescent="0.25">
      <c r="A35" s="53" t="s">
        <v>107</v>
      </c>
      <c r="B35" s="52"/>
      <c r="C35" s="52" t="s">
        <v>108</v>
      </c>
      <c r="D35" s="1"/>
      <c r="E35" s="1"/>
      <c r="F35" s="1"/>
      <c r="G35" s="1"/>
      <c r="H35" s="1"/>
      <c r="I35" s="1"/>
    </row>
    <row r="36" spans="1:9" x14ac:dyDescent="0.25">
      <c r="A36" s="1">
        <v>2.0952380952380953</v>
      </c>
      <c r="B36" s="1"/>
      <c r="C36" s="1" t="s">
        <v>70</v>
      </c>
      <c r="D36" s="1">
        <v>15.661904761904765</v>
      </c>
      <c r="E36" s="1"/>
      <c r="F36" s="1"/>
      <c r="G36" s="1"/>
      <c r="H36" s="1"/>
      <c r="I36" s="1"/>
    </row>
    <row r="37" spans="1:9" x14ac:dyDescent="0.25">
      <c r="A37" s="1"/>
      <c r="B37" s="1"/>
      <c r="C37" s="1" t="s">
        <v>71</v>
      </c>
      <c r="D37" s="1">
        <v>11.014965986394559</v>
      </c>
      <c r="E37" s="1"/>
      <c r="F37" s="1"/>
      <c r="G37" s="1"/>
      <c r="H37" s="1"/>
      <c r="I37" s="1"/>
    </row>
    <row r="38" spans="1:9" x14ac:dyDescent="0.25">
      <c r="A38" s="1"/>
      <c r="B38" s="1"/>
      <c r="C38" s="1" t="s">
        <v>72</v>
      </c>
      <c r="D38" s="1">
        <v>8.5671957671957681</v>
      </c>
      <c r="E38" s="1"/>
      <c r="F38" s="1"/>
      <c r="G38" s="1"/>
      <c r="H38" s="1"/>
      <c r="I38" s="1"/>
    </row>
    <row r="39" spans="1:9" x14ac:dyDescent="0.25">
      <c r="A39" s="1"/>
      <c r="B39" s="1"/>
      <c r="C39" s="1" t="s">
        <v>73</v>
      </c>
      <c r="D39" s="1">
        <v>7.139329805996474</v>
      </c>
      <c r="E39" s="1"/>
      <c r="F39" s="1"/>
      <c r="G39" s="1"/>
      <c r="H39" s="1"/>
      <c r="I39" s="1"/>
    </row>
    <row r="40" spans="1:9" x14ac:dyDescent="0.25">
      <c r="A40" s="51" t="s">
        <v>109</v>
      </c>
      <c r="C40" t="s">
        <v>74</v>
      </c>
      <c r="D40">
        <v>6.2038314176245217</v>
      </c>
    </row>
    <row r="41" spans="1:9" x14ac:dyDescent="0.25">
      <c r="A41">
        <v>3.0666666666666669</v>
      </c>
      <c r="C41" t="s">
        <v>75</v>
      </c>
      <c r="D41">
        <v>5.4734861845972969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Centre Of Gravity</vt:lpstr>
      <vt:lpstr>Veloc-power</vt:lpstr>
      <vt:lpstr>Velo.Torque-acc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2020-01-13T03:30:05Z</dcterms:created>
  <dcterms:modified xsi:type="dcterms:W3CDTF">2020-01-13T07:31:33Z</dcterms:modified>
</cp:coreProperties>
</file>