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0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1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2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3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4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5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6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7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8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9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20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1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2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3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4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5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6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\Desktop\"/>
    </mc:Choice>
  </mc:AlternateContent>
  <xr:revisionPtr revIDLastSave="0" documentId="13_ncr:1_{5FCF7303-8E55-42D0-A0F2-C458DD9DCDBC}" xr6:coauthVersionLast="47" xr6:coauthVersionMax="47" xr10:uidLastSave="{00000000-0000-0000-0000-000000000000}"/>
  <bookViews>
    <workbookView xWindow="-120" yWindow="-120" windowWidth="43440" windowHeight="26640" activeTab="3" xr2:uid="{AE17F7A7-9E8A-4E1B-BA15-F4EA7284F4A4}"/>
  </bookViews>
  <sheets>
    <sheet name="Vehicle " sheetId="1" r:id="rId1"/>
    <sheet name="Gearing " sheetId="2" r:id="rId2"/>
    <sheet name="BSFC " sheetId="3" r:id="rId3"/>
    <sheet name="Track " sheetId="4" r:id="rId4"/>
    <sheet name="Duty Cycle " sheetId="5" r:id="rId5"/>
    <sheet name="Graphs" sheetId="6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2" l="1"/>
  <c r="C18" i="2"/>
  <c r="C17" i="2"/>
  <c r="A40" i="5" l="1"/>
  <c r="A48" i="5"/>
  <c r="H153" i="5"/>
  <c r="P153" i="5"/>
  <c r="Q153" i="5" s="1"/>
  <c r="S153" i="5"/>
  <c r="H14" i="5"/>
  <c r="H15" i="5"/>
  <c r="H5" i="5"/>
  <c r="H6" i="5"/>
  <c r="H7" i="5"/>
  <c r="H8" i="5"/>
  <c r="H9" i="5"/>
  <c r="H10" i="5"/>
  <c r="H11" i="5"/>
  <c r="H12" i="5"/>
  <c r="H13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P149" i="5"/>
  <c r="Q149" i="5" s="1"/>
  <c r="S149" i="5"/>
  <c r="P150" i="5"/>
  <c r="Q150" i="5" s="1"/>
  <c r="S150" i="5"/>
  <c r="P151" i="5"/>
  <c r="Q151" i="5" s="1"/>
  <c r="S151" i="5"/>
  <c r="P152" i="5"/>
  <c r="Q152" i="5" s="1"/>
  <c r="S152" i="5"/>
  <c r="H13" i="4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AF3" i="5"/>
  <c r="H4" i="5"/>
  <c r="P4" i="5"/>
  <c r="Q4" i="5" s="1"/>
  <c r="P5" i="5"/>
  <c r="Q5" i="5" s="1"/>
  <c r="P6" i="5"/>
  <c r="Q6" i="5" s="1"/>
  <c r="P7" i="5"/>
  <c r="Q7" i="5" s="1"/>
  <c r="P8" i="5"/>
  <c r="Q8" i="5" s="1"/>
  <c r="P9" i="5"/>
  <c r="Q9" i="5" s="1"/>
  <c r="P10" i="5"/>
  <c r="Q10" i="5" s="1"/>
  <c r="P11" i="5"/>
  <c r="Q11" i="5" s="1"/>
  <c r="P12" i="5"/>
  <c r="Q12" i="5" s="1"/>
  <c r="P13" i="5"/>
  <c r="Q13" i="5" s="1"/>
  <c r="P14" i="5"/>
  <c r="Q14" i="5" s="1"/>
  <c r="P15" i="5"/>
  <c r="Q15" i="5" s="1"/>
  <c r="P16" i="5"/>
  <c r="Q16" i="5" s="1"/>
  <c r="P17" i="5"/>
  <c r="Q17" i="5" s="1"/>
  <c r="P18" i="5"/>
  <c r="Q18" i="5" s="1"/>
  <c r="P19" i="5"/>
  <c r="Q19" i="5" s="1"/>
  <c r="P20" i="5"/>
  <c r="Q20" i="5" s="1"/>
  <c r="P21" i="5"/>
  <c r="Q21" i="5" s="1"/>
  <c r="P22" i="5"/>
  <c r="Q22" i="5" s="1"/>
  <c r="P23" i="5"/>
  <c r="Q23" i="5" s="1"/>
  <c r="P24" i="5"/>
  <c r="Q24" i="5" s="1"/>
  <c r="P25" i="5"/>
  <c r="Q25" i="5" s="1"/>
  <c r="P26" i="5"/>
  <c r="Q26" i="5" s="1"/>
  <c r="P27" i="5"/>
  <c r="Q27" i="5" s="1"/>
  <c r="P28" i="5"/>
  <c r="Q28" i="5" s="1"/>
  <c r="P29" i="5"/>
  <c r="Q29" i="5" s="1"/>
  <c r="P30" i="5"/>
  <c r="Q30" i="5" s="1"/>
  <c r="P31" i="5"/>
  <c r="Q31" i="5" s="1"/>
  <c r="P32" i="5"/>
  <c r="Q32" i="5" s="1"/>
  <c r="P33" i="5"/>
  <c r="Q33" i="5" s="1"/>
  <c r="P34" i="5"/>
  <c r="Q34" i="5" s="1"/>
  <c r="P35" i="5"/>
  <c r="Q35" i="5" s="1"/>
  <c r="P36" i="5"/>
  <c r="Q36" i="5" s="1"/>
  <c r="P37" i="5"/>
  <c r="Q37" i="5" s="1"/>
  <c r="P38" i="5"/>
  <c r="Q38" i="5" s="1"/>
  <c r="P39" i="5"/>
  <c r="Q39" i="5" s="1"/>
  <c r="P40" i="5"/>
  <c r="Q40" i="5" s="1"/>
  <c r="P41" i="5"/>
  <c r="Q41" i="5" s="1"/>
  <c r="P42" i="5"/>
  <c r="Q42" i="5" s="1"/>
  <c r="P43" i="5"/>
  <c r="Q43" i="5" s="1"/>
  <c r="P44" i="5"/>
  <c r="Q44" i="5" s="1"/>
  <c r="P45" i="5"/>
  <c r="Q45" i="5" s="1"/>
  <c r="P46" i="5"/>
  <c r="Q46" i="5" s="1"/>
  <c r="P47" i="5"/>
  <c r="Q47" i="5" s="1"/>
  <c r="P48" i="5"/>
  <c r="Q48" i="5" s="1"/>
  <c r="P49" i="5"/>
  <c r="Q49" i="5" s="1"/>
  <c r="P50" i="5"/>
  <c r="Q50" i="5" s="1"/>
  <c r="P51" i="5"/>
  <c r="Q51" i="5" s="1"/>
  <c r="P52" i="5"/>
  <c r="Q52" i="5" s="1"/>
  <c r="P53" i="5"/>
  <c r="Q53" i="5" s="1"/>
  <c r="P54" i="5"/>
  <c r="Q54" i="5" s="1"/>
  <c r="P55" i="5"/>
  <c r="Q55" i="5" s="1"/>
  <c r="P56" i="5"/>
  <c r="Q56" i="5" s="1"/>
  <c r="P57" i="5"/>
  <c r="Q57" i="5" s="1"/>
  <c r="P58" i="5"/>
  <c r="Q58" i="5" s="1"/>
  <c r="P59" i="5"/>
  <c r="Q59" i="5" s="1"/>
  <c r="P60" i="5"/>
  <c r="Q60" i="5" s="1"/>
  <c r="P61" i="5"/>
  <c r="Q61" i="5" s="1"/>
  <c r="P62" i="5"/>
  <c r="Q62" i="5" s="1"/>
  <c r="P63" i="5"/>
  <c r="Q63" i="5" s="1"/>
  <c r="P64" i="5"/>
  <c r="Q64" i="5" s="1"/>
  <c r="P65" i="5"/>
  <c r="Q65" i="5" s="1"/>
  <c r="P66" i="5"/>
  <c r="Q66" i="5" s="1"/>
  <c r="P67" i="5"/>
  <c r="Q67" i="5" s="1"/>
  <c r="P68" i="5"/>
  <c r="Q68" i="5" s="1"/>
  <c r="P69" i="5"/>
  <c r="Q69" i="5" s="1"/>
  <c r="P70" i="5"/>
  <c r="Q70" i="5" s="1"/>
  <c r="P71" i="5"/>
  <c r="Q71" i="5" s="1"/>
  <c r="P72" i="5"/>
  <c r="Q72" i="5" s="1"/>
  <c r="P73" i="5"/>
  <c r="Q73" i="5" s="1"/>
  <c r="P74" i="5"/>
  <c r="Q74" i="5" s="1"/>
  <c r="P75" i="5"/>
  <c r="Q75" i="5" s="1"/>
  <c r="P76" i="5"/>
  <c r="Q76" i="5" s="1"/>
  <c r="P77" i="5"/>
  <c r="Q77" i="5" s="1"/>
  <c r="P78" i="5"/>
  <c r="Q78" i="5" s="1"/>
  <c r="P79" i="5"/>
  <c r="Q79" i="5" s="1"/>
  <c r="P80" i="5"/>
  <c r="Q80" i="5" s="1"/>
  <c r="P81" i="5"/>
  <c r="Q81" i="5" s="1"/>
  <c r="P82" i="5"/>
  <c r="Q82" i="5" s="1"/>
  <c r="P83" i="5"/>
  <c r="Q83" i="5" s="1"/>
  <c r="P84" i="5"/>
  <c r="Q84" i="5" s="1"/>
  <c r="P85" i="5"/>
  <c r="Q85" i="5" s="1"/>
  <c r="P86" i="5"/>
  <c r="Q86" i="5" s="1"/>
  <c r="P87" i="5"/>
  <c r="Q87" i="5" s="1"/>
  <c r="P88" i="5"/>
  <c r="Q88" i="5" s="1"/>
  <c r="P89" i="5"/>
  <c r="Q89" i="5" s="1"/>
  <c r="P90" i="5"/>
  <c r="Q90" i="5" s="1"/>
  <c r="P91" i="5"/>
  <c r="Q91" i="5" s="1"/>
  <c r="P92" i="5"/>
  <c r="Q92" i="5" s="1"/>
  <c r="P93" i="5"/>
  <c r="Q93" i="5" s="1"/>
  <c r="P94" i="5"/>
  <c r="Q94" i="5" s="1"/>
  <c r="P95" i="5"/>
  <c r="Q95" i="5" s="1"/>
  <c r="P96" i="5"/>
  <c r="Q96" i="5" s="1"/>
  <c r="P97" i="5"/>
  <c r="Q97" i="5" s="1"/>
  <c r="P98" i="5"/>
  <c r="Q98" i="5" s="1"/>
  <c r="P99" i="5"/>
  <c r="Q99" i="5" s="1"/>
  <c r="P100" i="5"/>
  <c r="Q100" i="5" s="1"/>
  <c r="P101" i="5"/>
  <c r="Q101" i="5" s="1"/>
  <c r="P102" i="5"/>
  <c r="Q102" i="5" s="1"/>
  <c r="P103" i="5"/>
  <c r="Q103" i="5" s="1"/>
  <c r="P104" i="5"/>
  <c r="Q104" i="5" s="1"/>
  <c r="P105" i="5"/>
  <c r="Q105" i="5" s="1"/>
  <c r="P106" i="5"/>
  <c r="Q106" i="5" s="1"/>
  <c r="P107" i="5"/>
  <c r="Q107" i="5" s="1"/>
  <c r="P108" i="5"/>
  <c r="Q108" i="5" s="1"/>
  <c r="P109" i="5"/>
  <c r="Q109" i="5" s="1"/>
  <c r="P110" i="5"/>
  <c r="Q110" i="5" s="1"/>
  <c r="P111" i="5"/>
  <c r="Q111" i="5" s="1"/>
  <c r="P112" i="5"/>
  <c r="Q112" i="5" s="1"/>
  <c r="P113" i="5"/>
  <c r="Q113" i="5" s="1"/>
  <c r="P114" i="5"/>
  <c r="Q114" i="5" s="1"/>
  <c r="P115" i="5"/>
  <c r="Q115" i="5" s="1"/>
  <c r="P116" i="5"/>
  <c r="Q116" i="5" s="1"/>
  <c r="P117" i="5"/>
  <c r="Q117" i="5" s="1"/>
  <c r="P118" i="5"/>
  <c r="Q118" i="5" s="1"/>
  <c r="P119" i="5"/>
  <c r="Q119" i="5" s="1"/>
  <c r="P120" i="5"/>
  <c r="Q120" i="5" s="1"/>
  <c r="P121" i="5"/>
  <c r="Q121" i="5" s="1"/>
  <c r="P122" i="5"/>
  <c r="Q122" i="5" s="1"/>
  <c r="P123" i="5"/>
  <c r="Q123" i="5" s="1"/>
  <c r="P124" i="5"/>
  <c r="Q124" i="5" s="1"/>
  <c r="P125" i="5"/>
  <c r="Q125" i="5" s="1"/>
  <c r="P126" i="5"/>
  <c r="Q126" i="5" s="1"/>
  <c r="P127" i="5"/>
  <c r="Q127" i="5" s="1"/>
  <c r="P128" i="5"/>
  <c r="Q128" i="5" s="1"/>
  <c r="P129" i="5"/>
  <c r="Q129" i="5" s="1"/>
  <c r="P130" i="5"/>
  <c r="Q130" i="5" s="1"/>
  <c r="P131" i="5"/>
  <c r="Q131" i="5" s="1"/>
  <c r="P132" i="5"/>
  <c r="Q132" i="5" s="1"/>
  <c r="P133" i="5"/>
  <c r="Q133" i="5" s="1"/>
  <c r="P134" i="5"/>
  <c r="Q134" i="5" s="1"/>
  <c r="P135" i="5"/>
  <c r="Q135" i="5" s="1"/>
  <c r="P136" i="5"/>
  <c r="Q136" i="5" s="1"/>
  <c r="P137" i="5"/>
  <c r="Q137" i="5" s="1"/>
  <c r="P138" i="5"/>
  <c r="Q138" i="5" s="1"/>
  <c r="P139" i="5"/>
  <c r="Q139" i="5" s="1"/>
  <c r="P140" i="5"/>
  <c r="Q140" i="5" s="1"/>
  <c r="P141" i="5"/>
  <c r="Q141" i="5" s="1"/>
  <c r="P142" i="5"/>
  <c r="Q142" i="5" s="1"/>
  <c r="P143" i="5"/>
  <c r="Q143" i="5" s="1"/>
  <c r="P144" i="5"/>
  <c r="Q144" i="5" s="1"/>
  <c r="P145" i="5"/>
  <c r="Q145" i="5" s="1"/>
  <c r="P146" i="5"/>
  <c r="Q146" i="5" s="1"/>
  <c r="P147" i="5"/>
  <c r="Q147" i="5" s="1"/>
  <c r="P148" i="5"/>
  <c r="Q148" i="5" s="1"/>
  <c r="M3" i="5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E6" i="4"/>
  <c r="F39" i="4"/>
  <c r="F40" i="4"/>
  <c r="F41" i="4"/>
  <c r="F42" i="4"/>
  <c r="F43" i="4"/>
  <c r="F44" i="4"/>
  <c r="F45" i="4"/>
  <c r="F46" i="4"/>
  <c r="F47" i="4"/>
  <c r="F48" i="4"/>
  <c r="F49" i="4"/>
  <c r="F50" i="4"/>
  <c r="F38" i="4"/>
  <c r="B33" i="3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32" i="3"/>
  <c r="B32" i="2" l="1"/>
  <c r="B22" i="2"/>
  <c r="D13" i="2" l="1"/>
  <c r="D11" i="2"/>
  <c r="D9" i="2"/>
  <c r="D7" i="2"/>
  <c r="D5" i="2"/>
  <c r="H4" i="2"/>
  <c r="L4" i="2"/>
  <c r="F47" i="1"/>
  <c r="F48" i="1" s="1"/>
  <c r="F45" i="1"/>
  <c r="F42" i="1"/>
  <c r="F37" i="1"/>
  <c r="F35" i="1"/>
  <c r="F34" i="1"/>
  <c r="F38" i="1" s="1"/>
  <c r="F26" i="1"/>
  <c r="F25" i="1"/>
  <c r="F12" i="1"/>
  <c r="F9" i="1"/>
  <c r="M3" i="2" l="1"/>
  <c r="O3" i="2"/>
  <c r="N3" i="2"/>
  <c r="O3" i="5"/>
  <c r="T3" i="5" s="1"/>
  <c r="D27" i="2"/>
  <c r="D28" i="2"/>
  <c r="D29" i="2"/>
  <c r="L5" i="2"/>
  <c r="N4" i="2"/>
  <c r="Q4" i="2" s="1"/>
  <c r="O4" i="2"/>
  <c r="R4" i="2" s="1"/>
  <c r="M4" i="2"/>
  <c r="P4" i="2" s="1"/>
  <c r="H5" i="2"/>
  <c r="U3" i="5" l="1"/>
  <c r="Z3" i="5"/>
  <c r="AG3" i="5" s="1"/>
  <c r="T3" i="2"/>
  <c r="Q3" i="2"/>
  <c r="L6" i="2"/>
  <c r="M5" i="2"/>
  <c r="O5" i="2"/>
  <c r="R5" i="2" s="1"/>
  <c r="N5" i="2"/>
  <c r="Q5" i="2" s="1"/>
  <c r="U3" i="2"/>
  <c r="R3" i="2"/>
  <c r="P3" i="2"/>
  <c r="S3" i="2"/>
  <c r="U4" i="2"/>
  <c r="S4" i="2"/>
  <c r="T4" i="2"/>
  <c r="H6" i="2"/>
  <c r="W3" i="5" l="1"/>
  <c r="X3" i="5" s="1"/>
  <c r="Y3" i="5" s="1"/>
  <c r="V3" i="5"/>
  <c r="AC3" i="5"/>
  <c r="P5" i="2"/>
  <c r="L7" i="2"/>
  <c r="O6" i="2"/>
  <c r="R6" i="2" s="1"/>
  <c r="M6" i="2"/>
  <c r="P6" i="2" s="1"/>
  <c r="N6" i="2"/>
  <c r="Q6" i="2" s="1"/>
  <c r="T5" i="2"/>
  <c r="S5" i="2"/>
  <c r="U5" i="2"/>
  <c r="H7" i="2"/>
  <c r="T6" i="2" l="1"/>
  <c r="S6" i="2"/>
  <c r="U6" i="2"/>
  <c r="L8" i="2"/>
  <c r="N7" i="2"/>
  <c r="Q7" i="2" s="1"/>
  <c r="M7" i="2"/>
  <c r="O7" i="2"/>
  <c r="R7" i="2" s="1"/>
  <c r="H8" i="2"/>
  <c r="P7" i="2" l="1"/>
  <c r="U7" i="2"/>
  <c r="T7" i="2"/>
  <c r="S7" i="2"/>
  <c r="L9" i="2"/>
  <c r="N8" i="2"/>
  <c r="Q8" i="2" s="1"/>
  <c r="M8" i="2"/>
  <c r="P8" i="2" s="1"/>
  <c r="O8" i="2"/>
  <c r="R8" i="2" s="1"/>
  <c r="H9" i="2"/>
  <c r="T8" i="2" l="1"/>
  <c r="S8" i="2"/>
  <c r="U8" i="2"/>
  <c r="L10" i="2"/>
  <c r="O9" i="2"/>
  <c r="R9" i="2" s="1"/>
  <c r="M9" i="2"/>
  <c r="N9" i="2"/>
  <c r="Q9" i="2" s="1"/>
  <c r="H10" i="2"/>
  <c r="P9" i="2" l="1"/>
  <c r="S9" i="2"/>
  <c r="U9" i="2"/>
  <c r="T9" i="2"/>
  <c r="L11" i="2"/>
  <c r="M10" i="2"/>
  <c r="P10" i="2" s="1"/>
  <c r="O10" i="2"/>
  <c r="R10" i="2" s="1"/>
  <c r="N10" i="2"/>
  <c r="Q10" i="2" s="1"/>
  <c r="H11" i="2"/>
  <c r="S10" i="2" l="1"/>
  <c r="L12" i="2"/>
  <c r="N11" i="2"/>
  <c r="Q11" i="2" s="1"/>
  <c r="O11" i="2"/>
  <c r="R11" i="2" s="1"/>
  <c r="M11" i="2"/>
  <c r="U10" i="2"/>
  <c r="T10" i="2"/>
  <c r="H12" i="2"/>
  <c r="P11" i="2" l="1"/>
  <c r="T11" i="2"/>
  <c r="S11" i="2"/>
  <c r="U11" i="2"/>
  <c r="L13" i="2"/>
  <c r="N12" i="2"/>
  <c r="Q12" i="2" s="1"/>
  <c r="O12" i="2"/>
  <c r="R12" i="2" s="1"/>
  <c r="M12" i="2"/>
  <c r="P12" i="2" s="1"/>
  <c r="H13" i="2"/>
  <c r="S12" i="2" l="1"/>
  <c r="T12" i="2"/>
  <c r="U12" i="2"/>
  <c r="L14" i="2"/>
  <c r="M13" i="2"/>
  <c r="O13" i="2"/>
  <c r="R13" i="2" s="1"/>
  <c r="N13" i="2"/>
  <c r="Q13" i="2" s="1"/>
  <c r="H14" i="2"/>
  <c r="T13" i="2" l="1"/>
  <c r="P13" i="2"/>
  <c r="S13" i="2"/>
  <c r="U13" i="2"/>
  <c r="L15" i="2"/>
  <c r="M14" i="2"/>
  <c r="P14" i="2" s="1"/>
  <c r="O14" i="2"/>
  <c r="R14" i="2" s="1"/>
  <c r="N14" i="2"/>
  <c r="Q14" i="2" s="1"/>
  <c r="H15" i="2"/>
  <c r="J14" i="2"/>
  <c r="S14" i="2" l="1"/>
  <c r="L4" i="5"/>
  <c r="L5" i="5"/>
  <c r="L6" i="5"/>
  <c r="L7" i="5"/>
  <c r="L8" i="5"/>
  <c r="L16" i="2"/>
  <c r="N15" i="2"/>
  <c r="Q15" i="2" s="1"/>
  <c r="M15" i="2"/>
  <c r="O15" i="2"/>
  <c r="R15" i="2" s="1"/>
  <c r="U14" i="2"/>
  <c r="T14" i="2"/>
  <c r="H16" i="2"/>
  <c r="J15" i="2"/>
  <c r="J13" i="2"/>
  <c r="AF8" i="5" l="1"/>
  <c r="M8" i="5"/>
  <c r="R8" i="5"/>
  <c r="N8" i="5"/>
  <c r="O8" i="5" s="1"/>
  <c r="D8" i="5"/>
  <c r="AF6" i="5"/>
  <c r="M6" i="5"/>
  <c r="R6" i="5"/>
  <c r="N6" i="5"/>
  <c r="O6" i="5" s="1"/>
  <c r="M4" i="5"/>
  <c r="D4" i="5"/>
  <c r="E4" i="5" s="1"/>
  <c r="I4" i="5" s="1"/>
  <c r="S4" i="5" s="1"/>
  <c r="R4" i="5"/>
  <c r="AF4" i="5"/>
  <c r="N4" i="5"/>
  <c r="O4" i="5" s="1"/>
  <c r="D5" i="5"/>
  <c r="D6" i="5"/>
  <c r="D7" i="5"/>
  <c r="AF5" i="5"/>
  <c r="M5" i="5"/>
  <c r="N5" i="5"/>
  <c r="O5" i="5" s="1"/>
  <c r="R5" i="5"/>
  <c r="AF7" i="5"/>
  <c r="N7" i="5"/>
  <c r="O7" i="5" s="1"/>
  <c r="M7" i="5"/>
  <c r="R7" i="5"/>
  <c r="P15" i="2"/>
  <c r="T15" i="2"/>
  <c r="S15" i="2"/>
  <c r="U15" i="2"/>
  <c r="L17" i="2"/>
  <c r="N16" i="2"/>
  <c r="Q16" i="2" s="1"/>
  <c r="M16" i="2"/>
  <c r="P16" i="2" s="1"/>
  <c r="O16" i="2"/>
  <c r="R16" i="2" s="1"/>
  <c r="H17" i="2"/>
  <c r="J16" i="2"/>
  <c r="J12" i="2"/>
  <c r="E7" i="5" l="1"/>
  <c r="I7" i="5" s="1"/>
  <c r="S7" i="5" s="1"/>
  <c r="T7" i="5" s="1"/>
  <c r="U7" i="5" s="1"/>
  <c r="E6" i="5"/>
  <c r="I6" i="5" s="1"/>
  <c r="S6" i="5" s="1"/>
  <c r="T6" i="5" s="1"/>
  <c r="U6" i="5" s="1"/>
  <c r="E5" i="5"/>
  <c r="I5" i="5" s="1"/>
  <c r="S5" i="5" s="1"/>
  <c r="T5" i="5" s="1"/>
  <c r="U5" i="5" s="1"/>
  <c r="T4" i="5"/>
  <c r="U4" i="5" s="1"/>
  <c r="E8" i="5"/>
  <c r="I8" i="5" s="1"/>
  <c r="S8" i="5" s="1"/>
  <c r="T8" i="5" s="1"/>
  <c r="U8" i="5" s="1"/>
  <c r="T16" i="2"/>
  <c r="U16" i="2"/>
  <c r="S16" i="2"/>
  <c r="L18" i="2"/>
  <c r="O17" i="2"/>
  <c r="R17" i="2" s="1"/>
  <c r="M17" i="2"/>
  <c r="L9" i="5" s="1"/>
  <c r="M9" i="5" s="1"/>
  <c r="N17" i="2"/>
  <c r="Q17" i="2" s="1"/>
  <c r="H18" i="2"/>
  <c r="J17" i="2"/>
  <c r="J11" i="2"/>
  <c r="N9" i="5" l="1"/>
  <c r="O9" i="5" s="1"/>
  <c r="AF9" i="5"/>
  <c r="R9" i="5"/>
  <c r="D9" i="5"/>
  <c r="E9" i="5" s="1"/>
  <c r="I9" i="5" s="1"/>
  <c r="S9" i="5" s="1"/>
  <c r="Z7" i="5"/>
  <c r="AG7" i="5" s="1"/>
  <c r="Z6" i="5"/>
  <c r="AG6" i="5" s="1"/>
  <c r="Z8" i="5"/>
  <c r="AG8" i="5" s="1"/>
  <c r="Z4" i="5"/>
  <c r="W7" i="5"/>
  <c r="X7" i="5" s="1"/>
  <c r="Y7" i="5" s="1"/>
  <c r="V7" i="5"/>
  <c r="Z5" i="5"/>
  <c r="AG5" i="5" s="1"/>
  <c r="T17" i="2"/>
  <c r="P17" i="2"/>
  <c r="L19" i="2"/>
  <c r="O18" i="2"/>
  <c r="M18" i="2"/>
  <c r="P18" i="2" s="1"/>
  <c r="N18" i="2"/>
  <c r="Q18" i="2" s="1"/>
  <c r="S17" i="2"/>
  <c r="U17" i="2"/>
  <c r="H19" i="2"/>
  <c r="J18" i="2"/>
  <c r="J10" i="2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T9" i="5" l="1"/>
  <c r="U9" i="5" s="1"/>
  <c r="V9" i="5" s="1"/>
  <c r="R18" i="2"/>
  <c r="L79" i="5"/>
  <c r="AB7" i="5"/>
  <c r="AC7" i="5" s="1"/>
  <c r="AE7" i="5" s="1"/>
  <c r="V5" i="5"/>
  <c r="W5" i="5"/>
  <c r="X5" i="5" s="1"/>
  <c r="Y5" i="5" s="1"/>
  <c r="V4" i="5"/>
  <c r="W4" i="5"/>
  <c r="X4" i="5" s="1"/>
  <c r="Y4" i="5" s="1"/>
  <c r="U18" i="2"/>
  <c r="AG4" i="5"/>
  <c r="AA4" i="5"/>
  <c r="AA5" i="5" s="1"/>
  <c r="AA6" i="5" s="1"/>
  <c r="AA7" i="5" s="1"/>
  <c r="AA8" i="5" s="1"/>
  <c r="W8" i="5"/>
  <c r="X8" i="5" s="1"/>
  <c r="Y8" i="5" s="1"/>
  <c r="V8" i="5"/>
  <c r="W6" i="5"/>
  <c r="X6" i="5" s="1"/>
  <c r="Y6" i="5" s="1"/>
  <c r="V6" i="5"/>
  <c r="T18" i="2"/>
  <c r="S18" i="2"/>
  <c r="L20" i="2"/>
  <c r="N19" i="2"/>
  <c r="Q19" i="2" s="1"/>
  <c r="O19" i="2"/>
  <c r="M19" i="2"/>
  <c r="H20" i="2"/>
  <c r="J19" i="2"/>
  <c r="J9" i="2"/>
  <c r="K9" i="2" s="1"/>
  <c r="W9" i="5" l="1"/>
  <c r="X9" i="5" s="1"/>
  <c r="Y9" i="5" s="1"/>
  <c r="AB9" i="5" s="1"/>
  <c r="AC9" i="5" s="1"/>
  <c r="AE9" i="5" s="1"/>
  <c r="Z9" i="5"/>
  <c r="AG9" i="5" s="1"/>
  <c r="R19" i="2"/>
  <c r="L147" i="5"/>
  <c r="L146" i="5"/>
  <c r="L78" i="5"/>
  <c r="N79" i="5" s="1"/>
  <c r="O79" i="5" s="1"/>
  <c r="L144" i="5"/>
  <c r="L141" i="5"/>
  <c r="L140" i="5"/>
  <c r="L145" i="5"/>
  <c r="L143" i="5"/>
  <c r="L137" i="5"/>
  <c r="L65" i="5"/>
  <c r="L138" i="5"/>
  <c r="L142" i="5"/>
  <c r="L139" i="5"/>
  <c r="R79" i="5"/>
  <c r="M79" i="5"/>
  <c r="AF79" i="5"/>
  <c r="AB8" i="5"/>
  <c r="AC8" i="5" s="1"/>
  <c r="AE8" i="5" s="1"/>
  <c r="AB4" i="5"/>
  <c r="AC4" i="5" s="1"/>
  <c r="AB6" i="5"/>
  <c r="AC6" i="5" s="1"/>
  <c r="AE6" i="5" s="1"/>
  <c r="AB5" i="5"/>
  <c r="AC5" i="5" s="1"/>
  <c r="AE5" i="5" s="1"/>
  <c r="P19" i="2"/>
  <c r="U19" i="2"/>
  <c r="T19" i="2"/>
  <c r="S19" i="2"/>
  <c r="L21" i="2"/>
  <c r="O20" i="2"/>
  <c r="M20" i="2"/>
  <c r="P20" i="2" s="1"/>
  <c r="N20" i="2"/>
  <c r="Q20" i="2" s="1"/>
  <c r="H21" i="2"/>
  <c r="J20" i="2"/>
  <c r="J8" i="2"/>
  <c r="K8" i="2" s="1"/>
  <c r="AA9" i="5" l="1"/>
  <c r="R146" i="5"/>
  <c r="M146" i="5"/>
  <c r="AF146" i="5"/>
  <c r="N146" i="5"/>
  <c r="O146" i="5" s="1"/>
  <c r="M143" i="5"/>
  <c r="AF143" i="5"/>
  <c r="R143" i="5"/>
  <c r="N143" i="5"/>
  <c r="O143" i="5" s="1"/>
  <c r="AF145" i="5"/>
  <c r="R145" i="5"/>
  <c r="N145" i="5"/>
  <c r="O145" i="5" s="1"/>
  <c r="M145" i="5"/>
  <c r="R140" i="5"/>
  <c r="AF140" i="5"/>
  <c r="M140" i="5"/>
  <c r="N140" i="5"/>
  <c r="O140" i="5" s="1"/>
  <c r="M139" i="5"/>
  <c r="R139" i="5"/>
  <c r="N139" i="5"/>
  <c r="O139" i="5" s="1"/>
  <c r="AF139" i="5"/>
  <c r="N141" i="5"/>
  <c r="O141" i="5" s="1"/>
  <c r="R141" i="5"/>
  <c r="AF141" i="5"/>
  <c r="M141" i="5"/>
  <c r="AE4" i="5"/>
  <c r="AD4" i="5"/>
  <c r="AD5" i="5" s="1"/>
  <c r="AD6" i="5" s="1"/>
  <c r="AD7" i="5" s="1"/>
  <c r="AD8" i="5" s="1"/>
  <c r="AD9" i="5" s="1"/>
  <c r="R20" i="2"/>
  <c r="L148" i="5"/>
  <c r="L46" i="5"/>
  <c r="L16" i="5"/>
  <c r="L89" i="5"/>
  <c r="L88" i="5"/>
  <c r="L117" i="5"/>
  <c r="L118" i="5"/>
  <c r="N142" i="5"/>
  <c r="O142" i="5" s="1"/>
  <c r="R142" i="5"/>
  <c r="AF142" i="5"/>
  <c r="M142" i="5"/>
  <c r="AF144" i="5"/>
  <c r="R144" i="5"/>
  <c r="M144" i="5"/>
  <c r="N144" i="5"/>
  <c r="O144" i="5" s="1"/>
  <c r="N138" i="5"/>
  <c r="O138" i="5" s="1"/>
  <c r="R138" i="5"/>
  <c r="M138" i="5"/>
  <c r="AF138" i="5"/>
  <c r="M78" i="5"/>
  <c r="R78" i="5"/>
  <c r="AF78" i="5"/>
  <c r="AF65" i="5"/>
  <c r="R65" i="5"/>
  <c r="M65" i="5"/>
  <c r="M137" i="5"/>
  <c r="AF137" i="5"/>
  <c r="R137" i="5"/>
  <c r="R147" i="5"/>
  <c r="M147" i="5"/>
  <c r="N147" i="5"/>
  <c r="O147" i="5" s="1"/>
  <c r="AF147" i="5"/>
  <c r="S20" i="2"/>
  <c r="U20" i="2"/>
  <c r="L22" i="2"/>
  <c r="M21" i="2"/>
  <c r="O21" i="2"/>
  <c r="N21" i="2"/>
  <c r="T21" i="2" s="1"/>
  <c r="T20" i="2"/>
  <c r="H22" i="2"/>
  <c r="J21" i="2"/>
  <c r="J7" i="2"/>
  <c r="K7" i="2" s="1"/>
  <c r="M89" i="5" l="1"/>
  <c r="AF89" i="5"/>
  <c r="R89" i="5"/>
  <c r="N89" i="5"/>
  <c r="O89" i="5" s="1"/>
  <c r="AF16" i="5"/>
  <c r="R16" i="5"/>
  <c r="M16" i="5"/>
  <c r="M46" i="5"/>
  <c r="R46" i="5"/>
  <c r="AF46" i="5"/>
  <c r="M148" i="5"/>
  <c r="AF148" i="5"/>
  <c r="N148" i="5"/>
  <c r="O148" i="5" s="1"/>
  <c r="R148" i="5"/>
  <c r="R118" i="5"/>
  <c r="AF118" i="5"/>
  <c r="M118" i="5"/>
  <c r="N118" i="5"/>
  <c r="O118" i="5" s="1"/>
  <c r="Q21" i="2"/>
  <c r="L95" i="5"/>
  <c r="L97" i="5"/>
  <c r="L93" i="5"/>
  <c r="L70" i="5"/>
  <c r="L96" i="5"/>
  <c r="L94" i="5"/>
  <c r="R21" i="2"/>
  <c r="L100" i="5"/>
  <c r="L106" i="5"/>
  <c r="L64" i="5"/>
  <c r="L24" i="5"/>
  <c r="L116" i="5"/>
  <c r="L107" i="5"/>
  <c r="L73" i="5"/>
  <c r="L77" i="5"/>
  <c r="L56" i="5"/>
  <c r="L105" i="5"/>
  <c r="L108" i="5"/>
  <c r="L136" i="5"/>
  <c r="M117" i="5"/>
  <c r="R117" i="5"/>
  <c r="AF117" i="5"/>
  <c r="AF88" i="5"/>
  <c r="R88" i="5"/>
  <c r="M88" i="5"/>
  <c r="L10" i="5"/>
  <c r="P21" i="2"/>
  <c r="L12" i="5"/>
  <c r="L23" i="2"/>
  <c r="M22" i="2"/>
  <c r="P22" i="2" s="1"/>
  <c r="O22" i="2"/>
  <c r="N22" i="2"/>
  <c r="S21" i="2"/>
  <c r="U21" i="2"/>
  <c r="H23" i="2"/>
  <c r="J22" i="2"/>
  <c r="J6" i="2"/>
  <c r="K6" i="2" s="1"/>
  <c r="Q22" i="2" l="1"/>
  <c r="L92" i="5"/>
  <c r="N93" i="5" s="1"/>
  <c r="O93" i="5" s="1"/>
  <c r="L80" i="5"/>
  <c r="L84" i="5"/>
  <c r="L85" i="5"/>
  <c r="L81" i="5"/>
  <c r="L82" i="5"/>
  <c r="L83" i="5"/>
  <c r="L71" i="5"/>
  <c r="M136" i="5"/>
  <c r="AF136" i="5"/>
  <c r="R136" i="5"/>
  <c r="N137" i="5"/>
  <c r="O137" i="5" s="1"/>
  <c r="R93" i="5"/>
  <c r="AF93" i="5"/>
  <c r="M93" i="5"/>
  <c r="R22" i="2"/>
  <c r="L149" i="5"/>
  <c r="L119" i="5"/>
  <c r="L17" i="5"/>
  <c r="L45" i="5"/>
  <c r="L109" i="5"/>
  <c r="L28" i="5"/>
  <c r="L23" i="5"/>
  <c r="AF108" i="5"/>
  <c r="M108" i="5"/>
  <c r="N108" i="5"/>
  <c r="O108" i="5" s="1"/>
  <c r="R108" i="5"/>
  <c r="AF64" i="5"/>
  <c r="R64" i="5"/>
  <c r="M64" i="5"/>
  <c r="N65" i="5"/>
  <c r="O65" i="5" s="1"/>
  <c r="M97" i="5"/>
  <c r="N97" i="5"/>
  <c r="O97" i="5" s="1"/>
  <c r="AF97" i="5"/>
  <c r="R97" i="5"/>
  <c r="R106" i="5"/>
  <c r="AF106" i="5"/>
  <c r="M106" i="5"/>
  <c r="N106" i="5"/>
  <c r="O106" i="5" s="1"/>
  <c r="AF95" i="5"/>
  <c r="R95" i="5"/>
  <c r="M95" i="5"/>
  <c r="N95" i="5"/>
  <c r="O95" i="5" s="1"/>
  <c r="M56" i="5"/>
  <c r="AF56" i="5"/>
  <c r="R56" i="5"/>
  <c r="R100" i="5"/>
  <c r="AF100" i="5"/>
  <c r="M100" i="5"/>
  <c r="M116" i="5"/>
  <c r="R116" i="5"/>
  <c r="AF116" i="5"/>
  <c r="M107" i="5"/>
  <c r="R107" i="5"/>
  <c r="N107" i="5"/>
  <c r="O107" i="5" s="1"/>
  <c r="AF107" i="5"/>
  <c r="R70" i="5"/>
  <c r="AF70" i="5"/>
  <c r="M70" i="5"/>
  <c r="M105" i="5"/>
  <c r="AF105" i="5"/>
  <c r="R105" i="5"/>
  <c r="N117" i="5"/>
  <c r="O117" i="5" s="1"/>
  <c r="M77" i="5"/>
  <c r="AF77" i="5"/>
  <c r="R77" i="5"/>
  <c r="N78" i="5"/>
  <c r="O78" i="5" s="1"/>
  <c r="M73" i="5"/>
  <c r="AF73" i="5"/>
  <c r="R73" i="5"/>
  <c r="N94" i="5"/>
  <c r="O94" i="5" s="1"/>
  <c r="R94" i="5"/>
  <c r="AF94" i="5"/>
  <c r="M94" i="5"/>
  <c r="M96" i="5"/>
  <c r="AF96" i="5"/>
  <c r="R96" i="5"/>
  <c r="N96" i="5"/>
  <c r="O96" i="5" s="1"/>
  <c r="N24" i="5"/>
  <c r="O24" i="5" s="1"/>
  <c r="M24" i="5"/>
  <c r="R24" i="5"/>
  <c r="AF24" i="5"/>
  <c r="R10" i="5"/>
  <c r="N10" i="5"/>
  <c r="O10" i="5" s="1"/>
  <c r="M10" i="5"/>
  <c r="AF10" i="5"/>
  <c r="D10" i="5"/>
  <c r="E10" i="5" s="1"/>
  <c r="I10" i="5" s="1"/>
  <c r="S10" i="5" s="1"/>
  <c r="M12" i="5"/>
  <c r="R12" i="5"/>
  <c r="AF12" i="5"/>
  <c r="T22" i="2"/>
  <c r="S22" i="2"/>
  <c r="L24" i="2"/>
  <c r="N23" i="2"/>
  <c r="M23" i="2"/>
  <c r="O23" i="2"/>
  <c r="U22" i="2"/>
  <c r="H24" i="2"/>
  <c r="J23" i="2"/>
  <c r="J5" i="2"/>
  <c r="K5" i="2" s="1"/>
  <c r="R109" i="5" l="1"/>
  <c r="AF109" i="5"/>
  <c r="N109" i="5"/>
  <c r="O109" i="5" s="1"/>
  <c r="M109" i="5"/>
  <c r="N83" i="5"/>
  <c r="O83" i="5" s="1"/>
  <c r="R83" i="5"/>
  <c r="M83" i="5"/>
  <c r="AF83" i="5"/>
  <c r="M45" i="5"/>
  <c r="R45" i="5"/>
  <c r="AF45" i="5"/>
  <c r="N46" i="5"/>
  <c r="O46" i="5" s="1"/>
  <c r="R82" i="5"/>
  <c r="AF82" i="5"/>
  <c r="N82" i="5"/>
  <c r="O82" i="5" s="1"/>
  <c r="M82" i="5"/>
  <c r="AF81" i="5"/>
  <c r="R81" i="5"/>
  <c r="N81" i="5"/>
  <c r="O81" i="5" s="1"/>
  <c r="M81" i="5"/>
  <c r="M119" i="5"/>
  <c r="AF119" i="5"/>
  <c r="R119" i="5"/>
  <c r="N119" i="5"/>
  <c r="O119" i="5" s="1"/>
  <c r="M85" i="5"/>
  <c r="R85" i="5"/>
  <c r="AF85" i="5"/>
  <c r="N85" i="5"/>
  <c r="O85" i="5" s="1"/>
  <c r="M149" i="5"/>
  <c r="N149" i="5"/>
  <c r="O149" i="5" s="1"/>
  <c r="AF149" i="5"/>
  <c r="R149" i="5"/>
  <c r="N84" i="5"/>
  <c r="O84" i="5" s="1"/>
  <c r="M84" i="5"/>
  <c r="R84" i="5"/>
  <c r="AF84" i="5"/>
  <c r="N17" i="5"/>
  <c r="O17" i="5" s="1"/>
  <c r="AF17" i="5"/>
  <c r="R17" i="5"/>
  <c r="M17" i="5"/>
  <c r="M80" i="5"/>
  <c r="N80" i="5"/>
  <c r="O80" i="5" s="1"/>
  <c r="AF80" i="5"/>
  <c r="R80" i="5"/>
  <c r="R23" i="2"/>
  <c r="L150" i="5"/>
  <c r="L115" i="5"/>
  <c r="L101" i="5"/>
  <c r="L110" i="5"/>
  <c r="L76" i="5"/>
  <c r="L57" i="5"/>
  <c r="L74" i="5"/>
  <c r="L22" i="5"/>
  <c r="L21" i="5"/>
  <c r="L104" i="5"/>
  <c r="AF23" i="5"/>
  <c r="R23" i="5"/>
  <c r="M23" i="5"/>
  <c r="M92" i="5"/>
  <c r="R92" i="5"/>
  <c r="AF92" i="5"/>
  <c r="Q23" i="2"/>
  <c r="L68" i="5"/>
  <c r="L52" i="5"/>
  <c r="L48" i="5"/>
  <c r="L53" i="5"/>
  <c r="L47" i="5"/>
  <c r="L50" i="5"/>
  <c r="L86" i="5"/>
  <c r="L66" i="5"/>
  <c r="L98" i="5"/>
  <c r="L49" i="5"/>
  <c r="L91" i="5"/>
  <c r="N92" i="5" s="1"/>
  <c r="O92" i="5" s="1"/>
  <c r="L51" i="5"/>
  <c r="L69" i="5"/>
  <c r="L67" i="5"/>
  <c r="AF28" i="5"/>
  <c r="M28" i="5"/>
  <c r="R28" i="5"/>
  <c r="M71" i="5"/>
  <c r="R71" i="5"/>
  <c r="AF71" i="5"/>
  <c r="N71" i="5"/>
  <c r="O71" i="5" s="1"/>
  <c r="T10" i="5"/>
  <c r="U10" i="5" s="1"/>
  <c r="P23" i="2"/>
  <c r="L13" i="5"/>
  <c r="L25" i="2"/>
  <c r="N24" i="2"/>
  <c r="M24" i="2"/>
  <c r="O24" i="2"/>
  <c r="U23" i="2"/>
  <c r="S23" i="2"/>
  <c r="T23" i="2"/>
  <c r="H25" i="2"/>
  <c r="J24" i="2"/>
  <c r="J4" i="2"/>
  <c r="K4" i="2" s="1"/>
  <c r="J3" i="2"/>
  <c r="K3" i="2" s="1"/>
  <c r="M67" i="5" l="1"/>
  <c r="R67" i="5"/>
  <c r="AF67" i="5"/>
  <c r="N67" i="5"/>
  <c r="O67" i="5" s="1"/>
  <c r="R24" i="2"/>
  <c r="L151" i="5"/>
  <c r="L135" i="5"/>
  <c r="L129" i="5"/>
  <c r="L125" i="5"/>
  <c r="L18" i="5"/>
  <c r="L126" i="5"/>
  <c r="L63" i="5"/>
  <c r="L128" i="5"/>
  <c r="L127" i="5"/>
  <c r="L44" i="5"/>
  <c r="L20" i="5"/>
  <c r="N21" i="5" s="1"/>
  <c r="O21" i="5" s="1"/>
  <c r="L111" i="5"/>
  <c r="L120" i="5"/>
  <c r="L124" i="5"/>
  <c r="L75" i="5"/>
  <c r="N76" i="5" s="1"/>
  <c r="O76" i="5" s="1"/>
  <c r="L29" i="5"/>
  <c r="N86" i="5"/>
  <c r="O86" i="5" s="1"/>
  <c r="R86" i="5"/>
  <c r="AF86" i="5"/>
  <c r="M86" i="5"/>
  <c r="M104" i="5"/>
  <c r="R104" i="5"/>
  <c r="AF104" i="5"/>
  <c r="N105" i="5"/>
  <c r="O105" i="5" s="1"/>
  <c r="M115" i="5"/>
  <c r="AF115" i="5"/>
  <c r="R115" i="5"/>
  <c r="N116" i="5"/>
  <c r="O116" i="5" s="1"/>
  <c r="M50" i="5"/>
  <c r="N50" i="5"/>
  <c r="O50" i="5" s="1"/>
  <c r="AF50" i="5"/>
  <c r="R50" i="5"/>
  <c r="M21" i="5"/>
  <c r="R21" i="5"/>
  <c r="AF21" i="5"/>
  <c r="M150" i="5"/>
  <c r="N150" i="5"/>
  <c r="O150" i="5" s="1"/>
  <c r="AF150" i="5"/>
  <c r="R150" i="5"/>
  <c r="R69" i="5"/>
  <c r="AF69" i="5"/>
  <c r="N69" i="5"/>
  <c r="O69" i="5" s="1"/>
  <c r="M69" i="5"/>
  <c r="N70" i="5"/>
  <c r="O70" i="5" s="1"/>
  <c r="AF47" i="5"/>
  <c r="R47" i="5"/>
  <c r="M47" i="5"/>
  <c r="N47" i="5"/>
  <c r="O47" i="5" s="1"/>
  <c r="M22" i="5"/>
  <c r="R22" i="5"/>
  <c r="AF22" i="5"/>
  <c r="N22" i="5"/>
  <c r="O22" i="5" s="1"/>
  <c r="P24" i="2"/>
  <c r="L11" i="5"/>
  <c r="D13" i="5" s="1"/>
  <c r="N53" i="5"/>
  <c r="O53" i="5" s="1"/>
  <c r="AF53" i="5"/>
  <c r="M53" i="5"/>
  <c r="R53" i="5"/>
  <c r="M74" i="5"/>
  <c r="AF74" i="5"/>
  <c r="N74" i="5"/>
  <c r="O74" i="5" s="1"/>
  <c r="R74" i="5"/>
  <c r="Q24" i="2"/>
  <c r="L54" i="5"/>
  <c r="L72" i="5"/>
  <c r="AF48" i="5"/>
  <c r="R48" i="5"/>
  <c r="N48" i="5"/>
  <c r="O48" i="5" s="1"/>
  <c r="M48" i="5"/>
  <c r="N23" i="5"/>
  <c r="O23" i="5" s="1"/>
  <c r="N57" i="5"/>
  <c r="O57" i="5" s="1"/>
  <c r="AF57" i="5"/>
  <c r="R57" i="5"/>
  <c r="M57" i="5"/>
  <c r="N51" i="5"/>
  <c r="O51" i="5" s="1"/>
  <c r="R51" i="5"/>
  <c r="M51" i="5"/>
  <c r="AF51" i="5"/>
  <c r="AF91" i="5"/>
  <c r="M91" i="5"/>
  <c r="R91" i="5"/>
  <c r="R49" i="5"/>
  <c r="M49" i="5"/>
  <c r="N49" i="5"/>
  <c r="O49" i="5" s="1"/>
  <c r="AF49" i="5"/>
  <c r="AF52" i="5"/>
  <c r="M52" i="5"/>
  <c r="N52" i="5"/>
  <c r="O52" i="5" s="1"/>
  <c r="R52" i="5"/>
  <c r="R76" i="5"/>
  <c r="M76" i="5"/>
  <c r="AF76" i="5"/>
  <c r="N77" i="5"/>
  <c r="O77" i="5" s="1"/>
  <c r="R68" i="5"/>
  <c r="AF68" i="5"/>
  <c r="M68" i="5"/>
  <c r="N68" i="5"/>
  <c r="O68" i="5" s="1"/>
  <c r="M110" i="5"/>
  <c r="R110" i="5"/>
  <c r="AF110" i="5"/>
  <c r="N110" i="5"/>
  <c r="O110" i="5" s="1"/>
  <c r="M98" i="5"/>
  <c r="R98" i="5"/>
  <c r="AF98" i="5"/>
  <c r="N98" i="5"/>
  <c r="O98" i="5" s="1"/>
  <c r="N66" i="5"/>
  <c r="O66" i="5" s="1"/>
  <c r="R66" i="5"/>
  <c r="AF66" i="5"/>
  <c r="M66" i="5"/>
  <c r="N101" i="5"/>
  <c r="O101" i="5" s="1"/>
  <c r="R101" i="5"/>
  <c r="AF101" i="5"/>
  <c r="M101" i="5"/>
  <c r="T149" i="5"/>
  <c r="U149" i="5" s="1"/>
  <c r="Z10" i="5"/>
  <c r="AF13" i="5"/>
  <c r="R13" i="5"/>
  <c r="N13" i="5"/>
  <c r="O13" i="5" s="1"/>
  <c r="M13" i="5"/>
  <c r="S24" i="2"/>
  <c r="U24" i="2"/>
  <c r="T24" i="2"/>
  <c r="L26" i="2"/>
  <c r="O25" i="2"/>
  <c r="N25" i="2"/>
  <c r="M25" i="2"/>
  <c r="P25" i="2" s="1"/>
  <c r="H26" i="2"/>
  <c r="J25" i="2"/>
  <c r="N120" i="5" l="1"/>
  <c r="O120" i="5" s="1"/>
  <c r="R120" i="5"/>
  <c r="AF120" i="5"/>
  <c r="M120" i="5"/>
  <c r="N54" i="5"/>
  <c r="O54" i="5" s="1"/>
  <c r="R54" i="5"/>
  <c r="M54" i="5"/>
  <c r="AF54" i="5"/>
  <c r="M20" i="5"/>
  <c r="R20" i="5"/>
  <c r="AF20" i="5"/>
  <c r="AF129" i="5"/>
  <c r="R129" i="5"/>
  <c r="N129" i="5"/>
  <c r="O129" i="5" s="1"/>
  <c r="M129" i="5"/>
  <c r="T150" i="5"/>
  <c r="U150" i="5" s="1"/>
  <c r="M44" i="5"/>
  <c r="R44" i="5"/>
  <c r="AF44" i="5"/>
  <c r="N45" i="5"/>
  <c r="O45" i="5" s="1"/>
  <c r="M135" i="5"/>
  <c r="AF135" i="5"/>
  <c r="R135" i="5"/>
  <c r="N136" i="5"/>
  <c r="O136" i="5" s="1"/>
  <c r="M127" i="5"/>
  <c r="N127" i="5"/>
  <c r="O127" i="5" s="1"/>
  <c r="AF127" i="5"/>
  <c r="R127" i="5"/>
  <c r="M151" i="5"/>
  <c r="R151" i="5"/>
  <c r="AF151" i="5"/>
  <c r="N151" i="5"/>
  <c r="O151" i="5" s="1"/>
  <c r="N11" i="5"/>
  <c r="O11" i="5" s="1"/>
  <c r="M11" i="5"/>
  <c r="N12" i="5"/>
  <c r="O12" i="5" s="1"/>
  <c r="D12" i="5"/>
  <c r="AF11" i="5"/>
  <c r="D11" i="5"/>
  <c r="E11" i="5" s="1"/>
  <c r="I11" i="5" s="1"/>
  <c r="S11" i="5" s="1"/>
  <c r="R11" i="5"/>
  <c r="M29" i="5"/>
  <c r="AF29" i="5"/>
  <c r="N29" i="5"/>
  <c r="O29" i="5" s="1"/>
  <c r="R29" i="5"/>
  <c r="M128" i="5"/>
  <c r="AF128" i="5"/>
  <c r="R128" i="5"/>
  <c r="N128" i="5"/>
  <c r="O128" i="5" s="1"/>
  <c r="Q25" i="2"/>
  <c r="L26" i="5"/>
  <c r="L90" i="5"/>
  <c r="L25" i="5"/>
  <c r="L87" i="5"/>
  <c r="V149" i="5"/>
  <c r="W149" i="5"/>
  <c r="X149" i="5" s="1"/>
  <c r="Y149" i="5" s="1"/>
  <c r="AB149" i="5" s="1"/>
  <c r="AC149" i="5" s="1"/>
  <c r="AE149" i="5" s="1"/>
  <c r="N75" i="5"/>
  <c r="O75" i="5" s="1"/>
  <c r="AF75" i="5"/>
  <c r="R75" i="5"/>
  <c r="M75" i="5"/>
  <c r="AF63" i="5"/>
  <c r="R63" i="5"/>
  <c r="M63" i="5"/>
  <c r="N64" i="5"/>
  <c r="O64" i="5" s="1"/>
  <c r="R25" i="2"/>
  <c r="L153" i="5"/>
  <c r="L152" i="5"/>
  <c r="L58" i="5"/>
  <c r="L43" i="5"/>
  <c r="L130" i="5"/>
  <c r="L123" i="5"/>
  <c r="N124" i="5" s="1"/>
  <c r="O124" i="5" s="1"/>
  <c r="L102" i="5"/>
  <c r="R124" i="5"/>
  <c r="AF124" i="5"/>
  <c r="M124" i="5"/>
  <c r="R126" i="5"/>
  <c r="AF126" i="5"/>
  <c r="M126" i="5"/>
  <c r="N126" i="5"/>
  <c r="O126" i="5" s="1"/>
  <c r="AF18" i="5"/>
  <c r="M18" i="5"/>
  <c r="N18" i="5"/>
  <c r="O18" i="5" s="1"/>
  <c r="R18" i="5"/>
  <c r="N72" i="5"/>
  <c r="O72" i="5" s="1"/>
  <c r="R72" i="5"/>
  <c r="M72" i="5"/>
  <c r="AF72" i="5"/>
  <c r="N73" i="5"/>
  <c r="O73" i="5" s="1"/>
  <c r="N111" i="5"/>
  <c r="O111" i="5" s="1"/>
  <c r="R111" i="5"/>
  <c r="M111" i="5"/>
  <c r="AF111" i="5"/>
  <c r="R125" i="5"/>
  <c r="AF125" i="5"/>
  <c r="N125" i="5"/>
  <c r="O125" i="5" s="1"/>
  <c r="M125" i="5"/>
  <c r="V10" i="5"/>
  <c r="W10" i="5"/>
  <c r="X10" i="5" s="1"/>
  <c r="Y10" i="5" s="1"/>
  <c r="AA10" i="5"/>
  <c r="AG10" i="5"/>
  <c r="S25" i="2"/>
  <c r="L27" i="2"/>
  <c r="O26" i="2"/>
  <c r="N26" i="2"/>
  <c r="M26" i="2"/>
  <c r="P26" i="2" s="1"/>
  <c r="U25" i="2"/>
  <c r="T25" i="2"/>
  <c r="J26" i="2"/>
  <c r="H27" i="2"/>
  <c r="T11" i="5" l="1"/>
  <c r="U11" i="5" s="1"/>
  <c r="T151" i="5"/>
  <c r="U151" i="5" s="1"/>
  <c r="W151" i="5" s="1"/>
  <c r="X151" i="5" s="1"/>
  <c r="Y151" i="5" s="1"/>
  <c r="AB151" i="5" s="1"/>
  <c r="AC151" i="5" s="1"/>
  <c r="AE151" i="5" s="1"/>
  <c r="R25" i="5"/>
  <c r="M25" i="5"/>
  <c r="AF25" i="5"/>
  <c r="N25" i="5"/>
  <c r="O25" i="5" s="1"/>
  <c r="E12" i="5"/>
  <c r="I12" i="5" s="1"/>
  <c r="S12" i="5" s="1"/>
  <c r="T12" i="5" s="1"/>
  <c r="R26" i="2"/>
  <c r="L42" i="5"/>
  <c r="L32" i="5"/>
  <c r="L131" i="5"/>
  <c r="L39" i="5"/>
  <c r="L33" i="5"/>
  <c r="L34" i="5"/>
  <c r="L37" i="5"/>
  <c r="L62" i="5"/>
  <c r="L122" i="5"/>
  <c r="N123" i="5" s="1"/>
  <c r="O123" i="5" s="1"/>
  <c r="L134" i="5"/>
  <c r="L132" i="5"/>
  <c r="L19" i="5"/>
  <c r="L38" i="5"/>
  <c r="L133" i="5"/>
  <c r="L59" i="5"/>
  <c r="L103" i="5"/>
  <c r="L30" i="5"/>
  <c r="L41" i="5"/>
  <c r="L112" i="5"/>
  <c r="L121" i="5"/>
  <c r="L60" i="5"/>
  <c r="L114" i="5"/>
  <c r="L113" i="5"/>
  <c r="L61" i="5"/>
  <c r="L31" i="5"/>
  <c r="L40" i="5"/>
  <c r="L35" i="5"/>
  <c r="L36" i="5"/>
  <c r="N58" i="5"/>
  <c r="O58" i="5" s="1"/>
  <c r="R58" i="5"/>
  <c r="M58" i="5"/>
  <c r="AF58" i="5"/>
  <c r="M152" i="5"/>
  <c r="R152" i="5"/>
  <c r="N152" i="5"/>
  <c r="O152" i="5" s="1"/>
  <c r="AF152" i="5"/>
  <c r="M90" i="5"/>
  <c r="R90" i="5"/>
  <c r="AF90" i="5"/>
  <c r="N90" i="5"/>
  <c r="O90" i="5" s="1"/>
  <c r="N91" i="5"/>
  <c r="O91" i="5" s="1"/>
  <c r="Q26" i="2"/>
  <c r="L15" i="5"/>
  <c r="L55" i="5"/>
  <c r="L27" i="5"/>
  <c r="L99" i="5"/>
  <c r="N26" i="5"/>
  <c r="O26" i="5" s="1"/>
  <c r="AF26" i="5"/>
  <c r="R26" i="5"/>
  <c r="M26" i="5"/>
  <c r="AF130" i="5"/>
  <c r="M130" i="5"/>
  <c r="R130" i="5"/>
  <c r="N130" i="5"/>
  <c r="O130" i="5" s="1"/>
  <c r="AF43" i="5"/>
  <c r="M43" i="5"/>
  <c r="R43" i="5"/>
  <c r="R153" i="5"/>
  <c r="AF153" i="5"/>
  <c r="N153" i="5"/>
  <c r="O153" i="5" s="1"/>
  <c r="M153" i="5"/>
  <c r="M102" i="5"/>
  <c r="N102" i="5"/>
  <c r="O102" i="5" s="1"/>
  <c r="R102" i="5"/>
  <c r="AF102" i="5"/>
  <c r="E13" i="5"/>
  <c r="I13" i="5" s="1"/>
  <c r="S13" i="5" s="1"/>
  <c r="T13" i="5" s="1"/>
  <c r="U13" i="5" s="1"/>
  <c r="V13" i="5" s="1"/>
  <c r="M87" i="5"/>
  <c r="AF87" i="5"/>
  <c r="R87" i="5"/>
  <c r="N87" i="5"/>
  <c r="O87" i="5" s="1"/>
  <c r="N88" i="5"/>
  <c r="O88" i="5" s="1"/>
  <c r="R123" i="5"/>
  <c r="M123" i="5"/>
  <c r="AF123" i="5"/>
  <c r="N44" i="5"/>
  <c r="O44" i="5" s="1"/>
  <c r="V150" i="5"/>
  <c r="W150" i="5"/>
  <c r="X150" i="5" s="1"/>
  <c r="Y150" i="5" s="1"/>
  <c r="AB150" i="5" s="1"/>
  <c r="AC150" i="5" s="1"/>
  <c r="AE150" i="5" s="1"/>
  <c r="AB10" i="5"/>
  <c r="AC10" i="5" s="1"/>
  <c r="AE10" i="5" s="1"/>
  <c r="T26" i="2"/>
  <c r="S26" i="2"/>
  <c r="U26" i="2"/>
  <c r="L28" i="2"/>
  <c r="M27" i="2"/>
  <c r="S27" i="2" s="1"/>
  <c r="O27" i="2"/>
  <c r="R27" i="2" s="1"/>
  <c r="N27" i="2"/>
  <c r="Q27" i="2" s="1"/>
  <c r="H28" i="2"/>
  <c r="J27" i="2"/>
  <c r="V151" i="5" l="1"/>
  <c r="Z11" i="5"/>
  <c r="AG11" i="5" s="1"/>
  <c r="T153" i="5"/>
  <c r="U153" i="5" s="1"/>
  <c r="V153" i="5" s="1"/>
  <c r="W13" i="5"/>
  <c r="X13" i="5" s="1"/>
  <c r="T152" i="5"/>
  <c r="U152" i="5" s="1"/>
  <c r="W152" i="5" s="1"/>
  <c r="X152" i="5" s="1"/>
  <c r="Y152" i="5" s="1"/>
  <c r="AB152" i="5" s="1"/>
  <c r="AC152" i="5" s="1"/>
  <c r="AE152" i="5" s="1"/>
  <c r="AD10" i="5"/>
  <c r="R27" i="5"/>
  <c r="AF27" i="5"/>
  <c r="M27" i="5"/>
  <c r="N27" i="5"/>
  <c r="O27" i="5" s="1"/>
  <c r="N28" i="5"/>
  <c r="O28" i="5" s="1"/>
  <c r="M38" i="5"/>
  <c r="R38" i="5"/>
  <c r="AF38" i="5"/>
  <c r="N38" i="5"/>
  <c r="O38" i="5" s="1"/>
  <c r="AF112" i="5"/>
  <c r="M112" i="5"/>
  <c r="N112" i="5"/>
  <c r="O112" i="5" s="1"/>
  <c r="R112" i="5"/>
  <c r="M132" i="5"/>
  <c r="R132" i="5"/>
  <c r="N132" i="5"/>
  <c r="O132" i="5" s="1"/>
  <c r="AF132" i="5"/>
  <c r="N40" i="5"/>
  <c r="O40" i="5" s="1"/>
  <c r="AF40" i="5"/>
  <c r="M40" i="5"/>
  <c r="R40" i="5"/>
  <c r="AF41" i="5"/>
  <c r="N41" i="5"/>
  <c r="O41" i="5" s="1"/>
  <c r="R41" i="5"/>
  <c r="M41" i="5"/>
  <c r="N134" i="5"/>
  <c r="O134" i="5" s="1"/>
  <c r="M134" i="5"/>
  <c r="R134" i="5"/>
  <c r="AF134" i="5"/>
  <c r="N135" i="5"/>
  <c r="O135" i="5" s="1"/>
  <c r="AF32" i="5"/>
  <c r="M32" i="5"/>
  <c r="R32" i="5"/>
  <c r="N32" i="5"/>
  <c r="O32" i="5" s="1"/>
  <c r="R42" i="5"/>
  <c r="AF42" i="5"/>
  <c r="N42" i="5"/>
  <c r="O42" i="5" s="1"/>
  <c r="M42" i="5"/>
  <c r="AF31" i="5"/>
  <c r="R31" i="5"/>
  <c r="N31" i="5"/>
  <c r="O31" i="5" s="1"/>
  <c r="M31" i="5"/>
  <c r="N122" i="5"/>
  <c r="O122" i="5" s="1"/>
  <c r="R122" i="5"/>
  <c r="AF122" i="5"/>
  <c r="M122" i="5"/>
  <c r="W11" i="5"/>
  <c r="X11" i="5" s="1"/>
  <c r="Y11" i="5" s="1"/>
  <c r="AB11" i="5" s="1"/>
  <c r="AC11" i="5" s="1"/>
  <c r="AE11" i="5" s="1"/>
  <c r="V11" i="5"/>
  <c r="R61" i="5"/>
  <c r="AF61" i="5"/>
  <c r="N61" i="5"/>
  <c r="O61" i="5" s="1"/>
  <c r="M61" i="5"/>
  <c r="M103" i="5"/>
  <c r="AF103" i="5"/>
  <c r="R103" i="5"/>
  <c r="N103" i="5"/>
  <c r="O103" i="5" s="1"/>
  <c r="N104" i="5"/>
  <c r="O104" i="5" s="1"/>
  <c r="M62" i="5"/>
  <c r="R62" i="5"/>
  <c r="AF62" i="5"/>
  <c r="N62" i="5"/>
  <c r="O62" i="5" s="1"/>
  <c r="N63" i="5"/>
  <c r="O63" i="5" s="1"/>
  <c r="N59" i="5"/>
  <c r="O59" i="5" s="1"/>
  <c r="AF59" i="5"/>
  <c r="R59" i="5"/>
  <c r="M59" i="5"/>
  <c r="Z12" i="5"/>
  <c r="AG12" i="5" s="1"/>
  <c r="U12" i="5"/>
  <c r="M30" i="5"/>
  <c r="R30" i="5"/>
  <c r="N30" i="5"/>
  <c r="O30" i="5" s="1"/>
  <c r="AF30" i="5"/>
  <c r="N43" i="5"/>
  <c r="O43" i="5" s="1"/>
  <c r="AF113" i="5"/>
  <c r="R113" i="5"/>
  <c r="N113" i="5"/>
  <c r="O113" i="5" s="1"/>
  <c r="M113" i="5"/>
  <c r="N37" i="5"/>
  <c r="O37" i="5" s="1"/>
  <c r="M37" i="5"/>
  <c r="R37" i="5"/>
  <c r="AF37" i="5"/>
  <c r="Z13" i="5"/>
  <c r="AG13" i="5" s="1"/>
  <c r="M99" i="5"/>
  <c r="R99" i="5"/>
  <c r="AF99" i="5"/>
  <c r="N99" i="5"/>
  <c r="O99" i="5" s="1"/>
  <c r="N100" i="5"/>
  <c r="O100" i="5" s="1"/>
  <c r="N114" i="5"/>
  <c r="O114" i="5" s="1"/>
  <c r="R114" i="5"/>
  <c r="M114" i="5"/>
  <c r="AF114" i="5"/>
  <c r="N115" i="5"/>
  <c r="O115" i="5" s="1"/>
  <c r="N133" i="5"/>
  <c r="O133" i="5" s="1"/>
  <c r="M133" i="5"/>
  <c r="R133" i="5"/>
  <c r="AF133" i="5"/>
  <c r="R34" i="5"/>
  <c r="AF34" i="5"/>
  <c r="N34" i="5"/>
  <c r="O34" i="5" s="1"/>
  <c r="M34" i="5"/>
  <c r="R33" i="5"/>
  <c r="AF33" i="5"/>
  <c r="M33" i="5"/>
  <c r="N33" i="5"/>
  <c r="O33" i="5" s="1"/>
  <c r="N55" i="5"/>
  <c r="O55" i="5" s="1"/>
  <c r="AF55" i="5"/>
  <c r="R55" i="5"/>
  <c r="M55" i="5"/>
  <c r="N56" i="5"/>
  <c r="O56" i="5" s="1"/>
  <c r="AF36" i="5"/>
  <c r="M36" i="5"/>
  <c r="N36" i="5"/>
  <c r="O36" i="5" s="1"/>
  <c r="R36" i="5"/>
  <c r="AF121" i="5"/>
  <c r="R121" i="5"/>
  <c r="N121" i="5"/>
  <c r="O121" i="5" s="1"/>
  <c r="M121" i="5"/>
  <c r="M19" i="5"/>
  <c r="R19" i="5"/>
  <c r="AF19" i="5"/>
  <c r="N19" i="5"/>
  <c r="O19" i="5" s="1"/>
  <c r="N20" i="5"/>
  <c r="O20" i="5" s="1"/>
  <c r="M39" i="5"/>
  <c r="N39" i="5"/>
  <c r="O39" i="5" s="1"/>
  <c r="AF39" i="5"/>
  <c r="R39" i="5"/>
  <c r="M60" i="5"/>
  <c r="R60" i="5"/>
  <c r="AF60" i="5"/>
  <c r="N60" i="5"/>
  <c r="O60" i="5" s="1"/>
  <c r="AF15" i="5"/>
  <c r="M15" i="5"/>
  <c r="R15" i="5"/>
  <c r="N16" i="5"/>
  <c r="O16" i="5" s="1"/>
  <c r="R35" i="5"/>
  <c r="AF35" i="5"/>
  <c r="N35" i="5"/>
  <c r="O35" i="5" s="1"/>
  <c r="M35" i="5"/>
  <c r="N131" i="5"/>
  <c r="O131" i="5" s="1"/>
  <c r="M131" i="5"/>
  <c r="AF131" i="5"/>
  <c r="R131" i="5"/>
  <c r="P27" i="2"/>
  <c r="L14" i="5"/>
  <c r="D153" i="5" s="1"/>
  <c r="U27" i="2"/>
  <c r="O28" i="2"/>
  <c r="R28" i="2" s="1"/>
  <c r="N28" i="2"/>
  <c r="Q28" i="2" s="1"/>
  <c r="M28" i="2"/>
  <c r="P28" i="2" s="1"/>
  <c r="T27" i="2"/>
  <c r="J28" i="2"/>
  <c r="Y13" i="5" l="1"/>
  <c r="AB13" i="5" s="1"/>
  <c r="AC13" i="5" s="1"/>
  <c r="AE13" i="5" s="1"/>
  <c r="W153" i="5"/>
  <c r="X153" i="5" s="1"/>
  <c r="Y153" i="5" s="1"/>
  <c r="AB153" i="5" s="1"/>
  <c r="AC153" i="5" s="1"/>
  <c r="AE153" i="5" s="1"/>
  <c r="AA11" i="5"/>
  <c r="AA12" i="5" s="1"/>
  <c r="AA13" i="5" s="1"/>
  <c r="V152" i="5"/>
  <c r="S28" i="2"/>
  <c r="AD11" i="5"/>
  <c r="W12" i="5"/>
  <c r="X12" i="5" s="1"/>
  <c r="Y12" i="5" s="1"/>
  <c r="AB12" i="5" s="1"/>
  <c r="AC12" i="5" s="1"/>
  <c r="AE12" i="5" s="1"/>
  <c r="V12" i="5"/>
  <c r="Z153" i="5"/>
  <c r="AG153" i="5" s="1"/>
  <c r="D151" i="5"/>
  <c r="D150" i="5"/>
  <c r="D152" i="5"/>
  <c r="E153" i="5" s="1"/>
  <c r="D149" i="5"/>
  <c r="Z149" i="5" s="1"/>
  <c r="AG149" i="5" s="1"/>
  <c r="AF14" i="5"/>
  <c r="R14" i="5"/>
  <c r="N14" i="5"/>
  <c r="O14" i="5" s="1"/>
  <c r="M14" i="5"/>
  <c r="N15" i="5"/>
  <c r="O15" i="5" s="1"/>
  <c r="D58" i="5"/>
  <c r="D30" i="5"/>
  <c r="D28" i="5"/>
  <c r="D136" i="5"/>
  <c r="D35" i="5"/>
  <c r="D48" i="5"/>
  <c r="D59" i="5"/>
  <c r="D111" i="5"/>
  <c r="D43" i="5"/>
  <c r="D37" i="5"/>
  <c r="D61" i="5"/>
  <c r="D86" i="5"/>
  <c r="D75" i="5"/>
  <c r="D51" i="5"/>
  <c r="D125" i="5"/>
  <c r="D89" i="5"/>
  <c r="D117" i="5"/>
  <c r="D25" i="5"/>
  <c r="D63" i="5"/>
  <c r="D118" i="5"/>
  <c r="D109" i="5"/>
  <c r="D97" i="5"/>
  <c r="D74" i="5"/>
  <c r="D50" i="5"/>
  <c r="D53" i="5"/>
  <c r="D16" i="5"/>
  <c r="D133" i="5"/>
  <c r="D142" i="5"/>
  <c r="D146" i="5"/>
  <c r="D85" i="5"/>
  <c r="D122" i="5"/>
  <c r="D116" i="5"/>
  <c r="D127" i="5"/>
  <c r="D33" i="5"/>
  <c r="D147" i="5"/>
  <c r="D70" i="5"/>
  <c r="D36" i="5"/>
  <c r="E36" i="5" s="1"/>
  <c r="I36" i="5" s="1"/>
  <c r="S36" i="5" s="1"/>
  <c r="T36" i="5" s="1"/>
  <c r="U36" i="5" s="1"/>
  <c r="D128" i="5"/>
  <c r="D115" i="5"/>
  <c r="D82" i="5"/>
  <c r="D65" i="5"/>
  <c r="D84" i="5"/>
  <c r="D124" i="5"/>
  <c r="D104" i="5"/>
  <c r="D80" i="5"/>
  <c r="D64" i="5"/>
  <c r="D93" i="5"/>
  <c r="D139" i="5"/>
  <c r="D126" i="5"/>
  <c r="D73" i="5"/>
  <c r="D143" i="5"/>
  <c r="D92" i="5"/>
  <c r="D17" i="5"/>
  <c r="D105" i="5"/>
  <c r="D144" i="5"/>
  <c r="D38" i="5"/>
  <c r="D27" i="5"/>
  <c r="D101" i="5"/>
  <c r="D42" i="5"/>
  <c r="D31" i="5"/>
  <c r="D145" i="5"/>
  <c r="D62" i="5"/>
  <c r="D106" i="5"/>
  <c r="D54" i="5"/>
  <c r="D140" i="5"/>
  <c r="D26" i="5"/>
  <c r="E26" i="5" s="1"/>
  <c r="I26" i="5" s="1"/>
  <c r="S26" i="5" s="1"/>
  <c r="T26" i="5" s="1"/>
  <c r="U26" i="5" s="1"/>
  <c r="D141" i="5"/>
  <c r="D135" i="5"/>
  <c r="D130" i="5"/>
  <c r="D72" i="5"/>
  <c r="D94" i="5"/>
  <c r="E94" i="5" s="1"/>
  <c r="I94" i="5" s="1"/>
  <c r="S94" i="5" s="1"/>
  <c r="T94" i="5" s="1"/>
  <c r="U94" i="5" s="1"/>
  <c r="D83" i="5"/>
  <c r="D77" i="5"/>
  <c r="D19" i="5"/>
  <c r="D68" i="5"/>
  <c r="D102" i="5"/>
  <c r="D32" i="5"/>
  <c r="D81" i="5"/>
  <c r="D138" i="5"/>
  <c r="D14" i="5"/>
  <c r="E14" i="5" s="1"/>
  <c r="I14" i="5" s="1"/>
  <c r="S14" i="5" s="1"/>
  <c r="D119" i="5"/>
  <c r="D71" i="5"/>
  <c r="D66" i="5"/>
  <c r="D98" i="5"/>
  <c r="D99" i="5"/>
  <c r="D120" i="5"/>
  <c r="D41" i="5"/>
  <c r="D107" i="5"/>
  <c r="D57" i="5"/>
  <c r="D108" i="5"/>
  <c r="D23" i="5"/>
  <c r="D137" i="5"/>
  <c r="D49" i="5"/>
  <c r="D91" i="5"/>
  <c r="D47" i="5"/>
  <c r="D56" i="5"/>
  <c r="D40" i="5"/>
  <c r="D123" i="5"/>
  <c r="D100" i="5"/>
  <c r="D55" i="5"/>
  <c r="D76" i="5"/>
  <c r="E76" i="5" s="1"/>
  <c r="I76" i="5" s="1"/>
  <c r="S76" i="5" s="1"/>
  <c r="T76" i="5" s="1"/>
  <c r="U76" i="5" s="1"/>
  <c r="D24" i="5"/>
  <c r="D46" i="5"/>
  <c r="D44" i="5"/>
  <c r="D121" i="5"/>
  <c r="D18" i="5"/>
  <c r="D69" i="5"/>
  <c r="E69" i="5" s="1"/>
  <c r="I69" i="5" s="1"/>
  <c r="S69" i="5" s="1"/>
  <c r="T69" i="5" s="1"/>
  <c r="U69" i="5" s="1"/>
  <c r="D15" i="5"/>
  <c r="D79" i="5"/>
  <c r="D87" i="5"/>
  <c r="D52" i="5"/>
  <c r="D29" i="5"/>
  <c r="D148" i="5"/>
  <c r="E149" i="5" s="1"/>
  <c r="D20" i="5"/>
  <c r="D134" i="5"/>
  <c r="E134" i="5" s="1"/>
  <c r="I134" i="5" s="1"/>
  <c r="S134" i="5" s="1"/>
  <c r="T134" i="5" s="1"/>
  <c r="U134" i="5" s="1"/>
  <c r="D67" i="5"/>
  <c r="D45" i="5"/>
  <c r="D129" i="5"/>
  <c r="E129" i="5" s="1"/>
  <c r="I129" i="5" s="1"/>
  <c r="S129" i="5" s="1"/>
  <c r="T129" i="5" s="1"/>
  <c r="U129" i="5" s="1"/>
  <c r="D39" i="5"/>
  <c r="D21" i="5"/>
  <c r="D88" i="5"/>
  <c r="D114" i="5"/>
  <c r="D112" i="5"/>
  <c r="D78" i="5"/>
  <c r="D96" i="5"/>
  <c r="D60" i="5"/>
  <c r="D131" i="5"/>
  <c r="D113" i="5"/>
  <c r="D103" i="5"/>
  <c r="D34" i="5"/>
  <c r="E34" i="5" s="1"/>
  <c r="I34" i="5" s="1"/>
  <c r="S34" i="5" s="1"/>
  <c r="T34" i="5" s="1"/>
  <c r="U34" i="5" s="1"/>
  <c r="D95" i="5"/>
  <c r="D110" i="5"/>
  <c r="D90" i="5"/>
  <c r="D22" i="5"/>
  <c r="D132" i="5"/>
  <c r="T28" i="2"/>
  <c r="U28" i="2"/>
  <c r="AD12" i="5" l="1"/>
  <c r="AD13" i="5" s="1"/>
  <c r="E20" i="5"/>
  <c r="I20" i="5" s="1"/>
  <c r="S20" i="5" s="1"/>
  <c r="T20" i="5" s="1"/>
  <c r="U20" i="5" s="1"/>
  <c r="E52" i="5"/>
  <c r="I52" i="5" s="1"/>
  <c r="S52" i="5" s="1"/>
  <c r="T52" i="5" s="1"/>
  <c r="U52" i="5" s="1"/>
  <c r="E49" i="5"/>
  <c r="I49" i="5" s="1"/>
  <c r="S49" i="5" s="1"/>
  <c r="T49" i="5" s="1"/>
  <c r="U49" i="5" s="1"/>
  <c r="E60" i="5"/>
  <c r="I60" i="5" s="1"/>
  <c r="S60" i="5" s="1"/>
  <c r="T60" i="5" s="1"/>
  <c r="U60" i="5" s="1"/>
  <c r="E15" i="5"/>
  <c r="I15" i="5" s="1"/>
  <c r="S15" i="5" s="1"/>
  <c r="T15" i="5" s="1"/>
  <c r="U15" i="5" s="1"/>
  <c r="Z152" i="5"/>
  <c r="AG152" i="5" s="1"/>
  <c r="E152" i="5"/>
  <c r="Z150" i="5"/>
  <c r="AG150" i="5" s="1"/>
  <c r="E150" i="5"/>
  <c r="E151" i="5"/>
  <c r="Z151" i="5"/>
  <c r="AG151" i="5" s="1"/>
  <c r="E112" i="5"/>
  <c r="I112" i="5" s="1"/>
  <c r="S112" i="5" s="1"/>
  <c r="T112" i="5" s="1"/>
  <c r="E137" i="5"/>
  <c r="I137" i="5" s="1"/>
  <c r="S137" i="5" s="1"/>
  <c r="T137" i="5" s="1"/>
  <c r="E98" i="5"/>
  <c r="I98" i="5" s="1"/>
  <c r="S98" i="5" s="1"/>
  <c r="T98" i="5" s="1"/>
  <c r="E95" i="5"/>
  <c r="I95" i="5" s="1"/>
  <c r="S95" i="5" s="1"/>
  <c r="T95" i="5" s="1"/>
  <c r="U95" i="5" s="1"/>
  <c r="E83" i="5"/>
  <c r="I83" i="5" s="1"/>
  <c r="S83" i="5" s="1"/>
  <c r="T83" i="5" s="1"/>
  <c r="E90" i="5"/>
  <c r="I90" i="5" s="1"/>
  <c r="S90" i="5" s="1"/>
  <c r="T90" i="5" s="1"/>
  <c r="E45" i="5"/>
  <c r="I45" i="5" s="1"/>
  <c r="S45" i="5" s="1"/>
  <c r="T45" i="5" s="1"/>
  <c r="U45" i="5" s="1"/>
  <c r="E145" i="5"/>
  <c r="I145" i="5" s="1"/>
  <c r="S145" i="5" s="1"/>
  <c r="T145" i="5" s="1"/>
  <c r="E132" i="5"/>
  <c r="I132" i="5" s="1"/>
  <c r="S132" i="5" s="1"/>
  <c r="T132" i="5" s="1"/>
  <c r="E18" i="5"/>
  <c r="I18" i="5" s="1"/>
  <c r="S18" i="5" s="1"/>
  <c r="T18" i="5" s="1"/>
  <c r="U18" i="5" s="1"/>
  <c r="T14" i="5"/>
  <c r="E55" i="5"/>
  <c r="I55" i="5" s="1"/>
  <c r="S55" i="5" s="1"/>
  <c r="T55" i="5" s="1"/>
  <c r="E123" i="5"/>
  <c r="I123" i="5" s="1"/>
  <c r="S123" i="5" s="1"/>
  <c r="T123" i="5" s="1"/>
  <c r="E110" i="5"/>
  <c r="I110" i="5" s="1"/>
  <c r="S110" i="5" s="1"/>
  <c r="T110" i="5" s="1"/>
  <c r="E121" i="5"/>
  <c r="I121" i="5" s="1"/>
  <c r="S121" i="5" s="1"/>
  <c r="T121" i="5" s="1"/>
  <c r="U121" i="5" s="1"/>
  <c r="E88" i="5"/>
  <c r="I88" i="5" s="1"/>
  <c r="S88" i="5" s="1"/>
  <c r="T88" i="5" s="1"/>
  <c r="E126" i="5"/>
  <c r="I126" i="5" s="1"/>
  <c r="S126" i="5" s="1"/>
  <c r="T126" i="5" s="1"/>
  <c r="E107" i="5"/>
  <c r="I107" i="5" s="1"/>
  <c r="S107" i="5" s="1"/>
  <c r="T107" i="5" s="1"/>
  <c r="U107" i="5" s="1"/>
  <c r="E114" i="5"/>
  <c r="I114" i="5" s="1"/>
  <c r="S114" i="5" s="1"/>
  <c r="T114" i="5" s="1"/>
  <c r="E108" i="5"/>
  <c r="I108" i="5" s="1"/>
  <c r="S108" i="5" s="1"/>
  <c r="T108" i="5" s="1"/>
  <c r="E71" i="5"/>
  <c r="I71" i="5" s="1"/>
  <c r="S71" i="5" s="1"/>
  <c r="T71" i="5" s="1"/>
  <c r="U71" i="5" s="1"/>
  <c r="E73" i="5"/>
  <c r="I73" i="5" s="1"/>
  <c r="S73" i="5" s="1"/>
  <c r="T73" i="5" s="1"/>
  <c r="E84" i="5"/>
  <c r="I84" i="5" s="1"/>
  <c r="S84" i="5" s="1"/>
  <c r="T84" i="5" s="1"/>
  <c r="U84" i="5" s="1"/>
  <c r="E37" i="5"/>
  <c r="I37" i="5" s="1"/>
  <c r="S37" i="5" s="1"/>
  <c r="T37" i="5" s="1"/>
  <c r="U37" i="5" s="1"/>
  <c r="E32" i="5"/>
  <c r="I32" i="5" s="1"/>
  <c r="S32" i="5" s="1"/>
  <c r="T32" i="5" s="1"/>
  <c r="E78" i="5"/>
  <c r="I78" i="5" s="1"/>
  <c r="S78" i="5" s="1"/>
  <c r="T78" i="5" s="1"/>
  <c r="U78" i="5" s="1"/>
  <c r="E66" i="5"/>
  <c r="I66" i="5" s="1"/>
  <c r="S66" i="5" s="1"/>
  <c r="T66" i="5" s="1"/>
  <c r="U66" i="5" s="1"/>
  <c r="E44" i="5"/>
  <c r="I44" i="5" s="1"/>
  <c r="S44" i="5" s="1"/>
  <c r="T44" i="5" s="1"/>
  <c r="E54" i="5"/>
  <c r="I54" i="5" s="1"/>
  <c r="S54" i="5" s="1"/>
  <c r="T54" i="5" s="1"/>
  <c r="E79" i="5"/>
  <c r="I79" i="5" s="1"/>
  <c r="S79" i="5" s="1"/>
  <c r="T79" i="5" s="1"/>
  <c r="U79" i="5" s="1"/>
  <c r="E101" i="5"/>
  <c r="I101" i="5" s="1"/>
  <c r="S101" i="5" s="1"/>
  <c r="T101" i="5" s="1"/>
  <c r="E25" i="5"/>
  <c r="I25" i="5" s="1"/>
  <c r="S25" i="5" s="1"/>
  <c r="T25" i="5" s="1"/>
  <c r="E65" i="5"/>
  <c r="I65" i="5" s="1"/>
  <c r="S65" i="5" s="1"/>
  <c r="T65" i="5" s="1"/>
  <c r="U65" i="5" s="1"/>
  <c r="E148" i="5"/>
  <c r="S148" i="5" s="1"/>
  <c r="T148" i="5" s="1"/>
  <c r="U148" i="5" s="1"/>
  <c r="E113" i="5"/>
  <c r="I113" i="5" s="1"/>
  <c r="S113" i="5" s="1"/>
  <c r="T113" i="5" s="1"/>
  <c r="U113" i="5" s="1"/>
  <c r="E29" i="5"/>
  <c r="I29" i="5" s="1"/>
  <c r="S29" i="5" s="1"/>
  <c r="T29" i="5" s="1"/>
  <c r="U29" i="5" s="1"/>
  <c r="E38" i="5"/>
  <c r="I38" i="5" s="1"/>
  <c r="S38" i="5" s="1"/>
  <c r="T38" i="5" s="1"/>
  <c r="U38" i="5" s="1"/>
  <c r="E139" i="5"/>
  <c r="I139" i="5" s="1"/>
  <c r="S139" i="5" s="1"/>
  <c r="T139" i="5" s="1"/>
  <c r="E82" i="5"/>
  <c r="I82" i="5" s="1"/>
  <c r="S82" i="5" s="1"/>
  <c r="T82" i="5" s="1"/>
  <c r="U82" i="5" s="1"/>
  <c r="E116" i="5"/>
  <c r="I116" i="5" s="1"/>
  <c r="S116" i="5" s="1"/>
  <c r="T116" i="5" s="1"/>
  <c r="E41" i="5"/>
  <c r="I41" i="5" s="1"/>
  <c r="S41" i="5" s="1"/>
  <c r="T41" i="5" s="1"/>
  <c r="U41" i="5" s="1"/>
  <c r="E106" i="5"/>
  <c r="I106" i="5" s="1"/>
  <c r="S106" i="5" s="1"/>
  <c r="T106" i="5" s="1"/>
  <c r="E62" i="5"/>
  <c r="I62" i="5" s="1"/>
  <c r="S62" i="5" s="1"/>
  <c r="T62" i="5" s="1"/>
  <c r="E64" i="5"/>
  <c r="I64" i="5" s="1"/>
  <c r="S64" i="5" s="1"/>
  <c r="T64" i="5" s="1"/>
  <c r="E130" i="5"/>
  <c r="I130" i="5" s="1"/>
  <c r="S130" i="5" s="1"/>
  <c r="T130" i="5" s="1"/>
  <c r="E75" i="5"/>
  <c r="I75" i="5" s="1"/>
  <c r="S75" i="5" s="1"/>
  <c r="T75" i="5" s="1"/>
  <c r="E96" i="5"/>
  <c r="I96" i="5" s="1"/>
  <c r="S96" i="5" s="1"/>
  <c r="T96" i="5" s="1"/>
  <c r="E67" i="5"/>
  <c r="I67" i="5" s="1"/>
  <c r="S67" i="5" s="1"/>
  <c r="T67" i="5" s="1"/>
  <c r="E102" i="5"/>
  <c r="I102" i="5" s="1"/>
  <c r="S102" i="5" s="1"/>
  <c r="T102" i="5" s="1"/>
  <c r="E135" i="5"/>
  <c r="I135" i="5" s="1"/>
  <c r="S135" i="5" s="1"/>
  <c r="T135" i="5" s="1"/>
  <c r="U135" i="5" s="1"/>
  <c r="E31" i="5"/>
  <c r="I31" i="5" s="1"/>
  <c r="S31" i="5" s="1"/>
  <c r="T31" i="5" s="1"/>
  <c r="E92" i="5"/>
  <c r="I92" i="5" s="1"/>
  <c r="S92" i="5" s="1"/>
  <c r="T92" i="5" s="1"/>
  <c r="E104" i="5"/>
  <c r="I104" i="5" s="1"/>
  <c r="S104" i="5" s="1"/>
  <c r="T104" i="5" s="1"/>
  <c r="E70" i="5"/>
  <c r="I70" i="5" s="1"/>
  <c r="S70" i="5" s="1"/>
  <c r="T70" i="5" s="1"/>
  <c r="E142" i="5"/>
  <c r="I142" i="5" s="1"/>
  <c r="S142" i="5" s="1"/>
  <c r="T142" i="5" s="1"/>
  <c r="U142" i="5" s="1"/>
  <c r="E118" i="5"/>
  <c r="I118" i="5" s="1"/>
  <c r="S118" i="5" s="1"/>
  <c r="T118" i="5" s="1"/>
  <c r="E86" i="5"/>
  <c r="I86" i="5" s="1"/>
  <c r="S86" i="5" s="1"/>
  <c r="T86" i="5" s="1"/>
  <c r="Z134" i="5"/>
  <c r="AG134" i="5" s="1"/>
  <c r="Z69" i="5"/>
  <c r="AG69" i="5" s="1"/>
  <c r="E100" i="5"/>
  <c r="I100" i="5" s="1"/>
  <c r="S100" i="5" s="1"/>
  <c r="T100" i="5" s="1"/>
  <c r="U100" i="5" s="1"/>
  <c r="E23" i="5"/>
  <c r="I23" i="5" s="1"/>
  <c r="S23" i="5" s="1"/>
  <c r="T23" i="5" s="1"/>
  <c r="U23" i="5" s="1"/>
  <c r="E68" i="5"/>
  <c r="I68" i="5" s="1"/>
  <c r="S68" i="5" s="1"/>
  <c r="T68" i="5" s="1"/>
  <c r="U68" i="5" s="1"/>
  <c r="E141" i="5"/>
  <c r="I141" i="5" s="1"/>
  <c r="S141" i="5" s="1"/>
  <c r="T141" i="5" s="1"/>
  <c r="U141" i="5" s="1"/>
  <c r="E42" i="5"/>
  <c r="I42" i="5" s="1"/>
  <c r="S42" i="5" s="1"/>
  <c r="T42" i="5" s="1"/>
  <c r="U42" i="5" s="1"/>
  <c r="E143" i="5"/>
  <c r="I143" i="5" s="1"/>
  <c r="S143" i="5" s="1"/>
  <c r="T143" i="5" s="1"/>
  <c r="U143" i="5" s="1"/>
  <c r="E124" i="5"/>
  <c r="I124" i="5" s="1"/>
  <c r="S124" i="5" s="1"/>
  <c r="T124" i="5" s="1"/>
  <c r="U124" i="5" s="1"/>
  <c r="E147" i="5"/>
  <c r="I147" i="5" s="1"/>
  <c r="S147" i="5" s="1"/>
  <c r="T147" i="5" s="1"/>
  <c r="U147" i="5" s="1"/>
  <c r="E133" i="5"/>
  <c r="I133" i="5" s="1"/>
  <c r="S133" i="5" s="1"/>
  <c r="T133" i="5" s="1"/>
  <c r="U133" i="5" s="1"/>
  <c r="E63" i="5"/>
  <c r="I63" i="5" s="1"/>
  <c r="S63" i="5" s="1"/>
  <c r="T63" i="5" s="1"/>
  <c r="U63" i="5" s="1"/>
  <c r="E61" i="5"/>
  <c r="I61" i="5" s="1"/>
  <c r="S61" i="5" s="1"/>
  <c r="T61" i="5" s="1"/>
  <c r="U61" i="5" s="1"/>
  <c r="E28" i="5"/>
  <c r="I28" i="5" s="1"/>
  <c r="S28" i="5" s="1"/>
  <c r="T28" i="5" s="1"/>
  <c r="U28" i="5" s="1"/>
  <c r="Z34" i="5"/>
  <c r="AG34" i="5" s="1"/>
  <c r="Z26" i="5"/>
  <c r="AG26" i="5" s="1"/>
  <c r="E33" i="5"/>
  <c r="I33" i="5" s="1"/>
  <c r="S33" i="5" s="1"/>
  <c r="T33" i="5" s="1"/>
  <c r="U33" i="5" s="1"/>
  <c r="E16" i="5"/>
  <c r="I16" i="5" s="1"/>
  <c r="S16" i="5" s="1"/>
  <c r="T16" i="5" s="1"/>
  <c r="U16" i="5" s="1"/>
  <c r="E30" i="5"/>
  <c r="I30" i="5" s="1"/>
  <c r="S30" i="5" s="1"/>
  <c r="T30" i="5" s="1"/>
  <c r="U30" i="5" s="1"/>
  <c r="E103" i="5"/>
  <c r="I103" i="5" s="1"/>
  <c r="S103" i="5" s="1"/>
  <c r="T103" i="5" s="1"/>
  <c r="U103" i="5" s="1"/>
  <c r="E40" i="5"/>
  <c r="I40" i="5" s="1"/>
  <c r="S40" i="5" s="1"/>
  <c r="T40" i="5" s="1"/>
  <c r="U40" i="5" s="1"/>
  <c r="E57" i="5"/>
  <c r="I57" i="5" s="1"/>
  <c r="S57" i="5" s="1"/>
  <c r="T57" i="5" s="1"/>
  <c r="U57" i="5" s="1"/>
  <c r="E119" i="5"/>
  <c r="I119" i="5" s="1"/>
  <c r="S119" i="5" s="1"/>
  <c r="T119" i="5" s="1"/>
  <c r="U119" i="5" s="1"/>
  <c r="E77" i="5"/>
  <c r="I77" i="5" s="1"/>
  <c r="S77" i="5" s="1"/>
  <c r="T77" i="5" s="1"/>
  <c r="U77" i="5" s="1"/>
  <c r="E140" i="5"/>
  <c r="I140" i="5" s="1"/>
  <c r="S140" i="5" s="1"/>
  <c r="T140" i="5" s="1"/>
  <c r="U140" i="5" s="1"/>
  <c r="E27" i="5"/>
  <c r="I27" i="5" s="1"/>
  <c r="S27" i="5" s="1"/>
  <c r="T27" i="5" s="1"/>
  <c r="U27" i="5" s="1"/>
  <c r="E127" i="5"/>
  <c r="I127" i="5" s="1"/>
  <c r="S127" i="5" s="1"/>
  <c r="T127" i="5" s="1"/>
  <c r="U127" i="5" s="1"/>
  <c r="E53" i="5"/>
  <c r="I53" i="5" s="1"/>
  <c r="S53" i="5" s="1"/>
  <c r="T53" i="5" s="1"/>
  <c r="U53" i="5" s="1"/>
  <c r="E117" i="5"/>
  <c r="I117" i="5" s="1"/>
  <c r="S117" i="5" s="1"/>
  <c r="T117" i="5" s="1"/>
  <c r="U117" i="5" s="1"/>
  <c r="E43" i="5"/>
  <c r="I43" i="5" s="1"/>
  <c r="S43" i="5" s="1"/>
  <c r="T43" i="5" s="1"/>
  <c r="U43" i="5" s="1"/>
  <c r="E58" i="5"/>
  <c r="I58" i="5" s="1"/>
  <c r="S58" i="5" s="1"/>
  <c r="T58" i="5" s="1"/>
  <c r="U58" i="5" s="1"/>
  <c r="E21" i="5"/>
  <c r="I21" i="5" s="1"/>
  <c r="S21" i="5" s="1"/>
  <c r="T21" i="5" s="1"/>
  <c r="U21" i="5" s="1"/>
  <c r="E50" i="5"/>
  <c r="I50" i="5" s="1"/>
  <c r="S50" i="5" s="1"/>
  <c r="T50" i="5" s="1"/>
  <c r="U50" i="5" s="1"/>
  <c r="E89" i="5"/>
  <c r="I89" i="5" s="1"/>
  <c r="S89" i="5" s="1"/>
  <c r="T89" i="5" s="1"/>
  <c r="U89" i="5" s="1"/>
  <c r="E111" i="5"/>
  <c r="I111" i="5" s="1"/>
  <c r="S111" i="5" s="1"/>
  <c r="T111" i="5" s="1"/>
  <c r="U111" i="5" s="1"/>
  <c r="E131" i="5"/>
  <c r="I131" i="5" s="1"/>
  <c r="S131" i="5" s="1"/>
  <c r="T131" i="5" s="1"/>
  <c r="U131" i="5" s="1"/>
  <c r="E46" i="5"/>
  <c r="I46" i="5" s="1"/>
  <c r="S46" i="5" s="1"/>
  <c r="T46" i="5" s="1"/>
  <c r="U46" i="5" s="1"/>
  <c r="E47" i="5"/>
  <c r="I47" i="5" s="1"/>
  <c r="S47" i="5" s="1"/>
  <c r="T47" i="5" s="1"/>
  <c r="U47" i="5" s="1"/>
  <c r="E138" i="5"/>
  <c r="I138" i="5" s="1"/>
  <c r="S138" i="5" s="1"/>
  <c r="T138" i="5" s="1"/>
  <c r="U138" i="5" s="1"/>
  <c r="Z94" i="5"/>
  <c r="AG94" i="5" s="1"/>
  <c r="E144" i="5"/>
  <c r="I144" i="5" s="1"/>
  <c r="S144" i="5" s="1"/>
  <c r="T144" i="5" s="1"/>
  <c r="U144" i="5" s="1"/>
  <c r="E93" i="5"/>
  <c r="I93" i="5" s="1"/>
  <c r="S93" i="5" s="1"/>
  <c r="T93" i="5" s="1"/>
  <c r="U93" i="5" s="1"/>
  <c r="E115" i="5"/>
  <c r="I115" i="5" s="1"/>
  <c r="S115" i="5" s="1"/>
  <c r="T115" i="5" s="1"/>
  <c r="U115" i="5" s="1"/>
  <c r="E122" i="5"/>
  <c r="I122" i="5" s="1"/>
  <c r="S122" i="5" s="1"/>
  <c r="T122" i="5" s="1"/>
  <c r="U122" i="5" s="1"/>
  <c r="E74" i="5"/>
  <c r="I74" i="5" s="1"/>
  <c r="S74" i="5" s="1"/>
  <c r="T74" i="5" s="1"/>
  <c r="U74" i="5" s="1"/>
  <c r="E125" i="5"/>
  <c r="I125" i="5" s="1"/>
  <c r="S125" i="5" s="1"/>
  <c r="T125" i="5" s="1"/>
  <c r="U125" i="5" s="1"/>
  <c r="E59" i="5"/>
  <c r="I59" i="5" s="1"/>
  <c r="S59" i="5" s="1"/>
  <c r="T59" i="5" s="1"/>
  <c r="U59" i="5" s="1"/>
  <c r="E19" i="5"/>
  <c r="I19" i="5" s="1"/>
  <c r="S19" i="5" s="1"/>
  <c r="T19" i="5" s="1"/>
  <c r="U19" i="5" s="1"/>
  <c r="E56" i="5"/>
  <c r="I56" i="5" s="1"/>
  <c r="S56" i="5" s="1"/>
  <c r="T56" i="5" s="1"/>
  <c r="U56" i="5" s="1"/>
  <c r="E39" i="5"/>
  <c r="I39" i="5" s="1"/>
  <c r="S39" i="5" s="1"/>
  <c r="T39" i="5" s="1"/>
  <c r="U39" i="5" s="1"/>
  <c r="E22" i="5"/>
  <c r="I22" i="5" s="1"/>
  <c r="S22" i="5" s="1"/>
  <c r="T22" i="5" s="1"/>
  <c r="U22" i="5" s="1"/>
  <c r="Z129" i="5"/>
  <c r="AG129" i="5" s="1"/>
  <c r="E87" i="5"/>
  <c r="I87" i="5" s="1"/>
  <c r="S87" i="5" s="1"/>
  <c r="T87" i="5" s="1"/>
  <c r="U87" i="5" s="1"/>
  <c r="E24" i="5"/>
  <c r="I24" i="5" s="1"/>
  <c r="S24" i="5" s="1"/>
  <c r="T24" i="5" s="1"/>
  <c r="U24" i="5" s="1"/>
  <c r="E91" i="5"/>
  <c r="I91" i="5" s="1"/>
  <c r="S91" i="5" s="1"/>
  <c r="T91" i="5" s="1"/>
  <c r="U91" i="5" s="1"/>
  <c r="E120" i="5"/>
  <c r="I120" i="5" s="1"/>
  <c r="S120" i="5" s="1"/>
  <c r="T120" i="5" s="1"/>
  <c r="U120" i="5" s="1"/>
  <c r="E81" i="5"/>
  <c r="I81" i="5" s="1"/>
  <c r="S81" i="5" s="1"/>
  <c r="T81" i="5" s="1"/>
  <c r="U81" i="5" s="1"/>
  <c r="E72" i="5"/>
  <c r="I72" i="5" s="1"/>
  <c r="S72" i="5" s="1"/>
  <c r="T72" i="5" s="1"/>
  <c r="U72" i="5" s="1"/>
  <c r="E105" i="5"/>
  <c r="I105" i="5" s="1"/>
  <c r="S105" i="5" s="1"/>
  <c r="T105" i="5" s="1"/>
  <c r="U105" i="5" s="1"/>
  <c r="E128" i="5"/>
  <c r="I128" i="5" s="1"/>
  <c r="S128" i="5" s="1"/>
  <c r="T128" i="5" s="1"/>
  <c r="U128" i="5" s="1"/>
  <c r="E85" i="5"/>
  <c r="I85" i="5" s="1"/>
  <c r="S85" i="5" s="1"/>
  <c r="T85" i="5" s="1"/>
  <c r="U85" i="5" s="1"/>
  <c r="E97" i="5"/>
  <c r="I97" i="5" s="1"/>
  <c r="S97" i="5" s="1"/>
  <c r="T97" i="5" s="1"/>
  <c r="U97" i="5" s="1"/>
  <c r="E51" i="5"/>
  <c r="I51" i="5" s="1"/>
  <c r="S51" i="5" s="1"/>
  <c r="T51" i="5" s="1"/>
  <c r="U51" i="5" s="1"/>
  <c r="E48" i="5"/>
  <c r="I48" i="5" s="1"/>
  <c r="S48" i="5" s="1"/>
  <c r="T48" i="5" s="1"/>
  <c r="U48" i="5" s="1"/>
  <c r="Z76" i="5"/>
  <c r="AG76" i="5" s="1"/>
  <c r="E99" i="5"/>
  <c r="I99" i="5" s="1"/>
  <c r="S99" i="5" s="1"/>
  <c r="T99" i="5" s="1"/>
  <c r="U99" i="5" s="1"/>
  <c r="E17" i="5"/>
  <c r="I17" i="5" s="1"/>
  <c r="S17" i="5" s="1"/>
  <c r="T17" i="5" s="1"/>
  <c r="U17" i="5" s="1"/>
  <c r="E80" i="5"/>
  <c r="I80" i="5" s="1"/>
  <c r="S80" i="5" s="1"/>
  <c r="T80" i="5" s="1"/>
  <c r="U80" i="5" s="1"/>
  <c r="Z36" i="5"/>
  <c r="AG36" i="5" s="1"/>
  <c r="E146" i="5"/>
  <c r="I146" i="5" s="1"/>
  <c r="S146" i="5" s="1"/>
  <c r="T146" i="5" s="1"/>
  <c r="U146" i="5" s="1"/>
  <c r="E109" i="5"/>
  <c r="I109" i="5" s="1"/>
  <c r="S109" i="5" s="1"/>
  <c r="T109" i="5" s="1"/>
  <c r="U109" i="5" s="1"/>
  <c r="E35" i="5"/>
  <c r="I35" i="5" s="1"/>
  <c r="S35" i="5" s="1"/>
  <c r="T35" i="5" s="1"/>
  <c r="U35" i="5" s="1"/>
  <c r="E136" i="5"/>
  <c r="I136" i="5" s="1"/>
  <c r="S136" i="5" s="1"/>
  <c r="T136" i="5" s="1"/>
  <c r="U136" i="5" s="1"/>
  <c r="K23" i="2"/>
  <c r="K24" i="2" s="1"/>
  <c r="K25" i="2" s="1"/>
  <c r="K26" i="2" s="1"/>
  <c r="K27" i="2" s="1"/>
  <c r="K28" i="2" s="1"/>
  <c r="K21" i="2"/>
  <c r="Z52" i="5" l="1"/>
  <c r="AG52" i="5" s="1"/>
  <c r="Z15" i="5"/>
  <c r="AG15" i="5" s="1"/>
  <c r="Z20" i="5"/>
  <c r="AG20" i="5" s="1"/>
  <c r="Z60" i="5"/>
  <c r="AG60" i="5" s="1"/>
  <c r="Z49" i="5"/>
  <c r="AG49" i="5" s="1"/>
  <c r="Z116" i="5"/>
  <c r="AG116" i="5" s="1"/>
  <c r="U116" i="5"/>
  <c r="W116" i="5" s="1"/>
  <c r="X116" i="5" s="1"/>
  <c r="Y116" i="5" s="1"/>
  <c r="Z96" i="5"/>
  <c r="AG96" i="5" s="1"/>
  <c r="U96" i="5"/>
  <c r="W96" i="5" s="1"/>
  <c r="X96" i="5" s="1"/>
  <c r="Y96" i="5" s="1"/>
  <c r="Z101" i="5"/>
  <c r="AG101" i="5" s="1"/>
  <c r="U101" i="5"/>
  <c r="V101" i="5" s="1"/>
  <c r="Z70" i="5"/>
  <c r="AG70" i="5" s="1"/>
  <c r="U70" i="5"/>
  <c r="W70" i="5" s="1"/>
  <c r="X70" i="5" s="1"/>
  <c r="Y70" i="5" s="1"/>
  <c r="Z75" i="5"/>
  <c r="AG75" i="5" s="1"/>
  <c r="U75" i="5"/>
  <c r="W75" i="5" s="1"/>
  <c r="X75" i="5" s="1"/>
  <c r="Y75" i="5" s="1"/>
  <c r="Z139" i="5"/>
  <c r="AG139" i="5" s="1"/>
  <c r="U139" i="5"/>
  <c r="V139" i="5" s="1"/>
  <c r="Z73" i="5"/>
  <c r="AG73" i="5" s="1"/>
  <c r="U73" i="5"/>
  <c r="W73" i="5" s="1"/>
  <c r="X73" i="5" s="1"/>
  <c r="Y73" i="5" s="1"/>
  <c r="Z110" i="5"/>
  <c r="AG110" i="5" s="1"/>
  <c r="U110" i="5"/>
  <c r="W110" i="5" s="1"/>
  <c r="X110" i="5" s="1"/>
  <c r="Y110" i="5" s="1"/>
  <c r="Z90" i="5"/>
  <c r="AG90" i="5" s="1"/>
  <c r="U90" i="5"/>
  <c r="V90" i="5" s="1"/>
  <c r="Z25" i="5"/>
  <c r="AG25" i="5" s="1"/>
  <c r="U25" i="5"/>
  <c r="V25" i="5" s="1"/>
  <c r="Z104" i="5"/>
  <c r="AG104" i="5" s="1"/>
  <c r="U104" i="5"/>
  <c r="W104" i="5" s="1"/>
  <c r="X104" i="5" s="1"/>
  <c r="Y104" i="5" s="1"/>
  <c r="Z130" i="5"/>
  <c r="AG130" i="5" s="1"/>
  <c r="U130" i="5"/>
  <c r="V130" i="5" s="1"/>
  <c r="Z54" i="5"/>
  <c r="AG54" i="5" s="1"/>
  <c r="U54" i="5"/>
  <c r="V54" i="5" s="1"/>
  <c r="Z123" i="5"/>
  <c r="AG123" i="5" s="1"/>
  <c r="U123" i="5"/>
  <c r="V123" i="5" s="1"/>
  <c r="Z83" i="5"/>
  <c r="AG83" i="5" s="1"/>
  <c r="U83" i="5"/>
  <c r="W83" i="5" s="1"/>
  <c r="X83" i="5" s="1"/>
  <c r="Y83" i="5" s="1"/>
  <c r="Z118" i="5"/>
  <c r="AG118" i="5" s="1"/>
  <c r="U118" i="5"/>
  <c r="W118" i="5" s="1"/>
  <c r="X118" i="5" s="1"/>
  <c r="Y118" i="5" s="1"/>
  <c r="Z88" i="5"/>
  <c r="AG88" i="5" s="1"/>
  <c r="U88" i="5"/>
  <c r="V88" i="5" s="1"/>
  <c r="Z92" i="5"/>
  <c r="AG92" i="5" s="1"/>
  <c r="U92" i="5"/>
  <c r="W92" i="5" s="1"/>
  <c r="X92" i="5" s="1"/>
  <c r="Y92" i="5" s="1"/>
  <c r="Z64" i="5"/>
  <c r="AG64" i="5" s="1"/>
  <c r="U64" i="5"/>
  <c r="W64" i="5" s="1"/>
  <c r="X64" i="5" s="1"/>
  <c r="Y64" i="5" s="1"/>
  <c r="Z44" i="5"/>
  <c r="AG44" i="5" s="1"/>
  <c r="U44" i="5"/>
  <c r="V44" i="5" s="1"/>
  <c r="Z108" i="5"/>
  <c r="AG108" i="5" s="1"/>
  <c r="U108" i="5"/>
  <c r="W108" i="5" s="1"/>
  <c r="X108" i="5" s="1"/>
  <c r="Y108" i="5" s="1"/>
  <c r="Z55" i="5"/>
  <c r="AG55" i="5" s="1"/>
  <c r="U55" i="5"/>
  <c r="W55" i="5" s="1"/>
  <c r="X55" i="5" s="1"/>
  <c r="Y55" i="5" s="1"/>
  <c r="Z31" i="5"/>
  <c r="AG31" i="5" s="1"/>
  <c r="U31" i="5"/>
  <c r="V31" i="5" s="1"/>
  <c r="Z62" i="5"/>
  <c r="AG62" i="5" s="1"/>
  <c r="U62" i="5"/>
  <c r="V62" i="5" s="1"/>
  <c r="Z114" i="5"/>
  <c r="AG114" i="5" s="1"/>
  <c r="U114" i="5"/>
  <c r="V114" i="5" s="1"/>
  <c r="Z14" i="5"/>
  <c r="AG14" i="5" s="1"/>
  <c r="U14" i="5"/>
  <c r="W14" i="5" s="1"/>
  <c r="X14" i="5" s="1"/>
  <c r="Z98" i="5"/>
  <c r="AG98" i="5" s="1"/>
  <c r="U98" i="5"/>
  <c r="V98" i="5" s="1"/>
  <c r="Z67" i="5"/>
  <c r="AG67" i="5" s="1"/>
  <c r="U67" i="5"/>
  <c r="W67" i="5" s="1"/>
  <c r="X67" i="5" s="1"/>
  <c r="Y67" i="5" s="1"/>
  <c r="Z106" i="5"/>
  <c r="AG106" i="5" s="1"/>
  <c r="U106" i="5"/>
  <c r="V106" i="5" s="1"/>
  <c r="Z137" i="5"/>
  <c r="AG137" i="5" s="1"/>
  <c r="U137" i="5"/>
  <c r="V137" i="5" s="1"/>
  <c r="Z86" i="5"/>
  <c r="AG86" i="5" s="1"/>
  <c r="U86" i="5"/>
  <c r="V86" i="5" s="1"/>
  <c r="Z102" i="5"/>
  <c r="AG102" i="5" s="1"/>
  <c r="U102" i="5"/>
  <c r="W102" i="5" s="1"/>
  <c r="X102" i="5" s="1"/>
  <c r="Y102" i="5" s="1"/>
  <c r="Z32" i="5"/>
  <c r="AG32" i="5" s="1"/>
  <c r="U32" i="5"/>
  <c r="W32" i="5" s="1"/>
  <c r="X32" i="5" s="1"/>
  <c r="Y32" i="5" s="1"/>
  <c r="Z126" i="5"/>
  <c r="AG126" i="5" s="1"/>
  <c r="U126" i="5"/>
  <c r="W126" i="5" s="1"/>
  <c r="X126" i="5" s="1"/>
  <c r="Y126" i="5" s="1"/>
  <c r="Z132" i="5"/>
  <c r="AG132" i="5" s="1"/>
  <c r="U132" i="5"/>
  <c r="V132" i="5" s="1"/>
  <c r="Z112" i="5"/>
  <c r="AG112" i="5" s="1"/>
  <c r="U112" i="5"/>
  <c r="W112" i="5" s="1"/>
  <c r="X112" i="5" s="1"/>
  <c r="Y112" i="5" s="1"/>
  <c r="Z145" i="5"/>
  <c r="AG145" i="5" s="1"/>
  <c r="U145" i="5"/>
  <c r="W145" i="5" s="1"/>
  <c r="X145" i="5" s="1"/>
  <c r="Y145" i="5" s="1"/>
  <c r="Z95" i="5"/>
  <c r="AG95" i="5" s="1"/>
  <c r="Z45" i="5"/>
  <c r="AG45" i="5" s="1"/>
  <c r="Z18" i="5"/>
  <c r="AG18" i="5" s="1"/>
  <c r="Z79" i="5"/>
  <c r="AG79" i="5" s="1"/>
  <c r="Z78" i="5"/>
  <c r="AG78" i="5" s="1"/>
  <c r="Z107" i="5"/>
  <c r="AG107" i="5" s="1"/>
  <c r="Z148" i="5"/>
  <c r="AG148" i="5" s="1"/>
  <c r="Z135" i="5"/>
  <c r="AG135" i="5" s="1"/>
  <c r="Z66" i="5"/>
  <c r="AG66" i="5" s="1"/>
  <c r="Z71" i="5"/>
  <c r="AG71" i="5" s="1"/>
  <c r="Z113" i="5"/>
  <c r="AG113" i="5" s="1"/>
  <c r="Z29" i="5"/>
  <c r="AG29" i="5" s="1"/>
  <c r="Z121" i="5"/>
  <c r="AG121" i="5" s="1"/>
  <c r="Z37" i="5"/>
  <c r="AG37" i="5" s="1"/>
  <c r="Z82" i="5"/>
  <c r="AG82" i="5" s="1"/>
  <c r="Z84" i="5"/>
  <c r="AG84" i="5" s="1"/>
  <c r="Z38" i="5"/>
  <c r="AG38" i="5" s="1"/>
  <c r="Z142" i="5"/>
  <c r="AG142" i="5" s="1"/>
  <c r="Z41" i="5"/>
  <c r="AG41" i="5" s="1"/>
  <c r="Z65" i="5"/>
  <c r="AG65" i="5" s="1"/>
  <c r="Z22" i="5"/>
  <c r="AG22" i="5" s="1"/>
  <c r="W45" i="5"/>
  <c r="X45" i="5" s="1"/>
  <c r="Y45" i="5" s="1"/>
  <c r="V45" i="5"/>
  <c r="Z109" i="5"/>
  <c r="AG109" i="5" s="1"/>
  <c r="Z91" i="5"/>
  <c r="AG91" i="5" s="1"/>
  <c r="W29" i="5"/>
  <c r="X29" i="5" s="1"/>
  <c r="Y29" i="5" s="1"/>
  <c r="V29" i="5"/>
  <c r="Z111" i="5"/>
  <c r="AG111" i="5" s="1"/>
  <c r="W65" i="5"/>
  <c r="X65" i="5" s="1"/>
  <c r="Y65" i="5" s="1"/>
  <c r="V65" i="5"/>
  <c r="W142" i="5"/>
  <c r="X142" i="5" s="1"/>
  <c r="Y142" i="5" s="1"/>
  <c r="V142" i="5"/>
  <c r="Z146" i="5"/>
  <c r="AG146" i="5" s="1"/>
  <c r="Z24" i="5"/>
  <c r="AG24" i="5" s="1"/>
  <c r="Z59" i="5"/>
  <c r="AG59" i="5" s="1"/>
  <c r="W52" i="5"/>
  <c r="X52" i="5" s="1"/>
  <c r="Y52" i="5" s="1"/>
  <c r="V52" i="5"/>
  <c r="Z89" i="5"/>
  <c r="AG89" i="5" s="1"/>
  <c r="W84" i="5"/>
  <c r="X84" i="5" s="1"/>
  <c r="Y84" i="5" s="1"/>
  <c r="V84" i="5"/>
  <c r="W37" i="5"/>
  <c r="X37" i="5" s="1"/>
  <c r="Y37" i="5" s="1"/>
  <c r="V37" i="5"/>
  <c r="W26" i="5"/>
  <c r="X26" i="5" s="1"/>
  <c r="Y26" i="5" s="1"/>
  <c r="V26" i="5"/>
  <c r="Z28" i="5"/>
  <c r="AG28" i="5" s="1"/>
  <c r="Z141" i="5"/>
  <c r="AG141" i="5" s="1"/>
  <c r="W134" i="5"/>
  <c r="X134" i="5" s="1"/>
  <c r="Y134" i="5" s="1"/>
  <c r="V134" i="5"/>
  <c r="Z120" i="5"/>
  <c r="AG120" i="5" s="1"/>
  <c r="Z144" i="5"/>
  <c r="AG144" i="5" s="1"/>
  <c r="V135" i="5"/>
  <c r="W135" i="5"/>
  <c r="X135" i="5" s="1"/>
  <c r="Y135" i="5" s="1"/>
  <c r="W76" i="5"/>
  <c r="X76" i="5" s="1"/>
  <c r="Y76" i="5" s="1"/>
  <c r="V76" i="5"/>
  <c r="W36" i="5"/>
  <c r="X36" i="5" s="1"/>
  <c r="Y36" i="5" s="1"/>
  <c r="V36" i="5"/>
  <c r="V79" i="5"/>
  <c r="W79" i="5"/>
  <c r="X79" i="5" s="1"/>
  <c r="Y79" i="5" s="1"/>
  <c r="Z105" i="5"/>
  <c r="AG105" i="5" s="1"/>
  <c r="Z87" i="5"/>
  <c r="AG87" i="5" s="1"/>
  <c r="Z19" i="5"/>
  <c r="AG19" i="5" s="1"/>
  <c r="Z125" i="5"/>
  <c r="AG125" i="5" s="1"/>
  <c r="V94" i="5"/>
  <c r="W94" i="5"/>
  <c r="X94" i="5" s="1"/>
  <c r="Y94" i="5" s="1"/>
  <c r="Z50" i="5"/>
  <c r="AG50" i="5" s="1"/>
  <c r="W107" i="5"/>
  <c r="X107" i="5" s="1"/>
  <c r="Y107" i="5" s="1"/>
  <c r="V107" i="5"/>
  <c r="Z58" i="5"/>
  <c r="AG58" i="5" s="1"/>
  <c r="V121" i="5"/>
  <c r="W121" i="5"/>
  <c r="X121" i="5" s="1"/>
  <c r="Y121" i="5" s="1"/>
  <c r="Z61" i="5"/>
  <c r="AG61" i="5" s="1"/>
  <c r="Z68" i="5"/>
  <c r="AG68" i="5" s="1"/>
  <c r="Z131" i="5"/>
  <c r="AG131" i="5" s="1"/>
  <c r="Z43" i="5"/>
  <c r="AG43" i="5" s="1"/>
  <c r="Z27" i="5"/>
  <c r="AG27" i="5" s="1"/>
  <c r="W148" i="5"/>
  <c r="X148" i="5" s="1"/>
  <c r="Y148" i="5" s="1"/>
  <c r="V148" i="5"/>
  <c r="Z63" i="5"/>
  <c r="AG63" i="5" s="1"/>
  <c r="V66" i="5"/>
  <c r="W66" i="5"/>
  <c r="X66" i="5" s="1"/>
  <c r="Y66" i="5" s="1"/>
  <c r="Z48" i="5"/>
  <c r="AG48" i="5" s="1"/>
  <c r="Z51" i="5"/>
  <c r="AG51" i="5" s="1"/>
  <c r="Z138" i="5"/>
  <c r="AG138" i="5" s="1"/>
  <c r="W15" i="5"/>
  <c r="X15" i="5" s="1"/>
  <c r="Y15" i="5" s="1"/>
  <c r="V15" i="5"/>
  <c r="Z117" i="5"/>
  <c r="AG117" i="5" s="1"/>
  <c r="Z140" i="5"/>
  <c r="AG140" i="5" s="1"/>
  <c r="W71" i="5"/>
  <c r="X71" i="5" s="1"/>
  <c r="Y71" i="5" s="1"/>
  <c r="V71" i="5"/>
  <c r="Z133" i="5"/>
  <c r="AG133" i="5" s="1"/>
  <c r="Z74" i="5"/>
  <c r="AG74" i="5" s="1"/>
  <c r="Z136" i="5"/>
  <c r="AG136" i="5" s="1"/>
  <c r="Z80" i="5"/>
  <c r="AG80" i="5" s="1"/>
  <c r="Z122" i="5"/>
  <c r="AG122" i="5" s="1"/>
  <c r="Z35" i="5"/>
  <c r="AG35" i="5" s="1"/>
  <c r="Z17" i="5"/>
  <c r="AG17" i="5" s="1"/>
  <c r="Z97" i="5"/>
  <c r="AG97" i="5" s="1"/>
  <c r="Z72" i="5"/>
  <c r="AG72" i="5" s="1"/>
  <c r="V60" i="5"/>
  <c r="W60" i="5"/>
  <c r="X60" i="5" s="1"/>
  <c r="Y60" i="5" s="1"/>
  <c r="Z115" i="5"/>
  <c r="AG115" i="5" s="1"/>
  <c r="W113" i="5"/>
  <c r="X113" i="5" s="1"/>
  <c r="Y113" i="5" s="1"/>
  <c r="V113" i="5"/>
  <c r="Z53" i="5"/>
  <c r="AG53" i="5" s="1"/>
  <c r="Z77" i="5"/>
  <c r="AG77" i="5" s="1"/>
  <c r="Z16" i="5"/>
  <c r="AG16" i="5" s="1"/>
  <c r="V34" i="5"/>
  <c r="W34" i="5"/>
  <c r="X34" i="5" s="1"/>
  <c r="Y34" i="5" s="1"/>
  <c r="Z147" i="5"/>
  <c r="AG147" i="5" s="1"/>
  <c r="Z23" i="5"/>
  <c r="AG23" i="5" s="1"/>
  <c r="V95" i="5"/>
  <c r="W95" i="5"/>
  <c r="X95" i="5" s="1"/>
  <c r="Y95" i="5" s="1"/>
  <c r="Z21" i="5"/>
  <c r="AG21" i="5" s="1"/>
  <c r="Z99" i="5"/>
  <c r="AG99" i="5" s="1"/>
  <c r="W129" i="5"/>
  <c r="X129" i="5" s="1"/>
  <c r="Y129" i="5" s="1"/>
  <c r="V129" i="5"/>
  <c r="W38" i="5"/>
  <c r="X38" i="5" s="1"/>
  <c r="Y38" i="5" s="1"/>
  <c r="V38" i="5"/>
  <c r="V18" i="5"/>
  <c r="W18" i="5"/>
  <c r="X18" i="5" s="1"/>
  <c r="Y18" i="5" s="1"/>
  <c r="W49" i="5"/>
  <c r="X49" i="5" s="1"/>
  <c r="Y49" i="5" s="1"/>
  <c r="V49" i="5"/>
  <c r="Z85" i="5"/>
  <c r="AG85" i="5" s="1"/>
  <c r="Z81" i="5"/>
  <c r="AG81" i="5" s="1"/>
  <c r="Z93" i="5"/>
  <c r="AG93" i="5" s="1"/>
  <c r="W41" i="5"/>
  <c r="X41" i="5" s="1"/>
  <c r="Y41" i="5" s="1"/>
  <c r="V41" i="5"/>
  <c r="V82" i="5"/>
  <c r="W82" i="5"/>
  <c r="X82" i="5" s="1"/>
  <c r="Y82" i="5" s="1"/>
  <c r="W20" i="5"/>
  <c r="X20" i="5" s="1"/>
  <c r="Y20" i="5" s="1"/>
  <c r="V20" i="5"/>
  <c r="Z127" i="5"/>
  <c r="AG127" i="5" s="1"/>
  <c r="Z119" i="5"/>
  <c r="AG119" i="5" s="1"/>
  <c r="Z33" i="5"/>
  <c r="AG33" i="5" s="1"/>
  <c r="Z124" i="5"/>
  <c r="AG124" i="5" s="1"/>
  <c r="Z100" i="5"/>
  <c r="AG100" i="5" s="1"/>
  <c r="Z128" i="5"/>
  <c r="AG128" i="5" s="1"/>
  <c r="Z47" i="5"/>
  <c r="AG47" i="5" s="1"/>
  <c r="Z57" i="5"/>
  <c r="AG57" i="5" s="1"/>
  <c r="Z103" i="5"/>
  <c r="AG103" i="5" s="1"/>
  <c r="Z143" i="5"/>
  <c r="AG143" i="5" s="1"/>
  <c r="W69" i="5"/>
  <c r="X69" i="5" s="1"/>
  <c r="Y69" i="5" s="1"/>
  <c r="V69" i="5"/>
  <c r="V78" i="5"/>
  <c r="W78" i="5"/>
  <c r="X78" i="5" s="1"/>
  <c r="Y78" i="5" s="1"/>
  <c r="Z56" i="5"/>
  <c r="AG56" i="5" s="1"/>
  <c r="Z39" i="5"/>
  <c r="AG39" i="5" s="1"/>
  <c r="Z46" i="5"/>
  <c r="AG46" i="5" s="1"/>
  <c r="Z40" i="5"/>
  <c r="AG40" i="5" s="1"/>
  <c r="Z30" i="5"/>
  <c r="AG30" i="5" s="1"/>
  <c r="Z42" i="5"/>
  <c r="AG42" i="5" s="1"/>
  <c r="Y14" i="5" l="1"/>
  <c r="AA14" i="5"/>
  <c r="AA15" i="5" s="1"/>
  <c r="AB79" i="5"/>
  <c r="AC79" i="5" s="1"/>
  <c r="AE79" i="5" s="1"/>
  <c r="AB29" i="5"/>
  <c r="AC29" i="5" s="1"/>
  <c r="AE29" i="5" s="1"/>
  <c r="AB32" i="5"/>
  <c r="AC32" i="5" s="1"/>
  <c r="AE32" i="5" s="1"/>
  <c r="AB49" i="5"/>
  <c r="AC49" i="5" s="1"/>
  <c r="AE49" i="5" s="1"/>
  <c r="AB37" i="5"/>
  <c r="AC37" i="5" s="1"/>
  <c r="AE37" i="5" s="1"/>
  <c r="AB96" i="5"/>
  <c r="AC96" i="5" s="1"/>
  <c r="AE96" i="5" s="1"/>
  <c r="AB112" i="5"/>
  <c r="AC112" i="5" s="1"/>
  <c r="AE112" i="5" s="1"/>
  <c r="AB102" i="5"/>
  <c r="AC102" i="5" s="1"/>
  <c r="AE102" i="5" s="1"/>
  <c r="AB67" i="5"/>
  <c r="AC67" i="5" s="1"/>
  <c r="AE67" i="5" s="1"/>
  <c r="AB118" i="5"/>
  <c r="AC118" i="5" s="1"/>
  <c r="AE118" i="5" s="1"/>
  <c r="AB110" i="5"/>
  <c r="AC110" i="5" s="1"/>
  <c r="AE110" i="5" s="1"/>
  <c r="AB70" i="5"/>
  <c r="AC70" i="5" s="1"/>
  <c r="AE70" i="5" s="1"/>
  <c r="AB95" i="5"/>
  <c r="AC95" i="5" s="1"/>
  <c r="AE95" i="5" s="1"/>
  <c r="AB69" i="5"/>
  <c r="AC69" i="5" s="1"/>
  <c r="AE69" i="5" s="1"/>
  <c r="AB18" i="5"/>
  <c r="AC18" i="5" s="1"/>
  <c r="AE18" i="5" s="1"/>
  <c r="AB71" i="5"/>
  <c r="AC71" i="5" s="1"/>
  <c r="AE71" i="5" s="1"/>
  <c r="AB36" i="5"/>
  <c r="AC36" i="5" s="1"/>
  <c r="AE36" i="5" s="1"/>
  <c r="AB134" i="5"/>
  <c r="AC134" i="5" s="1"/>
  <c r="AE134" i="5" s="1"/>
  <c r="AB84" i="5"/>
  <c r="AC84" i="5" s="1"/>
  <c r="AE84" i="5" s="1"/>
  <c r="AB142" i="5"/>
  <c r="AC142" i="5" s="1"/>
  <c r="AE142" i="5" s="1"/>
  <c r="AB64" i="5"/>
  <c r="AC64" i="5" s="1"/>
  <c r="AE64" i="5" s="1"/>
  <c r="AB83" i="5"/>
  <c r="AC83" i="5" s="1"/>
  <c r="AE83" i="5" s="1"/>
  <c r="AB104" i="5"/>
  <c r="AC104" i="5" s="1"/>
  <c r="AE104" i="5" s="1"/>
  <c r="AB73" i="5"/>
  <c r="AC73" i="5" s="1"/>
  <c r="AE73" i="5" s="1"/>
  <c r="AB41" i="5"/>
  <c r="AC41" i="5" s="1"/>
  <c r="AE41" i="5" s="1"/>
  <c r="AB66" i="5"/>
  <c r="AC66" i="5" s="1"/>
  <c r="AE66" i="5" s="1"/>
  <c r="AB113" i="5"/>
  <c r="AC113" i="5" s="1"/>
  <c r="AE113" i="5" s="1"/>
  <c r="AB94" i="5"/>
  <c r="AC94" i="5" s="1"/>
  <c r="AE94" i="5" s="1"/>
  <c r="AB121" i="5"/>
  <c r="AC121" i="5" s="1"/>
  <c r="AE121" i="5" s="1"/>
  <c r="AB45" i="5"/>
  <c r="AC45" i="5" s="1"/>
  <c r="AE45" i="5" s="1"/>
  <c r="AB38" i="5"/>
  <c r="AC38" i="5" s="1"/>
  <c r="AE38" i="5" s="1"/>
  <c r="AB76" i="5"/>
  <c r="AC76" i="5" s="1"/>
  <c r="AE76" i="5" s="1"/>
  <c r="AB65" i="5"/>
  <c r="AC65" i="5" s="1"/>
  <c r="AE65" i="5" s="1"/>
  <c r="AB126" i="5"/>
  <c r="AC126" i="5" s="1"/>
  <c r="AE126" i="5" s="1"/>
  <c r="AB14" i="5"/>
  <c r="AC14" i="5" s="1"/>
  <c r="AE14" i="5" s="1"/>
  <c r="AB55" i="5"/>
  <c r="AC55" i="5" s="1"/>
  <c r="AE55" i="5" s="1"/>
  <c r="AB20" i="5"/>
  <c r="AC20" i="5" s="1"/>
  <c r="AE20" i="5" s="1"/>
  <c r="AB34" i="5"/>
  <c r="AC34" i="5" s="1"/>
  <c r="AE34" i="5" s="1"/>
  <c r="AB60" i="5"/>
  <c r="AC60" i="5" s="1"/>
  <c r="AE60" i="5" s="1"/>
  <c r="AB15" i="5"/>
  <c r="AC15" i="5" s="1"/>
  <c r="AE15" i="5" s="1"/>
  <c r="AB52" i="5"/>
  <c r="AC52" i="5" s="1"/>
  <c r="AE52" i="5" s="1"/>
  <c r="AB92" i="5"/>
  <c r="AC92" i="5" s="1"/>
  <c r="AE92" i="5" s="1"/>
  <c r="AB78" i="5"/>
  <c r="AC78" i="5" s="1"/>
  <c r="AE78" i="5" s="1"/>
  <c r="AB82" i="5"/>
  <c r="AC82" i="5" s="1"/>
  <c r="AE82" i="5" s="1"/>
  <c r="AB129" i="5"/>
  <c r="AC129" i="5" s="1"/>
  <c r="AE129" i="5" s="1"/>
  <c r="AB26" i="5"/>
  <c r="AC26" i="5" s="1"/>
  <c r="AE26" i="5" s="1"/>
  <c r="AB145" i="5"/>
  <c r="AC145" i="5" s="1"/>
  <c r="AE145" i="5" s="1"/>
  <c r="AB108" i="5"/>
  <c r="AC108" i="5" s="1"/>
  <c r="AE108" i="5" s="1"/>
  <c r="AB75" i="5"/>
  <c r="AC75" i="5" s="1"/>
  <c r="AE75" i="5" s="1"/>
  <c r="AB116" i="5"/>
  <c r="AC116" i="5" s="1"/>
  <c r="AE116" i="5" s="1"/>
  <c r="AB148" i="5"/>
  <c r="AC148" i="5" s="1"/>
  <c r="AE148" i="5" s="1"/>
  <c r="AB135" i="5"/>
  <c r="AC135" i="5" s="1"/>
  <c r="AE135" i="5" s="1"/>
  <c r="AB107" i="5"/>
  <c r="AC107" i="5" s="1"/>
  <c r="AE107" i="5" s="1"/>
  <c r="V112" i="5"/>
  <c r="V145" i="5"/>
  <c r="W137" i="5"/>
  <c r="X137" i="5" s="1"/>
  <c r="Y137" i="5" s="1"/>
  <c r="W98" i="5"/>
  <c r="X98" i="5" s="1"/>
  <c r="Y98" i="5" s="1"/>
  <c r="V83" i="5"/>
  <c r="W132" i="5"/>
  <c r="X132" i="5" s="1"/>
  <c r="Y132" i="5" s="1"/>
  <c r="W123" i="5"/>
  <c r="X123" i="5" s="1"/>
  <c r="Y123" i="5" s="1"/>
  <c r="W90" i="5"/>
  <c r="X90" i="5" s="1"/>
  <c r="Y90" i="5" s="1"/>
  <c r="V55" i="5"/>
  <c r="W139" i="5"/>
  <c r="X139" i="5" s="1"/>
  <c r="Y139" i="5" s="1"/>
  <c r="V32" i="5"/>
  <c r="V75" i="5"/>
  <c r="W44" i="5"/>
  <c r="X44" i="5" s="1"/>
  <c r="Y44" i="5" s="1"/>
  <c r="V73" i="5"/>
  <c r="W130" i="5"/>
  <c r="X130" i="5" s="1"/>
  <c r="Y130" i="5" s="1"/>
  <c r="W114" i="5"/>
  <c r="X114" i="5" s="1"/>
  <c r="Y114" i="5" s="1"/>
  <c r="W88" i="5"/>
  <c r="X88" i="5" s="1"/>
  <c r="Y88" i="5" s="1"/>
  <c r="V14" i="5"/>
  <c r="V126" i="5"/>
  <c r="V110" i="5"/>
  <c r="W62" i="5"/>
  <c r="X62" i="5" s="1"/>
  <c r="Y62" i="5" s="1"/>
  <c r="W31" i="5"/>
  <c r="X31" i="5" s="1"/>
  <c r="Y31" i="5" s="1"/>
  <c r="W101" i="5"/>
  <c r="X101" i="5" s="1"/>
  <c r="Y101" i="5" s="1"/>
  <c r="V116" i="5"/>
  <c r="W106" i="5"/>
  <c r="X106" i="5" s="1"/>
  <c r="Y106" i="5" s="1"/>
  <c r="W25" i="5"/>
  <c r="X25" i="5" s="1"/>
  <c r="Y25" i="5" s="1"/>
  <c r="V67" i="5"/>
  <c r="V102" i="5"/>
  <c r="V70" i="5"/>
  <c r="V96" i="5"/>
  <c r="V64" i="5"/>
  <c r="V108" i="5"/>
  <c r="V118" i="5"/>
  <c r="W86" i="5"/>
  <c r="X86" i="5" s="1"/>
  <c r="Y86" i="5" s="1"/>
  <c r="W54" i="5"/>
  <c r="X54" i="5" s="1"/>
  <c r="Y54" i="5" s="1"/>
  <c r="V92" i="5"/>
  <c r="AA16" i="5"/>
  <c r="AA17" i="5" s="1"/>
  <c r="AA18" i="5" s="1"/>
  <c r="AA19" i="5" s="1"/>
  <c r="AA20" i="5" s="1"/>
  <c r="AA21" i="5" s="1"/>
  <c r="AA22" i="5" s="1"/>
  <c r="AA23" i="5" s="1"/>
  <c r="AA24" i="5" s="1"/>
  <c r="AA25" i="5" s="1"/>
  <c r="AA26" i="5" s="1"/>
  <c r="AA27" i="5" s="1"/>
  <c r="AA28" i="5" s="1"/>
  <c r="AA29" i="5" s="1"/>
  <c r="AA30" i="5" s="1"/>
  <c r="AA31" i="5" s="1"/>
  <c r="AA32" i="5" s="1"/>
  <c r="AA33" i="5" s="1"/>
  <c r="AA34" i="5" s="1"/>
  <c r="AA35" i="5" s="1"/>
  <c r="AA36" i="5" s="1"/>
  <c r="AA37" i="5" s="1"/>
  <c r="AA38" i="5" s="1"/>
  <c r="AA39" i="5" s="1"/>
  <c r="AA40" i="5" s="1"/>
  <c r="AA41" i="5" s="1"/>
  <c r="AA42" i="5" s="1"/>
  <c r="AA43" i="5" s="1"/>
  <c r="AA44" i="5" s="1"/>
  <c r="AA45" i="5" s="1"/>
  <c r="AA46" i="5" s="1"/>
  <c r="AA47" i="5" s="1"/>
  <c r="AA48" i="5" s="1"/>
  <c r="AA49" i="5" s="1"/>
  <c r="AA50" i="5" s="1"/>
  <c r="AA51" i="5" s="1"/>
  <c r="AA52" i="5" s="1"/>
  <c r="AA53" i="5" s="1"/>
  <c r="AA54" i="5" s="1"/>
  <c r="AA55" i="5" s="1"/>
  <c r="AA56" i="5" s="1"/>
  <c r="AA57" i="5" s="1"/>
  <c r="AA58" i="5" s="1"/>
  <c r="AA59" i="5" s="1"/>
  <c r="AA60" i="5" s="1"/>
  <c r="AA61" i="5" s="1"/>
  <c r="AA62" i="5" s="1"/>
  <c r="AA63" i="5" s="1"/>
  <c r="AA64" i="5" s="1"/>
  <c r="AA65" i="5" s="1"/>
  <c r="AA66" i="5" s="1"/>
  <c r="AA67" i="5" s="1"/>
  <c r="AA68" i="5" s="1"/>
  <c r="AA69" i="5" s="1"/>
  <c r="AA70" i="5" s="1"/>
  <c r="AA71" i="5" s="1"/>
  <c r="AA72" i="5" s="1"/>
  <c r="AA73" i="5" s="1"/>
  <c r="AA74" i="5" s="1"/>
  <c r="AA75" i="5" s="1"/>
  <c r="AA76" i="5" s="1"/>
  <c r="AA77" i="5" s="1"/>
  <c r="AA78" i="5" s="1"/>
  <c r="AA79" i="5" s="1"/>
  <c r="AA80" i="5" s="1"/>
  <c r="AA81" i="5" s="1"/>
  <c r="AA82" i="5" s="1"/>
  <c r="AA83" i="5" s="1"/>
  <c r="AA84" i="5" s="1"/>
  <c r="AA85" i="5" s="1"/>
  <c r="AA86" i="5" s="1"/>
  <c r="AA87" i="5" s="1"/>
  <c r="AA88" i="5" s="1"/>
  <c r="AA89" i="5" s="1"/>
  <c r="AA90" i="5" s="1"/>
  <c r="AA91" i="5" s="1"/>
  <c r="AA92" i="5" s="1"/>
  <c r="AA93" i="5" s="1"/>
  <c r="AA94" i="5" s="1"/>
  <c r="AA95" i="5" s="1"/>
  <c r="AA96" i="5" s="1"/>
  <c r="AA97" i="5" s="1"/>
  <c r="AA98" i="5" s="1"/>
  <c r="AA99" i="5" s="1"/>
  <c r="AA100" i="5" s="1"/>
  <c r="AA101" i="5" s="1"/>
  <c r="AA102" i="5" s="1"/>
  <c r="AA103" i="5" s="1"/>
  <c r="AA104" i="5" s="1"/>
  <c r="AA105" i="5" s="1"/>
  <c r="AA106" i="5" s="1"/>
  <c r="AA107" i="5" s="1"/>
  <c r="AA108" i="5" s="1"/>
  <c r="AA109" i="5" s="1"/>
  <c r="AA110" i="5" s="1"/>
  <c r="AA111" i="5" s="1"/>
  <c r="AA112" i="5" s="1"/>
  <c r="AA113" i="5" s="1"/>
  <c r="AA114" i="5" s="1"/>
  <c r="AA115" i="5" s="1"/>
  <c r="AA116" i="5" s="1"/>
  <c r="AA117" i="5" s="1"/>
  <c r="AA118" i="5" s="1"/>
  <c r="AA119" i="5" s="1"/>
  <c r="AA120" i="5" s="1"/>
  <c r="AA121" i="5" s="1"/>
  <c r="AA122" i="5" s="1"/>
  <c r="AA123" i="5" s="1"/>
  <c r="AA124" i="5" s="1"/>
  <c r="AA125" i="5" s="1"/>
  <c r="AA126" i="5" s="1"/>
  <c r="AA127" i="5" s="1"/>
  <c r="AA128" i="5" s="1"/>
  <c r="AA129" i="5" s="1"/>
  <c r="AA130" i="5" s="1"/>
  <c r="AA131" i="5" s="1"/>
  <c r="AA132" i="5" s="1"/>
  <c r="AA133" i="5" s="1"/>
  <c r="AA134" i="5" s="1"/>
  <c r="AA135" i="5" s="1"/>
  <c r="AA136" i="5" s="1"/>
  <c r="AA137" i="5" s="1"/>
  <c r="AA138" i="5" s="1"/>
  <c r="AA139" i="5" s="1"/>
  <c r="AA140" i="5" s="1"/>
  <c r="AA141" i="5" s="1"/>
  <c r="AA142" i="5" s="1"/>
  <c r="AA143" i="5" s="1"/>
  <c r="AA144" i="5" s="1"/>
  <c r="AA145" i="5" s="1"/>
  <c r="AA146" i="5" s="1"/>
  <c r="AA147" i="5" s="1"/>
  <c r="AA148" i="5" s="1"/>
  <c r="AA149" i="5" s="1"/>
  <c r="AA150" i="5" s="1"/>
  <c r="AA151" i="5" s="1"/>
  <c r="AA152" i="5" s="1"/>
  <c r="AA153" i="5" s="1"/>
  <c r="V104" i="5"/>
  <c r="W81" i="5"/>
  <c r="X81" i="5" s="1"/>
  <c r="Y81" i="5" s="1"/>
  <c r="V81" i="5"/>
  <c r="V125" i="5"/>
  <c r="W125" i="5"/>
  <c r="X125" i="5" s="1"/>
  <c r="Y125" i="5" s="1"/>
  <c r="W105" i="5"/>
  <c r="X105" i="5" s="1"/>
  <c r="Y105" i="5" s="1"/>
  <c r="V105" i="5"/>
  <c r="W141" i="5"/>
  <c r="X141" i="5" s="1"/>
  <c r="Y141" i="5" s="1"/>
  <c r="V141" i="5"/>
  <c r="V42" i="5"/>
  <c r="W42" i="5"/>
  <c r="X42" i="5" s="1"/>
  <c r="Y42" i="5" s="1"/>
  <c r="W56" i="5"/>
  <c r="X56" i="5" s="1"/>
  <c r="Y56" i="5" s="1"/>
  <c r="V56" i="5"/>
  <c r="V127" i="5"/>
  <c r="W127" i="5"/>
  <c r="X127" i="5" s="1"/>
  <c r="Y127" i="5" s="1"/>
  <c r="W85" i="5"/>
  <c r="X85" i="5" s="1"/>
  <c r="Y85" i="5" s="1"/>
  <c r="V85" i="5"/>
  <c r="W48" i="5"/>
  <c r="X48" i="5" s="1"/>
  <c r="Y48" i="5" s="1"/>
  <c r="V48" i="5"/>
  <c r="V50" i="5"/>
  <c r="W50" i="5"/>
  <c r="X50" i="5" s="1"/>
  <c r="Y50" i="5" s="1"/>
  <c r="W19" i="5"/>
  <c r="X19" i="5" s="1"/>
  <c r="Y19" i="5" s="1"/>
  <c r="V19" i="5"/>
  <c r="W120" i="5"/>
  <c r="X120" i="5" s="1"/>
  <c r="Y120" i="5" s="1"/>
  <c r="V120" i="5"/>
  <c r="V28" i="5"/>
  <c r="W28" i="5"/>
  <c r="X28" i="5" s="1"/>
  <c r="Y28" i="5" s="1"/>
  <c r="W59" i="5"/>
  <c r="X59" i="5" s="1"/>
  <c r="Y59" i="5" s="1"/>
  <c r="V59" i="5"/>
  <c r="W57" i="5"/>
  <c r="X57" i="5" s="1"/>
  <c r="Y57" i="5" s="1"/>
  <c r="V57" i="5"/>
  <c r="W124" i="5"/>
  <c r="X124" i="5" s="1"/>
  <c r="Y124" i="5" s="1"/>
  <c r="V124" i="5"/>
  <c r="V16" i="5"/>
  <c r="W16" i="5"/>
  <c r="X16" i="5" s="1"/>
  <c r="Y16" i="5" s="1"/>
  <c r="V146" i="5"/>
  <c r="W146" i="5"/>
  <c r="X146" i="5" s="1"/>
  <c r="Y146" i="5" s="1"/>
  <c r="W97" i="5"/>
  <c r="X97" i="5" s="1"/>
  <c r="Y97" i="5" s="1"/>
  <c r="V97" i="5"/>
  <c r="W140" i="5"/>
  <c r="X140" i="5" s="1"/>
  <c r="Y140" i="5" s="1"/>
  <c r="V140" i="5"/>
  <c r="W35" i="5"/>
  <c r="X35" i="5" s="1"/>
  <c r="Y35" i="5" s="1"/>
  <c r="V35" i="5"/>
  <c r="V74" i="5"/>
  <c r="W74" i="5"/>
  <c r="X74" i="5" s="1"/>
  <c r="Y74" i="5" s="1"/>
  <c r="W143" i="5"/>
  <c r="X143" i="5" s="1"/>
  <c r="Y143" i="5" s="1"/>
  <c r="V143" i="5"/>
  <c r="W47" i="5"/>
  <c r="X47" i="5" s="1"/>
  <c r="Y47" i="5" s="1"/>
  <c r="V47" i="5"/>
  <c r="W33" i="5"/>
  <c r="X33" i="5" s="1"/>
  <c r="Y33" i="5" s="1"/>
  <c r="V33" i="5"/>
  <c r="V93" i="5"/>
  <c r="W93" i="5"/>
  <c r="X93" i="5" s="1"/>
  <c r="Y93" i="5" s="1"/>
  <c r="V99" i="5"/>
  <c r="W99" i="5"/>
  <c r="X99" i="5" s="1"/>
  <c r="Y99" i="5" s="1"/>
  <c r="W23" i="5"/>
  <c r="X23" i="5" s="1"/>
  <c r="Y23" i="5" s="1"/>
  <c r="V23" i="5"/>
  <c r="W115" i="5"/>
  <c r="X115" i="5" s="1"/>
  <c r="Y115" i="5" s="1"/>
  <c r="V115" i="5"/>
  <c r="V122" i="5"/>
  <c r="W122" i="5"/>
  <c r="X122" i="5" s="1"/>
  <c r="Y122" i="5" s="1"/>
  <c r="W27" i="5"/>
  <c r="X27" i="5" s="1"/>
  <c r="Y27" i="5" s="1"/>
  <c r="V27" i="5"/>
  <c r="V89" i="5"/>
  <c r="W89" i="5"/>
  <c r="X89" i="5" s="1"/>
  <c r="Y89" i="5" s="1"/>
  <c r="V24" i="5"/>
  <c r="W24" i="5"/>
  <c r="X24" i="5" s="1"/>
  <c r="Y24" i="5" s="1"/>
  <c r="W91" i="5"/>
  <c r="X91" i="5" s="1"/>
  <c r="Y91" i="5" s="1"/>
  <c r="V91" i="5"/>
  <c r="V22" i="5"/>
  <c r="W22" i="5"/>
  <c r="X22" i="5" s="1"/>
  <c r="Y22" i="5" s="1"/>
  <c r="W72" i="5"/>
  <c r="X72" i="5" s="1"/>
  <c r="Y72" i="5" s="1"/>
  <c r="V72" i="5"/>
  <c r="V138" i="5"/>
  <c r="W138" i="5"/>
  <c r="X138" i="5" s="1"/>
  <c r="Y138" i="5" s="1"/>
  <c r="W30" i="5"/>
  <c r="X30" i="5" s="1"/>
  <c r="Y30" i="5" s="1"/>
  <c r="V30" i="5"/>
  <c r="V46" i="5"/>
  <c r="W46" i="5"/>
  <c r="X46" i="5" s="1"/>
  <c r="Y46" i="5" s="1"/>
  <c r="V128" i="5"/>
  <c r="W128" i="5"/>
  <c r="X128" i="5" s="1"/>
  <c r="Y128" i="5" s="1"/>
  <c r="W21" i="5"/>
  <c r="X21" i="5" s="1"/>
  <c r="Y21" i="5" s="1"/>
  <c r="V21" i="5"/>
  <c r="W147" i="5"/>
  <c r="X147" i="5" s="1"/>
  <c r="Y147" i="5" s="1"/>
  <c r="V147" i="5"/>
  <c r="W80" i="5"/>
  <c r="X80" i="5" s="1"/>
  <c r="Y80" i="5" s="1"/>
  <c r="V80" i="5"/>
  <c r="V133" i="5"/>
  <c r="W133" i="5"/>
  <c r="X133" i="5" s="1"/>
  <c r="Y133" i="5" s="1"/>
  <c r="W51" i="5"/>
  <c r="X51" i="5" s="1"/>
  <c r="Y51" i="5" s="1"/>
  <c r="V51" i="5"/>
  <c r="W43" i="5"/>
  <c r="X43" i="5" s="1"/>
  <c r="Y43" i="5" s="1"/>
  <c r="V43" i="5"/>
  <c r="W68" i="5"/>
  <c r="X68" i="5" s="1"/>
  <c r="Y68" i="5" s="1"/>
  <c r="V68" i="5"/>
  <c r="V58" i="5"/>
  <c r="W58" i="5"/>
  <c r="X58" i="5" s="1"/>
  <c r="Y58" i="5" s="1"/>
  <c r="V87" i="5"/>
  <c r="W87" i="5"/>
  <c r="X87" i="5" s="1"/>
  <c r="Y87" i="5" s="1"/>
  <c r="W109" i="5"/>
  <c r="X109" i="5" s="1"/>
  <c r="Y109" i="5" s="1"/>
  <c r="V109" i="5"/>
  <c r="W77" i="5"/>
  <c r="X77" i="5" s="1"/>
  <c r="Y77" i="5" s="1"/>
  <c r="V77" i="5"/>
  <c r="W53" i="5"/>
  <c r="X53" i="5" s="1"/>
  <c r="Y53" i="5" s="1"/>
  <c r="V53" i="5"/>
  <c r="V17" i="5"/>
  <c r="W17" i="5"/>
  <c r="X17" i="5" s="1"/>
  <c r="Y17" i="5" s="1"/>
  <c r="W136" i="5"/>
  <c r="X136" i="5" s="1"/>
  <c r="Y136" i="5" s="1"/>
  <c r="V136" i="5"/>
  <c r="W117" i="5"/>
  <c r="X117" i="5" s="1"/>
  <c r="Y117" i="5" s="1"/>
  <c r="V117" i="5"/>
  <c r="V63" i="5"/>
  <c r="W63" i="5"/>
  <c r="X63" i="5" s="1"/>
  <c r="Y63" i="5" s="1"/>
  <c r="W131" i="5"/>
  <c r="X131" i="5" s="1"/>
  <c r="Y131" i="5" s="1"/>
  <c r="V131" i="5"/>
  <c r="W61" i="5"/>
  <c r="X61" i="5" s="1"/>
  <c r="Y61" i="5" s="1"/>
  <c r="V61" i="5"/>
  <c r="W144" i="5"/>
  <c r="X144" i="5" s="1"/>
  <c r="Y144" i="5" s="1"/>
  <c r="V144" i="5"/>
  <c r="W111" i="5"/>
  <c r="X111" i="5" s="1"/>
  <c r="Y111" i="5" s="1"/>
  <c r="V111" i="5"/>
  <c r="V39" i="5"/>
  <c r="W39" i="5"/>
  <c r="X39" i="5" s="1"/>
  <c r="Y39" i="5" s="1"/>
  <c r="W103" i="5"/>
  <c r="X103" i="5" s="1"/>
  <c r="Y103" i="5" s="1"/>
  <c r="V103" i="5"/>
  <c r="W100" i="5"/>
  <c r="X100" i="5" s="1"/>
  <c r="Y100" i="5" s="1"/>
  <c r="V100" i="5"/>
  <c r="V119" i="5"/>
  <c r="W119" i="5"/>
  <c r="X119" i="5" s="1"/>
  <c r="Y119" i="5" s="1"/>
  <c r="W40" i="5"/>
  <c r="X40" i="5" s="1"/>
  <c r="Y40" i="5" s="1"/>
  <c r="V40" i="5"/>
  <c r="AD14" i="5" l="1"/>
  <c r="AD15" i="5" s="1"/>
  <c r="AB40" i="5"/>
  <c r="AC40" i="5" s="1"/>
  <c r="AE40" i="5" s="1"/>
  <c r="AB131" i="5"/>
  <c r="AC131" i="5" s="1"/>
  <c r="AE131" i="5" s="1"/>
  <c r="AB21" i="5"/>
  <c r="AC21" i="5" s="1"/>
  <c r="AE21" i="5" s="1"/>
  <c r="AB35" i="5"/>
  <c r="AC35" i="5" s="1"/>
  <c r="AE35" i="5" s="1"/>
  <c r="AB101" i="5"/>
  <c r="AC101" i="5" s="1"/>
  <c r="AE101" i="5" s="1"/>
  <c r="AB130" i="5"/>
  <c r="AC130" i="5" s="1"/>
  <c r="AE130" i="5" s="1"/>
  <c r="AB123" i="5"/>
  <c r="AC123" i="5" s="1"/>
  <c r="AE123" i="5" s="1"/>
  <c r="AB119" i="5"/>
  <c r="AC119" i="5" s="1"/>
  <c r="AE119" i="5" s="1"/>
  <c r="AB63" i="5"/>
  <c r="AC63" i="5" s="1"/>
  <c r="AE63" i="5" s="1"/>
  <c r="AB58" i="5"/>
  <c r="AC58" i="5" s="1"/>
  <c r="AE58" i="5" s="1"/>
  <c r="AB133" i="5"/>
  <c r="AC133" i="5" s="1"/>
  <c r="AE133" i="5" s="1"/>
  <c r="AB128" i="5"/>
  <c r="AC128" i="5" s="1"/>
  <c r="AE128" i="5" s="1"/>
  <c r="AB89" i="5"/>
  <c r="AC89" i="5" s="1"/>
  <c r="AE89" i="5" s="1"/>
  <c r="AB31" i="5"/>
  <c r="AC31" i="5" s="1"/>
  <c r="AE31" i="5" s="1"/>
  <c r="AB132" i="5"/>
  <c r="AC132" i="5" s="1"/>
  <c r="AE132" i="5" s="1"/>
  <c r="AB46" i="5"/>
  <c r="AC46" i="5" s="1"/>
  <c r="AE46" i="5" s="1"/>
  <c r="AB22" i="5"/>
  <c r="AC22" i="5" s="1"/>
  <c r="AE22" i="5" s="1"/>
  <c r="AB99" i="5"/>
  <c r="AC99" i="5" s="1"/>
  <c r="AE99" i="5" s="1"/>
  <c r="AB127" i="5"/>
  <c r="AC127" i="5" s="1"/>
  <c r="AE127" i="5" s="1"/>
  <c r="AB98" i="5"/>
  <c r="AC98" i="5" s="1"/>
  <c r="AE98" i="5" s="1"/>
  <c r="AB144" i="5"/>
  <c r="AC144" i="5" s="1"/>
  <c r="AE144" i="5" s="1"/>
  <c r="AB97" i="5"/>
  <c r="AC97" i="5" s="1"/>
  <c r="AE97" i="5" s="1"/>
  <c r="AB54" i="5"/>
  <c r="AC54" i="5" s="1"/>
  <c r="AE54" i="5" s="1"/>
  <c r="AB53" i="5"/>
  <c r="AC53" i="5" s="1"/>
  <c r="AE53" i="5" s="1"/>
  <c r="AB47" i="5"/>
  <c r="AC47" i="5" s="1"/>
  <c r="AE47" i="5" s="1"/>
  <c r="AB120" i="5"/>
  <c r="AC120" i="5" s="1"/>
  <c r="AE120" i="5" s="1"/>
  <c r="AB100" i="5"/>
  <c r="AC100" i="5" s="1"/>
  <c r="AE100" i="5" s="1"/>
  <c r="AB77" i="5"/>
  <c r="AC77" i="5" s="1"/>
  <c r="AE77" i="5" s="1"/>
  <c r="AB80" i="5"/>
  <c r="AC80" i="5" s="1"/>
  <c r="AE80" i="5" s="1"/>
  <c r="AB27" i="5"/>
  <c r="AC27" i="5" s="1"/>
  <c r="AE27" i="5" s="1"/>
  <c r="AB143" i="5"/>
  <c r="AC143" i="5" s="1"/>
  <c r="AE143" i="5" s="1"/>
  <c r="AB122" i="5"/>
  <c r="AC122" i="5" s="1"/>
  <c r="AE122" i="5" s="1"/>
  <c r="AB93" i="5"/>
  <c r="AC93" i="5" s="1"/>
  <c r="AE93" i="5" s="1"/>
  <c r="AB74" i="5"/>
  <c r="AC74" i="5" s="1"/>
  <c r="AE74" i="5" s="1"/>
  <c r="AB146" i="5"/>
  <c r="AC146" i="5" s="1"/>
  <c r="AE146" i="5" s="1"/>
  <c r="AB50" i="5"/>
  <c r="AC50" i="5" s="1"/>
  <c r="AE50" i="5" s="1"/>
  <c r="AB125" i="5"/>
  <c r="AC125" i="5" s="1"/>
  <c r="AE125" i="5" s="1"/>
  <c r="AB86" i="5"/>
  <c r="AC86" i="5" s="1"/>
  <c r="AE86" i="5" s="1"/>
  <c r="AB25" i="5"/>
  <c r="AC25" i="5" s="1"/>
  <c r="AE25" i="5" s="1"/>
  <c r="AB139" i="5"/>
  <c r="AC139" i="5" s="1"/>
  <c r="AE139" i="5" s="1"/>
  <c r="AB72" i="5"/>
  <c r="AC72" i="5" s="1"/>
  <c r="AE72" i="5" s="1"/>
  <c r="AB140" i="5"/>
  <c r="AC140" i="5" s="1"/>
  <c r="AE140" i="5" s="1"/>
  <c r="AB85" i="5"/>
  <c r="AC85" i="5" s="1"/>
  <c r="AE85" i="5" s="1"/>
  <c r="AB44" i="5"/>
  <c r="AC44" i="5" s="1"/>
  <c r="AE44" i="5" s="1"/>
  <c r="AB117" i="5"/>
  <c r="AC117" i="5" s="1"/>
  <c r="AE117" i="5" s="1"/>
  <c r="AB57" i="5"/>
  <c r="AC57" i="5" s="1"/>
  <c r="AE57" i="5" s="1"/>
  <c r="AB19" i="5"/>
  <c r="AC19" i="5" s="1"/>
  <c r="AE19" i="5" s="1"/>
  <c r="AB105" i="5"/>
  <c r="AC105" i="5" s="1"/>
  <c r="AE105" i="5" s="1"/>
  <c r="AB137" i="5"/>
  <c r="AC137" i="5" s="1"/>
  <c r="AE137" i="5" s="1"/>
  <c r="AB61" i="5"/>
  <c r="AC61" i="5" s="1"/>
  <c r="AE61" i="5" s="1"/>
  <c r="AB109" i="5"/>
  <c r="AC109" i="5" s="1"/>
  <c r="AE109" i="5" s="1"/>
  <c r="AB30" i="5"/>
  <c r="AC30" i="5" s="1"/>
  <c r="AE30" i="5" s="1"/>
  <c r="AB59" i="5"/>
  <c r="AC59" i="5" s="1"/>
  <c r="AE59" i="5" s="1"/>
  <c r="AB56" i="5"/>
  <c r="AC56" i="5" s="1"/>
  <c r="AE56" i="5" s="1"/>
  <c r="AB106" i="5"/>
  <c r="AC106" i="5" s="1"/>
  <c r="AE106" i="5" s="1"/>
  <c r="AB88" i="5"/>
  <c r="AC88" i="5" s="1"/>
  <c r="AE88" i="5" s="1"/>
  <c r="AB23" i="5"/>
  <c r="AC23" i="5" s="1"/>
  <c r="AE23" i="5" s="1"/>
  <c r="AB124" i="5"/>
  <c r="AC124" i="5" s="1"/>
  <c r="AE124" i="5" s="1"/>
  <c r="AB141" i="5"/>
  <c r="AC141" i="5" s="1"/>
  <c r="AE141" i="5" s="1"/>
  <c r="AB62" i="5"/>
  <c r="AC62" i="5" s="1"/>
  <c r="AE62" i="5" s="1"/>
  <c r="AB68" i="5"/>
  <c r="AC68" i="5" s="1"/>
  <c r="AE68" i="5" s="1"/>
  <c r="AB103" i="5"/>
  <c r="AC103" i="5" s="1"/>
  <c r="AE103" i="5" s="1"/>
  <c r="AB136" i="5"/>
  <c r="AC136" i="5" s="1"/>
  <c r="AE136" i="5" s="1"/>
  <c r="AB43" i="5"/>
  <c r="AC43" i="5" s="1"/>
  <c r="AE43" i="5" s="1"/>
  <c r="AB147" i="5"/>
  <c r="AC147" i="5" s="1"/>
  <c r="AE147" i="5" s="1"/>
  <c r="AB91" i="5"/>
  <c r="AC91" i="5" s="1"/>
  <c r="AE91" i="5" s="1"/>
  <c r="AB39" i="5"/>
  <c r="AC39" i="5" s="1"/>
  <c r="AE39" i="5" s="1"/>
  <c r="AB17" i="5"/>
  <c r="AC17" i="5" s="1"/>
  <c r="AE17" i="5" s="1"/>
  <c r="AB87" i="5"/>
  <c r="AC87" i="5" s="1"/>
  <c r="AE87" i="5" s="1"/>
  <c r="AB138" i="5"/>
  <c r="AC138" i="5" s="1"/>
  <c r="AE138" i="5" s="1"/>
  <c r="AB24" i="5"/>
  <c r="AC24" i="5" s="1"/>
  <c r="AE24" i="5" s="1"/>
  <c r="AB16" i="5"/>
  <c r="AC16" i="5" s="1"/>
  <c r="AE16" i="5" s="1"/>
  <c r="AB28" i="5"/>
  <c r="AC28" i="5" s="1"/>
  <c r="AE28" i="5" s="1"/>
  <c r="AB42" i="5"/>
  <c r="AC42" i="5" s="1"/>
  <c r="AE42" i="5" s="1"/>
  <c r="AB114" i="5"/>
  <c r="AC114" i="5" s="1"/>
  <c r="AE114" i="5" s="1"/>
  <c r="AB90" i="5"/>
  <c r="AC90" i="5" s="1"/>
  <c r="AE90" i="5" s="1"/>
  <c r="AB111" i="5"/>
  <c r="AC111" i="5" s="1"/>
  <c r="AE111" i="5" s="1"/>
  <c r="AB51" i="5"/>
  <c r="AC51" i="5" s="1"/>
  <c r="AE51" i="5" s="1"/>
  <c r="AB115" i="5"/>
  <c r="AC115" i="5" s="1"/>
  <c r="AE115" i="5" s="1"/>
  <c r="AB33" i="5"/>
  <c r="AC33" i="5" s="1"/>
  <c r="AE33" i="5" s="1"/>
  <c r="AB48" i="5"/>
  <c r="AC48" i="5" s="1"/>
  <c r="AE48" i="5" s="1"/>
  <c r="AB81" i="5"/>
  <c r="AC81" i="5" s="1"/>
  <c r="AE81" i="5" s="1"/>
  <c r="A52" i="5" l="1"/>
  <c r="A56" i="5" s="1"/>
  <c r="AD16" i="5"/>
  <c r="AD17" i="5" s="1"/>
  <c r="AD18" i="5" s="1"/>
  <c r="AD19" i="5" s="1"/>
  <c r="AD20" i="5" s="1"/>
  <c r="AD21" i="5" s="1"/>
  <c r="AD22" i="5" s="1"/>
  <c r="AD23" i="5" s="1"/>
  <c r="AD24" i="5" s="1"/>
  <c r="AD25" i="5" s="1"/>
  <c r="AD26" i="5" s="1"/>
  <c r="AD27" i="5" s="1"/>
  <c r="AD28" i="5" s="1"/>
  <c r="AD29" i="5" s="1"/>
  <c r="AD30" i="5" s="1"/>
  <c r="AD31" i="5" s="1"/>
  <c r="AD32" i="5" s="1"/>
  <c r="AD33" i="5" s="1"/>
  <c r="AD34" i="5" s="1"/>
  <c r="AD35" i="5" s="1"/>
  <c r="AD36" i="5" s="1"/>
  <c r="AD37" i="5" s="1"/>
  <c r="AD38" i="5" s="1"/>
  <c r="AD39" i="5" s="1"/>
  <c r="AD40" i="5" s="1"/>
  <c r="AD41" i="5" s="1"/>
  <c r="AD42" i="5" s="1"/>
  <c r="AD43" i="5" s="1"/>
  <c r="AD44" i="5" s="1"/>
  <c r="AD45" i="5" s="1"/>
  <c r="AD46" i="5" s="1"/>
  <c r="AD47" i="5" s="1"/>
  <c r="AD48" i="5" s="1"/>
  <c r="AD49" i="5" s="1"/>
  <c r="AD50" i="5" s="1"/>
  <c r="AD51" i="5" s="1"/>
  <c r="AD52" i="5" s="1"/>
  <c r="AD53" i="5" s="1"/>
  <c r="AD54" i="5" s="1"/>
  <c r="AD55" i="5" s="1"/>
  <c r="AD56" i="5" s="1"/>
  <c r="AD57" i="5" s="1"/>
  <c r="AD58" i="5" s="1"/>
  <c r="AD59" i="5" s="1"/>
  <c r="AD60" i="5" s="1"/>
  <c r="AD61" i="5" s="1"/>
  <c r="AD62" i="5" s="1"/>
  <c r="AD63" i="5" s="1"/>
  <c r="AD64" i="5" s="1"/>
  <c r="AD65" i="5" s="1"/>
  <c r="AD66" i="5" s="1"/>
  <c r="AD67" i="5" s="1"/>
  <c r="AD68" i="5" s="1"/>
  <c r="AD69" i="5" s="1"/>
  <c r="AD70" i="5" s="1"/>
  <c r="AD71" i="5" s="1"/>
  <c r="AD72" i="5" s="1"/>
  <c r="AD73" i="5" s="1"/>
  <c r="AD74" i="5" s="1"/>
  <c r="AD75" i="5" s="1"/>
  <c r="AD76" i="5" s="1"/>
  <c r="AD77" i="5" s="1"/>
  <c r="AD78" i="5" s="1"/>
  <c r="AD79" i="5" s="1"/>
  <c r="AD80" i="5" s="1"/>
  <c r="AD81" i="5" s="1"/>
  <c r="AD82" i="5" s="1"/>
  <c r="AD83" i="5" s="1"/>
  <c r="AD84" i="5" s="1"/>
  <c r="AD85" i="5" s="1"/>
  <c r="AD86" i="5" s="1"/>
  <c r="AD87" i="5" s="1"/>
  <c r="AD88" i="5" s="1"/>
  <c r="AD89" i="5" s="1"/>
  <c r="AD90" i="5" s="1"/>
  <c r="AD91" i="5" s="1"/>
  <c r="AD92" i="5" s="1"/>
  <c r="AD93" i="5" s="1"/>
  <c r="AD94" i="5" s="1"/>
  <c r="AD95" i="5" s="1"/>
  <c r="AD96" i="5" s="1"/>
  <c r="AD97" i="5" s="1"/>
  <c r="AD98" i="5" s="1"/>
  <c r="AD99" i="5" s="1"/>
  <c r="AD100" i="5" s="1"/>
  <c r="AD101" i="5" s="1"/>
  <c r="AD102" i="5" s="1"/>
  <c r="AD103" i="5" s="1"/>
  <c r="AD104" i="5" s="1"/>
  <c r="AD105" i="5" s="1"/>
  <c r="AD106" i="5" s="1"/>
  <c r="AD107" i="5" s="1"/>
  <c r="AD108" i="5" s="1"/>
  <c r="AD109" i="5" s="1"/>
  <c r="AD110" i="5" s="1"/>
  <c r="AD111" i="5" s="1"/>
  <c r="AD112" i="5" s="1"/>
  <c r="AD113" i="5" s="1"/>
  <c r="AD114" i="5" s="1"/>
  <c r="AD115" i="5" s="1"/>
  <c r="AD116" i="5" s="1"/>
  <c r="AD117" i="5" s="1"/>
  <c r="AD118" i="5" s="1"/>
  <c r="AD119" i="5" s="1"/>
  <c r="AD120" i="5" s="1"/>
  <c r="AD121" i="5" s="1"/>
  <c r="AD122" i="5" s="1"/>
  <c r="AD123" i="5" s="1"/>
  <c r="AD124" i="5" s="1"/>
  <c r="AD125" i="5" s="1"/>
  <c r="AD126" i="5" s="1"/>
  <c r="AD127" i="5" s="1"/>
  <c r="AD128" i="5" s="1"/>
  <c r="AD129" i="5" s="1"/>
  <c r="AD130" i="5" s="1"/>
  <c r="AD131" i="5" s="1"/>
  <c r="AD132" i="5" s="1"/>
  <c r="AD133" i="5" s="1"/>
  <c r="AD134" i="5" s="1"/>
  <c r="AD135" i="5" s="1"/>
  <c r="AD136" i="5" s="1"/>
  <c r="AD137" i="5" s="1"/>
  <c r="AD138" i="5" s="1"/>
  <c r="AD139" i="5" s="1"/>
  <c r="AD140" i="5" s="1"/>
  <c r="AD141" i="5" s="1"/>
  <c r="AD142" i="5" s="1"/>
  <c r="AD143" i="5" s="1"/>
  <c r="AD144" i="5" s="1"/>
  <c r="AD145" i="5" s="1"/>
  <c r="AD146" i="5" s="1"/>
  <c r="AD147" i="5" s="1"/>
  <c r="AD148" i="5" s="1"/>
  <c r="AD149" i="5" s="1"/>
  <c r="AD150" i="5" s="1"/>
  <c r="AD151" i="5" s="1"/>
  <c r="AD152" i="5" s="1"/>
  <c r="AD153" i="5" s="1"/>
  <c r="A4" i="5"/>
  <c r="A8" i="5" s="1"/>
  <c r="A12" i="5" s="1"/>
  <c r="A16" i="5" l="1"/>
  <c r="A24" i="5"/>
  <c r="A44" i="5" s="1"/>
  <c r="A28" i="5" l="1"/>
</calcChain>
</file>

<file path=xl/sharedStrings.xml><?xml version="1.0" encoding="utf-8"?>
<sst xmlns="http://schemas.openxmlformats.org/spreadsheetml/2006/main" count="514" uniqueCount="172">
  <si>
    <t xml:space="preserve">Renegade DX10-C (Auto) Corporate 300cc </t>
  </si>
  <si>
    <t xml:space="preserve">Engine </t>
  </si>
  <si>
    <t>Power (KW)</t>
  </si>
  <si>
    <t>Torque (Nm)</t>
  </si>
  <si>
    <t>Top Speed (mph)</t>
  </si>
  <si>
    <t>Top Speed (m/s)</t>
  </si>
  <si>
    <t xml:space="preserve">Engine Specifications </t>
  </si>
  <si>
    <t xml:space="preserve">Vehicle Specifications </t>
  </si>
  <si>
    <t xml:space="preserve">Transmission </t>
  </si>
  <si>
    <t xml:space="preserve">Drive </t>
  </si>
  <si>
    <t xml:space="preserve">Diff Lock </t>
  </si>
  <si>
    <t xml:space="preserve">Vehicle Dimensions </t>
  </si>
  <si>
    <t xml:space="preserve">Centre of Gravity </t>
  </si>
  <si>
    <t>Vehicle Mass</t>
  </si>
  <si>
    <t>Passenger (Y/N)</t>
  </si>
  <si>
    <t>Fuel (L)</t>
  </si>
  <si>
    <t>Fuel (Kg)</t>
  </si>
  <si>
    <t>Total (Kg)</t>
  </si>
  <si>
    <t xml:space="preserve">Wheel Dimensions </t>
  </si>
  <si>
    <t>Tank Capacity (L)</t>
  </si>
  <si>
    <t>Length (m)</t>
  </si>
  <si>
    <t>Width (m)</t>
  </si>
  <si>
    <t>Height (m)</t>
  </si>
  <si>
    <t>Ground Clearance (m)</t>
  </si>
  <si>
    <r>
      <t>Frontal Area (m</t>
    </r>
    <r>
      <rPr>
        <sz val="14"/>
        <color theme="1"/>
        <rFont val="Calibri"/>
        <family val="2"/>
      </rPr>
      <t>²)</t>
    </r>
  </si>
  <si>
    <t>Frontal Aero Area  (m²)</t>
  </si>
  <si>
    <t>Curb Weight (Kg)</t>
  </si>
  <si>
    <t>Driver (Kg)</t>
  </si>
  <si>
    <t>Driver Kit (Kg)</t>
  </si>
  <si>
    <t>Passenger (Kg)</t>
  </si>
  <si>
    <t>Passenger Kit (Kg)</t>
  </si>
  <si>
    <t>Front Wheel Size (In)</t>
  </si>
  <si>
    <t>Front Wheel Size (m)</t>
  </si>
  <si>
    <t>Front Tyre Side Wall (m)</t>
  </si>
  <si>
    <t>Rear Wheel Size  (In)</t>
  </si>
  <si>
    <t>Rear Wheel Size (m)</t>
  </si>
  <si>
    <t>Rear Tyre Side Wall (m)</t>
  </si>
  <si>
    <t>Rolling Radius (m)</t>
  </si>
  <si>
    <t>Rolling Circumference (m)</t>
  </si>
  <si>
    <t xml:space="preserve">278cc Petrol Single Cylinder 4-Stroke ICE </t>
  </si>
  <si>
    <t>Power (BHP) (@6500)</t>
  </si>
  <si>
    <t>Torque (Nm) (@5500)</t>
  </si>
  <si>
    <t xml:space="preserve">Auto CVT with F/N/R </t>
  </si>
  <si>
    <t xml:space="preserve">CVT Clutch </t>
  </si>
  <si>
    <t xml:space="preserve">Locked Rear Axle </t>
  </si>
  <si>
    <t xml:space="preserve">Very Low </t>
  </si>
  <si>
    <t>Y</t>
  </si>
  <si>
    <t>N</t>
  </si>
  <si>
    <t xml:space="preserve">Assumptions </t>
  </si>
  <si>
    <t xml:space="preserve">Coefficient of Drag </t>
  </si>
  <si>
    <t>RPM</t>
  </si>
  <si>
    <t>Power(BHP)</t>
  </si>
  <si>
    <t>Power (w)</t>
  </si>
  <si>
    <t xml:space="preserve">Gearing </t>
  </si>
  <si>
    <t xml:space="preserve">Primary </t>
  </si>
  <si>
    <t xml:space="preserve">First </t>
  </si>
  <si>
    <t xml:space="preserve">Second </t>
  </si>
  <si>
    <t xml:space="preserve">Third </t>
  </si>
  <si>
    <t xml:space="preserve">Final </t>
  </si>
  <si>
    <t xml:space="preserve">Velocity (m/s) 1st Gear </t>
  </si>
  <si>
    <t xml:space="preserve">Velocity (m/s) 2st Gear </t>
  </si>
  <si>
    <t xml:space="preserve">Velocity (m/s) 3st Gear </t>
  </si>
  <si>
    <r>
      <t>Wheel Inertia (Kg.m</t>
    </r>
    <r>
      <rPr>
        <sz val="14"/>
        <color theme="1"/>
        <rFont val="Calibri"/>
        <family val="2"/>
      </rPr>
      <t>²)</t>
    </r>
  </si>
  <si>
    <t>Engine Inertia (Kg.m²)</t>
  </si>
  <si>
    <t>Ratio</t>
  </si>
  <si>
    <t xml:space="preserve">Reduced Masses </t>
  </si>
  <si>
    <t xml:space="preserve">Gear </t>
  </si>
  <si>
    <t>Reduced Mass</t>
  </si>
  <si>
    <t>Rear Wheel Travel (m)</t>
  </si>
  <si>
    <t>Distance Travelled @ Wheel (m)</t>
  </si>
  <si>
    <t>Sprocket Rotation</t>
  </si>
  <si>
    <t>Distance (m)</t>
  </si>
  <si>
    <t>φ</t>
  </si>
  <si>
    <t xml:space="preserve">Velocity (mph) 1st Gear </t>
  </si>
  <si>
    <t xml:space="preserve">Velocity (mph) 2st Gear </t>
  </si>
  <si>
    <t xml:space="preserve">Velocity (mph) 3st Gear </t>
  </si>
  <si>
    <t>Force (N) 1st</t>
  </si>
  <si>
    <t>Force (N) 2nd</t>
  </si>
  <si>
    <t xml:space="preserve">Force (N) 3rd </t>
  </si>
  <si>
    <t>Engine RPM</t>
  </si>
  <si>
    <t>Brake Specific Fuel Consumption (g/Kwh)</t>
  </si>
  <si>
    <t xml:space="preserve">Circuit Details </t>
  </si>
  <si>
    <t xml:space="preserve">Track </t>
  </si>
  <si>
    <t xml:space="preserve">Location </t>
  </si>
  <si>
    <t xml:space="preserve">Sectors </t>
  </si>
  <si>
    <t xml:space="preserve">Sector </t>
  </si>
  <si>
    <t xml:space="preserve">Surface Type </t>
  </si>
  <si>
    <t xml:space="preserve">Distance m </t>
  </si>
  <si>
    <t xml:space="preserve">Willow Springs </t>
  </si>
  <si>
    <t>S1</t>
  </si>
  <si>
    <t xml:space="preserve">Tarmac </t>
  </si>
  <si>
    <t>T1</t>
  </si>
  <si>
    <t>S2</t>
  </si>
  <si>
    <t>T2</t>
  </si>
  <si>
    <t>S3</t>
  </si>
  <si>
    <t xml:space="preserve">Gravel </t>
  </si>
  <si>
    <t>S4</t>
  </si>
  <si>
    <t>S5</t>
  </si>
  <si>
    <t>S6</t>
  </si>
  <si>
    <t>S7</t>
  </si>
  <si>
    <t>S8</t>
  </si>
  <si>
    <t>S9</t>
  </si>
  <si>
    <t>S10</t>
  </si>
  <si>
    <t>T3</t>
  </si>
  <si>
    <t>T4</t>
  </si>
  <si>
    <t>Mud</t>
  </si>
  <si>
    <t>T5</t>
  </si>
  <si>
    <t>T6</t>
  </si>
  <si>
    <t>T7</t>
  </si>
  <si>
    <t>T8</t>
  </si>
  <si>
    <t>T9</t>
  </si>
  <si>
    <t>T10</t>
  </si>
  <si>
    <t>T8A</t>
  </si>
  <si>
    <t>T8B</t>
  </si>
  <si>
    <t>T10A</t>
  </si>
  <si>
    <t>T10B</t>
  </si>
  <si>
    <t>T10C</t>
  </si>
  <si>
    <t>Radius</t>
  </si>
  <si>
    <t>Corners</t>
  </si>
  <si>
    <t>Corner</t>
  </si>
  <si>
    <t>Max Velocity (m/s)</t>
  </si>
  <si>
    <t>Additional Information</t>
  </si>
  <si>
    <t xml:space="preserve">RR Coeficient Tarmac </t>
  </si>
  <si>
    <t>RR Coeficient Gravel</t>
  </si>
  <si>
    <t>RR Coeficient Mud</t>
  </si>
  <si>
    <t>Sector</t>
  </si>
  <si>
    <t>Time (s)</t>
  </si>
  <si>
    <t>Elavation (m)</t>
  </si>
  <si>
    <t xml:space="preserve">Velocity (m/s) </t>
  </si>
  <si>
    <t>Velocity (mph)</t>
  </si>
  <si>
    <t>Acceleration Force (N)</t>
  </si>
  <si>
    <t xml:space="preserve">RR Coeficient </t>
  </si>
  <si>
    <t>Rolling Drag (N)</t>
  </si>
  <si>
    <t xml:space="preserve">Forces due to Incline (N) </t>
  </si>
  <si>
    <t>Total Resistive Forces (N)</t>
  </si>
  <si>
    <t>Resistive Power (KW)</t>
  </si>
  <si>
    <t>Power Required per Second (KW)</t>
  </si>
  <si>
    <t>Remaining Power Available (KW)</t>
  </si>
  <si>
    <t xml:space="preserve">Torque (Nm) </t>
  </si>
  <si>
    <t>Workdone (J)</t>
  </si>
  <si>
    <t>Total Work Done (J)</t>
  </si>
  <si>
    <t>Fuel Consumption (g/KWh)</t>
  </si>
  <si>
    <t>Fuel Consumption (g/s)</t>
  </si>
  <si>
    <t>Kinetic Energy (KJ)</t>
  </si>
  <si>
    <t>Total Energy (KJ)</t>
  </si>
  <si>
    <t>Δ Distance (m)</t>
  </si>
  <si>
    <t>Total Distance (m)</t>
  </si>
  <si>
    <t xml:space="preserve">Mud </t>
  </si>
  <si>
    <t>Aero Drag (N)</t>
  </si>
  <si>
    <t>Total Fuel Consumption (g)</t>
  </si>
  <si>
    <t>Fuel / Lap (g)</t>
  </si>
  <si>
    <t>Fuel / Lap (L)</t>
  </si>
  <si>
    <t xml:space="preserve">Laps / Tank </t>
  </si>
  <si>
    <t>Fuel Price (£/L)</t>
  </si>
  <si>
    <t>Fuel Cost / Lap (£)</t>
  </si>
  <si>
    <t>Fuel Cost / Tank (£)</t>
  </si>
  <si>
    <t xml:space="preserve">Laps / Corporate Event </t>
  </si>
  <si>
    <t>Fuel Cost / Event (£)</t>
  </si>
  <si>
    <t>CO2 Production (g/s)</t>
  </si>
  <si>
    <r>
      <rPr>
        <b/>
        <sz val="14"/>
        <color theme="1"/>
        <rFont val="Calibri"/>
        <family val="2"/>
      </rPr>
      <t>Δ</t>
    </r>
    <r>
      <rPr>
        <b/>
        <sz val="14"/>
        <color theme="1"/>
        <rFont val="Calibri"/>
        <family val="2"/>
        <scheme val="minor"/>
      </rPr>
      <t xml:space="preserve"> Elevation (m)</t>
    </r>
  </si>
  <si>
    <r>
      <t>Gradient (</t>
    </r>
    <r>
      <rPr>
        <b/>
        <sz val="14"/>
        <color theme="1"/>
        <rFont val="Calibri"/>
        <family val="2"/>
      </rPr>
      <t>°)</t>
    </r>
  </si>
  <si>
    <r>
      <t>Acceleration (m/s</t>
    </r>
    <r>
      <rPr>
        <b/>
        <sz val="14"/>
        <color theme="1"/>
        <rFont val="Calibri"/>
        <family val="2"/>
      </rPr>
      <t>²)</t>
    </r>
  </si>
  <si>
    <t>Track Length (m)</t>
  </si>
  <si>
    <t>U.S.A</t>
  </si>
  <si>
    <t>Approximate Lap Time (s)</t>
  </si>
  <si>
    <t xml:space="preserve">Customers / Corporate Event </t>
  </si>
  <si>
    <t xml:space="preserve">Laps / Customer </t>
  </si>
  <si>
    <r>
      <t>CO</t>
    </r>
    <r>
      <rPr>
        <b/>
        <sz val="10"/>
        <color theme="1"/>
        <rFont val="Calibri"/>
        <family val="2"/>
        <scheme val="minor"/>
      </rPr>
      <t xml:space="preserve">2 </t>
    </r>
    <r>
      <rPr>
        <b/>
        <sz val="16"/>
        <color theme="1"/>
        <rFont val="Calibri"/>
        <family val="2"/>
        <scheme val="minor"/>
      </rPr>
      <t>Produced per Lap (Kg)</t>
    </r>
  </si>
  <si>
    <t>Fuel / Lap (Kg)</t>
  </si>
  <si>
    <r>
      <t>CO</t>
    </r>
    <r>
      <rPr>
        <b/>
        <sz val="10"/>
        <color theme="1"/>
        <rFont val="Calibri"/>
        <family val="2"/>
        <scheme val="minor"/>
      </rPr>
      <t xml:space="preserve">2 </t>
    </r>
    <r>
      <rPr>
        <b/>
        <sz val="16"/>
        <color theme="1"/>
        <rFont val="Calibri"/>
        <family val="2"/>
        <scheme val="minor"/>
      </rPr>
      <t>Produced per Event (Kg)</t>
    </r>
  </si>
  <si>
    <r>
      <t>Air Density (Kg/m</t>
    </r>
    <r>
      <rPr>
        <sz val="11"/>
        <color theme="1"/>
        <rFont val="Calibri"/>
        <family val="2"/>
      </rPr>
      <t>³)</t>
    </r>
  </si>
  <si>
    <r>
      <t>Gravity (m/s</t>
    </r>
    <r>
      <rPr>
        <sz val="11"/>
        <color theme="1"/>
        <rFont val="Calibri"/>
        <family val="2"/>
      </rPr>
      <t>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</si>
</sst>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4"/>
      <color rgb="FF006100"/>
      <name val="Calibri"/>
      <family val="2"/>
      <scheme val="minor"/>
    </font>
    <font>
      <b/>
      <sz val="18"/>
      <color rgb="FFFA7D00"/>
      <name val="Calibri"/>
      <family val="2"/>
      <scheme val="minor"/>
    </font>
    <font>
      <b/>
      <sz val="18"/>
      <color rgb="FF3F3F76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6" borderId="0" applyNumberFormat="0" applyBorder="0" applyAlignment="0" applyProtection="0"/>
    <xf numFmtId="0" fontId="6" fillId="7" borderId="9" applyNumberFormat="0" applyAlignment="0" applyProtection="0"/>
    <xf numFmtId="0" fontId="7" fillId="8" borderId="9" applyNumberFormat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3" fillId="5" borderId="6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2" fontId="3" fillId="4" borderId="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0" fillId="9" borderId="0" xfId="0" applyFill="1"/>
    <xf numFmtId="0" fontId="1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8" borderId="9" xfId="3" applyFont="1" applyAlignment="1">
      <alignment horizontal="center" vertical="center"/>
    </xf>
    <xf numFmtId="0" fontId="15" fillId="7" borderId="9" xfId="2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4">
    <cellStyle name="Calculation" xfId="3" builtinId="22"/>
    <cellStyle name="Good" xfId="1" builtinId="26"/>
    <cellStyle name="Input" xfId="2" builtinId="20"/>
    <cellStyle name="Normal" xfId="0" builtinId="0"/>
  </cellStyles>
  <dxfs count="0"/>
  <tableStyles count="0" defaultTableStyle="TableStyleMedium2" defaultPivotStyle="PivotStyleLight16"/>
  <colors>
    <mruColors>
      <color rgb="FF86F2A0"/>
      <color rgb="FF4FF5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solidFill>
                  <a:schemeClr val="tx1"/>
                </a:solidFill>
                <a:effectLst/>
              </a:rPr>
              <a:t>Brake Specific Fuel Consumption (g/Kwh) Against RPM &amp; Torque (Nm)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25"/>
      <c:rotY val="3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6331140449455205E-2"/>
          <c:y val="3.9931429645988482E-2"/>
          <c:w val="0.96679335418649381"/>
          <c:h val="0.88177882199131619"/>
        </c:manualLayout>
      </c:layout>
      <c:surface3DChart>
        <c:wireframe val="0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3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C7-4B21-9A97-95DA378B4543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C7-4B21-9A97-95DA378B4543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C7-4B21-9A97-95DA378B4543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C7-4B21-9A97-95DA378B4543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C7-4B21-9A97-95DA378B4543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0000"/>
                  <a:shade val="95000"/>
                </a:schemeClr>
              </a:contourClr>
            </a:sp3d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EC7-4B21-9A97-95DA378B4543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5000"/>
                  <a:shade val="95000"/>
                </a:schemeClr>
              </a:contourClr>
            </a:sp3d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EC7-4B21-9A97-95DA378B4543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0000"/>
                  <a:shade val="95000"/>
                </a:schemeClr>
              </a:contourClr>
            </a:sp3d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EC7-4B21-9A97-95DA378B4543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5000"/>
                  <a:shade val="95000"/>
                </a:schemeClr>
              </a:contourClr>
            </a:sp3d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EC7-4B21-9A97-95DA378B4543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0000"/>
                  <a:shade val="95000"/>
                </a:schemeClr>
              </a:contourClr>
            </a:sp3d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EC7-4B21-9A97-95DA378B4543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5000"/>
                  <a:shade val="95000"/>
                </a:schemeClr>
              </a:contourClr>
            </a:sp3d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EC7-4B21-9A97-95DA378B4543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0000"/>
                  <a:shade val="95000"/>
                </a:schemeClr>
              </a:contourClr>
            </a:sp3d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EC7-4B21-9A97-95DA378B4543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5000"/>
                  <a:shade val="95000"/>
                </a:schemeClr>
              </a:contourClr>
            </a:sp3d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EC7-4B21-9A97-95DA378B4543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</a:schemeClr>
              </a:contourClr>
            </a:sp3d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EC7-4B21-9A97-95DA378B4543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  <a:shade val="95000"/>
                </a:schemeClr>
              </a:contourClr>
            </a:sp3d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EC7-4B21-9A97-95DA378B4543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0000"/>
                  <a:shade val="95000"/>
                </a:schemeClr>
              </a:contourClr>
            </a:sp3d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EC7-4B21-9A97-95DA378B4543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5000"/>
                  <a:shade val="95000"/>
                </a:schemeClr>
              </a:contourClr>
            </a:sp3d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EC7-4B21-9A97-95DA378B4543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0000"/>
                  <a:shade val="95000"/>
                </a:schemeClr>
              </a:contourClr>
            </a:sp3d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EC7-4B21-9A97-95DA378B4543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5000"/>
                  <a:shade val="95000"/>
                </a:schemeClr>
              </a:contourClr>
            </a:sp3d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BEC7-4B21-9A97-95DA378B4543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0000"/>
                  <a:shade val="95000"/>
                </a:schemeClr>
              </a:contourClr>
            </a:sp3d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EC7-4B21-9A97-95DA378B4543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5000"/>
                  <a:shade val="95000"/>
                </a:schemeClr>
              </a:contourClr>
            </a:sp3d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EC7-4B21-9A97-95DA378B4543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0000"/>
                  <a:shade val="95000"/>
                </a:schemeClr>
              </a:contourClr>
            </a:sp3d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EC7-4B21-9A97-95DA378B4543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5000"/>
                  <a:shade val="95000"/>
                </a:schemeClr>
              </a:contourClr>
            </a:sp3d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BEC7-4B21-9A97-95DA378B4543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0000"/>
                  <a:shade val="95000"/>
                </a:schemeClr>
              </a:contourClr>
            </a:sp3d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BEC7-4B21-9A97-95DA378B4543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5000"/>
                  <a:shade val="95000"/>
                </a:schemeClr>
              </a:contourClr>
            </a:sp3d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BEC7-4B21-9A97-95DA378B4543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0000"/>
                  <a:shade val="95000"/>
                </a:schemeClr>
              </a:contourClr>
            </a:sp3d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BEC7-4B21-9A97-95DA378B4543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35000"/>
                  <a:shade val="95000"/>
                </a:schemeClr>
              </a:contourClr>
            </a:sp3d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BEC7-4B21-9A97-95DA378B4543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tint val="54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54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54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54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54000"/>
                    <a:shade val="95000"/>
                  </a:schemeClr>
                </a:contourClr>
              </a:sp3d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tint val="77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77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77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77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77000"/>
                    <a:shade val="95000"/>
                  </a:schemeClr>
                </a:contourClr>
              </a:sp3d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95000"/>
                  </a:schemeClr>
                </a:contourClr>
              </a:sp3d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hade val="76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76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76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76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76000"/>
                    <a:shade val="95000"/>
                  </a:schemeClr>
                </a:contourClr>
              </a:sp3d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</c:bandFmts>
        <c:axId val="316358152"/>
        <c:axId val="316358480"/>
        <c:axId val="583224064"/>
      </c:surface3DChart>
      <c:catAx>
        <c:axId val="316358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TORQUE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(N/M)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BRAKE SPECIFIC FUEL CONSUMPTION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(G/KWH)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9.0192667442070565E-2"/>
              <c:y val="0.5231125461014986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ENGINE RPM </a:t>
                </a:r>
              </a:p>
            </c:rich>
          </c:tx>
          <c:overlay val="0"/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cene3d>
      <a:camera prst="orthographicFront"/>
      <a:lightRig rig="threePt" dir="t"/>
    </a:scene3d>
    <a:sp3d prstMaterial="matte"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>
                <a:solidFill>
                  <a:schemeClr val="tx1"/>
                </a:solidFill>
              </a:rPr>
              <a:t>Brake Specific Fuel Consumption (g/Kwh) Against</a:t>
            </a:r>
            <a:r>
              <a:rPr lang="en-GB" sz="1800" baseline="0">
                <a:solidFill>
                  <a:schemeClr val="tx1"/>
                </a:solidFill>
              </a:rPr>
              <a:t> RPM &amp; Torque (Nm)</a:t>
            </a:r>
          </a:p>
        </c:rich>
      </c:tx>
      <c:layout>
        <c:manualLayout>
          <c:xMode val="edge"/>
          <c:yMode val="edge"/>
          <c:x val="0.19505717795527527"/>
          <c:y val="1.27939788826591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none" spc="2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4561582924079129E-2"/>
          <c:y val="5.2725408528647655E-2"/>
          <c:w val="0.88830017885230683"/>
          <c:h val="0.88177882199131619"/>
        </c:manualLayout>
      </c:layout>
      <c:surfaceChart>
        <c:wireframe val="0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3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11-41D9-8E79-9AD03A5FB3D2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11-41D9-8E79-9AD03A5FB3D2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11-41D9-8E79-9AD03A5FB3D2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11-41D9-8E79-9AD03A5FB3D2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11-41D9-8E79-9AD03A5FB3D2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0000"/>
                  <a:shade val="95000"/>
                </a:schemeClr>
              </a:contourClr>
            </a:sp3d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111-41D9-8E79-9AD03A5FB3D2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5000"/>
                  <a:shade val="95000"/>
                </a:schemeClr>
              </a:contourClr>
            </a:sp3d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111-41D9-8E79-9AD03A5FB3D2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0000"/>
                  <a:shade val="95000"/>
                </a:schemeClr>
              </a:contourClr>
            </a:sp3d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111-41D9-8E79-9AD03A5FB3D2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5000"/>
                  <a:shade val="95000"/>
                </a:schemeClr>
              </a:contourClr>
            </a:sp3d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111-41D9-8E79-9AD03A5FB3D2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0000"/>
                  <a:shade val="95000"/>
                </a:schemeClr>
              </a:contourClr>
            </a:sp3d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1111-41D9-8E79-9AD03A5FB3D2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5000"/>
                  <a:shade val="95000"/>
                </a:schemeClr>
              </a:contourClr>
            </a:sp3d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111-41D9-8E79-9AD03A5FB3D2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0000"/>
                  <a:shade val="95000"/>
                </a:schemeClr>
              </a:contourClr>
            </a:sp3d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1111-41D9-8E79-9AD03A5FB3D2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5000"/>
                  <a:shade val="95000"/>
                </a:schemeClr>
              </a:contourClr>
            </a:sp3d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1111-41D9-8E79-9AD03A5FB3D2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</a:schemeClr>
              </a:contourClr>
            </a:sp3d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1111-41D9-8E79-9AD03A5FB3D2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  <a:shade val="95000"/>
                </a:schemeClr>
              </a:contourClr>
            </a:sp3d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1111-41D9-8E79-9AD03A5FB3D2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0000"/>
                  <a:shade val="95000"/>
                </a:schemeClr>
              </a:contourClr>
            </a:sp3d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1111-41D9-8E79-9AD03A5FB3D2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5000"/>
                  <a:shade val="95000"/>
                </a:schemeClr>
              </a:contourClr>
            </a:sp3d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1111-41D9-8E79-9AD03A5FB3D2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0000"/>
                  <a:shade val="95000"/>
                </a:schemeClr>
              </a:contourClr>
            </a:sp3d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1111-41D9-8E79-9AD03A5FB3D2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5000"/>
                  <a:shade val="95000"/>
                </a:schemeClr>
              </a:contourClr>
            </a:sp3d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1111-41D9-8E79-9AD03A5FB3D2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0000"/>
                  <a:shade val="95000"/>
                </a:schemeClr>
              </a:contourClr>
            </a:sp3d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1111-41D9-8E79-9AD03A5FB3D2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5000"/>
                  <a:shade val="95000"/>
                </a:schemeClr>
              </a:contourClr>
            </a:sp3d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1111-41D9-8E79-9AD03A5FB3D2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0000"/>
                  <a:shade val="95000"/>
                </a:schemeClr>
              </a:contourClr>
            </a:sp3d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1111-41D9-8E79-9AD03A5FB3D2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5000"/>
                  <a:shade val="95000"/>
                </a:schemeClr>
              </a:contourClr>
            </a:sp3d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1111-41D9-8E79-9AD03A5FB3D2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0000"/>
                  <a:shade val="95000"/>
                </a:schemeClr>
              </a:contourClr>
            </a:sp3d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1111-41D9-8E79-9AD03A5FB3D2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5000"/>
                  <a:shade val="95000"/>
                </a:schemeClr>
              </a:contourClr>
            </a:sp3d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1111-41D9-8E79-9AD03A5FB3D2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0000"/>
                  <a:shade val="95000"/>
                </a:schemeClr>
              </a:contourClr>
            </a:sp3d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1111-41D9-8E79-9AD03A5FB3D2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35000"/>
                  <a:shade val="95000"/>
                </a:schemeClr>
              </a:contourClr>
            </a:sp3d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1111-41D9-8E79-9AD03A5FB3D2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tint val="54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54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54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54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54000"/>
                    <a:shade val="95000"/>
                  </a:schemeClr>
                </a:contourClr>
              </a:sp3d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tint val="77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77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77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77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77000"/>
                    <a:shade val="95000"/>
                  </a:schemeClr>
                </a:contourClr>
              </a:sp3d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95000"/>
                  </a:schemeClr>
                </a:contourClr>
              </a:sp3d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hade val="76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76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76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76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76000"/>
                    <a:shade val="95000"/>
                  </a:schemeClr>
                </a:contourClr>
              </a:sp3d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</c:bandFmts>
        <c:axId val="316358152"/>
        <c:axId val="316358480"/>
        <c:axId val="583224064"/>
      </c:surfaceChart>
      <c:catAx>
        <c:axId val="316358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Specific fuel consumption (g/Kwh)</a:t>
                </a:r>
              </a:p>
            </c:rich>
          </c:tx>
          <c:layout>
            <c:manualLayout>
              <c:xMode val="edge"/>
              <c:yMode val="edge"/>
              <c:x val="0.18623349978889608"/>
              <c:y val="0.668823099456115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 sz="1000" b="1"/>
              </a:p>
              <a:p>
                <a:pPr>
                  <a:defRPr/>
                </a:pPr>
                <a:r>
                  <a:rPr lang="en-GB" sz="1000" b="0"/>
                  <a:t>eNGINE</a:t>
                </a:r>
                <a:r>
                  <a:rPr lang="en-GB" b="0"/>
                  <a:t> </a:t>
                </a:r>
                <a:r>
                  <a:rPr lang="en-GB" sz="1000" b="0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solidFill>
                  <a:schemeClr val="tx1"/>
                </a:solidFill>
                <a:effectLst/>
              </a:rPr>
              <a:t>Brake Specific Fuel Consumption (g/Kwh) Against RPM &amp; Torque (Nm)</a:t>
            </a:r>
            <a:endParaRPr lang="en-GB">
              <a:solidFill>
                <a:schemeClr val="tx1"/>
              </a:solidFill>
              <a:effectLst/>
            </a:endParaRPr>
          </a:p>
        </c:rich>
      </c:tx>
      <c:layout>
        <c:manualLayout>
          <c:xMode val="edge"/>
          <c:yMode val="edge"/>
          <c:x val="0.23530775854795827"/>
          <c:y val="9.3114238706782527E-3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25"/>
      <c:rotY val="3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6331140449455205E-2"/>
          <c:y val="3.9931429645988482E-2"/>
          <c:w val="0.96679335418649381"/>
          <c:h val="0.88177882199131619"/>
        </c:manualLayout>
      </c:layout>
      <c:surface3DChart>
        <c:wireframe val="1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3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E3-46F6-B71C-3B65DA79B5FA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E3-46F6-B71C-3B65DA79B5FA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E3-46F6-B71C-3B65DA79B5FA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E3-46F6-B71C-3B65DA79B5FA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5E3-46F6-B71C-3B65DA79B5FA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0000"/>
                  <a:shade val="95000"/>
                </a:schemeClr>
              </a:contourClr>
            </a:sp3d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5E3-46F6-B71C-3B65DA79B5FA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5000"/>
                  <a:shade val="95000"/>
                </a:schemeClr>
              </a:contourClr>
            </a:sp3d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5E3-46F6-B71C-3B65DA79B5FA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0000"/>
                  <a:shade val="95000"/>
                </a:schemeClr>
              </a:contourClr>
            </a:sp3d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5E3-46F6-B71C-3B65DA79B5FA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5000"/>
                  <a:shade val="95000"/>
                </a:schemeClr>
              </a:contourClr>
            </a:sp3d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5E3-46F6-B71C-3B65DA79B5FA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0000"/>
                  <a:shade val="95000"/>
                </a:schemeClr>
              </a:contourClr>
            </a:sp3d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5E3-46F6-B71C-3B65DA79B5FA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5000"/>
                  <a:shade val="95000"/>
                </a:schemeClr>
              </a:contourClr>
            </a:sp3d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5E3-46F6-B71C-3B65DA79B5FA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0000"/>
                  <a:shade val="95000"/>
                </a:schemeClr>
              </a:contourClr>
            </a:sp3d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5E3-46F6-B71C-3B65DA79B5FA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5000"/>
                  <a:shade val="95000"/>
                </a:schemeClr>
              </a:contourClr>
            </a:sp3d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5E3-46F6-B71C-3B65DA79B5FA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</a:schemeClr>
              </a:contourClr>
            </a:sp3d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5E3-46F6-B71C-3B65DA79B5FA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  <a:shade val="95000"/>
                </a:schemeClr>
              </a:contourClr>
            </a:sp3d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5E3-46F6-B71C-3B65DA79B5FA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0000"/>
                  <a:shade val="95000"/>
                </a:schemeClr>
              </a:contourClr>
            </a:sp3d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5E3-46F6-B71C-3B65DA79B5FA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5000"/>
                  <a:shade val="95000"/>
                </a:schemeClr>
              </a:contourClr>
            </a:sp3d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5E3-46F6-B71C-3B65DA79B5FA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0000"/>
                  <a:shade val="95000"/>
                </a:schemeClr>
              </a:contourClr>
            </a:sp3d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5E3-46F6-B71C-3B65DA79B5FA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5000"/>
                  <a:shade val="95000"/>
                </a:schemeClr>
              </a:contourClr>
            </a:sp3d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65E3-46F6-B71C-3B65DA79B5FA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0000"/>
                  <a:shade val="95000"/>
                </a:schemeClr>
              </a:contourClr>
            </a:sp3d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65E3-46F6-B71C-3B65DA79B5FA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5000"/>
                  <a:shade val="95000"/>
                </a:schemeClr>
              </a:contourClr>
            </a:sp3d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65E3-46F6-B71C-3B65DA79B5FA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0000"/>
                  <a:shade val="95000"/>
                </a:schemeClr>
              </a:contourClr>
            </a:sp3d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65E3-46F6-B71C-3B65DA79B5FA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5000"/>
                  <a:shade val="95000"/>
                </a:schemeClr>
              </a:contourClr>
            </a:sp3d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65E3-46F6-B71C-3B65DA79B5FA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0000"/>
                  <a:shade val="95000"/>
                </a:schemeClr>
              </a:contourClr>
            </a:sp3d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65E3-46F6-B71C-3B65DA79B5FA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5000"/>
                  <a:shade val="95000"/>
                </a:schemeClr>
              </a:contourClr>
            </a:sp3d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65E3-46F6-B71C-3B65DA79B5FA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0000"/>
                  <a:shade val="95000"/>
                </a:schemeClr>
              </a:contourClr>
            </a:sp3d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65E3-46F6-B71C-3B65DA79B5FA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35000"/>
                  <a:shade val="95000"/>
                </a:schemeClr>
              </a:contourClr>
            </a:sp3d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65E3-46F6-B71C-3B65DA79B5FA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tint val="54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54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54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54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54000"/>
                    <a:shade val="95000"/>
                  </a:schemeClr>
                </a:contourClr>
              </a:sp3d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tint val="77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77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77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77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77000"/>
                    <a:shade val="95000"/>
                  </a:schemeClr>
                </a:contourClr>
              </a:sp3d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95000"/>
                  </a:schemeClr>
                </a:contourClr>
              </a:sp3d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hade val="76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76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76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76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76000"/>
                    <a:shade val="95000"/>
                  </a:schemeClr>
                </a:contourClr>
              </a:sp3d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</c:bandFmts>
        <c:axId val="316358152"/>
        <c:axId val="316358480"/>
        <c:axId val="583224064"/>
      </c:surface3DChart>
      <c:catAx>
        <c:axId val="316358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TORQU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E (N/M)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BRAKE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SPECIFIC FUEL CONSUMPTION (G/KWH)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8.9343090532968017E-2"/>
              <c:y val="0.5299666548379812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ENEGINE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RPM</a:t>
                </a:r>
              </a:p>
            </c:rich>
          </c:tx>
          <c:overlay val="0"/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cene3d>
      <a:camera prst="orthographicFront"/>
      <a:lightRig rig="threePt" dir="t"/>
    </a:scene3d>
    <a:sp3d prstMaterial="matte"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solidFill>
                  <a:schemeClr val="tx1"/>
                </a:solidFill>
                <a:effectLst/>
              </a:rPr>
              <a:t>Brake Specific Fuel Consumption (g/Kwh) Against RPM &amp; Torque (Nm)</a:t>
            </a:r>
            <a:endParaRPr lang="en-GB">
              <a:solidFill>
                <a:schemeClr val="tx1"/>
              </a:solidFill>
              <a:effectLst/>
            </a:endParaRPr>
          </a:p>
        </c:rich>
      </c:tx>
      <c:layout>
        <c:manualLayout>
          <c:xMode val="edge"/>
          <c:yMode val="edge"/>
          <c:x val="0.21535476798961939"/>
          <c:y val="1.27939788826591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 w="6350" cap="flat" cmpd="sng" algn="ctr">
          <a:noFill/>
          <a:prstDash val="solid"/>
          <a:round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8225065616798E-2"/>
          <c:y val="5.2725408528647655E-2"/>
          <c:w val="0.92788353018372705"/>
          <c:h val="0.88177882199131619"/>
        </c:manualLayout>
      </c:layout>
      <c:surfaceChart>
        <c:wireframe val="1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9-416F-816B-8C47D61E7A67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D9-416F-816B-8C47D61E7A67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D9-416F-816B-8C47D61E7A67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D9-416F-816B-8C47D61E7A67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D9-416F-816B-8C47D61E7A67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2D9-416F-816B-8C47D61E7A67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0000"/>
                </a:schemeClr>
              </a:solidFill>
              <a:prstDash val="solid"/>
              <a:round/>
            </a:ln>
            <a:effectLst/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2D9-416F-816B-8C47D61E7A67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2D9-416F-816B-8C47D61E7A67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2D9-416F-816B-8C47D61E7A67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2D9-416F-816B-8C47D61E7A67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2D9-416F-816B-8C47D61E7A67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2D9-416F-816B-8C47D61E7A67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2D9-416F-816B-8C47D61E7A67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0000"/>
                </a:schemeClr>
              </a:solidFill>
              <a:prstDash val="solid"/>
              <a:round/>
            </a:ln>
            <a:effectLst/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2D9-416F-816B-8C47D61E7A67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2D9-416F-816B-8C47D61E7A67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2D9-416F-816B-8C47D61E7A67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2D9-416F-816B-8C47D61E7A67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2D9-416F-816B-8C47D61E7A67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2D9-416F-816B-8C47D61E7A67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2D9-416F-816B-8C47D61E7A67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0000"/>
                </a:schemeClr>
              </a:solidFill>
              <a:prstDash val="solid"/>
              <a:round/>
            </a:ln>
            <a:effectLst/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2D9-416F-816B-8C47D61E7A67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2D9-416F-816B-8C47D61E7A67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2D9-416F-816B-8C47D61E7A67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32D9-416F-816B-8C47D61E7A67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2D9-416F-816B-8C47D61E7A67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32D9-416F-816B-8C47D61E7A67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32D9-416F-816B-8C47D61E7A67}"/>
            </c:ext>
          </c:extLst>
        </c:ser>
        <c:bandFmts>
          <c:bandFmt>
            <c:idx val="0"/>
            <c:spPr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"/>
            <c:spPr>
              <a:ln w="6350" cap="flat" cmpd="sng" algn="ctr">
                <a:solidFill>
                  <a:schemeClr val="dk1">
                    <a:tint val="5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2"/>
            <c:spPr>
              <a:ln w="6350" cap="flat" cmpd="sng" algn="ctr">
                <a:solidFill>
                  <a:schemeClr val="dk1">
                    <a:tint val="7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3"/>
            <c:spPr>
              <a:ln w="6350" cap="flat" cmpd="sng" algn="ctr">
                <a:solidFill>
                  <a:schemeClr val="dk1">
                    <a:tint val="9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4"/>
            <c:spPr>
              <a:ln w="6350" cap="flat" cmpd="sng" algn="ctr">
                <a:solidFill>
                  <a:schemeClr val="dk1">
                    <a:tint val="3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5"/>
            <c:spPr>
              <a:ln w="6350" cap="flat" cmpd="sng" algn="ctr">
                <a:solidFill>
                  <a:schemeClr val="dk1">
                    <a:tint val="6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6"/>
            <c:spPr>
              <a:ln w="6350" cap="flat" cmpd="sng" algn="ctr">
                <a:solidFill>
                  <a:schemeClr val="dk1">
                    <a:tint val="8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7"/>
            <c:spPr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8"/>
            <c:spPr>
              <a:ln w="6350" cap="flat" cmpd="sng" algn="ctr">
                <a:solidFill>
                  <a:schemeClr val="dk1">
                    <a:tint val="5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9"/>
            <c:spPr>
              <a:ln w="6350" cap="flat" cmpd="sng" algn="ctr">
                <a:solidFill>
                  <a:schemeClr val="dk1">
                    <a:tint val="7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0"/>
            <c:spPr>
              <a:ln w="6350" cap="flat" cmpd="sng" algn="ctr">
                <a:solidFill>
                  <a:schemeClr val="dk1">
                    <a:tint val="9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1"/>
            <c:spPr>
              <a:ln w="6350" cap="flat" cmpd="sng" algn="ctr">
                <a:solidFill>
                  <a:schemeClr val="dk1">
                    <a:tint val="3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2"/>
            <c:spPr>
              <a:ln w="6350" cap="flat" cmpd="sng" algn="ctr">
                <a:solidFill>
                  <a:schemeClr val="dk1">
                    <a:tint val="6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3"/>
            <c:spPr>
              <a:ln w="6350" cap="flat" cmpd="sng" algn="ctr">
                <a:solidFill>
                  <a:schemeClr val="dk1">
                    <a:tint val="8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4"/>
            <c:spPr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/>
            </c:spPr>
          </c:bandFmt>
        </c:bandFmts>
        <c:axId val="316358152"/>
        <c:axId val="316358480"/>
        <c:axId val="583224064"/>
      </c:surfaceChart>
      <c:catAx>
        <c:axId val="316358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BRAKE SPECIFIC FUEL CONSUMPTION (G/KWH)</a:t>
                </a:r>
              </a:p>
            </c:rich>
          </c:tx>
          <c:layout>
            <c:manualLayout>
              <c:xMode val="edge"/>
              <c:yMode val="edge"/>
              <c:x val="0.20761267012430515"/>
              <c:y val="0.67024465266530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one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'!$G$2</c:f>
              <c:strCache>
                <c:ptCount val="1"/>
                <c:pt idx="0">
                  <c:v>Elavation (m)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'!$G$3:$G$152</c:f>
              <c:numCache>
                <c:formatCode>General</c:formatCode>
                <c:ptCount val="150"/>
                <c:pt idx="0">
                  <c:v>10</c:v>
                </c:pt>
                <c:pt idx="1">
                  <c:v>10.02</c:v>
                </c:pt>
                <c:pt idx="2">
                  <c:v>10.039999999999999</c:v>
                </c:pt>
                <c:pt idx="3">
                  <c:v>10.08</c:v>
                </c:pt>
                <c:pt idx="4">
                  <c:v>10.15</c:v>
                </c:pt>
                <c:pt idx="5">
                  <c:v>10.4</c:v>
                </c:pt>
                <c:pt idx="6">
                  <c:v>10.8</c:v>
                </c:pt>
                <c:pt idx="7">
                  <c:v>11.3</c:v>
                </c:pt>
                <c:pt idx="8">
                  <c:v>11.9</c:v>
                </c:pt>
                <c:pt idx="9">
                  <c:v>12.65</c:v>
                </c:pt>
                <c:pt idx="10">
                  <c:v>13.52</c:v>
                </c:pt>
                <c:pt idx="11">
                  <c:v>14.3</c:v>
                </c:pt>
                <c:pt idx="12">
                  <c:v>14.8</c:v>
                </c:pt>
                <c:pt idx="13">
                  <c:v>15.5</c:v>
                </c:pt>
                <c:pt idx="14">
                  <c:v>16</c:v>
                </c:pt>
                <c:pt idx="15">
                  <c:v>16.3</c:v>
                </c:pt>
                <c:pt idx="16">
                  <c:v>16.5</c:v>
                </c:pt>
                <c:pt idx="17">
                  <c:v>17</c:v>
                </c:pt>
                <c:pt idx="18">
                  <c:v>17.399999999999999</c:v>
                </c:pt>
                <c:pt idx="19">
                  <c:v>17.8</c:v>
                </c:pt>
                <c:pt idx="20">
                  <c:v>18.2</c:v>
                </c:pt>
                <c:pt idx="21">
                  <c:v>18.5</c:v>
                </c:pt>
                <c:pt idx="22">
                  <c:v>18.7</c:v>
                </c:pt>
                <c:pt idx="23">
                  <c:v>18.2</c:v>
                </c:pt>
                <c:pt idx="24">
                  <c:v>17.2</c:v>
                </c:pt>
                <c:pt idx="25">
                  <c:v>16</c:v>
                </c:pt>
                <c:pt idx="26">
                  <c:v>15</c:v>
                </c:pt>
                <c:pt idx="27">
                  <c:v>14.2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13.8</c:v>
                </c:pt>
                <c:pt idx="32">
                  <c:v>13.2</c:v>
                </c:pt>
                <c:pt idx="33">
                  <c:v>12</c:v>
                </c:pt>
                <c:pt idx="34">
                  <c:v>11</c:v>
                </c:pt>
                <c:pt idx="35">
                  <c:v>10</c:v>
                </c:pt>
                <c:pt idx="36">
                  <c:v>9</c:v>
                </c:pt>
                <c:pt idx="37">
                  <c:v>8</c:v>
                </c:pt>
                <c:pt idx="38">
                  <c:v>7</c:v>
                </c:pt>
                <c:pt idx="39">
                  <c:v>6</c:v>
                </c:pt>
                <c:pt idx="40">
                  <c:v>5.5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4.8</c:v>
                </c:pt>
                <c:pt idx="50">
                  <c:v>4.4000000000000004</c:v>
                </c:pt>
                <c:pt idx="51">
                  <c:v>3.6</c:v>
                </c:pt>
                <c:pt idx="52">
                  <c:v>2.6</c:v>
                </c:pt>
                <c:pt idx="53">
                  <c:v>1.6</c:v>
                </c:pt>
                <c:pt idx="54">
                  <c:v>0.8</c:v>
                </c:pt>
                <c:pt idx="55">
                  <c:v>0.3</c:v>
                </c:pt>
                <c:pt idx="56">
                  <c:v>0.1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0.2</c:v>
                </c:pt>
                <c:pt idx="62">
                  <c:v>0.6</c:v>
                </c:pt>
                <c:pt idx="63">
                  <c:v>1</c:v>
                </c:pt>
                <c:pt idx="64">
                  <c:v>1.5</c:v>
                </c:pt>
                <c:pt idx="65">
                  <c:v>2.1</c:v>
                </c:pt>
                <c:pt idx="66">
                  <c:v>2.8</c:v>
                </c:pt>
                <c:pt idx="67">
                  <c:v>3.6</c:v>
                </c:pt>
                <c:pt idx="68">
                  <c:v>4.5</c:v>
                </c:pt>
                <c:pt idx="69">
                  <c:v>4.8</c:v>
                </c:pt>
                <c:pt idx="70">
                  <c:v>4.4000000000000004</c:v>
                </c:pt>
                <c:pt idx="71">
                  <c:v>3.6</c:v>
                </c:pt>
                <c:pt idx="72">
                  <c:v>3.6</c:v>
                </c:pt>
                <c:pt idx="73">
                  <c:v>4</c:v>
                </c:pt>
                <c:pt idx="74">
                  <c:v>4.8</c:v>
                </c:pt>
                <c:pt idx="75">
                  <c:v>5.8</c:v>
                </c:pt>
                <c:pt idx="76">
                  <c:v>7</c:v>
                </c:pt>
                <c:pt idx="77">
                  <c:v>8.1999999999999993</c:v>
                </c:pt>
                <c:pt idx="78">
                  <c:v>9.4</c:v>
                </c:pt>
                <c:pt idx="79">
                  <c:v>10.6</c:v>
                </c:pt>
                <c:pt idx="80">
                  <c:v>11.8</c:v>
                </c:pt>
                <c:pt idx="81">
                  <c:v>13</c:v>
                </c:pt>
                <c:pt idx="82">
                  <c:v>14.2</c:v>
                </c:pt>
                <c:pt idx="83">
                  <c:v>15</c:v>
                </c:pt>
                <c:pt idx="84">
                  <c:v>15.6</c:v>
                </c:pt>
                <c:pt idx="85">
                  <c:v>16.2</c:v>
                </c:pt>
                <c:pt idx="86">
                  <c:v>16.8</c:v>
                </c:pt>
                <c:pt idx="87">
                  <c:v>17.399999999999999</c:v>
                </c:pt>
                <c:pt idx="88">
                  <c:v>18</c:v>
                </c:pt>
                <c:pt idx="89">
                  <c:v>18.600000000000001</c:v>
                </c:pt>
                <c:pt idx="90">
                  <c:v>19.2</c:v>
                </c:pt>
                <c:pt idx="91">
                  <c:v>19.5</c:v>
                </c:pt>
                <c:pt idx="92">
                  <c:v>19.8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20</c:v>
                </c:pt>
                <c:pt idx="99">
                  <c:v>20</c:v>
                </c:pt>
                <c:pt idx="100">
                  <c:v>20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19.5</c:v>
                </c:pt>
                <c:pt idx="119">
                  <c:v>18.5</c:v>
                </c:pt>
                <c:pt idx="120">
                  <c:v>17.2</c:v>
                </c:pt>
                <c:pt idx="121">
                  <c:v>16</c:v>
                </c:pt>
                <c:pt idx="122">
                  <c:v>14.8</c:v>
                </c:pt>
                <c:pt idx="123">
                  <c:v>13.6</c:v>
                </c:pt>
                <c:pt idx="124">
                  <c:v>12.6</c:v>
                </c:pt>
                <c:pt idx="125">
                  <c:v>11.6</c:v>
                </c:pt>
                <c:pt idx="126">
                  <c:v>10.6</c:v>
                </c:pt>
                <c:pt idx="127">
                  <c:v>10</c:v>
                </c:pt>
                <c:pt idx="128">
                  <c:v>10</c:v>
                </c:pt>
                <c:pt idx="129">
                  <c:v>10.3</c:v>
                </c:pt>
                <c:pt idx="130">
                  <c:v>11</c:v>
                </c:pt>
                <c:pt idx="131">
                  <c:v>11.8</c:v>
                </c:pt>
                <c:pt idx="132">
                  <c:v>12.6</c:v>
                </c:pt>
                <c:pt idx="133">
                  <c:v>13.4</c:v>
                </c:pt>
                <c:pt idx="134">
                  <c:v>14.2</c:v>
                </c:pt>
                <c:pt idx="135">
                  <c:v>15</c:v>
                </c:pt>
                <c:pt idx="136">
                  <c:v>15.8</c:v>
                </c:pt>
                <c:pt idx="137">
                  <c:v>16.600000000000001</c:v>
                </c:pt>
                <c:pt idx="138">
                  <c:v>17.2</c:v>
                </c:pt>
                <c:pt idx="139">
                  <c:v>17.5</c:v>
                </c:pt>
                <c:pt idx="140">
                  <c:v>17.5</c:v>
                </c:pt>
                <c:pt idx="141">
                  <c:v>17.2</c:v>
                </c:pt>
                <c:pt idx="142">
                  <c:v>16.5</c:v>
                </c:pt>
                <c:pt idx="143">
                  <c:v>15.5</c:v>
                </c:pt>
                <c:pt idx="144">
                  <c:v>14.5</c:v>
                </c:pt>
                <c:pt idx="145">
                  <c:v>13.5</c:v>
                </c:pt>
                <c:pt idx="146">
                  <c:v>12.5</c:v>
                </c:pt>
                <c:pt idx="147">
                  <c:v>11.5</c:v>
                </c:pt>
                <c:pt idx="148">
                  <c:v>10.5</c:v>
                </c:pt>
                <c:pt idx="14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CF-47A6-94E7-4C3DD4BE4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'!$W$2</c:f>
              <c:strCache>
                <c:ptCount val="1"/>
                <c:pt idx="0">
                  <c:v>Power Required per Second (KW)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'!$W$3:$W$152</c:f>
              <c:numCache>
                <c:formatCode>General</c:formatCode>
                <c:ptCount val="150"/>
                <c:pt idx="0">
                  <c:v>0</c:v>
                </c:pt>
                <c:pt idx="1">
                  <c:v>0.60217848272409169</c:v>
                </c:pt>
                <c:pt idx="2">
                  <c:v>0.70826311803977515</c:v>
                </c:pt>
                <c:pt idx="3">
                  <c:v>1.0615524157168417</c:v>
                </c:pt>
                <c:pt idx="4">
                  <c:v>2.0330364812485606</c:v>
                </c:pt>
                <c:pt idx="5">
                  <c:v>3.5574245741794348</c:v>
                </c:pt>
                <c:pt idx="6">
                  <c:v>5.8284567720806271</c:v>
                </c:pt>
                <c:pt idx="7">
                  <c:v>6.1615530785099217</c:v>
                </c:pt>
                <c:pt idx="8">
                  <c:v>8.4788648400148308</c:v>
                </c:pt>
                <c:pt idx="9">
                  <c:v>7.9382086374669543</c:v>
                </c:pt>
                <c:pt idx="10">
                  <c:v>9.7691032705343677</c:v>
                </c:pt>
                <c:pt idx="11">
                  <c:v>12.200837504722434</c:v>
                </c:pt>
                <c:pt idx="12">
                  <c:v>11.707801759358153</c:v>
                </c:pt>
                <c:pt idx="13">
                  <c:v>5.7979211169204223</c:v>
                </c:pt>
                <c:pt idx="14">
                  <c:v>11.647457435569542</c:v>
                </c:pt>
                <c:pt idx="15">
                  <c:v>11.415204788337835</c:v>
                </c:pt>
                <c:pt idx="16">
                  <c:v>11.783773996199773</c:v>
                </c:pt>
                <c:pt idx="17">
                  <c:v>2.5966508627003071</c:v>
                </c:pt>
                <c:pt idx="18">
                  <c:v>0.63447682162333319</c:v>
                </c:pt>
                <c:pt idx="19">
                  <c:v>4.2656964792253014</c:v>
                </c:pt>
                <c:pt idx="20">
                  <c:v>0.65561243876773279</c:v>
                </c:pt>
                <c:pt idx="21">
                  <c:v>0.11121905210040153</c:v>
                </c:pt>
                <c:pt idx="22">
                  <c:v>2.938764764305358</c:v>
                </c:pt>
                <c:pt idx="23">
                  <c:v>1.3760167891310204</c:v>
                </c:pt>
                <c:pt idx="24">
                  <c:v>1.7053432558237085</c:v>
                </c:pt>
                <c:pt idx="25">
                  <c:v>2.1761604773462984</c:v>
                </c:pt>
                <c:pt idx="26">
                  <c:v>3.9830236103808683</c:v>
                </c:pt>
                <c:pt idx="27">
                  <c:v>6.0601774536227371</c:v>
                </c:pt>
                <c:pt idx="28">
                  <c:v>1.2815254773192155</c:v>
                </c:pt>
                <c:pt idx="29">
                  <c:v>2.4277927325137907</c:v>
                </c:pt>
                <c:pt idx="30">
                  <c:v>2.4277927325137907</c:v>
                </c:pt>
                <c:pt idx="31">
                  <c:v>1.2815254773192155</c:v>
                </c:pt>
                <c:pt idx="32">
                  <c:v>1.007909478794289</c:v>
                </c:pt>
                <c:pt idx="33">
                  <c:v>4.4228127933321773</c:v>
                </c:pt>
                <c:pt idx="34">
                  <c:v>3.2880875406801309</c:v>
                </c:pt>
                <c:pt idx="35">
                  <c:v>3.2880875406801309</c:v>
                </c:pt>
                <c:pt idx="36">
                  <c:v>3.2880875406801309</c:v>
                </c:pt>
                <c:pt idx="37">
                  <c:v>3.2880875406801309</c:v>
                </c:pt>
                <c:pt idx="38">
                  <c:v>1.761906397379001</c:v>
                </c:pt>
                <c:pt idx="39">
                  <c:v>1.761906397379001</c:v>
                </c:pt>
                <c:pt idx="40">
                  <c:v>3.0742924331400086</c:v>
                </c:pt>
                <c:pt idx="41">
                  <c:v>3.1260138098840509</c:v>
                </c:pt>
                <c:pt idx="42">
                  <c:v>3.8176931387118214</c:v>
                </c:pt>
                <c:pt idx="43">
                  <c:v>3.5568105693126872</c:v>
                </c:pt>
                <c:pt idx="44">
                  <c:v>4.2651584151689317</c:v>
                </c:pt>
                <c:pt idx="45">
                  <c:v>2.3513843371561025</c:v>
                </c:pt>
                <c:pt idx="46">
                  <c:v>2.3513843371561025</c:v>
                </c:pt>
                <c:pt idx="47">
                  <c:v>2.3513843371561025</c:v>
                </c:pt>
                <c:pt idx="48">
                  <c:v>2.3513843371561025</c:v>
                </c:pt>
                <c:pt idx="49">
                  <c:v>1.2052688887634042</c:v>
                </c:pt>
                <c:pt idx="50">
                  <c:v>6.0837870988356274E-2</c:v>
                </c:pt>
                <c:pt idx="51">
                  <c:v>0.14712779340447754</c:v>
                </c:pt>
                <c:pt idx="52">
                  <c:v>1.8876882717932948</c:v>
                </c:pt>
                <c:pt idx="53">
                  <c:v>0.76957672798577559</c:v>
                </c:pt>
                <c:pt idx="54">
                  <c:v>6.0117046080305849</c:v>
                </c:pt>
                <c:pt idx="55">
                  <c:v>8.766641232953349</c:v>
                </c:pt>
                <c:pt idx="56">
                  <c:v>6.9125636248660332</c:v>
                </c:pt>
                <c:pt idx="57">
                  <c:v>3.380791745968037</c:v>
                </c:pt>
                <c:pt idx="58">
                  <c:v>3.953973875814921</c:v>
                </c:pt>
                <c:pt idx="59">
                  <c:v>3.953973875814921</c:v>
                </c:pt>
                <c:pt idx="60">
                  <c:v>4.0514904259589031</c:v>
                </c:pt>
                <c:pt idx="61">
                  <c:v>5.8597466993021481</c:v>
                </c:pt>
                <c:pt idx="62">
                  <c:v>1.1261241103546917</c:v>
                </c:pt>
                <c:pt idx="63">
                  <c:v>0.82111034071364397</c:v>
                </c:pt>
                <c:pt idx="64">
                  <c:v>5.2129913087521169</c:v>
                </c:pt>
                <c:pt idx="65">
                  <c:v>5.7830053095596652</c:v>
                </c:pt>
                <c:pt idx="66">
                  <c:v>6.3517677174333347</c:v>
                </c:pt>
                <c:pt idx="67">
                  <c:v>2.7543314155367185</c:v>
                </c:pt>
                <c:pt idx="68">
                  <c:v>10.397521050506692</c:v>
                </c:pt>
                <c:pt idx="69">
                  <c:v>9.7516397773527199</c:v>
                </c:pt>
                <c:pt idx="70">
                  <c:v>10.502115295077925</c:v>
                </c:pt>
                <c:pt idx="71">
                  <c:v>7.3617879271046585</c:v>
                </c:pt>
                <c:pt idx="72">
                  <c:v>8.7245884873071429</c:v>
                </c:pt>
                <c:pt idx="73">
                  <c:v>3.3346434597714909</c:v>
                </c:pt>
                <c:pt idx="74">
                  <c:v>2.1151485652433162</c:v>
                </c:pt>
                <c:pt idx="75">
                  <c:v>3.4002441851084111</c:v>
                </c:pt>
                <c:pt idx="76">
                  <c:v>7.4479152753216802</c:v>
                </c:pt>
                <c:pt idx="77">
                  <c:v>6.9985275342568212</c:v>
                </c:pt>
                <c:pt idx="78">
                  <c:v>10.029252567165065</c:v>
                </c:pt>
                <c:pt idx="79">
                  <c:v>10.029252567165056</c:v>
                </c:pt>
                <c:pt idx="80">
                  <c:v>10.029252567165065</c:v>
                </c:pt>
                <c:pt idx="81">
                  <c:v>10.029252567165056</c:v>
                </c:pt>
                <c:pt idx="82">
                  <c:v>10.029252567165056</c:v>
                </c:pt>
                <c:pt idx="83">
                  <c:v>10.097526678881701</c:v>
                </c:pt>
                <c:pt idx="84">
                  <c:v>11.828718649321171</c:v>
                </c:pt>
                <c:pt idx="85">
                  <c:v>9.9969600918996733</c:v>
                </c:pt>
                <c:pt idx="86">
                  <c:v>7.3656414994344903</c:v>
                </c:pt>
                <c:pt idx="87">
                  <c:v>4.6368243533156903</c:v>
                </c:pt>
                <c:pt idx="88">
                  <c:v>2.531295009953769</c:v>
                </c:pt>
                <c:pt idx="89">
                  <c:v>4.5970496033166937</c:v>
                </c:pt>
                <c:pt idx="90">
                  <c:v>4.5223664585759726</c:v>
                </c:pt>
                <c:pt idx="91">
                  <c:v>4.7677128271280962</c:v>
                </c:pt>
                <c:pt idx="92">
                  <c:v>4.7677128271280962</c:v>
                </c:pt>
                <c:pt idx="93">
                  <c:v>4.1953148202815624</c:v>
                </c:pt>
                <c:pt idx="94">
                  <c:v>3.0492554499509299</c:v>
                </c:pt>
                <c:pt idx="95">
                  <c:v>5.603094636762024</c:v>
                </c:pt>
                <c:pt idx="96">
                  <c:v>8.845243059639385</c:v>
                </c:pt>
                <c:pt idx="97">
                  <c:v>5.2442466510634453</c:v>
                </c:pt>
                <c:pt idx="98">
                  <c:v>9.2366639750808535</c:v>
                </c:pt>
                <c:pt idx="99">
                  <c:v>10.162967065699901</c:v>
                </c:pt>
                <c:pt idx="100">
                  <c:v>6.5326497367594873</c:v>
                </c:pt>
                <c:pt idx="101">
                  <c:v>8.9194343129289884</c:v>
                </c:pt>
                <c:pt idx="102">
                  <c:v>4.9231683902220604</c:v>
                </c:pt>
                <c:pt idx="103">
                  <c:v>1.7077544627902423</c:v>
                </c:pt>
                <c:pt idx="104">
                  <c:v>1.7077544627902423</c:v>
                </c:pt>
                <c:pt idx="105">
                  <c:v>1.7077544627902423</c:v>
                </c:pt>
                <c:pt idx="106">
                  <c:v>5.3109444431186175</c:v>
                </c:pt>
                <c:pt idx="107">
                  <c:v>5.6054443174788906</c:v>
                </c:pt>
                <c:pt idx="108">
                  <c:v>5.9070232996742886</c:v>
                </c:pt>
                <c:pt idx="109">
                  <c:v>10.637506741005199</c:v>
                </c:pt>
                <c:pt idx="110">
                  <c:v>2.4277927325137907</c:v>
                </c:pt>
                <c:pt idx="111">
                  <c:v>2.4277927325137907</c:v>
                </c:pt>
                <c:pt idx="112">
                  <c:v>8.9194343129289884</c:v>
                </c:pt>
                <c:pt idx="113">
                  <c:v>4.9231683902220604</c:v>
                </c:pt>
                <c:pt idx="114">
                  <c:v>1.5732137532014823</c:v>
                </c:pt>
                <c:pt idx="115">
                  <c:v>1.5843685577567463</c:v>
                </c:pt>
                <c:pt idx="116">
                  <c:v>8.7842849851726683</c:v>
                </c:pt>
                <c:pt idx="117">
                  <c:v>9.6961220728241901</c:v>
                </c:pt>
                <c:pt idx="118">
                  <c:v>9.2997156030297408</c:v>
                </c:pt>
                <c:pt idx="119">
                  <c:v>1.7619063973790252</c:v>
                </c:pt>
                <c:pt idx="120">
                  <c:v>7.6239309762326979</c:v>
                </c:pt>
                <c:pt idx="121">
                  <c:v>7.1082094804467832</c:v>
                </c:pt>
                <c:pt idx="122">
                  <c:v>3.3191107072968968</c:v>
                </c:pt>
                <c:pt idx="123">
                  <c:v>3.3191107072969062</c:v>
                </c:pt>
                <c:pt idx="124">
                  <c:v>2.186391342102437</c:v>
                </c:pt>
                <c:pt idx="125">
                  <c:v>2.186391342102437</c:v>
                </c:pt>
                <c:pt idx="126">
                  <c:v>2.186391342102437</c:v>
                </c:pt>
                <c:pt idx="127">
                  <c:v>4.2480529535009524</c:v>
                </c:pt>
                <c:pt idx="128">
                  <c:v>8.0588308800606168</c:v>
                </c:pt>
                <c:pt idx="129">
                  <c:v>5.6731323294217306</c:v>
                </c:pt>
                <c:pt idx="130">
                  <c:v>7.9608268533133524</c:v>
                </c:pt>
                <c:pt idx="131">
                  <c:v>8.5313031631974017</c:v>
                </c:pt>
                <c:pt idx="132">
                  <c:v>0.52440987400628192</c:v>
                </c:pt>
                <c:pt idx="133">
                  <c:v>2.4329976308521801</c:v>
                </c:pt>
                <c:pt idx="134">
                  <c:v>2.2684651002118166</c:v>
                </c:pt>
                <c:pt idx="135">
                  <c:v>8.2678714910324711</c:v>
                </c:pt>
                <c:pt idx="136">
                  <c:v>8.2678714910324711</c:v>
                </c:pt>
                <c:pt idx="137">
                  <c:v>8.2678714910324711</c:v>
                </c:pt>
                <c:pt idx="138">
                  <c:v>7.1303785158826312</c:v>
                </c:pt>
                <c:pt idx="139">
                  <c:v>5.4164887311344945</c:v>
                </c:pt>
                <c:pt idx="140">
                  <c:v>3.6977108388762385</c:v>
                </c:pt>
                <c:pt idx="141">
                  <c:v>1.978932946617983</c:v>
                </c:pt>
                <c:pt idx="142">
                  <c:v>0.30433099137452585</c:v>
                </c:pt>
                <c:pt idx="143">
                  <c:v>2.0042288981765122</c:v>
                </c:pt>
                <c:pt idx="144">
                  <c:v>2.0042288981765122</c:v>
                </c:pt>
                <c:pt idx="145">
                  <c:v>7.0899218584090322</c:v>
                </c:pt>
                <c:pt idx="146">
                  <c:v>11.367053073836118</c:v>
                </c:pt>
                <c:pt idx="147">
                  <c:v>8.3056109556270439</c:v>
                </c:pt>
                <c:pt idx="148">
                  <c:v>8.7245884873071429</c:v>
                </c:pt>
                <c:pt idx="149">
                  <c:v>9.1509529141196868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7B-467F-A821-ED8CBA04D4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Required / s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'!$N$2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'!$N$3:$N$152</c:f>
              <c:numCache>
                <c:formatCode>General</c:formatCode>
                <c:ptCount val="150"/>
                <c:pt idx="0">
                  <c:v>0</c:v>
                </c:pt>
                <c:pt idx="1">
                  <c:v>0.80373645286874096</c:v>
                </c:pt>
                <c:pt idx="2">
                  <c:v>0.53582430191249397</c:v>
                </c:pt>
                <c:pt idx="3">
                  <c:v>0.53582430191249375</c:v>
                </c:pt>
                <c:pt idx="4">
                  <c:v>0.80373645286874118</c:v>
                </c:pt>
                <c:pt idx="5">
                  <c:v>0.80373645286874096</c:v>
                </c:pt>
                <c:pt idx="6">
                  <c:v>1.0716486038249884</c:v>
                </c:pt>
                <c:pt idx="7">
                  <c:v>0.80373645286874051</c:v>
                </c:pt>
                <c:pt idx="8">
                  <c:v>1.0716486038249879</c:v>
                </c:pt>
                <c:pt idx="9">
                  <c:v>0.63616205728992981</c:v>
                </c:pt>
                <c:pt idx="10">
                  <c:v>0.78511707558220767</c:v>
                </c:pt>
                <c:pt idx="11">
                  <c:v>1.1776756133733111</c:v>
                </c:pt>
                <c:pt idx="12">
                  <c:v>1.1776756133733102</c:v>
                </c:pt>
                <c:pt idx="13">
                  <c:v>3.4135525025311253E-2</c:v>
                </c:pt>
                <c:pt idx="14">
                  <c:v>1.024065750759398</c:v>
                </c:pt>
                <c:pt idx="15">
                  <c:v>1.0240657507593998</c:v>
                </c:pt>
                <c:pt idx="16">
                  <c:v>1.0240657507593998</c:v>
                </c:pt>
                <c:pt idx="17">
                  <c:v>-1.0240657507593998</c:v>
                </c:pt>
                <c:pt idx="18">
                  <c:v>-0.51203287537969722</c:v>
                </c:pt>
                <c:pt idx="19">
                  <c:v>0</c:v>
                </c:pt>
                <c:pt idx="20">
                  <c:v>-0.51203287537970255</c:v>
                </c:pt>
                <c:pt idx="21">
                  <c:v>-0.51203287537969899</c:v>
                </c:pt>
                <c:pt idx="22">
                  <c:v>-0.93872693819611541</c:v>
                </c:pt>
                <c:pt idx="23">
                  <c:v>0</c:v>
                </c:pt>
                <c:pt idx="24">
                  <c:v>0.39255853779110517</c:v>
                </c:pt>
                <c:pt idx="25">
                  <c:v>1.0582012757847092</c:v>
                </c:pt>
                <c:pt idx="26">
                  <c:v>1.0240657507593998</c:v>
                </c:pt>
                <c:pt idx="27">
                  <c:v>1.0240657507593998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-0.51203287537969899</c:v>
                </c:pt>
                <c:pt idx="41">
                  <c:v>-0.51203287537970077</c:v>
                </c:pt>
                <c:pt idx="42">
                  <c:v>-1.0240657507593998</c:v>
                </c:pt>
                <c:pt idx="43">
                  <c:v>-1.024065750759398</c:v>
                </c:pt>
                <c:pt idx="44">
                  <c:v>-1.2118111383986214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0.39255853779110161</c:v>
                </c:pt>
                <c:pt idx="52">
                  <c:v>0.78511707558220856</c:v>
                </c:pt>
                <c:pt idx="53">
                  <c:v>0.54616840040501025</c:v>
                </c:pt>
                <c:pt idx="54">
                  <c:v>1.0240657507594015</c:v>
                </c:pt>
                <c:pt idx="55">
                  <c:v>1.024065750759398</c:v>
                </c:pt>
                <c:pt idx="56">
                  <c:v>0.51203287537969899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-1.0240657507593998</c:v>
                </c:pt>
                <c:pt idx="61">
                  <c:v>-1.5360986261390988</c:v>
                </c:pt>
                <c:pt idx="62">
                  <c:v>-1.0240657507593998</c:v>
                </c:pt>
                <c:pt idx="63">
                  <c:v>-0.69977826301892065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-0.78511707558220856</c:v>
                </c:pt>
                <c:pt idx="68">
                  <c:v>0.39255853779110161</c:v>
                </c:pt>
                <c:pt idx="69">
                  <c:v>0.78511707558220856</c:v>
                </c:pt>
                <c:pt idx="70">
                  <c:v>1.3312854759872188</c:v>
                </c:pt>
                <c:pt idx="71">
                  <c:v>1.0240657507594015</c:v>
                </c:pt>
                <c:pt idx="72">
                  <c:v>0.51203287537969722</c:v>
                </c:pt>
                <c:pt idx="73">
                  <c:v>-0.51203287537969722</c:v>
                </c:pt>
                <c:pt idx="74">
                  <c:v>-1.0240657507594015</c:v>
                </c:pt>
                <c:pt idx="75">
                  <c:v>-1.0240657507593998</c:v>
                </c:pt>
                <c:pt idx="76">
                  <c:v>-0.51203287537969899</c:v>
                </c:pt>
                <c:pt idx="77">
                  <c:v>-0.5803039254303286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0.39255853779110694</c:v>
                </c:pt>
                <c:pt idx="84">
                  <c:v>0.785117075582205</c:v>
                </c:pt>
                <c:pt idx="85">
                  <c:v>0.42669406281641642</c:v>
                </c:pt>
                <c:pt idx="86">
                  <c:v>0</c:v>
                </c:pt>
                <c:pt idx="87">
                  <c:v>-0.42669406281641642</c:v>
                </c:pt>
                <c:pt idx="88">
                  <c:v>-0.785117075582205</c:v>
                </c:pt>
                <c:pt idx="89">
                  <c:v>-0.39255853779110694</c:v>
                </c:pt>
                <c:pt idx="90">
                  <c:v>-0.39255853779110161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0.78511707558220856</c:v>
                </c:pt>
                <c:pt idx="96">
                  <c:v>1.1776756133733102</c:v>
                </c:pt>
                <c:pt idx="97">
                  <c:v>0.54616840040501025</c:v>
                </c:pt>
                <c:pt idx="98">
                  <c:v>1.0240657507594015</c:v>
                </c:pt>
                <c:pt idx="99">
                  <c:v>1.024065750759398</c:v>
                </c:pt>
                <c:pt idx="100">
                  <c:v>0.51203287537969899</c:v>
                </c:pt>
                <c:pt idx="101">
                  <c:v>-1.536098626139097</c:v>
                </c:pt>
                <c:pt idx="102">
                  <c:v>-1.0240657507594015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0.51203287537969899</c:v>
                </c:pt>
                <c:pt idx="107">
                  <c:v>0.51203287537970255</c:v>
                </c:pt>
                <c:pt idx="108">
                  <c:v>0.51203287537969722</c:v>
                </c:pt>
                <c:pt idx="109">
                  <c:v>1.0240657507593998</c:v>
                </c:pt>
                <c:pt idx="110">
                  <c:v>0</c:v>
                </c:pt>
                <c:pt idx="111">
                  <c:v>0</c:v>
                </c:pt>
                <c:pt idx="112">
                  <c:v>-1.536098626139097</c:v>
                </c:pt>
                <c:pt idx="113">
                  <c:v>-1.0240657507594015</c:v>
                </c:pt>
                <c:pt idx="114">
                  <c:v>-0.51203287537969899</c:v>
                </c:pt>
                <c:pt idx="115">
                  <c:v>0</c:v>
                </c:pt>
                <c:pt idx="116">
                  <c:v>1.024065750759398</c:v>
                </c:pt>
                <c:pt idx="117">
                  <c:v>1.0240657507593998</c:v>
                </c:pt>
                <c:pt idx="118">
                  <c:v>1.0240657507593998</c:v>
                </c:pt>
                <c:pt idx="119">
                  <c:v>0</c:v>
                </c:pt>
                <c:pt idx="120">
                  <c:v>-0.51203287537969899</c:v>
                </c:pt>
                <c:pt idx="121">
                  <c:v>-0.51203287537970077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0.51203287537970077</c:v>
                </c:pt>
                <c:pt idx="128">
                  <c:v>0.51203287537969899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-1.0240657507593998</c:v>
                </c:pt>
                <c:pt idx="133">
                  <c:v>-1.5360986261390988</c:v>
                </c:pt>
                <c:pt idx="134">
                  <c:v>-1.0240657507593998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0.51203287537970077</c:v>
                </c:pt>
                <c:pt idx="146">
                  <c:v>1.024065750759398</c:v>
                </c:pt>
                <c:pt idx="147">
                  <c:v>0.51203287537970255</c:v>
                </c:pt>
                <c:pt idx="148">
                  <c:v>0.51203287537969722</c:v>
                </c:pt>
                <c:pt idx="149">
                  <c:v>0.51203287537970077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D3-4C1F-8E9C-26652097A5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'!$L$2</c:f>
              <c:strCache>
                <c:ptCount val="1"/>
                <c:pt idx="0">
                  <c:v>Velocity (m/s) 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'!$L$3:$L$152</c:f>
              <c:numCache>
                <c:formatCode>General</c:formatCode>
                <c:ptCount val="150"/>
                <c:pt idx="0">
                  <c:v>0</c:v>
                </c:pt>
                <c:pt idx="1">
                  <c:v>0.80373645286874096</c:v>
                </c:pt>
                <c:pt idx="2">
                  <c:v>1.3395607547812349</c:v>
                </c:pt>
                <c:pt idx="3">
                  <c:v>1.8753850566937287</c:v>
                </c:pt>
                <c:pt idx="4">
                  <c:v>2.6791215095624699</c:v>
                </c:pt>
                <c:pt idx="5">
                  <c:v>3.4828579624312108</c:v>
                </c:pt>
                <c:pt idx="6">
                  <c:v>4.5545065662561992</c:v>
                </c:pt>
                <c:pt idx="7">
                  <c:v>5.3582430191249397</c:v>
                </c:pt>
                <c:pt idx="8">
                  <c:v>6.4298916229499277</c:v>
                </c:pt>
                <c:pt idx="9">
                  <c:v>7.0660536802398575</c:v>
                </c:pt>
                <c:pt idx="10">
                  <c:v>7.8511707558220651</c:v>
                </c:pt>
                <c:pt idx="11">
                  <c:v>9.0288463691953762</c:v>
                </c:pt>
                <c:pt idx="12">
                  <c:v>10.206521982568686</c:v>
                </c:pt>
                <c:pt idx="13">
                  <c:v>10.240657507593998</c:v>
                </c:pt>
                <c:pt idx="14">
                  <c:v>11.264723258353396</c:v>
                </c:pt>
                <c:pt idx="15">
                  <c:v>12.288789009112795</c:v>
                </c:pt>
                <c:pt idx="16">
                  <c:v>13.312854759872195</c:v>
                </c:pt>
                <c:pt idx="17">
                  <c:v>12.288789009112795</c:v>
                </c:pt>
                <c:pt idx="18">
                  <c:v>11.776756133733098</c:v>
                </c:pt>
                <c:pt idx="19">
                  <c:v>11.776756133733098</c:v>
                </c:pt>
                <c:pt idx="20">
                  <c:v>11.264723258353396</c:v>
                </c:pt>
                <c:pt idx="21">
                  <c:v>10.752690382973697</c:v>
                </c:pt>
                <c:pt idx="22">
                  <c:v>9.8139634447775812</c:v>
                </c:pt>
                <c:pt idx="23">
                  <c:v>9.8139634447775812</c:v>
                </c:pt>
                <c:pt idx="24">
                  <c:v>10.206521982568686</c:v>
                </c:pt>
                <c:pt idx="25">
                  <c:v>11.264723258353396</c:v>
                </c:pt>
                <c:pt idx="26">
                  <c:v>12.288789009112795</c:v>
                </c:pt>
                <c:pt idx="27">
                  <c:v>13.312854759872195</c:v>
                </c:pt>
                <c:pt idx="28">
                  <c:v>13.312854759872195</c:v>
                </c:pt>
                <c:pt idx="29">
                  <c:v>13.312854759872195</c:v>
                </c:pt>
                <c:pt idx="30">
                  <c:v>13.312854759872195</c:v>
                </c:pt>
                <c:pt idx="31">
                  <c:v>13.312854759872195</c:v>
                </c:pt>
                <c:pt idx="32">
                  <c:v>13.312854759872195</c:v>
                </c:pt>
                <c:pt idx="33">
                  <c:v>13.312854759872195</c:v>
                </c:pt>
                <c:pt idx="34">
                  <c:v>13.312854759872195</c:v>
                </c:pt>
                <c:pt idx="35">
                  <c:v>13.312854759872195</c:v>
                </c:pt>
                <c:pt idx="36">
                  <c:v>13.312854759872195</c:v>
                </c:pt>
                <c:pt idx="37">
                  <c:v>13.312854759872195</c:v>
                </c:pt>
                <c:pt idx="38">
                  <c:v>13.312854759872195</c:v>
                </c:pt>
                <c:pt idx="39">
                  <c:v>13.312854759872195</c:v>
                </c:pt>
                <c:pt idx="40">
                  <c:v>12.800821884492496</c:v>
                </c:pt>
                <c:pt idx="41">
                  <c:v>12.288789009112795</c:v>
                </c:pt>
                <c:pt idx="42">
                  <c:v>11.264723258353396</c:v>
                </c:pt>
                <c:pt idx="43">
                  <c:v>10.240657507593998</c:v>
                </c:pt>
                <c:pt idx="44">
                  <c:v>9.0288463691953762</c:v>
                </c:pt>
                <c:pt idx="45">
                  <c:v>9.0288463691953762</c:v>
                </c:pt>
                <c:pt idx="46">
                  <c:v>9.0288463691953762</c:v>
                </c:pt>
                <c:pt idx="47">
                  <c:v>9.0288463691953762</c:v>
                </c:pt>
                <c:pt idx="48">
                  <c:v>9.0288463691953762</c:v>
                </c:pt>
                <c:pt idx="49">
                  <c:v>9.0288463691953762</c:v>
                </c:pt>
                <c:pt idx="50">
                  <c:v>9.0288463691953762</c:v>
                </c:pt>
                <c:pt idx="51">
                  <c:v>9.4214049069864778</c:v>
                </c:pt>
                <c:pt idx="52">
                  <c:v>10.206521982568686</c:v>
                </c:pt>
                <c:pt idx="53">
                  <c:v>10.752690382973697</c:v>
                </c:pt>
                <c:pt idx="54">
                  <c:v>11.776756133733098</c:v>
                </c:pt>
                <c:pt idx="55">
                  <c:v>12.800821884492496</c:v>
                </c:pt>
                <c:pt idx="56">
                  <c:v>13.312854759872195</c:v>
                </c:pt>
                <c:pt idx="57">
                  <c:v>13.312854759872195</c:v>
                </c:pt>
                <c:pt idx="58">
                  <c:v>13.312854759872195</c:v>
                </c:pt>
                <c:pt idx="59">
                  <c:v>13.312854759872195</c:v>
                </c:pt>
                <c:pt idx="60">
                  <c:v>12.288789009112795</c:v>
                </c:pt>
                <c:pt idx="61">
                  <c:v>10.752690382973697</c:v>
                </c:pt>
                <c:pt idx="62">
                  <c:v>9.7286246322142969</c:v>
                </c:pt>
                <c:pt idx="63">
                  <c:v>9.0288463691953762</c:v>
                </c:pt>
                <c:pt idx="64">
                  <c:v>9.0288463691953762</c:v>
                </c:pt>
                <c:pt idx="65">
                  <c:v>9.0288463691953762</c:v>
                </c:pt>
                <c:pt idx="66">
                  <c:v>9.0288463691953762</c:v>
                </c:pt>
                <c:pt idx="67">
                  <c:v>8.2437292936131676</c:v>
                </c:pt>
                <c:pt idx="68">
                  <c:v>8.6362878314042693</c:v>
                </c:pt>
                <c:pt idx="69">
                  <c:v>9.4214049069864778</c:v>
                </c:pt>
                <c:pt idx="70">
                  <c:v>10.752690382973697</c:v>
                </c:pt>
                <c:pt idx="71">
                  <c:v>11.776756133733098</c:v>
                </c:pt>
                <c:pt idx="72">
                  <c:v>12.288789009112795</c:v>
                </c:pt>
                <c:pt idx="73">
                  <c:v>11.776756133733098</c:v>
                </c:pt>
                <c:pt idx="74">
                  <c:v>10.752690382973697</c:v>
                </c:pt>
                <c:pt idx="75">
                  <c:v>9.7286246322142969</c:v>
                </c:pt>
                <c:pt idx="76">
                  <c:v>9.2165917568345979</c:v>
                </c:pt>
                <c:pt idx="77">
                  <c:v>8.6362878314042693</c:v>
                </c:pt>
                <c:pt idx="78">
                  <c:v>8.6362878314042693</c:v>
                </c:pt>
                <c:pt idx="79">
                  <c:v>8.6362878314042693</c:v>
                </c:pt>
                <c:pt idx="80">
                  <c:v>8.6362878314042693</c:v>
                </c:pt>
                <c:pt idx="81">
                  <c:v>8.6362878314042693</c:v>
                </c:pt>
                <c:pt idx="82">
                  <c:v>8.6362878314042693</c:v>
                </c:pt>
                <c:pt idx="83">
                  <c:v>9.0288463691953762</c:v>
                </c:pt>
                <c:pt idx="84">
                  <c:v>9.8139634447775812</c:v>
                </c:pt>
                <c:pt idx="85">
                  <c:v>10.240657507593998</c:v>
                </c:pt>
                <c:pt idx="86">
                  <c:v>10.240657507593998</c:v>
                </c:pt>
                <c:pt idx="87">
                  <c:v>9.8139634447775812</c:v>
                </c:pt>
                <c:pt idx="88">
                  <c:v>9.0288463691953762</c:v>
                </c:pt>
                <c:pt idx="89">
                  <c:v>8.6362878314042693</c:v>
                </c:pt>
                <c:pt idx="90">
                  <c:v>8.2437292936131676</c:v>
                </c:pt>
                <c:pt idx="91">
                  <c:v>8.2437292936131676</c:v>
                </c:pt>
                <c:pt idx="92">
                  <c:v>8.2437292936131676</c:v>
                </c:pt>
                <c:pt idx="93">
                  <c:v>8.2437292936131676</c:v>
                </c:pt>
                <c:pt idx="94">
                  <c:v>8.2437292936131676</c:v>
                </c:pt>
                <c:pt idx="95">
                  <c:v>9.0288463691953762</c:v>
                </c:pt>
                <c:pt idx="96">
                  <c:v>10.206521982568686</c:v>
                </c:pt>
                <c:pt idx="97">
                  <c:v>10.752690382973697</c:v>
                </c:pt>
                <c:pt idx="98">
                  <c:v>11.776756133733098</c:v>
                </c:pt>
                <c:pt idx="99">
                  <c:v>12.800821884492496</c:v>
                </c:pt>
                <c:pt idx="100">
                  <c:v>13.312854759872195</c:v>
                </c:pt>
                <c:pt idx="101">
                  <c:v>11.776756133733098</c:v>
                </c:pt>
                <c:pt idx="102">
                  <c:v>10.752690382973697</c:v>
                </c:pt>
                <c:pt idx="103">
                  <c:v>10.752690382973697</c:v>
                </c:pt>
                <c:pt idx="104">
                  <c:v>10.752690382973697</c:v>
                </c:pt>
                <c:pt idx="105">
                  <c:v>10.752690382973697</c:v>
                </c:pt>
                <c:pt idx="106">
                  <c:v>11.264723258353396</c:v>
                </c:pt>
                <c:pt idx="107">
                  <c:v>11.776756133733098</c:v>
                </c:pt>
                <c:pt idx="108">
                  <c:v>12.288789009112795</c:v>
                </c:pt>
                <c:pt idx="109">
                  <c:v>13.312854759872195</c:v>
                </c:pt>
                <c:pt idx="110">
                  <c:v>13.312854759872195</c:v>
                </c:pt>
                <c:pt idx="111">
                  <c:v>13.312854759872195</c:v>
                </c:pt>
                <c:pt idx="112">
                  <c:v>11.776756133733098</c:v>
                </c:pt>
                <c:pt idx="113">
                  <c:v>10.752690382973697</c:v>
                </c:pt>
                <c:pt idx="114">
                  <c:v>10.240657507593998</c:v>
                </c:pt>
                <c:pt idx="115">
                  <c:v>10.240657507593998</c:v>
                </c:pt>
                <c:pt idx="116">
                  <c:v>11.264723258353396</c:v>
                </c:pt>
                <c:pt idx="117">
                  <c:v>12.288789009112795</c:v>
                </c:pt>
                <c:pt idx="118">
                  <c:v>13.312854759872195</c:v>
                </c:pt>
                <c:pt idx="119">
                  <c:v>13.312854759872195</c:v>
                </c:pt>
                <c:pt idx="120">
                  <c:v>12.800821884492496</c:v>
                </c:pt>
                <c:pt idx="121">
                  <c:v>12.288789009112795</c:v>
                </c:pt>
                <c:pt idx="122">
                  <c:v>12.288789009112795</c:v>
                </c:pt>
                <c:pt idx="123">
                  <c:v>12.288789009112795</c:v>
                </c:pt>
                <c:pt idx="124">
                  <c:v>12.288789009112795</c:v>
                </c:pt>
                <c:pt idx="125">
                  <c:v>12.288789009112795</c:v>
                </c:pt>
                <c:pt idx="126">
                  <c:v>12.288789009112795</c:v>
                </c:pt>
                <c:pt idx="127">
                  <c:v>12.800821884492496</c:v>
                </c:pt>
                <c:pt idx="128">
                  <c:v>13.312854759872195</c:v>
                </c:pt>
                <c:pt idx="129">
                  <c:v>13.312854759872195</c:v>
                </c:pt>
                <c:pt idx="130">
                  <c:v>13.312854759872195</c:v>
                </c:pt>
                <c:pt idx="131">
                  <c:v>13.312854759872195</c:v>
                </c:pt>
                <c:pt idx="132">
                  <c:v>12.288789009112795</c:v>
                </c:pt>
                <c:pt idx="133">
                  <c:v>10.752690382973697</c:v>
                </c:pt>
                <c:pt idx="134">
                  <c:v>9.7286246322142969</c:v>
                </c:pt>
                <c:pt idx="135">
                  <c:v>9.7286246322142969</c:v>
                </c:pt>
                <c:pt idx="136">
                  <c:v>9.7286246322142969</c:v>
                </c:pt>
                <c:pt idx="137">
                  <c:v>9.7286246322142969</c:v>
                </c:pt>
                <c:pt idx="138">
                  <c:v>9.7286246322142969</c:v>
                </c:pt>
                <c:pt idx="139">
                  <c:v>9.7286246322142969</c:v>
                </c:pt>
                <c:pt idx="140">
                  <c:v>9.7286246322142969</c:v>
                </c:pt>
                <c:pt idx="141">
                  <c:v>9.7286246322142969</c:v>
                </c:pt>
                <c:pt idx="142">
                  <c:v>9.7286246322142969</c:v>
                </c:pt>
                <c:pt idx="143">
                  <c:v>9.7286246322142969</c:v>
                </c:pt>
                <c:pt idx="144">
                  <c:v>9.7286246322142969</c:v>
                </c:pt>
                <c:pt idx="145">
                  <c:v>10.240657507593998</c:v>
                </c:pt>
                <c:pt idx="146">
                  <c:v>11.264723258353396</c:v>
                </c:pt>
                <c:pt idx="147">
                  <c:v>11.776756133733098</c:v>
                </c:pt>
                <c:pt idx="148">
                  <c:v>12.288789009112795</c:v>
                </c:pt>
                <c:pt idx="149">
                  <c:v>12.800821884492496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DD-47DE-B953-0FEF7676E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vs RPM</c:v>
          </c:tx>
          <c:spPr>
            <a:ln w="25400" cap="rnd">
              <a:noFill/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circle"/>
            <c:size val="6"/>
            <c:spPr>
              <a:solidFill>
                <a:schemeClr val="dk1">
                  <a:tint val="88500"/>
                </a:schemeClr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xVal>
            <c:numRef>
              <c:f>'Duty Cycle '!$K$3:$K$152</c:f>
              <c:numCache>
                <c:formatCode>General</c:formatCode>
                <c:ptCount val="150"/>
                <c:pt idx="0">
                  <c:v>750</c:v>
                </c:pt>
                <c:pt idx="1">
                  <c:v>750</c:v>
                </c:pt>
                <c:pt idx="2">
                  <c:v>1250</c:v>
                </c:pt>
                <c:pt idx="3">
                  <c:v>1750</c:v>
                </c:pt>
                <c:pt idx="4">
                  <c:v>2500</c:v>
                </c:pt>
                <c:pt idx="5">
                  <c:v>3250</c:v>
                </c:pt>
                <c:pt idx="6">
                  <c:v>4250</c:v>
                </c:pt>
                <c:pt idx="7">
                  <c:v>5000</c:v>
                </c:pt>
                <c:pt idx="8">
                  <c:v>6000</c:v>
                </c:pt>
                <c:pt idx="9">
                  <c:v>4500</c:v>
                </c:pt>
                <c:pt idx="10">
                  <c:v>5000</c:v>
                </c:pt>
                <c:pt idx="11">
                  <c:v>5750</c:v>
                </c:pt>
                <c:pt idx="12">
                  <c:v>6500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  <c:pt idx="16">
                  <c:v>6500</c:v>
                </c:pt>
                <c:pt idx="17">
                  <c:v>6000</c:v>
                </c:pt>
                <c:pt idx="18">
                  <c:v>5750</c:v>
                </c:pt>
                <c:pt idx="19">
                  <c:v>5750</c:v>
                </c:pt>
                <c:pt idx="20">
                  <c:v>5500</c:v>
                </c:pt>
                <c:pt idx="21">
                  <c:v>5250</c:v>
                </c:pt>
                <c:pt idx="22">
                  <c:v>6250</c:v>
                </c:pt>
                <c:pt idx="23">
                  <c:v>6250</c:v>
                </c:pt>
                <c:pt idx="24">
                  <c:v>6500</c:v>
                </c:pt>
                <c:pt idx="25">
                  <c:v>5500</c:v>
                </c:pt>
                <c:pt idx="26">
                  <c:v>6000</c:v>
                </c:pt>
                <c:pt idx="27">
                  <c:v>6500</c:v>
                </c:pt>
                <c:pt idx="28">
                  <c:v>6500</c:v>
                </c:pt>
                <c:pt idx="29">
                  <c:v>6500</c:v>
                </c:pt>
                <c:pt idx="30">
                  <c:v>6500</c:v>
                </c:pt>
                <c:pt idx="31">
                  <c:v>6500</c:v>
                </c:pt>
                <c:pt idx="32">
                  <c:v>6500</c:v>
                </c:pt>
                <c:pt idx="33">
                  <c:v>6500</c:v>
                </c:pt>
                <c:pt idx="34">
                  <c:v>6500</c:v>
                </c:pt>
                <c:pt idx="35">
                  <c:v>6500</c:v>
                </c:pt>
                <c:pt idx="36">
                  <c:v>6500</c:v>
                </c:pt>
                <c:pt idx="37">
                  <c:v>6500</c:v>
                </c:pt>
                <c:pt idx="38">
                  <c:v>6500</c:v>
                </c:pt>
                <c:pt idx="39">
                  <c:v>6500</c:v>
                </c:pt>
                <c:pt idx="40">
                  <c:v>6250</c:v>
                </c:pt>
                <c:pt idx="41">
                  <c:v>6000</c:v>
                </c:pt>
                <c:pt idx="42">
                  <c:v>5500</c:v>
                </c:pt>
                <c:pt idx="43">
                  <c:v>5000</c:v>
                </c:pt>
                <c:pt idx="44">
                  <c:v>5750</c:v>
                </c:pt>
                <c:pt idx="45">
                  <c:v>5750</c:v>
                </c:pt>
                <c:pt idx="46">
                  <c:v>5750</c:v>
                </c:pt>
                <c:pt idx="47">
                  <c:v>5750</c:v>
                </c:pt>
                <c:pt idx="48">
                  <c:v>5750</c:v>
                </c:pt>
                <c:pt idx="49">
                  <c:v>5750</c:v>
                </c:pt>
                <c:pt idx="50">
                  <c:v>5750</c:v>
                </c:pt>
                <c:pt idx="51">
                  <c:v>6000</c:v>
                </c:pt>
                <c:pt idx="52">
                  <c:v>6500</c:v>
                </c:pt>
                <c:pt idx="53">
                  <c:v>5250</c:v>
                </c:pt>
                <c:pt idx="54">
                  <c:v>5750</c:v>
                </c:pt>
                <c:pt idx="55">
                  <c:v>6250</c:v>
                </c:pt>
                <c:pt idx="56">
                  <c:v>6500</c:v>
                </c:pt>
                <c:pt idx="57">
                  <c:v>6500</c:v>
                </c:pt>
                <c:pt idx="58">
                  <c:v>6500</c:v>
                </c:pt>
                <c:pt idx="59">
                  <c:v>6500</c:v>
                </c:pt>
                <c:pt idx="60">
                  <c:v>6000</c:v>
                </c:pt>
                <c:pt idx="61">
                  <c:v>5250</c:v>
                </c:pt>
                <c:pt idx="62">
                  <c:v>4750</c:v>
                </c:pt>
                <c:pt idx="63">
                  <c:v>5750</c:v>
                </c:pt>
                <c:pt idx="64">
                  <c:v>5750</c:v>
                </c:pt>
                <c:pt idx="65">
                  <c:v>5750</c:v>
                </c:pt>
                <c:pt idx="66">
                  <c:v>5750</c:v>
                </c:pt>
                <c:pt idx="67">
                  <c:v>5250</c:v>
                </c:pt>
                <c:pt idx="68">
                  <c:v>5500</c:v>
                </c:pt>
                <c:pt idx="69">
                  <c:v>6000</c:v>
                </c:pt>
                <c:pt idx="70">
                  <c:v>5250</c:v>
                </c:pt>
                <c:pt idx="71">
                  <c:v>5750</c:v>
                </c:pt>
                <c:pt idx="72">
                  <c:v>6000</c:v>
                </c:pt>
                <c:pt idx="73">
                  <c:v>5750</c:v>
                </c:pt>
                <c:pt idx="74">
                  <c:v>5250</c:v>
                </c:pt>
                <c:pt idx="75">
                  <c:v>4750</c:v>
                </c:pt>
                <c:pt idx="76">
                  <c:v>4500</c:v>
                </c:pt>
                <c:pt idx="77">
                  <c:v>5500</c:v>
                </c:pt>
                <c:pt idx="78">
                  <c:v>5500</c:v>
                </c:pt>
                <c:pt idx="79">
                  <c:v>5500</c:v>
                </c:pt>
                <c:pt idx="80">
                  <c:v>5500</c:v>
                </c:pt>
                <c:pt idx="81">
                  <c:v>5500</c:v>
                </c:pt>
                <c:pt idx="82">
                  <c:v>5500</c:v>
                </c:pt>
                <c:pt idx="83">
                  <c:v>5750</c:v>
                </c:pt>
                <c:pt idx="84">
                  <c:v>6250</c:v>
                </c:pt>
                <c:pt idx="85">
                  <c:v>5000</c:v>
                </c:pt>
                <c:pt idx="86">
                  <c:v>5000</c:v>
                </c:pt>
                <c:pt idx="87">
                  <c:v>6250</c:v>
                </c:pt>
                <c:pt idx="88">
                  <c:v>5750</c:v>
                </c:pt>
                <c:pt idx="89">
                  <c:v>5500</c:v>
                </c:pt>
                <c:pt idx="90">
                  <c:v>5250</c:v>
                </c:pt>
                <c:pt idx="91">
                  <c:v>5250</c:v>
                </c:pt>
                <c:pt idx="92">
                  <c:v>5250</c:v>
                </c:pt>
                <c:pt idx="93">
                  <c:v>5250</c:v>
                </c:pt>
                <c:pt idx="94">
                  <c:v>5250</c:v>
                </c:pt>
                <c:pt idx="95">
                  <c:v>5750</c:v>
                </c:pt>
                <c:pt idx="96">
                  <c:v>6500</c:v>
                </c:pt>
                <c:pt idx="97">
                  <c:v>5250</c:v>
                </c:pt>
                <c:pt idx="98">
                  <c:v>5750</c:v>
                </c:pt>
                <c:pt idx="99">
                  <c:v>6250</c:v>
                </c:pt>
                <c:pt idx="100">
                  <c:v>6500</c:v>
                </c:pt>
                <c:pt idx="101">
                  <c:v>5750</c:v>
                </c:pt>
                <c:pt idx="102">
                  <c:v>5250</c:v>
                </c:pt>
                <c:pt idx="103">
                  <c:v>5250</c:v>
                </c:pt>
                <c:pt idx="104">
                  <c:v>5250</c:v>
                </c:pt>
                <c:pt idx="105">
                  <c:v>5250</c:v>
                </c:pt>
                <c:pt idx="106">
                  <c:v>5500</c:v>
                </c:pt>
                <c:pt idx="107">
                  <c:v>5750</c:v>
                </c:pt>
                <c:pt idx="108">
                  <c:v>6000</c:v>
                </c:pt>
                <c:pt idx="109">
                  <c:v>6500</c:v>
                </c:pt>
                <c:pt idx="110">
                  <c:v>6500</c:v>
                </c:pt>
                <c:pt idx="111">
                  <c:v>6500</c:v>
                </c:pt>
                <c:pt idx="112">
                  <c:v>5750</c:v>
                </c:pt>
                <c:pt idx="113">
                  <c:v>5250</c:v>
                </c:pt>
                <c:pt idx="114">
                  <c:v>5000</c:v>
                </c:pt>
                <c:pt idx="115">
                  <c:v>5000</c:v>
                </c:pt>
                <c:pt idx="116">
                  <c:v>5500</c:v>
                </c:pt>
                <c:pt idx="117">
                  <c:v>6000</c:v>
                </c:pt>
                <c:pt idx="118">
                  <c:v>6500</c:v>
                </c:pt>
                <c:pt idx="119">
                  <c:v>6500</c:v>
                </c:pt>
                <c:pt idx="120">
                  <c:v>6250</c:v>
                </c:pt>
                <c:pt idx="121">
                  <c:v>6000</c:v>
                </c:pt>
                <c:pt idx="122">
                  <c:v>6000</c:v>
                </c:pt>
                <c:pt idx="123">
                  <c:v>6000</c:v>
                </c:pt>
                <c:pt idx="124">
                  <c:v>6000</c:v>
                </c:pt>
                <c:pt idx="125">
                  <c:v>6000</c:v>
                </c:pt>
                <c:pt idx="126">
                  <c:v>6000</c:v>
                </c:pt>
                <c:pt idx="127">
                  <c:v>6250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6000</c:v>
                </c:pt>
                <c:pt idx="133">
                  <c:v>5250</c:v>
                </c:pt>
                <c:pt idx="134">
                  <c:v>4750</c:v>
                </c:pt>
                <c:pt idx="135">
                  <c:v>4750</c:v>
                </c:pt>
                <c:pt idx="136">
                  <c:v>4750</c:v>
                </c:pt>
                <c:pt idx="137">
                  <c:v>4750</c:v>
                </c:pt>
                <c:pt idx="138">
                  <c:v>4750</c:v>
                </c:pt>
                <c:pt idx="139">
                  <c:v>4750</c:v>
                </c:pt>
                <c:pt idx="140">
                  <c:v>4750</c:v>
                </c:pt>
                <c:pt idx="141">
                  <c:v>4750</c:v>
                </c:pt>
                <c:pt idx="142">
                  <c:v>4750</c:v>
                </c:pt>
                <c:pt idx="143">
                  <c:v>4750</c:v>
                </c:pt>
                <c:pt idx="144">
                  <c:v>4750</c:v>
                </c:pt>
                <c:pt idx="145">
                  <c:v>5000</c:v>
                </c:pt>
                <c:pt idx="146">
                  <c:v>5500</c:v>
                </c:pt>
                <c:pt idx="147">
                  <c:v>5750</c:v>
                </c:pt>
                <c:pt idx="148">
                  <c:v>6000</c:v>
                </c:pt>
                <c:pt idx="149">
                  <c:v>6250</c:v>
                </c:pt>
              </c:numCache>
            </c:numRef>
          </c:xVal>
          <c:yVal>
            <c:numRef>
              <c:f>'Duty Cycle '!$X$3:$X$152</c:f>
              <c:numCache>
                <c:formatCode>0.00</c:formatCode>
                <c:ptCount val="150"/>
                <c:pt idx="0">
                  <c:v>0</c:v>
                </c:pt>
                <c:pt idx="1">
                  <c:v>7.667174571929336</c:v>
                </c:pt>
                <c:pt idx="2">
                  <c:v>5.4107316597940205</c:v>
                </c:pt>
                <c:pt idx="3">
                  <c:v>5.7926164907135309</c:v>
                </c:pt>
                <c:pt idx="4">
                  <c:v>7.7656273314446835</c:v>
                </c:pt>
                <c:pt idx="5">
                  <c:v>10.452585335210546</c:v>
                </c:pt>
                <c:pt idx="6">
                  <c:v>13.095920553516201</c:v>
                </c:pt>
                <c:pt idx="7">
                  <c:v>11.76769955481527</c:v>
                </c:pt>
                <c:pt idx="8">
                  <c:v>13.494532510964326</c:v>
                </c:pt>
                <c:pt idx="9">
                  <c:v>16.845401919301935</c:v>
                </c:pt>
                <c:pt idx="10">
                  <c:v>18.657612900968953</c:v>
                </c:pt>
                <c:pt idx="11">
                  <c:v>20.262507117261507</c:v>
                </c:pt>
                <c:pt idx="12">
                  <c:v>17.200195594540052</c:v>
                </c:pt>
                <c:pt idx="13">
                  <c:v>11.073213664977217</c:v>
                </c:pt>
                <c:pt idx="14">
                  <c:v>20.2227319126183</c:v>
                </c:pt>
                <c:pt idx="15">
                  <c:v>18.167862684702392</c:v>
                </c:pt>
                <c:pt idx="16">
                  <c:v>17.311808120980903</c:v>
                </c:pt>
                <c:pt idx="17">
                  <c:v>4.1326982028258836</c:v>
                </c:pt>
                <c:pt idx="18">
                  <c:v>1.0537056254461379</c:v>
                </c:pt>
                <c:pt idx="19">
                  <c:v>7.0842436215485325</c:v>
                </c:pt>
                <c:pt idx="20">
                  <c:v>1.13829774962637</c:v>
                </c:pt>
                <c:pt idx="21">
                  <c:v>0.20229785037455941</c:v>
                </c:pt>
                <c:pt idx="22">
                  <c:v>4.4901018127054702</c:v>
                </c:pt>
                <c:pt idx="23">
                  <c:v>2.1023987881693453</c:v>
                </c:pt>
                <c:pt idx="24">
                  <c:v>2.5053582353794139</c:v>
                </c:pt>
                <c:pt idx="25">
                  <c:v>3.7783276028823485</c:v>
                </c:pt>
                <c:pt idx="26">
                  <c:v>6.3391789604384261</c:v>
                </c:pt>
                <c:pt idx="27">
                  <c:v>8.9031433639210515</c:v>
                </c:pt>
                <c:pt idx="28">
                  <c:v>1.8827179792020345</c:v>
                </c:pt>
                <c:pt idx="29">
                  <c:v>3.5667250539890718</c:v>
                </c:pt>
                <c:pt idx="30">
                  <c:v>3.5667250539890718</c:v>
                </c:pt>
                <c:pt idx="31">
                  <c:v>1.8827179792020345</c:v>
                </c:pt>
                <c:pt idx="32">
                  <c:v>1.4807425452857257</c:v>
                </c:pt>
                <c:pt idx="33">
                  <c:v>6.4976540162666705</c:v>
                </c:pt>
                <c:pt idx="34">
                  <c:v>4.8306035577056896</c:v>
                </c:pt>
                <c:pt idx="35">
                  <c:v>4.8306035577056896</c:v>
                </c:pt>
                <c:pt idx="36">
                  <c:v>4.8306035577056896</c:v>
                </c:pt>
                <c:pt idx="37">
                  <c:v>4.8306035577056896</c:v>
                </c:pt>
                <c:pt idx="38">
                  <c:v>2.5884564222286266</c:v>
                </c:pt>
                <c:pt idx="39">
                  <c:v>2.5884564222286266</c:v>
                </c:pt>
                <c:pt idx="40">
                  <c:v>4.6971728375447288</c:v>
                </c:pt>
                <c:pt idx="41">
                  <c:v>4.9752055001657505</c:v>
                </c:pt>
                <c:pt idx="42">
                  <c:v>6.6284152825527203</c:v>
                </c:pt>
                <c:pt idx="43">
                  <c:v>6.7930078049713511</c:v>
                </c:pt>
                <c:pt idx="44">
                  <c:v>7.0833500331561359</c:v>
                </c:pt>
                <c:pt idx="45">
                  <c:v>3.9050550299191666</c:v>
                </c:pt>
                <c:pt idx="46">
                  <c:v>3.9050550299191666</c:v>
                </c:pt>
                <c:pt idx="47">
                  <c:v>3.9050550299191666</c:v>
                </c:pt>
                <c:pt idx="48">
                  <c:v>3.9050550299191666</c:v>
                </c:pt>
                <c:pt idx="49">
                  <c:v>2.0016469711468332</c:v>
                </c:pt>
                <c:pt idx="50">
                  <c:v>0.10103632586070169</c:v>
                </c:pt>
                <c:pt idx="51">
                  <c:v>0.23416115586525754</c:v>
                </c:pt>
                <c:pt idx="52">
                  <c:v>2.7732454105153854</c:v>
                </c:pt>
                <c:pt idx="53">
                  <c:v>1.3997936039705503</c:v>
                </c:pt>
                <c:pt idx="54">
                  <c:v>9.9839217889710525</c:v>
                </c:pt>
                <c:pt idx="55">
                  <c:v>13.394441150762434</c:v>
                </c:pt>
                <c:pt idx="56">
                  <c:v>10.155403110781469</c:v>
                </c:pt>
                <c:pt idx="57">
                  <c:v>4.9667973963239298</c:v>
                </c:pt>
                <c:pt idx="58">
                  <c:v>5.8088721894661344</c:v>
                </c:pt>
                <c:pt idx="59">
                  <c:v>5.8088721894661344</c:v>
                </c:pt>
                <c:pt idx="60">
                  <c:v>6.4481472818084802</c:v>
                </c:pt>
                <c:pt idx="61">
                  <c:v>10.658373170975485</c:v>
                </c:pt>
                <c:pt idx="62">
                  <c:v>2.2639353940788913</c:v>
                </c:pt>
                <c:pt idx="63">
                  <c:v>1.3636567257229228</c:v>
                </c:pt>
                <c:pt idx="64">
                  <c:v>8.6574608878224844</c:v>
                </c:pt>
                <c:pt idx="65">
                  <c:v>9.6041100620149251</c:v>
                </c:pt>
                <c:pt idx="66">
                  <c:v>10.548680656706507</c:v>
                </c:pt>
                <c:pt idx="67">
                  <c:v>5.009890967953897</c:v>
                </c:pt>
                <c:pt idx="68">
                  <c:v>18.052547684620109</c:v>
                </c:pt>
                <c:pt idx="69">
                  <c:v>15.520216738172351</c:v>
                </c:pt>
                <c:pt idx="70">
                  <c:v>19.102440710087439</c:v>
                </c:pt>
                <c:pt idx="71">
                  <c:v>12.226068924448111</c:v>
                </c:pt>
                <c:pt idx="72">
                  <c:v>13.885613841975735</c:v>
                </c:pt>
                <c:pt idx="73">
                  <c:v>5.5379998964002706</c:v>
                </c:pt>
                <c:pt idx="74">
                  <c:v>3.8472725660823324</c:v>
                </c:pt>
                <c:pt idx="75">
                  <c:v>6.8357768814249749</c:v>
                </c:pt>
                <c:pt idx="76">
                  <c:v>15.804967090627732</c:v>
                </c:pt>
                <c:pt idx="77">
                  <c:v>12.151093652091351</c:v>
                </c:pt>
                <c:pt idx="78">
                  <c:v>17.413146780888017</c:v>
                </c:pt>
                <c:pt idx="79">
                  <c:v>17.413146780888002</c:v>
                </c:pt>
                <c:pt idx="80">
                  <c:v>17.413146780888017</c:v>
                </c:pt>
                <c:pt idx="81">
                  <c:v>17.413146780888002</c:v>
                </c:pt>
                <c:pt idx="82">
                  <c:v>17.413146780888002</c:v>
                </c:pt>
                <c:pt idx="83">
                  <c:v>16.769439484657166</c:v>
                </c:pt>
                <c:pt idx="84">
                  <c:v>18.072950817434421</c:v>
                </c:pt>
                <c:pt idx="85">
                  <c:v>19.092787374218894</c:v>
                </c:pt>
                <c:pt idx="86">
                  <c:v>14.067339044133588</c:v>
                </c:pt>
                <c:pt idx="87">
                  <c:v>7.0845457543591017</c:v>
                </c:pt>
                <c:pt idx="88">
                  <c:v>4.2038411818225114</c:v>
                </c:pt>
                <c:pt idx="89">
                  <c:v>7.9815618327980573</c:v>
                </c:pt>
                <c:pt idx="90">
                  <c:v>8.2257940154897735</c:v>
                </c:pt>
                <c:pt idx="91">
                  <c:v>8.6720578706293914</c:v>
                </c:pt>
                <c:pt idx="92">
                  <c:v>8.6720578706293914</c:v>
                </c:pt>
                <c:pt idx="93">
                  <c:v>7.6309153311371123</c:v>
                </c:pt>
                <c:pt idx="94">
                  <c:v>5.5463323155381943</c:v>
                </c:pt>
                <c:pt idx="95">
                  <c:v>9.3053239101116212</c:v>
                </c:pt>
                <c:pt idx="96">
                  <c:v>12.994746053454355</c:v>
                </c:pt>
                <c:pt idx="97">
                  <c:v>9.5388317406841754</c:v>
                </c:pt>
                <c:pt idx="98">
                  <c:v>15.339764131961248</c:v>
                </c:pt>
                <c:pt idx="99">
                  <c:v>15.527869871868234</c:v>
                </c:pt>
                <c:pt idx="100">
                  <c:v>9.597263050091458</c:v>
                </c:pt>
                <c:pt idx="101">
                  <c:v>14.81292584855073</c:v>
                </c:pt>
                <c:pt idx="102">
                  <c:v>8.9548181140298286</c:v>
                </c:pt>
                <c:pt idx="103">
                  <c:v>3.1062578781749868</c:v>
                </c:pt>
                <c:pt idx="104">
                  <c:v>3.1062578781749868</c:v>
                </c:pt>
                <c:pt idx="105">
                  <c:v>3.1062578781749868</c:v>
                </c:pt>
                <c:pt idx="106">
                  <c:v>9.2210515702773979</c:v>
                </c:pt>
                <c:pt idx="107">
                  <c:v>9.3092261358588608</c:v>
                </c:pt>
                <c:pt idx="108">
                  <c:v>9.4013195710216131</c:v>
                </c:pt>
                <c:pt idx="109">
                  <c:v>15.627801046193865</c:v>
                </c:pt>
                <c:pt idx="110">
                  <c:v>3.5667250539890718</c:v>
                </c:pt>
                <c:pt idx="111">
                  <c:v>3.5667250539890718</c:v>
                </c:pt>
                <c:pt idx="112">
                  <c:v>14.81292584855073</c:v>
                </c:pt>
                <c:pt idx="113">
                  <c:v>8.9548181140298286</c:v>
                </c:pt>
                <c:pt idx="114">
                  <c:v>3.0046169443460276</c:v>
                </c:pt>
                <c:pt idx="115">
                  <c:v>3.0259210517563595</c:v>
                </c:pt>
                <c:pt idx="116">
                  <c:v>15.251589566379785</c:v>
                </c:pt>
                <c:pt idx="117">
                  <c:v>15.431857567124041</c:v>
                </c:pt>
                <c:pt idx="118">
                  <c:v>13.662421916040088</c:v>
                </c:pt>
                <c:pt idx="119">
                  <c:v>2.5884564222286626</c:v>
                </c:pt>
                <c:pt idx="120">
                  <c:v>11.648508486324991</c:v>
                </c:pt>
                <c:pt idx="121">
                  <c:v>11.313066753457788</c:v>
                </c:pt>
                <c:pt idx="122">
                  <c:v>5.2825287573553803</c:v>
                </c:pt>
                <c:pt idx="123">
                  <c:v>5.2825287573553954</c:v>
                </c:pt>
                <c:pt idx="124">
                  <c:v>3.4797498962892606</c:v>
                </c:pt>
                <c:pt idx="125">
                  <c:v>3.4797498962892606</c:v>
                </c:pt>
                <c:pt idx="126">
                  <c:v>3.4797498962892606</c:v>
                </c:pt>
                <c:pt idx="127">
                  <c:v>6.4905468102316997</c:v>
                </c:pt>
                <c:pt idx="128">
                  <c:v>11.839410185568518</c:v>
                </c:pt>
                <c:pt idx="129">
                  <c:v>8.334526643463759</c:v>
                </c:pt>
                <c:pt idx="130">
                  <c:v>11.695430259724789</c:v>
                </c:pt>
                <c:pt idx="131">
                  <c:v>12.533529871738976</c:v>
                </c:pt>
                <c:pt idx="132">
                  <c:v>0.83462423654297802</c:v>
                </c:pt>
                <c:pt idx="133">
                  <c:v>4.4254125654970853</c:v>
                </c:pt>
                <c:pt idx="134">
                  <c:v>4.5604728496441558</c:v>
                </c:pt>
                <c:pt idx="135">
                  <c:v>16.62154884184897</c:v>
                </c:pt>
                <c:pt idx="136">
                  <c:v>16.62154884184897</c:v>
                </c:pt>
                <c:pt idx="137">
                  <c:v>16.62154884184897</c:v>
                </c:pt>
                <c:pt idx="138">
                  <c:v>14.334757729502821</c:v>
                </c:pt>
                <c:pt idx="139">
                  <c:v>10.889191020146564</c:v>
                </c:pt>
                <c:pt idx="140">
                  <c:v>7.4337973658732501</c:v>
                </c:pt>
                <c:pt idx="141">
                  <c:v>3.9784037115999396</c:v>
                </c:pt>
                <c:pt idx="142">
                  <c:v>0.61182039932605592</c:v>
                </c:pt>
                <c:pt idx="143">
                  <c:v>4.029258141883135</c:v>
                </c:pt>
                <c:pt idx="144">
                  <c:v>4.029258141883135</c:v>
                </c:pt>
                <c:pt idx="145">
                  <c:v>13.540753318812893</c:v>
                </c:pt>
                <c:pt idx="146">
                  <c:v>19.735883837333908</c:v>
                </c:pt>
                <c:pt idx="147">
                  <c:v>13.793520406812986</c:v>
                </c:pt>
                <c:pt idx="148">
                  <c:v>13.885613841975735</c:v>
                </c:pt>
                <c:pt idx="149">
                  <c:v>13.981626146719995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F7-43E5-A044-BFA87779F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6482776"/>
        <c:axId val="606481136"/>
      </c:scatterChart>
      <c:valAx>
        <c:axId val="606482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crossBetween val="midCat"/>
      </c:val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(Nm)</c:v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none"/>
          </c:marker>
          <c:cat>
            <c:numRef>
              <c:f>'Gearing '!$L$3:$L$28</c:f>
              <c:numCache>
                <c:formatCode>General</c:formatCode>
                <c:ptCount val="26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  <c:pt idx="24">
                  <c:v>6750</c:v>
                </c:pt>
                <c:pt idx="25">
                  <c:v>7000</c:v>
                </c:pt>
              </c:numCache>
            </c:numRef>
          </c:cat>
          <c:val>
            <c:numRef>
              <c:f>'Gearing '!$K$3:$K$28</c:f>
              <c:numCache>
                <c:formatCode>0.00</c:formatCode>
                <c:ptCount val="26"/>
                <c:pt idx="0">
                  <c:v>7.1209104638175811</c:v>
                </c:pt>
                <c:pt idx="1">
                  <c:v>10.681365695726372</c:v>
                </c:pt>
                <c:pt idx="2">
                  <c:v>12.817638834871646</c:v>
                </c:pt>
                <c:pt idx="3">
                  <c:v>14.241820927635162</c:v>
                </c:pt>
                <c:pt idx="4">
                  <c:v>15.259093851037678</c:v>
                </c:pt>
                <c:pt idx="5">
                  <c:v>16.022048543589559</c:v>
                </c:pt>
                <c:pt idx="6">
                  <c:v>16.615457748907691</c:v>
                </c:pt>
                <c:pt idx="7">
                  <c:v>17.090185113162196</c:v>
                </c:pt>
                <c:pt idx="8">
                  <c:v>17.581166601845975</c:v>
                </c:pt>
                <c:pt idx="9">
                  <c:v>18.023049941661377</c:v>
                </c:pt>
                <c:pt idx="10">
                  <c:v>18.42074494749524</c:v>
                </c:pt>
                <c:pt idx="11">
                  <c:v>18.818439953329104</c:v>
                </c:pt>
                <c:pt idx="12">
                  <c:v>19.216134959162968</c:v>
                </c:pt>
                <c:pt idx="13">
                  <c:v>19.613829964996832</c:v>
                </c:pt>
                <c:pt idx="14">
                  <c:v>20.011524970830695</c:v>
                </c:pt>
                <c:pt idx="15">
                  <c:v>20.409219976664559</c:v>
                </c:pt>
                <c:pt idx="16">
                  <c:v>20.806914982498423</c:v>
                </c:pt>
                <c:pt idx="17">
                  <c:v>21.204609988332287</c:v>
                </c:pt>
                <c:pt idx="18">
                  <c:v>21.60230499416615</c:v>
                </c:pt>
                <c:pt idx="19">
                  <c:v>22</c:v>
                </c:pt>
                <c:pt idx="20">
                  <c:v>21.77274571095208</c:v>
                </c:pt>
                <c:pt idx="21">
                  <c:v>21.54549142190416</c:v>
                </c:pt>
                <c:pt idx="22">
                  <c:v>21.31823713285624</c:v>
                </c:pt>
                <c:pt idx="23">
                  <c:v>21.09098284380832</c:v>
                </c:pt>
                <c:pt idx="24">
                  <c:v>20.863728554760399</c:v>
                </c:pt>
                <c:pt idx="25">
                  <c:v>20.636474265712479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3D-4343-9ADC-FFD62E5A63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'Gearing '!$J$2</c:f>
              <c:strCache>
                <c:ptCount val="1"/>
                <c:pt idx="0">
                  <c:v>Power (w)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dk1">
                  <a:tint val="88500"/>
                </a:schemeClr>
              </a:outerShdw>
            </a:effectLst>
          </c:spPr>
          <c:marker>
            <c:symbol val="none"/>
          </c:marker>
          <c:cat>
            <c:numRef>
              <c:f>'Gearing '!$L$3:$L$28</c:f>
              <c:numCache>
                <c:formatCode>General</c:formatCode>
                <c:ptCount val="26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  <c:pt idx="24">
                  <c:v>6750</c:v>
                </c:pt>
                <c:pt idx="25">
                  <c:v>7000</c:v>
                </c:pt>
              </c:numCache>
            </c:numRef>
          </c:cat>
          <c:val>
            <c:numRef>
              <c:f>'Gearing '!$J$3:$J$28</c:f>
              <c:numCache>
                <c:formatCode>0.00</c:formatCode>
                <c:ptCount val="26"/>
                <c:pt idx="0">
                  <c:v>559.27499999999998</c:v>
                </c:pt>
                <c:pt idx="1">
                  <c:v>1118.55</c:v>
                </c:pt>
                <c:pt idx="2">
                  <c:v>1677.825</c:v>
                </c:pt>
                <c:pt idx="3">
                  <c:v>2237.1</c:v>
                </c:pt>
                <c:pt idx="4">
                  <c:v>2796.3750000000005</c:v>
                </c:pt>
                <c:pt idx="5">
                  <c:v>3355.65</c:v>
                </c:pt>
                <c:pt idx="6">
                  <c:v>3914.9250000000002</c:v>
                </c:pt>
                <c:pt idx="7">
                  <c:v>4474.2</c:v>
                </c:pt>
                <c:pt idx="8">
                  <c:v>5033.4750000000004</c:v>
                </c:pt>
                <c:pt idx="9">
                  <c:v>5592.7500000000009</c:v>
                </c:pt>
                <c:pt idx="10">
                  <c:v>6152.0249999999996</c:v>
                </c:pt>
                <c:pt idx="11">
                  <c:v>6711.3</c:v>
                </c:pt>
                <c:pt idx="12">
                  <c:v>7270.5749999999998</c:v>
                </c:pt>
                <c:pt idx="13">
                  <c:v>7829.85</c:v>
                </c:pt>
                <c:pt idx="14">
                  <c:v>8389.125</c:v>
                </c:pt>
                <c:pt idx="15">
                  <c:v>8948.4</c:v>
                </c:pt>
                <c:pt idx="16">
                  <c:v>9507.6750000000011</c:v>
                </c:pt>
                <c:pt idx="17">
                  <c:v>10066.950000000001</c:v>
                </c:pt>
                <c:pt idx="18">
                  <c:v>10626.225</c:v>
                </c:pt>
                <c:pt idx="19">
                  <c:v>11185.500000000002</c:v>
                </c:pt>
                <c:pt idx="20">
                  <c:v>11744.775000000001</c:v>
                </c:pt>
                <c:pt idx="21">
                  <c:v>12304.05</c:v>
                </c:pt>
                <c:pt idx="22">
                  <c:v>12863.324999999999</c:v>
                </c:pt>
                <c:pt idx="23">
                  <c:v>13422.6</c:v>
                </c:pt>
                <c:pt idx="24">
                  <c:v>13236.175000000001</c:v>
                </c:pt>
                <c:pt idx="25">
                  <c:v>13049.750000000002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B1-4549-B014-AD5030449D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tint val="88500"/>
      </a:schemeClr>
    </a:solidFill>
    <a:ln w="9525" cap="flat" cmpd="sng" algn="ctr">
      <a:solidFill>
        <a:schemeClr val="dk1">
          <a:tint val="885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Torque (Nm)</a:t>
            </a:r>
            <a:r>
              <a:rPr lang="en-GB" baseline="0"/>
              <a:t> &amp; Fuel Consumption (g/s)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'Duty Cycle '!$Y$2</c:f>
              <c:strCache>
                <c:ptCount val="1"/>
                <c:pt idx="0">
                  <c:v>Torque (Nm) 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'!$Y$3:$Y$152</c:f>
              <c:numCache>
                <c:formatCode>0.00</c:formatCode>
                <c:ptCount val="150"/>
                <c:pt idx="0">
                  <c:v>0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11</c:v>
                </c:pt>
                <c:pt idx="6">
                  <c:v>14</c:v>
                </c:pt>
                <c:pt idx="7">
                  <c:v>12</c:v>
                </c:pt>
                <c:pt idx="8">
                  <c:v>14</c:v>
                </c:pt>
                <c:pt idx="9">
                  <c:v>17</c:v>
                </c:pt>
                <c:pt idx="10">
                  <c:v>19</c:v>
                </c:pt>
                <c:pt idx="11">
                  <c:v>21</c:v>
                </c:pt>
                <c:pt idx="12">
                  <c:v>18</c:v>
                </c:pt>
                <c:pt idx="13">
                  <c:v>12</c:v>
                </c:pt>
                <c:pt idx="14">
                  <c:v>21</c:v>
                </c:pt>
                <c:pt idx="15">
                  <c:v>19</c:v>
                </c:pt>
                <c:pt idx="16">
                  <c:v>18</c:v>
                </c:pt>
                <c:pt idx="17">
                  <c:v>5</c:v>
                </c:pt>
                <c:pt idx="18">
                  <c:v>2</c:v>
                </c:pt>
                <c:pt idx="19">
                  <c:v>8</c:v>
                </c:pt>
                <c:pt idx="20">
                  <c:v>2</c:v>
                </c:pt>
                <c:pt idx="21">
                  <c:v>1</c:v>
                </c:pt>
                <c:pt idx="22">
                  <c:v>5</c:v>
                </c:pt>
                <c:pt idx="23">
                  <c:v>3</c:v>
                </c:pt>
                <c:pt idx="24">
                  <c:v>3</c:v>
                </c:pt>
                <c:pt idx="25">
                  <c:v>4</c:v>
                </c:pt>
                <c:pt idx="26">
                  <c:v>7</c:v>
                </c:pt>
                <c:pt idx="27">
                  <c:v>9</c:v>
                </c:pt>
                <c:pt idx="28">
                  <c:v>2</c:v>
                </c:pt>
                <c:pt idx="29">
                  <c:v>4</c:v>
                </c:pt>
                <c:pt idx="30">
                  <c:v>4</c:v>
                </c:pt>
                <c:pt idx="31">
                  <c:v>2</c:v>
                </c:pt>
                <c:pt idx="32">
                  <c:v>2</c:v>
                </c:pt>
                <c:pt idx="33">
                  <c:v>7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3</c:v>
                </c:pt>
                <c:pt idx="39">
                  <c:v>3</c:v>
                </c:pt>
                <c:pt idx="40">
                  <c:v>5</c:v>
                </c:pt>
                <c:pt idx="41">
                  <c:v>5</c:v>
                </c:pt>
                <c:pt idx="42">
                  <c:v>7</c:v>
                </c:pt>
                <c:pt idx="43">
                  <c:v>7</c:v>
                </c:pt>
                <c:pt idx="44">
                  <c:v>8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3</c:v>
                </c:pt>
                <c:pt idx="50">
                  <c:v>1</c:v>
                </c:pt>
                <c:pt idx="51">
                  <c:v>1</c:v>
                </c:pt>
                <c:pt idx="52">
                  <c:v>3</c:v>
                </c:pt>
                <c:pt idx="53">
                  <c:v>2</c:v>
                </c:pt>
                <c:pt idx="54">
                  <c:v>10</c:v>
                </c:pt>
                <c:pt idx="55">
                  <c:v>14</c:v>
                </c:pt>
                <c:pt idx="56">
                  <c:v>11</c:v>
                </c:pt>
                <c:pt idx="57">
                  <c:v>5</c:v>
                </c:pt>
                <c:pt idx="58">
                  <c:v>6</c:v>
                </c:pt>
                <c:pt idx="59">
                  <c:v>6</c:v>
                </c:pt>
                <c:pt idx="60">
                  <c:v>7</c:v>
                </c:pt>
                <c:pt idx="61">
                  <c:v>11</c:v>
                </c:pt>
                <c:pt idx="62">
                  <c:v>3</c:v>
                </c:pt>
                <c:pt idx="63">
                  <c:v>2</c:v>
                </c:pt>
                <c:pt idx="64">
                  <c:v>9</c:v>
                </c:pt>
                <c:pt idx="65">
                  <c:v>10</c:v>
                </c:pt>
                <c:pt idx="66">
                  <c:v>11</c:v>
                </c:pt>
                <c:pt idx="67">
                  <c:v>6</c:v>
                </c:pt>
                <c:pt idx="68">
                  <c:v>19</c:v>
                </c:pt>
                <c:pt idx="69">
                  <c:v>16</c:v>
                </c:pt>
                <c:pt idx="70">
                  <c:v>20</c:v>
                </c:pt>
                <c:pt idx="71">
                  <c:v>13</c:v>
                </c:pt>
                <c:pt idx="72">
                  <c:v>14</c:v>
                </c:pt>
                <c:pt idx="73">
                  <c:v>6</c:v>
                </c:pt>
                <c:pt idx="74">
                  <c:v>4</c:v>
                </c:pt>
                <c:pt idx="75">
                  <c:v>7</c:v>
                </c:pt>
                <c:pt idx="76">
                  <c:v>16</c:v>
                </c:pt>
                <c:pt idx="77">
                  <c:v>13</c:v>
                </c:pt>
                <c:pt idx="78">
                  <c:v>18</c:v>
                </c:pt>
                <c:pt idx="79">
                  <c:v>18</c:v>
                </c:pt>
                <c:pt idx="80">
                  <c:v>18</c:v>
                </c:pt>
                <c:pt idx="81">
                  <c:v>18</c:v>
                </c:pt>
                <c:pt idx="82">
                  <c:v>18</c:v>
                </c:pt>
                <c:pt idx="83">
                  <c:v>17</c:v>
                </c:pt>
                <c:pt idx="84">
                  <c:v>19</c:v>
                </c:pt>
                <c:pt idx="85">
                  <c:v>20</c:v>
                </c:pt>
                <c:pt idx="86">
                  <c:v>15</c:v>
                </c:pt>
                <c:pt idx="87">
                  <c:v>8</c:v>
                </c:pt>
                <c:pt idx="88">
                  <c:v>5</c:v>
                </c:pt>
                <c:pt idx="89">
                  <c:v>8</c:v>
                </c:pt>
                <c:pt idx="90">
                  <c:v>9</c:v>
                </c:pt>
                <c:pt idx="91">
                  <c:v>9</c:v>
                </c:pt>
                <c:pt idx="92">
                  <c:v>9</c:v>
                </c:pt>
                <c:pt idx="93">
                  <c:v>8</c:v>
                </c:pt>
                <c:pt idx="94">
                  <c:v>6</c:v>
                </c:pt>
                <c:pt idx="95">
                  <c:v>10</c:v>
                </c:pt>
                <c:pt idx="96">
                  <c:v>13</c:v>
                </c:pt>
                <c:pt idx="97">
                  <c:v>10</c:v>
                </c:pt>
                <c:pt idx="98">
                  <c:v>16</c:v>
                </c:pt>
                <c:pt idx="99">
                  <c:v>16</c:v>
                </c:pt>
                <c:pt idx="100">
                  <c:v>10</c:v>
                </c:pt>
                <c:pt idx="101">
                  <c:v>15</c:v>
                </c:pt>
                <c:pt idx="102">
                  <c:v>9</c:v>
                </c:pt>
                <c:pt idx="103">
                  <c:v>4</c:v>
                </c:pt>
                <c:pt idx="104">
                  <c:v>4</c:v>
                </c:pt>
                <c:pt idx="105">
                  <c:v>4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16</c:v>
                </c:pt>
                <c:pt idx="110">
                  <c:v>4</c:v>
                </c:pt>
                <c:pt idx="111">
                  <c:v>4</c:v>
                </c:pt>
                <c:pt idx="112">
                  <c:v>15</c:v>
                </c:pt>
                <c:pt idx="113">
                  <c:v>9</c:v>
                </c:pt>
                <c:pt idx="114">
                  <c:v>4</c:v>
                </c:pt>
                <c:pt idx="115">
                  <c:v>4</c:v>
                </c:pt>
                <c:pt idx="116">
                  <c:v>16</c:v>
                </c:pt>
                <c:pt idx="117">
                  <c:v>16</c:v>
                </c:pt>
                <c:pt idx="118">
                  <c:v>14</c:v>
                </c:pt>
                <c:pt idx="119">
                  <c:v>3</c:v>
                </c:pt>
                <c:pt idx="120">
                  <c:v>12</c:v>
                </c:pt>
                <c:pt idx="121">
                  <c:v>12</c:v>
                </c:pt>
                <c:pt idx="122">
                  <c:v>6</c:v>
                </c:pt>
                <c:pt idx="123">
                  <c:v>6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7</c:v>
                </c:pt>
                <c:pt idx="128">
                  <c:v>12</c:v>
                </c:pt>
                <c:pt idx="129">
                  <c:v>9</c:v>
                </c:pt>
                <c:pt idx="130">
                  <c:v>12</c:v>
                </c:pt>
                <c:pt idx="131">
                  <c:v>13</c:v>
                </c:pt>
                <c:pt idx="132">
                  <c:v>1</c:v>
                </c:pt>
                <c:pt idx="133">
                  <c:v>5</c:v>
                </c:pt>
                <c:pt idx="134">
                  <c:v>5</c:v>
                </c:pt>
                <c:pt idx="135">
                  <c:v>17</c:v>
                </c:pt>
                <c:pt idx="136">
                  <c:v>17</c:v>
                </c:pt>
                <c:pt idx="137">
                  <c:v>17</c:v>
                </c:pt>
                <c:pt idx="138">
                  <c:v>15</c:v>
                </c:pt>
                <c:pt idx="139">
                  <c:v>11</c:v>
                </c:pt>
                <c:pt idx="140">
                  <c:v>8</c:v>
                </c:pt>
                <c:pt idx="141">
                  <c:v>4</c:v>
                </c:pt>
                <c:pt idx="142">
                  <c:v>1</c:v>
                </c:pt>
                <c:pt idx="143">
                  <c:v>5</c:v>
                </c:pt>
                <c:pt idx="144">
                  <c:v>5</c:v>
                </c:pt>
                <c:pt idx="145">
                  <c:v>14</c:v>
                </c:pt>
                <c:pt idx="146">
                  <c:v>20</c:v>
                </c:pt>
                <c:pt idx="147">
                  <c:v>14</c:v>
                </c:pt>
                <c:pt idx="148">
                  <c:v>14</c:v>
                </c:pt>
                <c:pt idx="14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7D-4C4D-B95F-0BFEA400B6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0"/>
          <c:order val="0"/>
          <c:tx>
            <c:strRef>
              <c:f>'Duty Cycle '!$AC$2</c:f>
              <c:strCache>
                <c:ptCount val="1"/>
                <c:pt idx="0">
                  <c:v>Fuel Consumption (g/s)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'!$AC$3:$AC$152</c:f>
              <c:numCache>
                <c:formatCode>General</c:formatCode>
                <c:ptCount val="150"/>
                <c:pt idx="0">
                  <c:v>0</c:v>
                </c:pt>
                <c:pt idx="1">
                  <c:v>0</c:v>
                </c:pt>
                <c:pt idx="2">
                  <c:v>0.14228406972913979</c:v>
                </c:pt>
                <c:pt idx="3">
                  <c:v>0.22806415151632115</c:v>
                </c:pt>
                <c:pt idx="4">
                  <c:v>0.38402377916218439</c:v>
                </c:pt>
                <c:pt idx="5">
                  <c:v>0.55475963671439121</c:v>
                </c:pt>
                <c:pt idx="6">
                  <c:v>0.73394457487497933</c:v>
                </c:pt>
                <c:pt idx="7">
                  <c:v>0.54271094057442648</c:v>
                </c:pt>
                <c:pt idx="8">
                  <c:v>0.83873193127609791</c:v>
                </c:pt>
                <c:pt idx="9">
                  <c:v>1.0826885098379202</c:v>
                </c:pt>
                <c:pt idx="10">
                  <c:v>1.3029896062263091</c:v>
                </c:pt>
                <c:pt idx="11">
                  <c:v>1.688722748817598</c:v>
                </c:pt>
                <c:pt idx="12">
                  <c:v>1.7347257666552451</c:v>
                </c:pt>
                <c:pt idx="13">
                  <c:v>0.51068215799597849</c:v>
                </c:pt>
                <c:pt idx="14">
                  <c:v>1.5283309794936029</c:v>
                </c:pt>
                <c:pt idx="15">
                  <c:v>1.5711956904937245</c:v>
                </c:pt>
                <c:pt idx="16">
                  <c:v>1.7459824482687898</c:v>
                </c:pt>
                <c:pt idx="17">
                  <c:v>0.48984972109403763</c:v>
                </c:pt>
                <c:pt idx="18">
                  <c:v>0.15632583129640362</c:v>
                </c:pt>
                <c:pt idx="19">
                  <c:v>0.58310088668898508</c:v>
                </c:pt>
                <c:pt idx="20">
                  <c:v>0.15681650250297935</c:v>
                </c:pt>
                <c:pt idx="21">
                  <c:v>2.961395267371086E-2</c:v>
                </c:pt>
                <c:pt idx="22">
                  <c:v>0.57907887460796459</c:v>
                </c:pt>
                <c:pt idx="23">
                  <c:v>0.32810517302279762</c:v>
                </c:pt>
                <c:pt idx="24">
                  <c:v>0.40088822896557857</c:v>
                </c:pt>
                <c:pt idx="25">
                  <c:v>0.42919368180165013</c:v>
                </c:pt>
                <c:pt idx="26">
                  <c:v>0.64677079803904913</c:v>
                </c:pt>
                <c:pt idx="27">
                  <c:v>0.93183998612302643</c:v>
                </c:pt>
                <c:pt idx="28">
                  <c:v>0.31799512334198904</c:v>
                </c:pt>
                <c:pt idx="29">
                  <c:v>0.53901248356917808</c:v>
                </c:pt>
                <c:pt idx="30">
                  <c:v>0.53901248356917808</c:v>
                </c:pt>
                <c:pt idx="31">
                  <c:v>0.31799512334198904</c:v>
                </c:pt>
                <c:pt idx="32">
                  <c:v>0.25010060642509868</c:v>
                </c:pt>
                <c:pt idx="33">
                  <c:v>0.7938023762774209</c:v>
                </c:pt>
                <c:pt idx="34">
                  <c:v>0.67252988329768681</c:v>
                </c:pt>
                <c:pt idx="35">
                  <c:v>0.67252988329768681</c:v>
                </c:pt>
                <c:pt idx="36">
                  <c:v>0.67252988329768681</c:v>
                </c:pt>
                <c:pt idx="37">
                  <c:v>0.67252988329768681</c:v>
                </c:pt>
                <c:pt idx="38">
                  <c:v>0.41418496413334865</c:v>
                </c:pt>
                <c:pt idx="39">
                  <c:v>0.41418496413334865</c:v>
                </c:pt>
                <c:pt idx="40">
                  <c:v>0.60578438397715739</c:v>
                </c:pt>
                <c:pt idx="41">
                  <c:v>0.58971231554611392</c:v>
                </c:pt>
                <c:pt idx="42">
                  <c:v>0.53426401121545153</c:v>
                </c:pt>
                <c:pt idx="43">
                  <c:v>0.49174955539762938</c:v>
                </c:pt>
                <c:pt idx="44">
                  <c:v>0.58302733583277844</c:v>
                </c:pt>
                <c:pt idx="45">
                  <c:v>0.48066939449243351</c:v>
                </c:pt>
                <c:pt idx="46">
                  <c:v>0.48066939449243351</c:v>
                </c:pt>
                <c:pt idx="47">
                  <c:v>0.48066939449243351</c:v>
                </c:pt>
                <c:pt idx="48">
                  <c:v>0.48066939449243351</c:v>
                </c:pt>
                <c:pt idx="49">
                  <c:v>0.27167071562305595</c:v>
                </c:pt>
                <c:pt idx="50">
                  <c:v>1.6266114464562841E-2</c:v>
                </c:pt>
                <c:pt idx="51">
                  <c:v>3.8116394900397997E-2</c:v>
                </c:pt>
                <c:pt idx="52">
                  <c:v>0.4437534822001476</c:v>
                </c:pt>
                <c:pt idx="53">
                  <c:v>0.1865055052729393</c:v>
                </c:pt>
                <c:pt idx="54">
                  <c:v>0.69392867239371714</c:v>
                </c:pt>
                <c:pt idx="55">
                  <c:v>0.94085313670033421</c:v>
                </c:pt>
                <c:pt idx="56">
                  <c:v>1.0375273828181617</c:v>
                </c:pt>
                <c:pt idx="57">
                  <c:v>0.69149116324906679</c:v>
                </c:pt>
                <c:pt idx="58">
                  <c:v>0.72077035631390962</c:v>
                </c:pt>
                <c:pt idx="59">
                  <c:v>0.72077035631390962</c:v>
                </c:pt>
                <c:pt idx="60">
                  <c:v>0.65788856717182198</c:v>
                </c:pt>
                <c:pt idx="61">
                  <c:v>0.60757971918137388</c:v>
                </c:pt>
                <c:pt idx="62">
                  <c:v>0.24852585488823653</c:v>
                </c:pt>
                <c:pt idx="63">
                  <c:v>0.20230960725991171</c:v>
                </c:pt>
                <c:pt idx="64">
                  <c:v>0.66719571894656637</c:v>
                </c:pt>
                <c:pt idx="65">
                  <c:v>0.66753000331185586</c:v>
                </c:pt>
                <c:pt idx="66">
                  <c:v>0.70231901629446158</c:v>
                </c:pt>
                <c:pt idx="67">
                  <c:v>0.41055902578681353</c:v>
                </c:pt>
                <c:pt idx="68">
                  <c:v>1.2276397778027601</c:v>
                </c:pt>
                <c:pt idx="69">
                  <c:v>1.0797175211154415</c:v>
                </c:pt>
                <c:pt idx="70">
                  <c:v>1.4381110021893744</c:v>
                </c:pt>
                <c:pt idx="71">
                  <c:v>0.68023979923432509</c:v>
                </c:pt>
                <c:pt idx="72">
                  <c:v>0.86303899043347998</c:v>
                </c:pt>
                <c:pt idx="73">
                  <c:v>0.51467833382257944</c:v>
                </c:pt>
                <c:pt idx="74">
                  <c:v>0.41643203175364518</c:v>
                </c:pt>
                <c:pt idx="75">
                  <c:v>0.53054934018438515</c:v>
                </c:pt>
                <c:pt idx="76">
                  <c:v>0.99590425665174065</c:v>
                </c:pt>
                <c:pt idx="77">
                  <c:v>0.59632275987479977</c:v>
                </c:pt>
                <c:pt idx="78">
                  <c:v>1.1182388101602698</c:v>
                </c:pt>
                <c:pt idx="79">
                  <c:v>1.1182388101602687</c:v>
                </c:pt>
                <c:pt idx="80">
                  <c:v>1.1182388101602698</c:v>
                </c:pt>
                <c:pt idx="81">
                  <c:v>1.1182388101602687</c:v>
                </c:pt>
                <c:pt idx="82">
                  <c:v>1.1182388101602687</c:v>
                </c:pt>
                <c:pt idx="83">
                  <c:v>1.1653143309294367</c:v>
                </c:pt>
                <c:pt idx="84">
                  <c:v>1.7274927752925628</c:v>
                </c:pt>
                <c:pt idx="85">
                  <c:v>1.3897141827684203</c:v>
                </c:pt>
                <c:pt idx="86">
                  <c:v>0.77454633807135598</c:v>
                </c:pt>
                <c:pt idx="87">
                  <c:v>0.72891824623389068</c:v>
                </c:pt>
                <c:pt idx="88">
                  <c:v>0.45406697174153116</c:v>
                </c:pt>
                <c:pt idx="89">
                  <c:v>0.59532161578284626</c:v>
                </c:pt>
                <c:pt idx="90">
                  <c:v>0.52802849872896918</c:v>
                </c:pt>
                <c:pt idx="91">
                  <c:v>0.55667497747894112</c:v>
                </c:pt>
                <c:pt idx="92">
                  <c:v>0.55667497747894112</c:v>
                </c:pt>
                <c:pt idx="93">
                  <c:v>0.51726338827346519</c:v>
                </c:pt>
                <c:pt idx="94">
                  <c:v>0.45452022942672504</c:v>
                </c:pt>
                <c:pt idx="95">
                  <c:v>0.64676298589101378</c:v>
                </c:pt>
                <c:pt idx="96">
                  <c:v>1.2004407183482235</c:v>
                </c:pt>
                <c:pt idx="97">
                  <c:v>0.57803754911918603</c:v>
                </c:pt>
                <c:pt idx="98">
                  <c:v>1.0356107326866033</c:v>
                </c:pt>
                <c:pt idx="99">
                  <c:v>1.210646072366661</c:v>
                </c:pt>
                <c:pt idx="100">
                  <c:v>0.99249720323822166</c:v>
                </c:pt>
                <c:pt idx="101">
                  <c:v>0.936405990372844</c:v>
                </c:pt>
                <c:pt idx="102">
                  <c:v>0.57482586559282023</c:v>
                </c:pt>
                <c:pt idx="103">
                  <c:v>0.33622397611313265</c:v>
                </c:pt>
                <c:pt idx="104">
                  <c:v>0.33622397611313265</c:v>
                </c:pt>
                <c:pt idx="105">
                  <c:v>0.33622397611313265</c:v>
                </c:pt>
                <c:pt idx="106">
                  <c:v>0.57483034986694714</c:v>
                </c:pt>
                <c:pt idx="107">
                  <c:v>0.64703420860182814</c:v>
                </c:pt>
                <c:pt idx="108">
                  <c:v>0.5494692112708186</c:v>
                </c:pt>
                <c:pt idx="109">
                  <c:v>1.5382876239947119</c:v>
                </c:pt>
                <c:pt idx="110">
                  <c:v>0.53901248356917808</c:v>
                </c:pt>
                <c:pt idx="111">
                  <c:v>0.53901248356917808</c:v>
                </c:pt>
                <c:pt idx="112">
                  <c:v>0.936405990372844</c:v>
                </c:pt>
                <c:pt idx="113">
                  <c:v>0.57482586559282023</c:v>
                </c:pt>
                <c:pt idx="114">
                  <c:v>0.31300512819008192</c:v>
                </c:pt>
                <c:pt idx="115">
                  <c:v>0.3152244776094793</c:v>
                </c:pt>
                <c:pt idx="116">
                  <c:v>0.9216912202808295</c:v>
                </c:pt>
                <c:pt idx="117">
                  <c:v>1.0735705099788349</c:v>
                </c:pt>
                <c:pt idx="118">
                  <c:v>1.195268761543377</c:v>
                </c:pt>
                <c:pt idx="119">
                  <c:v>0.41418496413335432</c:v>
                </c:pt>
                <c:pt idx="120">
                  <c:v>0.79572210250091935</c:v>
                </c:pt>
                <c:pt idx="121">
                  <c:v>0.68217470146683368</c:v>
                </c:pt>
                <c:pt idx="122">
                  <c:v>0.58774198753409035</c:v>
                </c:pt>
                <c:pt idx="123">
                  <c:v>0.58774198753409201</c:v>
                </c:pt>
                <c:pt idx="124">
                  <c:v>0.45771086634037139</c:v>
                </c:pt>
                <c:pt idx="125">
                  <c:v>0.45771086634037139</c:v>
                </c:pt>
                <c:pt idx="126">
                  <c:v>0.45771086634037139</c:v>
                </c:pt>
                <c:pt idx="127">
                  <c:v>0.72549742267516015</c:v>
                </c:pt>
                <c:pt idx="128">
                  <c:v>1.1516430488719471</c:v>
                </c:pt>
                <c:pt idx="129">
                  <c:v>0.87232619697666269</c:v>
                </c:pt>
                <c:pt idx="130">
                  <c:v>1.1376378342391147</c:v>
                </c:pt>
                <c:pt idx="131">
                  <c:v>1.1578340616105911</c:v>
                </c:pt>
                <c:pt idx="132">
                  <c:v>0.13585885701649547</c:v>
                </c:pt>
                <c:pt idx="133">
                  <c:v>0.42658252757884546</c:v>
                </c:pt>
                <c:pt idx="134">
                  <c:v>0.41911873772309777</c:v>
                </c:pt>
                <c:pt idx="135">
                  <c:v>1.1101556108978465</c:v>
                </c:pt>
                <c:pt idx="136">
                  <c:v>1.1101556108978465</c:v>
                </c:pt>
                <c:pt idx="137">
                  <c:v>1.1101556108978465</c:v>
                </c:pt>
                <c:pt idx="138">
                  <c:v>0.92820269687154544</c:v>
                </c:pt>
                <c:pt idx="139">
                  <c:v>0.69748194114896911</c:v>
                </c:pt>
                <c:pt idx="140">
                  <c:v>0.53717759296834833</c:v>
                </c:pt>
                <c:pt idx="141">
                  <c:v>0.40117926784381913</c:v>
                </c:pt>
                <c:pt idx="142">
                  <c:v>8.350862579834456E-2</c:v>
                </c:pt>
                <c:pt idx="143">
                  <c:v>0.37029879182776904</c:v>
                </c:pt>
                <c:pt idx="144">
                  <c:v>0.37029879182776904</c:v>
                </c:pt>
                <c:pt idx="145">
                  <c:v>0.70407311550876051</c:v>
                </c:pt>
                <c:pt idx="146">
                  <c:v>1.4168251621751804</c:v>
                </c:pt>
                <c:pt idx="147">
                  <c:v>0.82204076178296781</c:v>
                </c:pt>
                <c:pt idx="148">
                  <c:v>0.86303899043347998</c:v>
                </c:pt>
                <c:pt idx="149">
                  <c:v>0.98209822031762239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7D-4C4D-B95F-0BFEA400B6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01248"/>
        <c:axId val="1119500592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00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01248"/>
        <c:crosses val="max"/>
        <c:crossBetween val="between"/>
      </c:valAx>
      <c:catAx>
        <c:axId val="11195012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1950059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Work</a:t>
            </a:r>
            <a:r>
              <a:rPr lang="en-GB" baseline="0"/>
              <a:t> Done (J) &amp; Fuel Consumption (g/s) vs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'!$AC$2</c:f>
              <c:strCache>
                <c:ptCount val="1"/>
                <c:pt idx="0">
                  <c:v>Fuel Consumption (g/s)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'!$AC$3:$AC$152</c:f>
              <c:numCache>
                <c:formatCode>General</c:formatCode>
                <c:ptCount val="150"/>
                <c:pt idx="0">
                  <c:v>0</c:v>
                </c:pt>
                <c:pt idx="1">
                  <c:v>0</c:v>
                </c:pt>
                <c:pt idx="2">
                  <c:v>0.14228406972913979</c:v>
                </c:pt>
                <c:pt idx="3">
                  <c:v>0.22806415151632115</c:v>
                </c:pt>
                <c:pt idx="4">
                  <c:v>0.38402377916218439</c:v>
                </c:pt>
                <c:pt idx="5">
                  <c:v>0.55475963671439121</c:v>
                </c:pt>
                <c:pt idx="6">
                  <c:v>0.73394457487497933</c:v>
                </c:pt>
                <c:pt idx="7">
                  <c:v>0.54271094057442648</c:v>
                </c:pt>
                <c:pt idx="8">
                  <c:v>0.83873193127609791</c:v>
                </c:pt>
                <c:pt idx="9">
                  <c:v>1.0826885098379202</c:v>
                </c:pt>
                <c:pt idx="10">
                  <c:v>1.3029896062263091</c:v>
                </c:pt>
                <c:pt idx="11">
                  <c:v>1.688722748817598</c:v>
                </c:pt>
                <c:pt idx="12">
                  <c:v>1.7347257666552451</c:v>
                </c:pt>
                <c:pt idx="13">
                  <c:v>0.51068215799597849</c:v>
                </c:pt>
                <c:pt idx="14">
                  <c:v>1.5283309794936029</c:v>
                </c:pt>
                <c:pt idx="15">
                  <c:v>1.5711956904937245</c:v>
                </c:pt>
                <c:pt idx="16">
                  <c:v>1.7459824482687898</c:v>
                </c:pt>
                <c:pt idx="17">
                  <c:v>0.48984972109403763</c:v>
                </c:pt>
                <c:pt idx="18">
                  <c:v>0.15632583129640362</c:v>
                </c:pt>
                <c:pt idx="19">
                  <c:v>0.58310088668898508</c:v>
                </c:pt>
                <c:pt idx="20">
                  <c:v>0.15681650250297935</c:v>
                </c:pt>
                <c:pt idx="21">
                  <c:v>2.961395267371086E-2</c:v>
                </c:pt>
                <c:pt idx="22">
                  <c:v>0.57907887460796459</c:v>
                </c:pt>
                <c:pt idx="23">
                  <c:v>0.32810517302279762</c:v>
                </c:pt>
                <c:pt idx="24">
                  <c:v>0.40088822896557857</c:v>
                </c:pt>
                <c:pt idx="25">
                  <c:v>0.42919368180165013</c:v>
                </c:pt>
                <c:pt idx="26">
                  <c:v>0.64677079803904913</c:v>
                </c:pt>
                <c:pt idx="27">
                  <c:v>0.93183998612302643</c:v>
                </c:pt>
                <c:pt idx="28">
                  <c:v>0.31799512334198904</c:v>
                </c:pt>
                <c:pt idx="29">
                  <c:v>0.53901248356917808</c:v>
                </c:pt>
                <c:pt idx="30">
                  <c:v>0.53901248356917808</c:v>
                </c:pt>
                <c:pt idx="31">
                  <c:v>0.31799512334198904</c:v>
                </c:pt>
                <c:pt idx="32">
                  <c:v>0.25010060642509868</c:v>
                </c:pt>
                <c:pt idx="33">
                  <c:v>0.7938023762774209</c:v>
                </c:pt>
                <c:pt idx="34">
                  <c:v>0.67252988329768681</c:v>
                </c:pt>
                <c:pt idx="35">
                  <c:v>0.67252988329768681</c:v>
                </c:pt>
                <c:pt idx="36">
                  <c:v>0.67252988329768681</c:v>
                </c:pt>
                <c:pt idx="37">
                  <c:v>0.67252988329768681</c:v>
                </c:pt>
                <c:pt idx="38">
                  <c:v>0.41418496413334865</c:v>
                </c:pt>
                <c:pt idx="39">
                  <c:v>0.41418496413334865</c:v>
                </c:pt>
                <c:pt idx="40">
                  <c:v>0.60578438397715739</c:v>
                </c:pt>
                <c:pt idx="41">
                  <c:v>0.58971231554611392</c:v>
                </c:pt>
                <c:pt idx="42">
                  <c:v>0.53426401121545153</c:v>
                </c:pt>
                <c:pt idx="43">
                  <c:v>0.49174955539762938</c:v>
                </c:pt>
                <c:pt idx="44">
                  <c:v>0.58302733583277844</c:v>
                </c:pt>
                <c:pt idx="45">
                  <c:v>0.48066939449243351</c:v>
                </c:pt>
                <c:pt idx="46">
                  <c:v>0.48066939449243351</c:v>
                </c:pt>
                <c:pt idx="47">
                  <c:v>0.48066939449243351</c:v>
                </c:pt>
                <c:pt idx="48">
                  <c:v>0.48066939449243351</c:v>
                </c:pt>
                <c:pt idx="49">
                  <c:v>0.27167071562305595</c:v>
                </c:pt>
                <c:pt idx="50">
                  <c:v>1.6266114464562841E-2</c:v>
                </c:pt>
                <c:pt idx="51">
                  <c:v>3.8116394900397997E-2</c:v>
                </c:pt>
                <c:pt idx="52">
                  <c:v>0.4437534822001476</c:v>
                </c:pt>
                <c:pt idx="53">
                  <c:v>0.1865055052729393</c:v>
                </c:pt>
                <c:pt idx="54">
                  <c:v>0.69392867239371714</c:v>
                </c:pt>
                <c:pt idx="55">
                  <c:v>0.94085313670033421</c:v>
                </c:pt>
                <c:pt idx="56">
                  <c:v>1.0375273828181617</c:v>
                </c:pt>
                <c:pt idx="57">
                  <c:v>0.69149116324906679</c:v>
                </c:pt>
                <c:pt idx="58">
                  <c:v>0.72077035631390962</c:v>
                </c:pt>
                <c:pt idx="59">
                  <c:v>0.72077035631390962</c:v>
                </c:pt>
                <c:pt idx="60">
                  <c:v>0.65788856717182198</c:v>
                </c:pt>
                <c:pt idx="61">
                  <c:v>0.60757971918137388</c:v>
                </c:pt>
                <c:pt idx="62">
                  <c:v>0.24852585488823653</c:v>
                </c:pt>
                <c:pt idx="63">
                  <c:v>0.20230960725991171</c:v>
                </c:pt>
                <c:pt idx="64">
                  <c:v>0.66719571894656637</c:v>
                </c:pt>
                <c:pt idx="65">
                  <c:v>0.66753000331185586</c:v>
                </c:pt>
                <c:pt idx="66">
                  <c:v>0.70231901629446158</c:v>
                </c:pt>
                <c:pt idx="67">
                  <c:v>0.41055902578681353</c:v>
                </c:pt>
                <c:pt idx="68">
                  <c:v>1.2276397778027601</c:v>
                </c:pt>
                <c:pt idx="69">
                  <c:v>1.0797175211154415</c:v>
                </c:pt>
                <c:pt idx="70">
                  <c:v>1.4381110021893744</c:v>
                </c:pt>
                <c:pt idx="71">
                  <c:v>0.68023979923432509</c:v>
                </c:pt>
                <c:pt idx="72">
                  <c:v>0.86303899043347998</c:v>
                </c:pt>
                <c:pt idx="73">
                  <c:v>0.51467833382257944</c:v>
                </c:pt>
                <c:pt idx="74">
                  <c:v>0.41643203175364518</c:v>
                </c:pt>
                <c:pt idx="75">
                  <c:v>0.53054934018438515</c:v>
                </c:pt>
                <c:pt idx="76">
                  <c:v>0.99590425665174065</c:v>
                </c:pt>
                <c:pt idx="77">
                  <c:v>0.59632275987479977</c:v>
                </c:pt>
                <c:pt idx="78">
                  <c:v>1.1182388101602698</c:v>
                </c:pt>
                <c:pt idx="79">
                  <c:v>1.1182388101602687</c:v>
                </c:pt>
                <c:pt idx="80">
                  <c:v>1.1182388101602698</c:v>
                </c:pt>
                <c:pt idx="81">
                  <c:v>1.1182388101602687</c:v>
                </c:pt>
                <c:pt idx="82">
                  <c:v>1.1182388101602687</c:v>
                </c:pt>
                <c:pt idx="83">
                  <c:v>1.1653143309294367</c:v>
                </c:pt>
                <c:pt idx="84">
                  <c:v>1.7274927752925628</c:v>
                </c:pt>
                <c:pt idx="85">
                  <c:v>1.3897141827684203</c:v>
                </c:pt>
                <c:pt idx="86">
                  <c:v>0.77454633807135598</c:v>
                </c:pt>
                <c:pt idx="87">
                  <c:v>0.72891824623389068</c:v>
                </c:pt>
                <c:pt idx="88">
                  <c:v>0.45406697174153116</c:v>
                </c:pt>
                <c:pt idx="89">
                  <c:v>0.59532161578284626</c:v>
                </c:pt>
                <c:pt idx="90">
                  <c:v>0.52802849872896918</c:v>
                </c:pt>
                <c:pt idx="91">
                  <c:v>0.55667497747894112</c:v>
                </c:pt>
                <c:pt idx="92">
                  <c:v>0.55667497747894112</c:v>
                </c:pt>
                <c:pt idx="93">
                  <c:v>0.51726338827346519</c:v>
                </c:pt>
                <c:pt idx="94">
                  <c:v>0.45452022942672504</c:v>
                </c:pt>
                <c:pt idx="95">
                  <c:v>0.64676298589101378</c:v>
                </c:pt>
                <c:pt idx="96">
                  <c:v>1.2004407183482235</c:v>
                </c:pt>
                <c:pt idx="97">
                  <c:v>0.57803754911918603</c:v>
                </c:pt>
                <c:pt idx="98">
                  <c:v>1.0356107326866033</c:v>
                </c:pt>
                <c:pt idx="99">
                  <c:v>1.210646072366661</c:v>
                </c:pt>
                <c:pt idx="100">
                  <c:v>0.99249720323822166</c:v>
                </c:pt>
                <c:pt idx="101">
                  <c:v>0.936405990372844</c:v>
                </c:pt>
                <c:pt idx="102">
                  <c:v>0.57482586559282023</c:v>
                </c:pt>
                <c:pt idx="103">
                  <c:v>0.33622397611313265</c:v>
                </c:pt>
                <c:pt idx="104">
                  <c:v>0.33622397611313265</c:v>
                </c:pt>
                <c:pt idx="105">
                  <c:v>0.33622397611313265</c:v>
                </c:pt>
                <c:pt idx="106">
                  <c:v>0.57483034986694714</c:v>
                </c:pt>
                <c:pt idx="107">
                  <c:v>0.64703420860182814</c:v>
                </c:pt>
                <c:pt idx="108">
                  <c:v>0.5494692112708186</c:v>
                </c:pt>
                <c:pt idx="109">
                  <c:v>1.5382876239947119</c:v>
                </c:pt>
                <c:pt idx="110">
                  <c:v>0.53901248356917808</c:v>
                </c:pt>
                <c:pt idx="111">
                  <c:v>0.53901248356917808</c:v>
                </c:pt>
                <c:pt idx="112">
                  <c:v>0.936405990372844</c:v>
                </c:pt>
                <c:pt idx="113">
                  <c:v>0.57482586559282023</c:v>
                </c:pt>
                <c:pt idx="114">
                  <c:v>0.31300512819008192</c:v>
                </c:pt>
                <c:pt idx="115">
                  <c:v>0.3152244776094793</c:v>
                </c:pt>
                <c:pt idx="116">
                  <c:v>0.9216912202808295</c:v>
                </c:pt>
                <c:pt idx="117">
                  <c:v>1.0735705099788349</c:v>
                </c:pt>
                <c:pt idx="118">
                  <c:v>1.195268761543377</c:v>
                </c:pt>
                <c:pt idx="119">
                  <c:v>0.41418496413335432</c:v>
                </c:pt>
                <c:pt idx="120">
                  <c:v>0.79572210250091935</c:v>
                </c:pt>
                <c:pt idx="121">
                  <c:v>0.68217470146683368</c:v>
                </c:pt>
                <c:pt idx="122">
                  <c:v>0.58774198753409035</c:v>
                </c:pt>
                <c:pt idx="123">
                  <c:v>0.58774198753409201</c:v>
                </c:pt>
                <c:pt idx="124">
                  <c:v>0.45771086634037139</c:v>
                </c:pt>
                <c:pt idx="125">
                  <c:v>0.45771086634037139</c:v>
                </c:pt>
                <c:pt idx="126">
                  <c:v>0.45771086634037139</c:v>
                </c:pt>
                <c:pt idx="127">
                  <c:v>0.72549742267516015</c:v>
                </c:pt>
                <c:pt idx="128">
                  <c:v>1.1516430488719471</c:v>
                </c:pt>
                <c:pt idx="129">
                  <c:v>0.87232619697666269</c:v>
                </c:pt>
                <c:pt idx="130">
                  <c:v>1.1376378342391147</c:v>
                </c:pt>
                <c:pt idx="131">
                  <c:v>1.1578340616105911</c:v>
                </c:pt>
                <c:pt idx="132">
                  <c:v>0.13585885701649547</c:v>
                </c:pt>
                <c:pt idx="133">
                  <c:v>0.42658252757884546</c:v>
                </c:pt>
                <c:pt idx="134">
                  <c:v>0.41911873772309777</c:v>
                </c:pt>
                <c:pt idx="135">
                  <c:v>1.1101556108978465</c:v>
                </c:pt>
                <c:pt idx="136">
                  <c:v>1.1101556108978465</c:v>
                </c:pt>
                <c:pt idx="137">
                  <c:v>1.1101556108978465</c:v>
                </c:pt>
                <c:pt idx="138">
                  <c:v>0.92820269687154544</c:v>
                </c:pt>
                <c:pt idx="139">
                  <c:v>0.69748194114896911</c:v>
                </c:pt>
                <c:pt idx="140">
                  <c:v>0.53717759296834833</c:v>
                </c:pt>
                <c:pt idx="141">
                  <c:v>0.40117926784381913</c:v>
                </c:pt>
                <c:pt idx="142">
                  <c:v>8.350862579834456E-2</c:v>
                </c:pt>
                <c:pt idx="143">
                  <c:v>0.37029879182776904</c:v>
                </c:pt>
                <c:pt idx="144">
                  <c:v>0.37029879182776904</c:v>
                </c:pt>
                <c:pt idx="145">
                  <c:v>0.70407311550876051</c:v>
                </c:pt>
                <c:pt idx="146">
                  <c:v>1.4168251621751804</c:v>
                </c:pt>
                <c:pt idx="147">
                  <c:v>0.82204076178296781</c:v>
                </c:pt>
                <c:pt idx="148">
                  <c:v>0.86303899043347998</c:v>
                </c:pt>
                <c:pt idx="149">
                  <c:v>0.98209822031762239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39-44C6-84C3-EC3BB9D0A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1"/>
          <c:order val="1"/>
          <c:tx>
            <c:strRef>
              <c:f>'Duty Cycle '!$Z$2</c:f>
              <c:strCache>
                <c:ptCount val="1"/>
                <c:pt idx="0">
                  <c:v>Workdone (J)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'!$Z$3:$Z$152</c:f>
              <c:numCache>
                <c:formatCode>General</c:formatCode>
                <c:ptCount val="150"/>
                <c:pt idx="0">
                  <c:v>0</c:v>
                </c:pt>
                <c:pt idx="1">
                  <c:v>602.17848272409174</c:v>
                </c:pt>
                <c:pt idx="2">
                  <c:v>1133.2209888636401</c:v>
                </c:pt>
                <c:pt idx="3">
                  <c:v>2274.7551765360895</c:v>
                </c:pt>
                <c:pt idx="4">
                  <c:v>5082.5912031214011</c:v>
                </c:pt>
                <c:pt idx="5">
                  <c:v>10398.625678370654</c:v>
                </c:pt>
                <c:pt idx="6">
                  <c:v>18856.771909672614</c:v>
                </c:pt>
                <c:pt idx="7">
                  <c:v>23105.824044412206</c:v>
                </c:pt>
                <c:pt idx="8">
                  <c:v>34975.317465061176</c:v>
                </c:pt>
                <c:pt idx="9">
                  <c:v>37735.252653466101</c:v>
                </c:pt>
                <c:pt idx="10">
                  <c:v>51563.875523603128</c:v>
                </c:pt>
                <c:pt idx="11">
                  <c:v>68200.144615244295</c:v>
                </c:pt>
                <c:pt idx="12">
                  <c:v>69600.727850364929</c:v>
                </c:pt>
                <c:pt idx="13">
                  <c:v>40150.603734673925</c:v>
                </c:pt>
                <c:pt idx="14">
                  <c:v>84973.496291314179</c:v>
                </c:pt>
                <c:pt idx="15">
                  <c:v>87754.386810347118</c:v>
                </c:pt>
                <c:pt idx="16">
                  <c:v>95403.247161540479</c:v>
                </c:pt>
                <c:pt idx="17">
                  <c:v>-25371.442804300921</c:v>
                </c:pt>
                <c:pt idx="18">
                  <c:v>7103.3818073047069</c:v>
                </c:pt>
                <c:pt idx="19">
                  <c:v>52022.950540117243</c:v>
                </c:pt>
                <c:pt idx="20">
                  <c:v>9014.6710330563274</c:v>
                </c:pt>
                <c:pt idx="21">
                  <c:v>1713.3030168799949</c:v>
                </c:pt>
                <c:pt idx="22">
                  <c:v>-52540.003090537517</c:v>
                </c:pt>
                <c:pt idx="23">
                  <c:v>-25976.803906116918</c:v>
                </c:pt>
                <c:pt idx="24">
                  <c:v>-32661.030616971453</c:v>
                </c:pt>
                <c:pt idx="25">
                  <c:v>39939.139184993503</c:v>
                </c:pt>
                <c:pt idx="26">
                  <c:v>70991.863877802345</c:v>
                </c:pt>
                <c:pt idx="27">
                  <c:v>105765.63548226452</c:v>
                </c:pt>
                <c:pt idx="28">
                  <c:v>23647.431019301886</c:v>
                </c:pt>
                <c:pt idx="29">
                  <c:v>47226.793756963794</c:v>
                </c:pt>
                <c:pt idx="30">
                  <c:v>49654.586489477588</c:v>
                </c:pt>
                <c:pt idx="31">
                  <c:v>27492.007451259538</c:v>
                </c:pt>
                <c:pt idx="32">
                  <c:v>-22630.152182210757</c:v>
                </c:pt>
                <c:pt idx="33">
                  <c:v>-103726.30054926353</c:v>
                </c:pt>
                <c:pt idx="34">
                  <c:v>-80402.171363323287</c:v>
                </c:pt>
                <c:pt idx="35">
                  <c:v>-83690.258904003422</c:v>
                </c:pt>
                <c:pt idx="36">
                  <c:v>-86978.346444683557</c:v>
                </c:pt>
                <c:pt idx="37">
                  <c:v>-90266.433985363692</c:v>
                </c:pt>
                <c:pt idx="38">
                  <c:v>-50130.754714143834</c:v>
                </c:pt>
                <c:pt idx="39">
                  <c:v>-51892.661111522837</c:v>
                </c:pt>
                <c:pt idx="40">
                  <c:v>-97241.91918850728</c:v>
                </c:pt>
                <c:pt idx="41">
                  <c:v>-106123.82715971651</c:v>
                </c:pt>
                <c:pt idx="42">
                  <c:v>-145205.38009254987</c:v>
                </c:pt>
                <c:pt idx="43">
                  <c:v>-152367.83677174005</c:v>
                </c:pt>
                <c:pt idx="44">
                  <c:v>-211500.25623196867</c:v>
                </c:pt>
                <c:pt idx="45">
                  <c:v>118951.59971008406</c:v>
                </c:pt>
                <c:pt idx="46">
                  <c:v>121302.98404724016</c:v>
                </c:pt>
                <c:pt idx="47">
                  <c:v>123654.36838439626</c:v>
                </c:pt>
                <c:pt idx="48">
                  <c:v>126005.75272155236</c:v>
                </c:pt>
                <c:pt idx="49">
                  <c:v>65793.099623479837</c:v>
                </c:pt>
                <c:pt idx="50">
                  <c:v>3381.8495922185348</c:v>
                </c:pt>
                <c:pt idx="51">
                  <c:v>7984.8812224843114</c:v>
                </c:pt>
                <c:pt idx="52">
                  <c:v>96455.188683805871</c:v>
                </c:pt>
                <c:pt idx="53">
                  <c:v>38095.269585657792</c:v>
                </c:pt>
                <c:pt idx="54">
                  <c:v>277723.32766026515</c:v>
                </c:pt>
                <c:pt idx="55">
                  <c:v>381360.58248844807</c:v>
                </c:pt>
                <c:pt idx="56">
                  <c:v>296052.69288753177</c:v>
                </c:pt>
                <c:pt idx="57">
                  <c:v>148174.03413802994</c:v>
                </c:pt>
                <c:pt idx="58">
                  <c:v>177249.55197659557</c:v>
                </c:pt>
                <c:pt idx="59">
                  <c:v>181203.52585241047</c:v>
                </c:pt>
                <c:pt idx="60">
                  <c:v>-205196.73593474634</c:v>
                </c:pt>
                <c:pt idx="61">
                  <c:v>-345036.76755128964</c:v>
                </c:pt>
                <c:pt idx="62">
                  <c:v>-74415.071474771612</c:v>
                </c:pt>
                <c:pt idx="63">
                  <c:v>59286.029231677923</c:v>
                </c:pt>
                <c:pt idx="64">
                  <c:v>381602.78911175212</c:v>
                </c:pt>
                <c:pt idx="65">
                  <c:v>429112.11231785518</c:v>
                </c:pt>
                <c:pt idx="66">
                  <c:v>477667.34089779353</c:v>
                </c:pt>
                <c:pt idx="67">
                  <c:v>229613.15620411164</c:v>
                </c:pt>
                <c:pt idx="68">
                  <c:v>837781.28606760514</c:v>
                </c:pt>
                <c:pt idx="69">
                  <c:v>730012.70021656936</c:v>
                </c:pt>
                <c:pt idx="70">
                  <c:v>699357.52853080002</c:v>
                </c:pt>
                <c:pt idx="71">
                  <c:v>454969.16315293306</c:v>
                </c:pt>
                <c:pt idx="72">
                  <c:v>525450.45913208264</c:v>
                </c:pt>
                <c:pt idx="73">
                  <c:v>212900.07004828029</c:v>
                </c:pt>
                <c:pt idx="74">
                  <c:v>150017.75133455091</c:v>
                </c:pt>
                <c:pt idx="75">
                  <c:v>269949.5615942296</c:v>
                </c:pt>
                <c:pt idx="76">
                  <c:v>631597.00778297335</c:v>
                </c:pt>
                <c:pt idx="77">
                  <c:v>640365.26938449894</c:v>
                </c:pt>
                <c:pt idx="78">
                  <c:v>927705.86246276845</c:v>
                </c:pt>
                <c:pt idx="79">
                  <c:v>937735.11502993258</c:v>
                </c:pt>
                <c:pt idx="80">
                  <c:v>947764.36759709858</c:v>
                </c:pt>
                <c:pt idx="81">
                  <c:v>957793.62016426271</c:v>
                </c:pt>
                <c:pt idx="82">
                  <c:v>967822.87273142778</c:v>
                </c:pt>
                <c:pt idx="83">
                  <c:v>942143.14142957015</c:v>
                </c:pt>
                <c:pt idx="84">
                  <c:v>1027205.92750705</c:v>
                </c:pt>
                <c:pt idx="85">
                  <c:v>841960.64053994336</c:v>
                </c:pt>
                <c:pt idx="86">
                  <c:v>627712.24465097277</c:v>
                </c:pt>
                <c:pt idx="87">
                  <c:v>416975.50201956101</c:v>
                </c:pt>
                <c:pt idx="88">
                  <c:v>249957.00838365775</c:v>
                </c:pt>
                <c:pt idx="89">
                  <c:v>479174.28305875952</c:v>
                </c:pt>
                <c:pt idx="90">
                  <c:v>498359.16588853952</c:v>
                </c:pt>
                <c:pt idx="91">
                  <c:v>530163.74375201412</c:v>
                </c:pt>
                <c:pt idx="92">
                  <c:v>534931.45657914213</c:v>
                </c:pt>
                <c:pt idx="93">
                  <c:v>474904.42608466727</c:v>
                </c:pt>
                <c:pt idx="94">
                  <c:v>348221.18448942702</c:v>
                </c:pt>
                <c:pt idx="95">
                  <c:v>589828.98116704449</c:v>
                </c:pt>
                <c:pt idx="96">
                  <c:v>832532.61807993683</c:v>
                </c:pt>
                <c:pt idx="97">
                  <c:v>473771.90181789803</c:v>
                </c:pt>
                <c:pt idx="98">
                  <c:v>771127.57722395961</c:v>
                </c:pt>
                <c:pt idx="99">
                  <c:v>790746.59082522313</c:v>
                </c:pt>
                <c:pt idx="100">
                  <c:v>495266.97715804109</c:v>
                </c:pt>
                <c:pt idx="101">
                  <c:v>-773340.8083637337</c:v>
                </c:pt>
                <c:pt idx="102">
                  <c:v>-472428.80163630866</c:v>
                </c:pt>
                <c:pt idx="103">
                  <c:v>165584.41485641568</c:v>
                </c:pt>
                <c:pt idx="104">
                  <c:v>167292.16931920592</c:v>
                </c:pt>
                <c:pt idx="105">
                  <c:v>168999.92378199616</c:v>
                </c:pt>
                <c:pt idx="106">
                  <c:v>506994.02217983064</c:v>
                </c:pt>
                <c:pt idx="107">
                  <c:v>517447.50116205442</c:v>
                </c:pt>
                <c:pt idx="108">
                  <c:v>528473.48034516536</c:v>
                </c:pt>
                <c:pt idx="109">
                  <c:v>889118.2717690171</c:v>
                </c:pt>
                <c:pt idx="110">
                  <c:v>205350.80195845797</c:v>
                </c:pt>
                <c:pt idx="111">
                  <c:v>207778.59469097175</c:v>
                </c:pt>
                <c:pt idx="112">
                  <c:v>-871842.38729781867</c:v>
                </c:pt>
                <c:pt idx="113">
                  <c:v>-531975.69549899432</c:v>
                </c:pt>
                <c:pt idx="114">
                  <c:v>-180067.42416851947</c:v>
                </c:pt>
                <c:pt idx="115">
                  <c:v>182928.55306433083</c:v>
                </c:pt>
                <c:pt idx="116">
                  <c:v>930801.47036068176</c:v>
                </c:pt>
                <c:pt idx="117">
                  <c:v>951499.31257693411</c:v>
                </c:pt>
                <c:pt idx="118">
                  <c:v>851698.95397747308</c:v>
                </c:pt>
                <c:pt idx="119">
                  <c:v>-163123.16729067461</c:v>
                </c:pt>
                <c:pt idx="120">
                  <c:v>-741706.8315744244</c:v>
                </c:pt>
                <c:pt idx="121">
                  <c:v>-727456.13273155678</c:v>
                </c:pt>
                <c:pt idx="122">
                  <c:v>-342997.8224672575</c:v>
                </c:pt>
                <c:pt idx="123">
                  <c:v>-346316.93317455548</c:v>
                </c:pt>
                <c:pt idx="124">
                  <c:v>-230315.07130799897</c:v>
                </c:pt>
                <c:pt idx="125">
                  <c:v>-232501.4626501014</c:v>
                </c:pt>
                <c:pt idx="126">
                  <c:v>-234687.85399220386</c:v>
                </c:pt>
                <c:pt idx="127">
                  <c:v>441995.74963526224</c:v>
                </c:pt>
                <c:pt idx="128">
                  <c:v>814303.53309227852</c:v>
                </c:pt>
                <c:pt idx="129">
                  <c:v>578914.06123118266</c:v>
                </c:pt>
                <c:pt idx="130">
                  <c:v>820322.3824808466</c:v>
                </c:pt>
                <c:pt idx="131">
                  <c:v>887638.34385805728</c:v>
                </c:pt>
                <c:pt idx="132">
                  <c:v>59633.414492033764</c:v>
                </c:pt>
                <c:pt idx="133">
                  <c:v>-318626.14211660158</c:v>
                </c:pt>
                <c:pt idx="134">
                  <c:v>330618.83894753788</c:v>
                </c:pt>
                <c:pt idx="135">
                  <c:v>1213273.8787147556</c:v>
                </c:pt>
                <c:pt idx="136">
                  <c:v>1221541.7502057883</c:v>
                </c:pt>
                <c:pt idx="137">
                  <c:v>1229809.6216968207</c:v>
                </c:pt>
                <c:pt idx="138">
                  <c:v>1067742.909163442</c:v>
                </c:pt>
                <c:pt idx="139">
                  <c:v>816511.91968900245</c:v>
                </c:pt>
                <c:pt idx="140">
                  <c:v>561111.40176947415</c:v>
                </c:pt>
                <c:pt idx="141">
                  <c:v>302273.32806542935</c:v>
                </c:pt>
                <c:pt idx="142">
                  <c:v>-46789.555138783471</c:v>
                </c:pt>
                <c:pt idx="143">
                  <c:v>-310145.63151519175</c:v>
                </c:pt>
                <c:pt idx="144">
                  <c:v>-312149.86041336827</c:v>
                </c:pt>
                <c:pt idx="145">
                  <c:v>1056102.943492179</c:v>
                </c:pt>
                <c:pt idx="146">
                  <c:v>1550655.490155811</c:v>
                </c:pt>
                <c:pt idx="147">
                  <c:v>1092067.4694916862</c:v>
                </c:pt>
                <c:pt idx="148">
                  <c:v>1108083.3253080582</c:v>
                </c:pt>
                <c:pt idx="149">
                  <c:v>1124896.138556353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39-44C6-84C3-EC3BB9D0A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23224"/>
        <c:axId val="111952289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22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 Done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23224"/>
        <c:crosses val="max"/>
        <c:crossBetween val="between"/>
      </c:valAx>
      <c:catAx>
        <c:axId val="1119523224"/>
        <c:scaling>
          <c:orientation val="minMax"/>
        </c:scaling>
        <c:delete val="1"/>
        <c:axPos val="b"/>
        <c:majorTickMark val="out"/>
        <c:minorTickMark val="none"/>
        <c:tickLblPos val="nextTo"/>
        <c:crossAx val="111952289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Power (KW) &amp; Fuel Consumption</a:t>
            </a:r>
            <a:r>
              <a:rPr lang="en-GB" baseline="0"/>
              <a:t> (g/s)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'!$AC$2</c:f>
              <c:strCache>
                <c:ptCount val="1"/>
                <c:pt idx="0">
                  <c:v>Fuel Consumption (g/s)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'!$AC$3:$AC$152</c:f>
              <c:numCache>
                <c:formatCode>General</c:formatCode>
                <c:ptCount val="150"/>
                <c:pt idx="0">
                  <c:v>0</c:v>
                </c:pt>
                <c:pt idx="1">
                  <c:v>0</c:v>
                </c:pt>
                <c:pt idx="2">
                  <c:v>0.14228406972913979</c:v>
                </c:pt>
                <c:pt idx="3">
                  <c:v>0.22806415151632115</c:v>
                </c:pt>
                <c:pt idx="4">
                  <c:v>0.38402377916218439</c:v>
                </c:pt>
                <c:pt idx="5">
                  <c:v>0.55475963671439121</c:v>
                </c:pt>
                <c:pt idx="6">
                  <c:v>0.73394457487497933</c:v>
                </c:pt>
                <c:pt idx="7">
                  <c:v>0.54271094057442648</c:v>
                </c:pt>
                <c:pt idx="8">
                  <c:v>0.83873193127609791</c:v>
                </c:pt>
                <c:pt idx="9">
                  <c:v>1.0826885098379202</c:v>
                </c:pt>
                <c:pt idx="10">
                  <c:v>1.3029896062263091</c:v>
                </c:pt>
                <c:pt idx="11">
                  <c:v>1.688722748817598</c:v>
                </c:pt>
                <c:pt idx="12">
                  <c:v>1.7347257666552451</c:v>
                </c:pt>
                <c:pt idx="13">
                  <c:v>0.51068215799597849</c:v>
                </c:pt>
                <c:pt idx="14">
                  <c:v>1.5283309794936029</c:v>
                </c:pt>
                <c:pt idx="15">
                  <c:v>1.5711956904937245</c:v>
                </c:pt>
                <c:pt idx="16">
                  <c:v>1.7459824482687898</c:v>
                </c:pt>
                <c:pt idx="17">
                  <c:v>0.48984972109403763</c:v>
                </c:pt>
                <c:pt idx="18">
                  <c:v>0.15632583129640362</c:v>
                </c:pt>
                <c:pt idx="19">
                  <c:v>0.58310088668898508</c:v>
                </c:pt>
                <c:pt idx="20">
                  <c:v>0.15681650250297935</c:v>
                </c:pt>
                <c:pt idx="21">
                  <c:v>2.961395267371086E-2</c:v>
                </c:pt>
                <c:pt idx="22">
                  <c:v>0.57907887460796459</c:v>
                </c:pt>
                <c:pt idx="23">
                  <c:v>0.32810517302279762</c:v>
                </c:pt>
                <c:pt idx="24">
                  <c:v>0.40088822896557857</c:v>
                </c:pt>
                <c:pt idx="25">
                  <c:v>0.42919368180165013</c:v>
                </c:pt>
                <c:pt idx="26">
                  <c:v>0.64677079803904913</c:v>
                </c:pt>
                <c:pt idx="27">
                  <c:v>0.93183998612302643</c:v>
                </c:pt>
                <c:pt idx="28">
                  <c:v>0.31799512334198904</c:v>
                </c:pt>
                <c:pt idx="29">
                  <c:v>0.53901248356917808</c:v>
                </c:pt>
                <c:pt idx="30">
                  <c:v>0.53901248356917808</c:v>
                </c:pt>
                <c:pt idx="31">
                  <c:v>0.31799512334198904</c:v>
                </c:pt>
                <c:pt idx="32">
                  <c:v>0.25010060642509868</c:v>
                </c:pt>
                <c:pt idx="33">
                  <c:v>0.7938023762774209</c:v>
                </c:pt>
                <c:pt idx="34">
                  <c:v>0.67252988329768681</c:v>
                </c:pt>
                <c:pt idx="35">
                  <c:v>0.67252988329768681</c:v>
                </c:pt>
                <c:pt idx="36">
                  <c:v>0.67252988329768681</c:v>
                </c:pt>
                <c:pt idx="37">
                  <c:v>0.67252988329768681</c:v>
                </c:pt>
                <c:pt idx="38">
                  <c:v>0.41418496413334865</c:v>
                </c:pt>
                <c:pt idx="39">
                  <c:v>0.41418496413334865</c:v>
                </c:pt>
                <c:pt idx="40">
                  <c:v>0.60578438397715739</c:v>
                </c:pt>
                <c:pt idx="41">
                  <c:v>0.58971231554611392</c:v>
                </c:pt>
                <c:pt idx="42">
                  <c:v>0.53426401121545153</c:v>
                </c:pt>
                <c:pt idx="43">
                  <c:v>0.49174955539762938</c:v>
                </c:pt>
                <c:pt idx="44">
                  <c:v>0.58302733583277844</c:v>
                </c:pt>
                <c:pt idx="45">
                  <c:v>0.48066939449243351</c:v>
                </c:pt>
                <c:pt idx="46">
                  <c:v>0.48066939449243351</c:v>
                </c:pt>
                <c:pt idx="47">
                  <c:v>0.48066939449243351</c:v>
                </c:pt>
                <c:pt idx="48">
                  <c:v>0.48066939449243351</c:v>
                </c:pt>
                <c:pt idx="49">
                  <c:v>0.27167071562305595</c:v>
                </c:pt>
                <c:pt idx="50">
                  <c:v>1.6266114464562841E-2</c:v>
                </c:pt>
                <c:pt idx="51">
                  <c:v>3.8116394900397997E-2</c:v>
                </c:pt>
                <c:pt idx="52">
                  <c:v>0.4437534822001476</c:v>
                </c:pt>
                <c:pt idx="53">
                  <c:v>0.1865055052729393</c:v>
                </c:pt>
                <c:pt idx="54">
                  <c:v>0.69392867239371714</c:v>
                </c:pt>
                <c:pt idx="55">
                  <c:v>0.94085313670033421</c:v>
                </c:pt>
                <c:pt idx="56">
                  <c:v>1.0375273828181617</c:v>
                </c:pt>
                <c:pt idx="57">
                  <c:v>0.69149116324906679</c:v>
                </c:pt>
                <c:pt idx="58">
                  <c:v>0.72077035631390962</c:v>
                </c:pt>
                <c:pt idx="59">
                  <c:v>0.72077035631390962</c:v>
                </c:pt>
                <c:pt idx="60">
                  <c:v>0.65788856717182198</c:v>
                </c:pt>
                <c:pt idx="61">
                  <c:v>0.60757971918137388</c:v>
                </c:pt>
                <c:pt idx="62">
                  <c:v>0.24852585488823653</c:v>
                </c:pt>
                <c:pt idx="63">
                  <c:v>0.20230960725991171</c:v>
                </c:pt>
                <c:pt idx="64">
                  <c:v>0.66719571894656637</c:v>
                </c:pt>
                <c:pt idx="65">
                  <c:v>0.66753000331185586</c:v>
                </c:pt>
                <c:pt idx="66">
                  <c:v>0.70231901629446158</c:v>
                </c:pt>
                <c:pt idx="67">
                  <c:v>0.41055902578681353</c:v>
                </c:pt>
                <c:pt idx="68">
                  <c:v>1.2276397778027601</c:v>
                </c:pt>
                <c:pt idx="69">
                  <c:v>1.0797175211154415</c:v>
                </c:pt>
                <c:pt idx="70">
                  <c:v>1.4381110021893744</c:v>
                </c:pt>
                <c:pt idx="71">
                  <c:v>0.68023979923432509</c:v>
                </c:pt>
                <c:pt idx="72">
                  <c:v>0.86303899043347998</c:v>
                </c:pt>
                <c:pt idx="73">
                  <c:v>0.51467833382257944</c:v>
                </c:pt>
                <c:pt idx="74">
                  <c:v>0.41643203175364518</c:v>
                </c:pt>
                <c:pt idx="75">
                  <c:v>0.53054934018438515</c:v>
                </c:pt>
                <c:pt idx="76">
                  <c:v>0.99590425665174065</c:v>
                </c:pt>
                <c:pt idx="77">
                  <c:v>0.59632275987479977</c:v>
                </c:pt>
                <c:pt idx="78">
                  <c:v>1.1182388101602698</c:v>
                </c:pt>
                <c:pt idx="79">
                  <c:v>1.1182388101602687</c:v>
                </c:pt>
                <c:pt idx="80">
                  <c:v>1.1182388101602698</c:v>
                </c:pt>
                <c:pt idx="81">
                  <c:v>1.1182388101602687</c:v>
                </c:pt>
                <c:pt idx="82">
                  <c:v>1.1182388101602687</c:v>
                </c:pt>
                <c:pt idx="83">
                  <c:v>1.1653143309294367</c:v>
                </c:pt>
                <c:pt idx="84">
                  <c:v>1.7274927752925628</c:v>
                </c:pt>
                <c:pt idx="85">
                  <c:v>1.3897141827684203</c:v>
                </c:pt>
                <c:pt idx="86">
                  <c:v>0.77454633807135598</c:v>
                </c:pt>
                <c:pt idx="87">
                  <c:v>0.72891824623389068</c:v>
                </c:pt>
                <c:pt idx="88">
                  <c:v>0.45406697174153116</c:v>
                </c:pt>
                <c:pt idx="89">
                  <c:v>0.59532161578284626</c:v>
                </c:pt>
                <c:pt idx="90">
                  <c:v>0.52802849872896918</c:v>
                </c:pt>
                <c:pt idx="91">
                  <c:v>0.55667497747894112</c:v>
                </c:pt>
                <c:pt idx="92">
                  <c:v>0.55667497747894112</c:v>
                </c:pt>
                <c:pt idx="93">
                  <c:v>0.51726338827346519</c:v>
                </c:pt>
                <c:pt idx="94">
                  <c:v>0.45452022942672504</c:v>
                </c:pt>
                <c:pt idx="95">
                  <c:v>0.64676298589101378</c:v>
                </c:pt>
                <c:pt idx="96">
                  <c:v>1.2004407183482235</c:v>
                </c:pt>
                <c:pt idx="97">
                  <c:v>0.57803754911918603</c:v>
                </c:pt>
                <c:pt idx="98">
                  <c:v>1.0356107326866033</c:v>
                </c:pt>
                <c:pt idx="99">
                  <c:v>1.210646072366661</c:v>
                </c:pt>
                <c:pt idx="100">
                  <c:v>0.99249720323822166</c:v>
                </c:pt>
                <c:pt idx="101">
                  <c:v>0.936405990372844</c:v>
                </c:pt>
                <c:pt idx="102">
                  <c:v>0.57482586559282023</c:v>
                </c:pt>
                <c:pt idx="103">
                  <c:v>0.33622397611313265</c:v>
                </c:pt>
                <c:pt idx="104">
                  <c:v>0.33622397611313265</c:v>
                </c:pt>
                <c:pt idx="105">
                  <c:v>0.33622397611313265</c:v>
                </c:pt>
                <c:pt idx="106">
                  <c:v>0.57483034986694714</c:v>
                </c:pt>
                <c:pt idx="107">
                  <c:v>0.64703420860182814</c:v>
                </c:pt>
                <c:pt idx="108">
                  <c:v>0.5494692112708186</c:v>
                </c:pt>
                <c:pt idx="109">
                  <c:v>1.5382876239947119</c:v>
                </c:pt>
                <c:pt idx="110">
                  <c:v>0.53901248356917808</c:v>
                </c:pt>
                <c:pt idx="111">
                  <c:v>0.53901248356917808</c:v>
                </c:pt>
                <c:pt idx="112">
                  <c:v>0.936405990372844</c:v>
                </c:pt>
                <c:pt idx="113">
                  <c:v>0.57482586559282023</c:v>
                </c:pt>
                <c:pt idx="114">
                  <c:v>0.31300512819008192</c:v>
                </c:pt>
                <c:pt idx="115">
                  <c:v>0.3152244776094793</c:v>
                </c:pt>
                <c:pt idx="116">
                  <c:v>0.9216912202808295</c:v>
                </c:pt>
                <c:pt idx="117">
                  <c:v>1.0735705099788349</c:v>
                </c:pt>
                <c:pt idx="118">
                  <c:v>1.195268761543377</c:v>
                </c:pt>
                <c:pt idx="119">
                  <c:v>0.41418496413335432</c:v>
                </c:pt>
                <c:pt idx="120">
                  <c:v>0.79572210250091935</c:v>
                </c:pt>
                <c:pt idx="121">
                  <c:v>0.68217470146683368</c:v>
                </c:pt>
                <c:pt idx="122">
                  <c:v>0.58774198753409035</c:v>
                </c:pt>
                <c:pt idx="123">
                  <c:v>0.58774198753409201</c:v>
                </c:pt>
                <c:pt idx="124">
                  <c:v>0.45771086634037139</c:v>
                </c:pt>
                <c:pt idx="125">
                  <c:v>0.45771086634037139</c:v>
                </c:pt>
                <c:pt idx="126">
                  <c:v>0.45771086634037139</c:v>
                </c:pt>
                <c:pt idx="127">
                  <c:v>0.72549742267516015</c:v>
                </c:pt>
                <c:pt idx="128">
                  <c:v>1.1516430488719471</c:v>
                </c:pt>
                <c:pt idx="129">
                  <c:v>0.87232619697666269</c:v>
                </c:pt>
                <c:pt idx="130">
                  <c:v>1.1376378342391147</c:v>
                </c:pt>
                <c:pt idx="131">
                  <c:v>1.1578340616105911</c:v>
                </c:pt>
                <c:pt idx="132">
                  <c:v>0.13585885701649547</c:v>
                </c:pt>
                <c:pt idx="133">
                  <c:v>0.42658252757884546</c:v>
                </c:pt>
                <c:pt idx="134">
                  <c:v>0.41911873772309777</c:v>
                </c:pt>
                <c:pt idx="135">
                  <c:v>1.1101556108978465</c:v>
                </c:pt>
                <c:pt idx="136">
                  <c:v>1.1101556108978465</c:v>
                </c:pt>
                <c:pt idx="137">
                  <c:v>1.1101556108978465</c:v>
                </c:pt>
                <c:pt idx="138">
                  <c:v>0.92820269687154544</c:v>
                </c:pt>
                <c:pt idx="139">
                  <c:v>0.69748194114896911</c:v>
                </c:pt>
                <c:pt idx="140">
                  <c:v>0.53717759296834833</c:v>
                </c:pt>
                <c:pt idx="141">
                  <c:v>0.40117926784381913</c:v>
                </c:pt>
                <c:pt idx="142">
                  <c:v>8.350862579834456E-2</c:v>
                </c:pt>
                <c:pt idx="143">
                  <c:v>0.37029879182776904</c:v>
                </c:pt>
                <c:pt idx="144">
                  <c:v>0.37029879182776904</c:v>
                </c:pt>
                <c:pt idx="145">
                  <c:v>0.70407311550876051</c:v>
                </c:pt>
                <c:pt idx="146">
                  <c:v>1.4168251621751804</c:v>
                </c:pt>
                <c:pt idx="147">
                  <c:v>0.82204076178296781</c:v>
                </c:pt>
                <c:pt idx="148">
                  <c:v>0.86303899043347998</c:v>
                </c:pt>
                <c:pt idx="149">
                  <c:v>0.98209822031762239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4C-4C6B-8C8A-0A60FF9E8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1"/>
          <c:order val="1"/>
          <c:tx>
            <c:v>Power (KW)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'!$U$3:$U$152</c:f>
              <c:numCache>
                <c:formatCode>General</c:formatCode>
                <c:ptCount val="150"/>
                <c:pt idx="0">
                  <c:v>0</c:v>
                </c:pt>
                <c:pt idx="1">
                  <c:v>0.60217848272409169</c:v>
                </c:pt>
                <c:pt idx="2">
                  <c:v>0.70826311803977515</c:v>
                </c:pt>
                <c:pt idx="3">
                  <c:v>1.0615524157168417</c:v>
                </c:pt>
                <c:pt idx="4">
                  <c:v>2.0330364812485606</c:v>
                </c:pt>
                <c:pt idx="5">
                  <c:v>3.5574245741794348</c:v>
                </c:pt>
                <c:pt idx="6">
                  <c:v>5.8284567720806271</c:v>
                </c:pt>
                <c:pt idx="7">
                  <c:v>6.1615530785099217</c:v>
                </c:pt>
                <c:pt idx="8">
                  <c:v>8.4788648400148308</c:v>
                </c:pt>
                <c:pt idx="9">
                  <c:v>7.9382086374669543</c:v>
                </c:pt>
                <c:pt idx="10">
                  <c:v>9.7691032705343677</c:v>
                </c:pt>
                <c:pt idx="11">
                  <c:v>12.200837504722434</c:v>
                </c:pt>
                <c:pt idx="12">
                  <c:v>11.707801759358153</c:v>
                </c:pt>
                <c:pt idx="13">
                  <c:v>5.7979211169204223</c:v>
                </c:pt>
                <c:pt idx="14">
                  <c:v>11.647457435569542</c:v>
                </c:pt>
                <c:pt idx="15">
                  <c:v>11.415204788337835</c:v>
                </c:pt>
                <c:pt idx="16">
                  <c:v>11.783773996199773</c:v>
                </c:pt>
                <c:pt idx="17">
                  <c:v>2.5966508627003071</c:v>
                </c:pt>
                <c:pt idx="18">
                  <c:v>0.63447682162333319</c:v>
                </c:pt>
                <c:pt idx="19">
                  <c:v>4.2656964792253014</c:v>
                </c:pt>
                <c:pt idx="20">
                  <c:v>0.65561243876773279</c:v>
                </c:pt>
                <c:pt idx="21">
                  <c:v>0.11121905210040153</c:v>
                </c:pt>
                <c:pt idx="22">
                  <c:v>2.938764764305358</c:v>
                </c:pt>
                <c:pt idx="23">
                  <c:v>1.3760167891310204</c:v>
                </c:pt>
                <c:pt idx="24">
                  <c:v>1.7053432558237085</c:v>
                </c:pt>
                <c:pt idx="25">
                  <c:v>2.1761604773462984</c:v>
                </c:pt>
                <c:pt idx="26">
                  <c:v>3.9830236103808683</c:v>
                </c:pt>
                <c:pt idx="27">
                  <c:v>6.0601774536227371</c:v>
                </c:pt>
                <c:pt idx="28">
                  <c:v>1.2815254773192155</c:v>
                </c:pt>
                <c:pt idx="29">
                  <c:v>2.4277927325137907</c:v>
                </c:pt>
                <c:pt idx="30">
                  <c:v>2.4277927325137907</c:v>
                </c:pt>
                <c:pt idx="31">
                  <c:v>1.2815254773192155</c:v>
                </c:pt>
                <c:pt idx="32">
                  <c:v>1.007909478794289</c:v>
                </c:pt>
                <c:pt idx="33">
                  <c:v>4.4228127933321773</c:v>
                </c:pt>
                <c:pt idx="34">
                  <c:v>3.2880875406801309</c:v>
                </c:pt>
                <c:pt idx="35">
                  <c:v>3.2880875406801309</c:v>
                </c:pt>
                <c:pt idx="36">
                  <c:v>3.2880875406801309</c:v>
                </c:pt>
                <c:pt idx="37">
                  <c:v>3.2880875406801309</c:v>
                </c:pt>
                <c:pt idx="38">
                  <c:v>1.761906397379001</c:v>
                </c:pt>
                <c:pt idx="39">
                  <c:v>1.761906397379001</c:v>
                </c:pt>
                <c:pt idx="40">
                  <c:v>3.0742924331400086</c:v>
                </c:pt>
                <c:pt idx="41">
                  <c:v>3.1260138098840509</c:v>
                </c:pt>
                <c:pt idx="42">
                  <c:v>3.8176931387118214</c:v>
                </c:pt>
                <c:pt idx="43">
                  <c:v>3.5568105693126872</c:v>
                </c:pt>
                <c:pt idx="44">
                  <c:v>4.2651584151689317</c:v>
                </c:pt>
                <c:pt idx="45">
                  <c:v>2.3513843371561025</c:v>
                </c:pt>
                <c:pt idx="46">
                  <c:v>2.3513843371561025</c:v>
                </c:pt>
                <c:pt idx="47">
                  <c:v>2.3513843371561025</c:v>
                </c:pt>
                <c:pt idx="48">
                  <c:v>2.3513843371561025</c:v>
                </c:pt>
                <c:pt idx="49">
                  <c:v>1.2052688887634042</c:v>
                </c:pt>
                <c:pt idx="50">
                  <c:v>6.0837870988356274E-2</c:v>
                </c:pt>
                <c:pt idx="51">
                  <c:v>0.14712779340447754</c:v>
                </c:pt>
                <c:pt idx="52">
                  <c:v>1.8876882717932948</c:v>
                </c:pt>
                <c:pt idx="53">
                  <c:v>0.76957672798577559</c:v>
                </c:pt>
                <c:pt idx="54">
                  <c:v>6.0117046080305849</c:v>
                </c:pt>
                <c:pt idx="55">
                  <c:v>8.766641232953349</c:v>
                </c:pt>
                <c:pt idx="56">
                  <c:v>6.9125636248660332</c:v>
                </c:pt>
                <c:pt idx="57">
                  <c:v>3.380791745968037</c:v>
                </c:pt>
                <c:pt idx="58">
                  <c:v>3.953973875814921</c:v>
                </c:pt>
                <c:pt idx="59">
                  <c:v>3.953973875814921</c:v>
                </c:pt>
                <c:pt idx="60">
                  <c:v>4.0514904259589031</c:v>
                </c:pt>
                <c:pt idx="61">
                  <c:v>5.8597466993021481</c:v>
                </c:pt>
                <c:pt idx="62">
                  <c:v>1.1261241103546917</c:v>
                </c:pt>
                <c:pt idx="63">
                  <c:v>0.82111034071364397</c:v>
                </c:pt>
                <c:pt idx="64">
                  <c:v>5.2129913087521169</c:v>
                </c:pt>
                <c:pt idx="65">
                  <c:v>5.7830053095596652</c:v>
                </c:pt>
                <c:pt idx="66">
                  <c:v>6.3517677174333347</c:v>
                </c:pt>
                <c:pt idx="67">
                  <c:v>2.7543314155367185</c:v>
                </c:pt>
                <c:pt idx="68">
                  <c:v>10.397521050506692</c:v>
                </c:pt>
                <c:pt idx="69">
                  <c:v>9.7516397773527199</c:v>
                </c:pt>
                <c:pt idx="70">
                  <c:v>10.502115295077925</c:v>
                </c:pt>
                <c:pt idx="71">
                  <c:v>7.3617879271046585</c:v>
                </c:pt>
                <c:pt idx="72">
                  <c:v>8.7245884873071429</c:v>
                </c:pt>
                <c:pt idx="73">
                  <c:v>3.3346434597714909</c:v>
                </c:pt>
                <c:pt idx="74">
                  <c:v>2.1151485652433162</c:v>
                </c:pt>
                <c:pt idx="75">
                  <c:v>3.4002441851084111</c:v>
                </c:pt>
                <c:pt idx="76">
                  <c:v>7.4479152753216802</c:v>
                </c:pt>
                <c:pt idx="77">
                  <c:v>6.9985275342568212</c:v>
                </c:pt>
                <c:pt idx="78">
                  <c:v>10.029252567165065</c:v>
                </c:pt>
                <c:pt idx="79">
                  <c:v>10.029252567165056</c:v>
                </c:pt>
                <c:pt idx="80">
                  <c:v>10.029252567165065</c:v>
                </c:pt>
                <c:pt idx="81">
                  <c:v>10.029252567165056</c:v>
                </c:pt>
                <c:pt idx="82">
                  <c:v>10.029252567165056</c:v>
                </c:pt>
                <c:pt idx="83">
                  <c:v>10.097526678881701</c:v>
                </c:pt>
                <c:pt idx="84">
                  <c:v>11.828718649321171</c:v>
                </c:pt>
                <c:pt idx="85">
                  <c:v>9.9969600918996733</c:v>
                </c:pt>
                <c:pt idx="86">
                  <c:v>7.3656414994344903</c:v>
                </c:pt>
                <c:pt idx="87">
                  <c:v>4.6368243533156903</c:v>
                </c:pt>
                <c:pt idx="88">
                  <c:v>2.531295009953769</c:v>
                </c:pt>
                <c:pt idx="89">
                  <c:v>4.5970496033166937</c:v>
                </c:pt>
                <c:pt idx="90">
                  <c:v>4.5223664585759726</c:v>
                </c:pt>
                <c:pt idx="91">
                  <c:v>4.7677128271280962</c:v>
                </c:pt>
                <c:pt idx="92">
                  <c:v>4.7677128271280962</c:v>
                </c:pt>
                <c:pt idx="93">
                  <c:v>4.1953148202815624</c:v>
                </c:pt>
                <c:pt idx="94">
                  <c:v>3.0492554499509299</c:v>
                </c:pt>
                <c:pt idx="95">
                  <c:v>5.603094636762024</c:v>
                </c:pt>
                <c:pt idx="96">
                  <c:v>8.845243059639385</c:v>
                </c:pt>
                <c:pt idx="97">
                  <c:v>5.2442466510634453</c:v>
                </c:pt>
                <c:pt idx="98">
                  <c:v>9.2366639750808535</c:v>
                </c:pt>
                <c:pt idx="99">
                  <c:v>10.162967065699901</c:v>
                </c:pt>
                <c:pt idx="100">
                  <c:v>6.5326497367594873</c:v>
                </c:pt>
                <c:pt idx="101">
                  <c:v>8.9194343129289884</c:v>
                </c:pt>
                <c:pt idx="102">
                  <c:v>4.9231683902220604</c:v>
                </c:pt>
                <c:pt idx="103">
                  <c:v>1.7077544627902423</c:v>
                </c:pt>
                <c:pt idx="104">
                  <c:v>1.7077544627902423</c:v>
                </c:pt>
                <c:pt idx="105">
                  <c:v>1.7077544627902423</c:v>
                </c:pt>
                <c:pt idx="106">
                  <c:v>5.3109444431186175</c:v>
                </c:pt>
                <c:pt idx="107">
                  <c:v>5.6054443174788906</c:v>
                </c:pt>
                <c:pt idx="108">
                  <c:v>5.9070232996742886</c:v>
                </c:pt>
                <c:pt idx="109">
                  <c:v>10.637506741005199</c:v>
                </c:pt>
                <c:pt idx="110">
                  <c:v>2.4277927325137907</c:v>
                </c:pt>
                <c:pt idx="111">
                  <c:v>2.4277927325137907</c:v>
                </c:pt>
                <c:pt idx="112">
                  <c:v>8.9194343129289884</c:v>
                </c:pt>
                <c:pt idx="113">
                  <c:v>4.9231683902220604</c:v>
                </c:pt>
                <c:pt idx="114">
                  <c:v>1.5732137532014823</c:v>
                </c:pt>
                <c:pt idx="115">
                  <c:v>1.5843685577567463</c:v>
                </c:pt>
                <c:pt idx="116">
                  <c:v>8.7842849851726683</c:v>
                </c:pt>
                <c:pt idx="117">
                  <c:v>9.6961220728241901</c:v>
                </c:pt>
                <c:pt idx="118">
                  <c:v>9.2997156030297408</c:v>
                </c:pt>
                <c:pt idx="119">
                  <c:v>1.7619063973790252</c:v>
                </c:pt>
                <c:pt idx="120">
                  <c:v>7.6239309762326979</c:v>
                </c:pt>
                <c:pt idx="121">
                  <c:v>7.1082094804467832</c:v>
                </c:pt>
                <c:pt idx="122">
                  <c:v>3.3191107072968968</c:v>
                </c:pt>
                <c:pt idx="123">
                  <c:v>3.3191107072969062</c:v>
                </c:pt>
                <c:pt idx="124">
                  <c:v>2.186391342102437</c:v>
                </c:pt>
                <c:pt idx="125">
                  <c:v>2.186391342102437</c:v>
                </c:pt>
                <c:pt idx="126">
                  <c:v>2.186391342102437</c:v>
                </c:pt>
                <c:pt idx="127">
                  <c:v>4.2480529535009524</c:v>
                </c:pt>
                <c:pt idx="128">
                  <c:v>8.0588308800606168</c:v>
                </c:pt>
                <c:pt idx="129">
                  <c:v>5.6731323294217306</c:v>
                </c:pt>
                <c:pt idx="130">
                  <c:v>7.9608268533133524</c:v>
                </c:pt>
                <c:pt idx="131">
                  <c:v>8.5313031631974017</c:v>
                </c:pt>
                <c:pt idx="132">
                  <c:v>0.52440987400628192</c:v>
                </c:pt>
                <c:pt idx="133">
                  <c:v>2.4329976308521801</c:v>
                </c:pt>
                <c:pt idx="134">
                  <c:v>2.2684651002118166</c:v>
                </c:pt>
                <c:pt idx="135">
                  <c:v>8.2678714910324711</c:v>
                </c:pt>
                <c:pt idx="136">
                  <c:v>8.2678714910324711</c:v>
                </c:pt>
                <c:pt idx="137">
                  <c:v>8.2678714910324711</c:v>
                </c:pt>
                <c:pt idx="138">
                  <c:v>7.1303785158826312</c:v>
                </c:pt>
                <c:pt idx="139">
                  <c:v>5.4164887311344945</c:v>
                </c:pt>
                <c:pt idx="140">
                  <c:v>3.6977108388762385</c:v>
                </c:pt>
                <c:pt idx="141">
                  <c:v>1.978932946617983</c:v>
                </c:pt>
                <c:pt idx="142">
                  <c:v>0.30433099137452585</c:v>
                </c:pt>
                <c:pt idx="143">
                  <c:v>2.0042288981765122</c:v>
                </c:pt>
                <c:pt idx="144">
                  <c:v>2.0042288981765122</c:v>
                </c:pt>
                <c:pt idx="145">
                  <c:v>7.0899218584090322</c:v>
                </c:pt>
                <c:pt idx="146">
                  <c:v>11.367053073836118</c:v>
                </c:pt>
                <c:pt idx="147">
                  <c:v>8.3056109556270439</c:v>
                </c:pt>
                <c:pt idx="148">
                  <c:v>8.7245884873071429</c:v>
                </c:pt>
                <c:pt idx="149">
                  <c:v>9.1509529141196868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4C-4C6B-8C8A-0A60FF9E8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23224"/>
        <c:axId val="111952289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22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23224"/>
        <c:crosses val="max"/>
        <c:crossBetween val="between"/>
      </c:valAx>
      <c:catAx>
        <c:axId val="1119523224"/>
        <c:scaling>
          <c:orientation val="minMax"/>
        </c:scaling>
        <c:delete val="1"/>
        <c:axPos val="b"/>
        <c:majorTickMark val="out"/>
        <c:minorTickMark val="none"/>
        <c:tickLblPos val="nextTo"/>
        <c:crossAx val="1119522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Total Resistive Forces (N)</a:t>
            </a:r>
            <a:r>
              <a:rPr lang="en-GB" baseline="0"/>
              <a:t> &amp; Total Resistive Power (KW)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'Duty Cycle '!$U$2</c:f>
              <c:strCache>
                <c:ptCount val="1"/>
                <c:pt idx="0">
                  <c:v>Resistive Power (KW)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'!$U$3:$U$152</c:f>
              <c:numCache>
                <c:formatCode>General</c:formatCode>
                <c:ptCount val="150"/>
                <c:pt idx="0">
                  <c:v>0</c:v>
                </c:pt>
                <c:pt idx="1">
                  <c:v>0.60217848272409169</c:v>
                </c:pt>
                <c:pt idx="2">
                  <c:v>0.70826311803977515</c:v>
                </c:pt>
                <c:pt idx="3">
                  <c:v>1.0615524157168417</c:v>
                </c:pt>
                <c:pt idx="4">
                  <c:v>2.0330364812485606</c:v>
                </c:pt>
                <c:pt idx="5">
                  <c:v>3.5574245741794348</c:v>
                </c:pt>
                <c:pt idx="6">
                  <c:v>5.8284567720806271</c:v>
                </c:pt>
                <c:pt idx="7">
                  <c:v>6.1615530785099217</c:v>
                </c:pt>
                <c:pt idx="8">
                  <c:v>8.4788648400148308</c:v>
                </c:pt>
                <c:pt idx="9">
                  <c:v>7.9382086374669543</c:v>
                </c:pt>
                <c:pt idx="10">
                  <c:v>9.7691032705343677</c:v>
                </c:pt>
                <c:pt idx="11">
                  <c:v>12.200837504722434</c:v>
                </c:pt>
                <c:pt idx="12">
                  <c:v>11.707801759358153</c:v>
                </c:pt>
                <c:pt idx="13">
                  <c:v>5.7979211169204223</c:v>
                </c:pt>
                <c:pt idx="14">
                  <c:v>11.647457435569542</c:v>
                </c:pt>
                <c:pt idx="15">
                  <c:v>11.415204788337835</c:v>
                </c:pt>
                <c:pt idx="16">
                  <c:v>11.783773996199773</c:v>
                </c:pt>
                <c:pt idx="17">
                  <c:v>2.5966508627003071</c:v>
                </c:pt>
                <c:pt idx="18">
                  <c:v>0.63447682162333319</c:v>
                </c:pt>
                <c:pt idx="19">
                  <c:v>4.2656964792253014</c:v>
                </c:pt>
                <c:pt idx="20">
                  <c:v>0.65561243876773279</c:v>
                </c:pt>
                <c:pt idx="21">
                  <c:v>0.11121905210040153</c:v>
                </c:pt>
                <c:pt idx="22">
                  <c:v>2.938764764305358</c:v>
                </c:pt>
                <c:pt idx="23">
                  <c:v>1.3760167891310204</c:v>
                </c:pt>
                <c:pt idx="24">
                  <c:v>1.7053432558237085</c:v>
                </c:pt>
                <c:pt idx="25">
                  <c:v>2.1761604773462984</c:v>
                </c:pt>
                <c:pt idx="26">
                  <c:v>3.9830236103808683</c:v>
                </c:pt>
                <c:pt idx="27">
                  <c:v>6.0601774536227371</c:v>
                </c:pt>
                <c:pt idx="28">
                  <c:v>1.2815254773192155</c:v>
                </c:pt>
                <c:pt idx="29">
                  <c:v>2.4277927325137907</c:v>
                </c:pt>
                <c:pt idx="30">
                  <c:v>2.4277927325137907</c:v>
                </c:pt>
                <c:pt idx="31">
                  <c:v>1.2815254773192155</c:v>
                </c:pt>
                <c:pt idx="32">
                  <c:v>1.007909478794289</c:v>
                </c:pt>
                <c:pt idx="33">
                  <c:v>4.4228127933321773</c:v>
                </c:pt>
                <c:pt idx="34">
                  <c:v>3.2880875406801309</c:v>
                </c:pt>
                <c:pt idx="35">
                  <c:v>3.2880875406801309</c:v>
                </c:pt>
                <c:pt idx="36">
                  <c:v>3.2880875406801309</c:v>
                </c:pt>
                <c:pt idx="37">
                  <c:v>3.2880875406801309</c:v>
                </c:pt>
                <c:pt idx="38">
                  <c:v>1.761906397379001</c:v>
                </c:pt>
                <c:pt idx="39">
                  <c:v>1.761906397379001</c:v>
                </c:pt>
                <c:pt idx="40">
                  <c:v>3.0742924331400086</c:v>
                </c:pt>
                <c:pt idx="41">
                  <c:v>3.1260138098840509</c:v>
                </c:pt>
                <c:pt idx="42">
                  <c:v>3.8176931387118214</c:v>
                </c:pt>
                <c:pt idx="43">
                  <c:v>3.5568105693126872</c:v>
                </c:pt>
                <c:pt idx="44">
                  <c:v>4.2651584151689317</c:v>
                </c:pt>
                <c:pt idx="45">
                  <c:v>2.3513843371561025</c:v>
                </c:pt>
                <c:pt idx="46">
                  <c:v>2.3513843371561025</c:v>
                </c:pt>
                <c:pt idx="47">
                  <c:v>2.3513843371561025</c:v>
                </c:pt>
                <c:pt idx="48">
                  <c:v>2.3513843371561025</c:v>
                </c:pt>
                <c:pt idx="49">
                  <c:v>1.2052688887634042</c:v>
                </c:pt>
                <c:pt idx="50">
                  <c:v>6.0837870988356274E-2</c:v>
                </c:pt>
                <c:pt idx="51">
                  <c:v>0.14712779340447754</c:v>
                </c:pt>
                <c:pt idx="52">
                  <c:v>1.8876882717932948</c:v>
                </c:pt>
                <c:pt idx="53">
                  <c:v>0.76957672798577559</c:v>
                </c:pt>
                <c:pt idx="54">
                  <c:v>6.0117046080305849</c:v>
                </c:pt>
                <c:pt idx="55">
                  <c:v>8.766641232953349</c:v>
                </c:pt>
                <c:pt idx="56">
                  <c:v>6.9125636248660332</c:v>
                </c:pt>
                <c:pt idx="57">
                  <c:v>3.380791745968037</c:v>
                </c:pt>
                <c:pt idx="58">
                  <c:v>3.953973875814921</c:v>
                </c:pt>
                <c:pt idx="59">
                  <c:v>3.953973875814921</c:v>
                </c:pt>
                <c:pt idx="60">
                  <c:v>4.0514904259589031</c:v>
                </c:pt>
                <c:pt idx="61">
                  <c:v>5.8597466993021481</c:v>
                </c:pt>
                <c:pt idx="62">
                  <c:v>1.1261241103546917</c:v>
                </c:pt>
                <c:pt idx="63">
                  <c:v>0.82111034071364397</c:v>
                </c:pt>
                <c:pt idx="64">
                  <c:v>5.2129913087521169</c:v>
                </c:pt>
                <c:pt idx="65">
                  <c:v>5.7830053095596652</c:v>
                </c:pt>
                <c:pt idx="66">
                  <c:v>6.3517677174333347</c:v>
                </c:pt>
                <c:pt idx="67">
                  <c:v>2.7543314155367185</c:v>
                </c:pt>
                <c:pt idx="68">
                  <c:v>10.397521050506692</c:v>
                </c:pt>
                <c:pt idx="69">
                  <c:v>9.7516397773527199</c:v>
                </c:pt>
                <c:pt idx="70">
                  <c:v>10.502115295077925</c:v>
                </c:pt>
                <c:pt idx="71">
                  <c:v>7.3617879271046585</c:v>
                </c:pt>
                <c:pt idx="72">
                  <c:v>8.7245884873071429</c:v>
                </c:pt>
                <c:pt idx="73">
                  <c:v>3.3346434597714909</c:v>
                </c:pt>
                <c:pt idx="74">
                  <c:v>2.1151485652433162</c:v>
                </c:pt>
                <c:pt idx="75">
                  <c:v>3.4002441851084111</c:v>
                </c:pt>
                <c:pt idx="76">
                  <c:v>7.4479152753216802</c:v>
                </c:pt>
                <c:pt idx="77">
                  <c:v>6.9985275342568212</c:v>
                </c:pt>
                <c:pt idx="78">
                  <c:v>10.029252567165065</c:v>
                </c:pt>
                <c:pt idx="79">
                  <c:v>10.029252567165056</c:v>
                </c:pt>
                <c:pt idx="80">
                  <c:v>10.029252567165065</c:v>
                </c:pt>
                <c:pt idx="81">
                  <c:v>10.029252567165056</c:v>
                </c:pt>
                <c:pt idx="82">
                  <c:v>10.029252567165056</c:v>
                </c:pt>
                <c:pt idx="83">
                  <c:v>10.097526678881701</c:v>
                </c:pt>
                <c:pt idx="84">
                  <c:v>11.828718649321171</c:v>
                </c:pt>
                <c:pt idx="85">
                  <c:v>9.9969600918996733</c:v>
                </c:pt>
                <c:pt idx="86">
                  <c:v>7.3656414994344903</c:v>
                </c:pt>
                <c:pt idx="87">
                  <c:v>4.6368243533156903</c:v>
                </c:pt>
                <c:pt idx="88">
                  <c:v>2.531295009953769</c:v>
                </c:pt>
                <c:pt idx="89">
                  <c:v>4.5970496033166937</c:v>
                </c:pt>
                <c:pt idx="90">
                  <c:v>4.5223664585759726</c:v>
                </c:pt>
                <c:pt idx="91">
                  <c:v>4.7677128271280962</c:v>
                </c:pt>
                <c:pt idx="92">
                  <c:v>4.7677128271280962</c:v>
                </c:pt>
                <c:pt idx="93">
                  <c:v>4.1953148202815624</c:v>
                </c:pt>
                <c:pt idx="94">
                  <c:v>3.0492554499509299</c:v>
                </c:pt>
                <c:pt idx="95">
                  <c:v>5.603094636762024</c:v>
                </c:pt>
                <c:pt idx="96">
                  <c:v>8.845243059639385</c:v>
                </c:pt>
                <c:pt idx="97">
                  <c:v>5.2442466510634453</c:v>
                </c:pt>
                <c:pt idx="98">
                  <c:v>9.2366639750808535</c:v>
                </c:pt>
                <c:pt idx="99">
                  <c:v>10.162967065699901</c:v>
                </c:pt>
                <c:pt idx="100">
                  <c:v>6.5326497367594873</c:v>
                </c:pt>
                <c:pt idx="101">
                  <c:v>8.9194343129289884</c:v>
                </c:pt>
                <c:pt idx="102">
                  <c:v>4.9231683902220604</c:v>
                </c:pt>
                <c:pt idx="103">
                  <c:v>1.7077544627902423</c:v>
                </c:pt>
                <c:pt idx="104">
                  <c:v>1.7077544627902423</c:v>
                </c:pt>
                <c:pt idx="105">
                  <c:v>1.7077544627902423</c:v>
                </c:pt>
                <c:pt idx="106">
                  <c:v>5.3109444431186175</c:v>
                </c:pt>
                <c:pt idx="107">
                  <c:v>5.6054443174788906</c:v>
                </c:pt>
                <c:pt idx="108">
                  <c:v>5.9070232996742886</c:v>
                </c:pt>
                <c:pt idx="109">
                  <c:v>10.637506741005199</c:v>
                </c:pt>
                <c:pt idx="110">
                  <c:v>2.4277927325137907</c:v>
                </c:pt>
                <c:pt idx="111">
                  <c:v>2.4277927325137907</c:v>
                </c:pt>
                <c:pt idx="112">
                  <c:v>8.9194343129289884</c:v>
                </c:pt>
                <c:pt idx="113">
                  <c:v>4.9231683902220604</c:v>
                </c:pt>
                <c:pt idx="114">
                  <c:v>1.5732137532014823</c:v>
                </c:pt>
                <c:pt idx="115">
                  <c:v>1.5843685577567463</c:v>
                </c:pt>
                <c:pt idx="116">
                  <c:v>8.7842849851726683</c:v>
                </c:pt>
                <c:pt idx="117">
                  <c:v>9.6961220728241901</c:v>
                </c:pt>
                <c:pt idx="118">
                  <c:v>9.2997156030297408</c:v>
                </c:pt>
                <c:pt idx="119">
                  <c:v>1.7619063973790252</c:v>
                </c:pt>
                <c:pt idx="120">
                  <c:v>7.6239309762326979</c:v>
                </c:pt>
                <c:pt idx="121">
                  <c:v>7.1082094804467832</c:v>
                </c:pt>
                <c:pt idx="122">
                  <c:v>3.3191107072968968</c:v>
                </c:pt>
                <c:pt idx="123">
                  <c:v>3.3191107072969062</c:v>
                </c:pt>
                <c:pt idx="124">
                  <c:v>2.186391342102437</c:v>
                </c:pt>
                <c:pt idx="125">
                  <c:v>2.186391342102437</c:v>
                </c:pt>
                <c:pt idx="126">
                  <c:v>2.186391342102437</c:v>
                </c:pt>
                <c:pt idx="127">
                  <c:v>4.2480529535009524</c:v>
                </c:pt>
                <c:pt idx="128">
                  <c:v>8.0588308800606168</c:v>
                </c:pt>
                <c:pt idx="129">
                  <c:v>5.6731323294217306</c:v>
                </c:pt>
                <c:pt idx="130">
                  <c:v>7.9608268533133524</c:v>
                </c:pt>
                <c:pt idx="131">
                  <c:v>8.5313031631974017</c:v>
                </c:pt>
                <c:pt idx="132">
                  <c:v>0.52440987400628192</c:v>
                </c:pt>
                <c:pt idx="133">
                  <c:v>2.4329976308521801</c:v>
                </c:pt>
                <c:pt idx="134">
                  <c:v>2.2684651002118166</c:v>
                </c:pt>
                <c:pt idx="135">
                  <c:v>8.2678714910324711</c:v>
                </c:pt>
                <c:pt idx="136">
                  <c:v>8.2678714910324711</c:v>
                </c:pt>
                <c:pt idx="137">
                  <c:v>8.2678714910324711</c:v>
                </c:pt>
                <c:pt idx="138">
                  <c:v>7.1303785158826312</c:v>
                </c:pt>
                <c:pt idx="139">
                  <c:v>5.4164887311344945</c:v>
                </c:pt>
                <c:pt idx="140">
                  <c:v>3.6977108388762385</c:v>
                </c:pt>
                <c:pt idx="141">
                  <c:v>1.978932946617983</c:v>
                </c:pt>
                <c:pt idx="142">
                  <c:v>0.30433099137452585</c:v>
                </c:pt>
                <c:pt idx="143">
                  <c:v>2.0042288981765122</c:v>
                </c:pt>
                <c:pt idx="144">
                  <c:v>2.0042288981765122</c:v>
                </c:pt>
                <c:pt idx="145">
                  <c:v>7.0899218584090322</c:v>
                </c:pt>
                <c:pt idx="146">
                  <c:v>11.367053073836118</c:v>
                </c:pt>
                <c:pt idx="147">
                  <c:v>8.3056109556270439</c:v>
                </c:pt>
                <c:pt idx="148">
                  <c:v>8.7245884873071429</c:v>
                </c:pt>
                <c:pt idx="149">
                  <c:v>9.1509529141196868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9C-4FEB-86A0-D141C9CC7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0"/>
          <c:order val="0"/>
          <c:tx>
            <c:strRef>
              <c:f>'Duty Cycle '!$T$2</c:f>
              <c:strCache>
                <c:ptCount val="1"/>
                <c:pt idx="0">
                  <c:v>Total Resistive Forces (N)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'!$T$3:$T$152</c:f>
              <c:numCache>
                <c:formatCode>General</c:formatCode>
                <c:ptCount val="150"/>
                <c:pt idx="0">
                  <c:v>0</c:v>
                </c:pt>
                <c:pt idx="1">
                  <c:v>749.22380411484721</c:v>
                </c:pt>
                <c:pt idx="2">
                  <c:v>528.72788002470429</c:v>
                </c:pt>
                <c:pt idx="3">
                  <c:v>566.04504335143861</c:v>
                </c:pt>
                <c:pt idx="4">
                  <c:v>758.84444732802649</c:v>
                </c:pt>
                <c:pt idx="5">
                  <c:v>1021.4096045697404</c:v>
                </c:pt>
                <c:pt idx="6">
                  <c:v>1279.7120143075376</c:v>
                </c:pt>
                <c:pt idx="7">
                  <c:v>1149.9204228919373</c:v>
                </c:pt>
                <c:pt idx="8">
                  <c:v>1318.6637251787563</c:v>
                </c:pt>
                <c:pt idx="9">
                  <c:v>1123.4288609589917</c:v>
                </c:pt>
                <c:pt idx="10">
                  <c:v>1244.2861802859213</c:v>
                </c:pt>
                <c:pt idx="11">
                  <c:v>1351.3174336811467</c:v>
                </c:pt>
                <c:pt idx="12">
                  <c:v>1147.0902408629936</c:v>
                </c:pt>
                <c:pt idx="13">
                  <c:v>566.16688065399637</c:v>
                </c:pt>
                <c:pt idx="14">
                  <c:v>1033.9763497458607</c:v>
                </c:pt>
                <c:pt idx="15">
                  <c:v>928.9120986512869</c:v>
                </c:pt>
                <c:pt idx="16">
                  <c:v>885.14253394535638</c:v>
                </c:pt>
                <c:pt idx="17">
                  <c:v>-211.30242050496202</c:v>
                </c:pt>
                <c:pt idx="18">
                  <c:v>53.875346862787694</c:v>
                </c:pt>
                <c:pt idx="19">
                  <c:v>362.21319612849311</c:v>
                </c:pt>
                <c:pt idx="20">
                  <c:v>58.200492256350913</c:v>
                </c:pt>
                <c:pt idx="21">
                  <c:v>10.343369718569306</c:v>
                </c:pt>
                <c:pt idx="22">
                  <c:v>-299.4472906732903</c:v>
                </c:pt>
                <c:pt idx="23">
                  <c:v>-140.21009930124168</c:v>
                </c:pt>
                <c:pt idx="24">
                  <c:v>-167.08368029150347</c:v>
                </c:pt>
                <c:pt idx="25">
                  <c:v>193.18366083539235</c:v>
                </c:pt>
                <c:pt idx="26">
                  <c:v>324.11847965061838</c:v>
                </c:pt>
                <c:pt idx="27">
                  <c:v>455.2124666671354</c:v>
                </c:pt>
                <c:pt idx="28">
                  <c:v>96.262259330133205</c:v>
                </c:pt>
                <c:pt idx="29">
                  <c:v>182.36454737203923</c:v>
                </c:pt>
                <c:pt idx="30">
                  <c:v>182.36454737203923</c:v>
                </c:pt>
                <c:pt idx="31">
                  <c:v>96.262259330133205</c:v>
                </c:pt>
                <c:pt idx="32">
                  <c:v>-75.709492589999911</c:v>
                </c:pt>
                <c:pt idx="33">
                  <c:v>-332.22121574280862</c:v>
                </c:pt>
                <c:pt idx="34">
                  <c:v>-246.98590948285062</c:v>
                </c:pt>
                <c:pt idx="35">
                  <c:v>-246.98590948285062</c:v>
                </c:pt>
                <c:pt idx="36">
                  <c:v>-246.98590948285062</c:v>
                </c:pt>
                <c:pt idx="37">
                  <c:v>-246.98590948285062</c:v>
                </c:pt>
                <c:pt idx="38">
                  <c:v>-132.34624948285062</c:v>
                </c:pt>
                <c:pt idx="39">
                  <c:v>-132.34624948285062</c:v>
                </c:pt>
                <c:pt idx="40">
                  <c:v>-240.16367549527016</c:v>
                </c:pt>
                <c:pt idx="41">
                  <c:v>-254.3793214747152</c:v>
                </c:pt>
                <c:pt idx="42">
                  <c:v>-338.90696212894511</c:v>
                </c:pt>
                <c:pt idx="43">
                  <c:v>-347.32248067813237</c:v>
                </c:pt>
                <c:pt idx="44">
                  <c:v>-472.39240106253231</c:v>
                </c:pt>
                <c:pt idx="45">
                  <c:v>260.43020791433077</c:v>
                </c:pt>
                <c:pt idx="46">
                  <c:v>260.43020791433077</c:v>
                </c:pt>
                <c:pt idx="47">
                  <c:v>260.43020791433077</c:v>
                </c:pt>
                <c:pt idx="48">
                  <c:v>260.43020791433077</c:v>
                </c:pt>
                <c:pt idx="49">
                  <c:v>133.4909067536625</c:v>
                </c:pt>
                <c:pt idx="50">
                  <c:v>6.7381665941202584</c:v>
                </c:pt>
                <c:pt idx="51">
                  <c:v>15.616332686792219</c:v>
                </c:pt>
                <c:pt idx="52">
                  <c:v>184.94921923621018</c:v>
                </c:pt>
                <c:pt idx="53">
                  <c:v>71.570620986572692</c:v>
                </c:pt>
                <c:pt idx="54">
                  <c:v>510.47202979866256</c:v>
                </c:pt>
                <c:pt idx="55">
                  <c:v>684.84987230184493</c:v>
                </c:pt>
                <c:pt idx="56">
                  <c:v>519.23976859583752</c:v>
                </c:pt>
                <c:pt idx="57">
                  <c:v>253.94942008670219</c:v>
                </c:pt>
                <c:pt idx="58">
                  <c:v>297.00420737203922</c:v>
                </c:pt>
                <c:pt idx="59">
                  <c:v>297.00420737203922</c:v>
                </c:pt>
                <c:pt idx="60">
                  <c:v>-329.6899656226912</c:v>
                </c:pt>
                <c:pt idx="61">
                  <c:v>-544.956330983057</c:v>
                </c:pt>
                <c:pt idx="62">
                  <c:v>-115.75368080558565</c:v>
                </c:pt>
                <c:pt idx="63">
                  <c:v>90.942996163397879</c:v>
                </c:pt>
                <c:pt idx="64">
                  <c:v>577.37069561154613</c:v>
                </c:pt>
                <c:pt idx="65">
                  <c:v>640.50323519626227</c:v>
                </c:pt>
                <c:pt idx="66">
                  <c:v>703.49715320268376</c:v>
                </c:pt>
                <c:pt idx="67">
                  <c:v>334.11230735956332</c:v>
                </c:pt>
                <c:pt idx="68">
                  <c:v>1203.9340574891473</c:v>
                </c:pt>
                <c:pt idx="69">
                  <c:v>1035.0515526746287</c:v>
                </c:pt>
                <c:pt idx="70">
                  <c:v>976.69652161727413</c:v>
                </c:pt>
                <c:pt idx="71">
                  <c:v>625.11168979866238</c:v>
                </c:pt>
                <c:pt idx="72">
                  <c:v>709.96324217442361</c:v>
                </c:pt>
                <c:pt idx="73">
                  <c:v>283.15466686278802</c:v>
                </c:pt>
                <c:pt idx="74">
                  <c:v>196.70877612104778</c:v>
                </c:pt>
                <c:pt idx="75">
                  <c:v>349.50923832020578</c:v>
                </c:pt>
                <c:pt idx="76">
                  <c:v>808.09864121394457</c:v>
                </c:pt>
                <c:pt idx="77">
                  <c:v>810.3629326489056</c:v>
                </c:pt>
                <c:pt idx="78">
                  <c:v>1161.2920693420542</c:v>
                </c:pt>
                <c:pt idx="79">
                  <c:v>1161.2920693420531</c:v>
                </c:pt>
                <c:pt idx="80">
                  <c:v>1161.2920693420542</c:v>
                </c:pt>
                <c:pt idx="81">
                  <c:v>1161.2920693420531</c:v>
                </c:pt>
                <c:pt idx="82">
                  <c:v>1161.2920693420531</c:v>
                </c:pt>
                <c:pt idx="83">
                  <c:v>1118.362885576661</c:v>
                </c:pt>
                <c:pt idx="84">
                  <c:v>1205.294753325755</c:v>
                </c:pt>
                <c:pt idx="85">
                  <c:v>976.2029522505162</c:v>
                </c:pt>
                <c:pt idx="86">
                  <c:v>719.25474452909612</c:v>
                </c:pt>
                <c:pt idx="87">
                  <c:v>472.47214434889071</c:v>
                </c:pt>
                <c:pt idx="88">
                  <c:v>280.3564161408309</c:v>
                </c:pt>
                <c:pt idx="89">
                  <c:v>532.29462623980294</c:v>
                </c:pt>
                <c:pt idx="90">
                  <c:v>548.58260109046489</c:v>
                </c:pt>
                <c:pt idx="91">
                  <c:v>578.34417619970657</c:v>
                </c:pt>
                <c:pt idx="92">
                  <c:v>578.34417619970657</c:v>
                </c:pt>
                <c:pt idx="93">
                  <c:v>508.90982355908801</c:v>
                </c:pt>
                <c:pt idx="94">
                  <c:v>369.88786765637019</c:v>
                </c:pt>
                <c:pt idx="95">
                  <c:v>620.57702696976503</c:v>
                </c:pt>
                <c:pt idx="96">
                  <c:v>866.62656238293744</c:v>
                </c:pt>
                <c:pt idx="97">
                  <c:v>487.7148382666561</c:v>
                </c:pt>
                <c:pt idx="98">
                  <c:v>784.31308844237196</c:v>
                </c:pt>
                <c:pt idx="99">
                  <c:v>793.93082392715633</c:v>
                </c:pt>
                <c:pt idx="100">
                  <c:v>490.70239663774424</c:v>
                </c:pt>
                <c:pt idx="101">
                  <c:v>-757.3761578861554</c:v>
                </c:pt>
                <c:pt idx="102">
                  <c:v>-457.8545661481736</c:v>
                </c:pt>
                <c:pt idx="103">
                  <c:v>158.82113238323862</c:v>
                </c:pt>
                <c:pt idx="104">
                  <c:v>158.82113238323862</c:v>
                </c:pt>
                <c:pt idx="105">
                  <c:v>158.82113238323862</c:v>
                </c:pt>
                <c:pt idx="106">
                  <c:v>471.46692566817097</c:v>
                </c:pt>
                <c:pt idx="107">
                  <c:v>475.97523917666689</c:v>
                </c:pt>
                <c:pt idx="108">
                  <c:v>480.68392217442374</c:v>
                </c:pt>
                <c:pt idx="109">
                  <c:v>799.04024590345034</c:v>
                </c:pt>
                <c:pt idx="110">
                  <c:v>182.36454737203923</c:v>
                </c:pt>
                <c:pt idx="111">
                  <c:v>182.36454737203923</c:v>
                </c:pt>
                <c:pt idx="112">
                  <c:v>-757.3761578861554</c:v>
                </c:pt>
                <c:pt idx="113">
                  <c:v>-457.8545661481736</c:v>
                </c:pt>
                <c:pt idx="114">
                  <c:v>-153.62429141242734</c:v>
                </c:pt>
                <c:pt idx="115">
                  <c:v>154.71355785327768</c:v>
                </c:pt>
                <c:pt idx="116">
                  <c:v>779.80477493387593</c:v>
                </c:pt>
                <c:pt idx="117">
                  <c:v>789.02177144013092</c:v>
                </c:pt>
                <c:pt idx="118">
                  <c:v>698.55157070150585</c:v>
                </c:pt>
                <c:pt idx="119">
                  <c:v>-132.34624948285244</c:v>
                </c:pt>
                <c:pt idx="120">
                  <c:v>-595.58136540191049</c:v>
                </c:pt>
                <c:pt idx="121">
                  <c:v>-578.43042753648592</c:v>
                </c:pt>
                <c:pt idx="122">
                  <c:v>-270.09257827077982</c:v>
                </c:pt>
                <c:pt idx="123">
                  <c:v>-270.09257827078062</c:v>
                </c:pt>
                <c:pt idx="124">
                  <c:v>-177.91755888079052</c:v>
                </c:pt>
                <c:pt idx="125">
                  <c:v>-177.91755888079052</c:v>
                </c:pt>
                <c:pt idx="126">
                  <c:v>-177.91755888079052</c:v>
                </c:pt>
                <c:pt idx="127">
                  <c:v>331.85782849203139</c:v>
                </c:pt>
                <c:pt idx="128">
                  <c:v>605.34205663774424</c:v>
                </c:pt>
                <c:pt idx="129">
                  <c:v>426.13942927716533</c:v>
                </c:pt>
                <c:pt idx="130">
                  <c:v>597.98044798843557</c:v>
                </c:pt>
                <c:pt idx="131">
                  <c:v>640.83198660835558</c:v>
                </c:pt>
                <c:pt idx="132">
                  <c:v>42.673844722812305</c:v>
                </c:pt>
                <c:pt idx="133">
                  <c:v>-226.26873314465558</c:v>
                </c:pt>
                <c:pt idx="134">
                  <c:v>233.17428577727947</c:v>
                </c:pt>
                <c:pt idx="135">
                  <c:v>849.84998430869155</c:v>
                </c:pt>
                <c:pt idx="136">
                  <c:v>849.84998430869155</c:v>
                </c:pt>
                <c:pt idx="137">
                  <c:v>849.84998430869155</c:v>
                </c:pt>
                <c:pt idx="138">
                  <c:v>732.92770411470917</c:v>
                </c:pt>
                <c:pt idx="139">
                  <c:v>556.75791141112893</c:v>
                </c:pt>
                <c:pt idx="140">
                  <c:v>380.08567281258297</c:v>
                </c:pt>
                <c:pt idx="141">
                  <c:v>203.41343421403704</c:v>
                </c:pt>
                <c:pt idx="142">
                  <c:v>-31.282015997081203</c:v>
                </c:pt>
                <c:pt idx="143">
                  <c:v>-206.01359122644419</c:v>
                </c:pt>
                <c:pt idx="144">
                  <c:v>-206.01359122644419</c:v>
                </c:pt>
                <c:pt idx="145">
                  <c:v>692.33072711898376</c:v>
                </c:pt>
                <c:pt idx="146">
                  <c:v>1009.0840949338759</c:v>
                </c:pt>
                <c:pt idx="147">
                  <c:v>705.25455917666682</c:v>
                </c:pt>
                <c:pt idx="148">
                  <c:v>709.96324217442361</c:v>
                </c:pt>
                <c:pt idx="149">
                  <c:v>714.87229466145232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9C-4FEB-86A0-D141C9CC7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01248"/>
        <c:axId val="1119500592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resistive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00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resistive forces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01248"/>
        <c:crosses val="max"/>
        <c:crossBetween val="between"/>
      </c:valAx>
      <c:catAx>
        <c:axId val="11195012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19500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Total Resistive Forces (N)</a:t>
            </a:r>
            <a:r>
              <a:rPr lang="en-GB" baseline="0"/>
              <a:t> &amp; Acceleration (m/s</a:t>
            </a:r>
            <a:r>
              <a:rPr lang="en-GB" baseline="0">
                <a:latin typeface="Calibri" panose="020F0502020204030204" pitchFamily="34" charset="0"/>
                <a:cs typeface="Calibri" panose="020F0502020204030204" pitchFamily="34" charset="0"/>
              </a:rPr>
              <a:t>²) </a:t>
            </a:r>
            <a:r>
              <a:rPr lang="en-GB" baseline="0"/>
              <a:t>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'Duty Cycle '!$N$2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'!$N$3:$N$152</c:f>
              <c:numCache>
                <c:formatCode>General</c:formatCode>
                <c:ptCount val="150"/>
                <c:pt idx="0">
                  <c:v>0</c:v>
                </c:pt>
                <c:pt idx="1">
                  <c:v>0.80373645286874096</c:v>
                </c:pt>
                <c:pt idx="2">
                  <c:v>0.53582430191249397</c:v>
                </c:pt>
                <c:pt idx="3">
                  <c:v>0.53582430191249375</c:v>
                </c:pt>
                <c:pt idx="4">
                  <c:v>0.80373645286874118</c:v>
                </c:pt>
                <c:pt idx="5">
                  <c:v>0.80373645286874096</c:v>
                </c:pt>
                <c:pt idx="6">
                  <c:v>1.0716486038249884</c:v>
                </c:pt>
                <c:pt idx="7">
                  <c:v>0.80373645286874051</c:v>
                </c:pt>
                <c:pt idx="8">
                  <c:v>1.0716486038249879</c:v>
                </c:pt>
                <c:pt idx="9">
                  <c:v>0.63616205728992981</c:v>
                </c:pt>
                <c:pt idx="10">
                  <c:v>0.78511707558220767</c:v>
                </c:pt>
                <c:pt idx="11">
                  <c:v>1.1776756133733111</c:v>
                </c:pt>
                <c:pt idx="12">
                  <c:v>1.1776756133733102</c:v>
                </c:pt>
                <c:pt idx="13">
                  <c:v>3.4135525025311253E-2</c:v>
                </c:pt>
                <c:pt idx="14">
                  <c:v>1.024065750759398</c:v>
                </c:pt>
                <c:pt idx="15">
                  <c:v>1.0240657507593998</c:v>
                </c:pt>
                <c:pt idx="16">
                  <c:v>1.0240657507593998</c:v>
                </c:pt>
                <c:pt idx="17">
                  <c:v>-1.0240657507593998</c:v>
                </c:pt>
                <c:pt idx="18">
                  <c:v>-0.51203287537969722</c:v>
                </c:pt>
                <c:pt idx="19">
                  <c:v>0</c:v>
                </c:pt>
                <c:pt idx="20">
                  <c:v>-0.51203287537970255</c:v>
                </c:pt>
                <c:pt idx="21">
                  <c:v>-0.51203287537969899</c:v>
                </c:pt>
                <c:pt idx="22">
                  <c:v>-0.93872693819611541</c:v>
                </c:pt>
                <c:pt idx="23">
                  <c:v>0</c:v>
                </c:pt>
                <c:pt idx="24">
                  <c:v>0.39255853779110517</c:v>
                </c:pt>
                <c:pt idx="25">
                  <c:v>1.0582012757847092</c:v>
                </c:pt>
                <c:pt idx="26">
                  <c:v>1.0240657507593998</c:v>
                </c:pt>
                <c:pt idx="27">
                  <c:v>1.0240657507593998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-0.51203287537969899</c:v>
                </c:pt>
                <c:pt idx="41">
                  <c:v>-0.51203287537970077</c:v>
                </c:pt>
                <c:pt idx="42">
                  <c:v>-1.0240657507593998</c:v>
                </c:pt>
                <c:pt idx="43">
                  <c:v>-1.024065750759398</c:v>
                </c:pt>
                <c:pt idx="44">
                  <c:v>-1.2118111383986214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0.39255853779110161</c:v>
                </c:pt>
                <c:pt idx="52">
                  <c:v>0.78511707558220856</c:v>
                </c:pt>
                <c:pt idx="53">
                  <c:v>0.54616840040501025</c:v>
                </c:pt>
                <c:pt idx="54">
                  <c:v>1.0240657507594015</c:v>
                </c:pt>
                <c:pt idx="55">
                  <c:v>1.024065750759398</c:v>
                </c:pt>
                <c:pt idx="56">
                  <c:v>0.51203287537969899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-1.0240657507593998</c:v>
                </c:pt>
                <c:pt idx="61">
                  <c:v>-1.5360986261390988</c:v>
                </c:pt>
                <c:pt idx="62">
                  <c:v>-1.0240657507593998</c:v>
                </c:pt>
                <c:pt idx="63">
                  <c:v>-0.69977826301892065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-0.78511707558220856</c:v>
                </c:pt>
                <c:pt idx="68">
                  <c:v>0.39255853779110161</c:v>
                </c:pt>
                <c:pt idx="69">
                  <c:v>0.78511707558220856</c:v>
                </c:pt>
                <c:pt idx="70">
                  <c:v>1.3312854759872188</c:v>
                </c:pt>
                <c:pt idx="71">
                  <c:v>1.0240657507594015</c:v>
                </c:pt>
                <c:pt idx="72">
                  <c:v>0.51203287537969722</c:v>
                </c:pt>
                <c:pt idx="73">
                  <c:v>-0.51203287537969722</c:v>
                </c:pt>
                <c:pt idx="74">
                  <c:v>-1.0240657507594015</c:v>
                </c:pt>
                <c:pt idx="75">
                  <c:v>-1.0240657507593998</c:v>
                </c:pt>
                <c:pt idx="76">
                  <c:v>-0.51203287537969899</c:v>
                </c:pt>
                <c:pt idx="77">
                  <c:v>-0.5803039254303286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0.39255853779110694</c:v>
                </c:pt>
                <c:pt idx="84">
                  <c:v>0.785117075582205</c:v>
                </c:pt>
                <c:pt idx="85">
                  <c:v>0.42669406281641642</c:v>
                </c:pt>
                <c:pt idx="86">
                  <c:v>0</c:v>
                </c:pt>
                <c:pt idx="87">
                  <c:v>-0.42669406281641642</c:v>
                </c:pt>
                <c:pt idx="88">
                  <c:v>-0.785117075582205</c:v>
                </c:pt>
                <c:pt idx="89">
                  <c:v>-0.39255853779110694</c:v>
                </c:pt>
                <c:pt idx="90">
                  <c:v>-0.39255853779110161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0.78511707558220856</c:v>
                </c:pt>
                <c:pt idx="96">
                  <c:v>1.1776756133733102</c:v>
                </c:pt>
                <c:pt idx="97">
                  <c:v>0.54616840040501025</c:v>
                </c:pt>
                <c:pt idx="98">
                  <c:v>1.0240657507594015</c:v>
                </c:pt>
                <c:pt idx="99">
                  <c:v>1.024065750759398</c:v>
                </c:pt>
                <c:pt idx="100">
                  <c:v>0.51203287537969899</c:v>
                </c:pt>
                <c:pt idx="101">
                  <c:v>-1.536098626139097</c:v>
                </c:pt>
                <c:pt idx="102">
                  <c:v>-1.0240657507594015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0.51203287537969899</c:v>
                </c:pt>
                <c:pt idx="107">
                  <c:v>0.51203287537970255</c:v>
                </c:pt>
                <c:pt idx="108">
                  <c:v>0.51203287537969722</c:v>
                </c:pt>
                <c:pt idx="109">
                  <c:v>1.0240657507593998</c:v>
                </c:pt>
                <c:pt idx="110">
                  <c:v>0</c:v>
                </c:pt>
                <c:pt idx="111">
                  <c:v>0</c:v>
                </c:pt>
                <c:pt idx="112">
                  <c:v>-1.536098626139097</c:v>
                </c:pt>
                <c:pt idx="113">
                  <c:v>-1.0240657507594015</c:v>
                </c:pt>
                <c:pt idx="114">
                  <c:v>-0.51203287537969899</c:v>
                </c:pt>
                <c:pt idx="115">
                  <c:v>0</c:v>
                </c:pt>
                <c:pt idx="116">
                  <c:v>1.024065750759398</c:v>
                </c:pt>
                <c:pt idx="117">
                  <c:v>1.0240657507593998</c:v>
                </c:pt>
                <c:pt idx="118">
                  <c:v>1.0240657507593998</c:v>
                </c:pt>
                <c:pt idx="119">
                  <c:v>0</c:v>
                </c:pt>
                <c:pt idx="120">
                  <c:v>-0.51203287537969899</c:v>
                </c:pt>
                <c:pt idx="121">
                  <c:v>-0.51203287537970077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0.51203287537970077</c:v>
                </c:pt>
                <c:pt idx="128">
                  <c:v>0.51203287537969899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-1.0240657507593998</c:v>
                </c:pt>
                <c:pt idx="133">
                  <c:v>-1.5360986261390988</c:v>
                </c:pt>
                <c:pt idx="134">
                  <c:v>-1.0240657507593998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0.51203287537970077</c:v>
                </c:pt>
                <c:pt idx="146">
                  <c:v>1.024065750759398</c:v>
                </c:pt>
                <c:pt idx="147">
                  <c:v>0.51203287537970255</c:v>
                </c:pt>
                <c:pt idx="148">
                  <c:v>0.51203287537969722</c:v>
                </c:pt>
                <c:pt idx="149">
                  <c:v>0.51203287537970077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4E-4434-A0BE-96514798C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0"/>
          <c:order val="0"/>
          <c:tx>
            <c:strRef>
              <c:f>'Duty Cycle '!$T$2</c:f>
              <c:strCache>
                <c:ptCount val="1"/>
                <c:pt idx="0">
                  <c:v>Total Resistive Forces (N)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'!$T$3:$T$152</c:f>
              <c:numCache>
                <c:formatCode>General</c:formatCode>
                <c:ptCount val="150"/>
                <c:pt idx="0">
                  <c:v>0</c:v>
                </c:pt>
                <c:pt idx="1">
                  <c:v>749.22380411484721</c:v>
                </c:pt>
                <c:pt idx="2">
                  <c:v>528.72788002470429</c:v>
                </c:pt>
                <c:pt idx="3">
                  <c:v>566.04504335143861</c:v>
                </c:pt>
                <c:pt idx="4">
                  <c:v>758.84444732802649</c:v>
                </c:pt>
                <c:pt idx="5">
                  <c:v>1021.4096045697404</c:v>
                </c:pt>
                <c:pt idx="6">
                  <c:v>1279.7120143075376</c:v>
                </c:pt>
                <c:pt idx="7">
                  <c:v>1149.9204228919373</c:v>
                </c:pt>
                <c:pt idx="8">
                  <c:v>1318.6637251787563</c:v>
                </c:pt>
                <c:pt idx="9">
                  <c:v>1123.4288609589917</c:v>
                </c:pt>
                <c:pt idx="10">
                  <c:v>1244.2861802859213</c:v>
                </c:pt>
                <c:pt idx="11">
                  <c:v>1351.3174336811467</c:v>
                </c:pt>
                <c:pt idx="12">
                  <c:v>1147.0902408629936</c:v>
                </c:pt>
                <c:pt idx="13">
                  <c:v>566.16688065399637</c:v>
                </c:pt>
                <c:pt idx="14">
                  <c:v>1033.9763497458607</c:v>
                </c:pt>
                <c:pt idx="15">
                  <c:v>928.9120986512869</c:v>
                </c:pt>
                <c:pt idx="16">
                  <c:v>885.14253394535638</c:v>
                </c:pt>
                <c:pt idx="17">
                  <c:v>-211.30242050496202</c:v>
                </c:pt>
                <c:pt idx="18">
                  <c:v>53.875346862787694</c:v>
                </c:pt>
                <c:pt idx="19">
                  <c:v>362.21319612849311</c:v>
                </c:pt>
                <c:pt idx="20">
                  <c:v>58.200492256350913</c:v>
                </c:pt>
                <c:pt idx="21">
                  <c:v>10.343369718569306</c:v>
                </c:pt>
                <c:pt idx="22">
                  <c:v>-299.4472906732903</c:v>
                </c:pt>
                <c:pt idx="23">
                  <c:v>-140.21009930124168</c:v>
                </c:pt>
                <c:pt idx="24">
                  <c:v>-167.08368029150347</c:v>
                </c:pt>
                <c:pt idx="25">
                  <c:v>193.18366083539235</c:v>
                </c:pt>
                <c:pt idx="26">
                  <c:v>324.11847965061838</c:v>
                </c:pt>
                <c:pt idx="27">
                  <c:v>455.2124666671354</c:v>
                </c:pt>
                <c:pt idx="28">
                  <c:v>96.262259330133205</c:v>
                </c:pt>
                <c:pt idx="29">
                  <c:v>182.36454737203923</c:v>
                </c:pt>
                <c:pt idx="30">
                  <c:v>182.36454737203923</c:v>
                </c:pt>
                <c:pt idx="31">
                  <c:v>96.262259330133205</c:v>
                </c:pt>
                <c:pt idx="32">
                  <c:v>-75.709492589999911</c:v>
                </c:pt>
                <c:pt idx="33">
                  <c:v>-332.22121574280862</c:v>
                </c:pt>
                <c:pt idx="34">
                  <c:v>-246.98590948285062</c:v>
                </c:pt>
                <c:pt idx="35">
                  <c:v>-246.98590948285062</c:v>
                </c:pt>
                <c:pt idx="36">
                  <c:v>-246.98590948285062</c:v>
                </c:pt>
                <c:pt idx="37">
                  <c:v>-246.98590948285062</c:v>
                </c:pt>
                <c:pt idx="38">
                  <c:v>-132.34624948285062</c:v>
                </c:pt>
                <c:pt idx="39">
                  <c:v>-132.34624948285062</c:v>
                </c:pt>
                <c:pt idx="40">
                  <c:v>-240.16367549527016</c:v>
                </c:pt>
                <c:pt idx="41">
                  <c:v>-254.3793214747152</c:v>
                </c:pt>
                <c:pt idx="42">
                  <c:v>-338.90696212894511</c:v>
                </c:pt>
                <c:pt idx="43">
                  <c:v>-347.32248067813237</c:v>
                </c:pt>
                <c:pt idx="44">
                  <c:v>-472.39240106253231</c:v>
                </c:pt>
                <c:pt idx="45">
                  <c:v>260.43020791433077</c:v>
                </c:pt>
                <c:pt idx="46">
                  <c:v>260.43020791433077</c:v>
                </c:pt>
                <c:pt idx="47">
                  <c:v>260.43020791433077</c:v>
                </c:pt>
                <c:pt idx="48">
                  <c:v>260.43020791433077</c:v>
                </c:pt>
                <c:pt idx="49">
                  <c:v>133.4909067536625</c:v>
                </c:pt>
                <c:pt idx="50">
                  <c:v>6.7381665941202584</c:v>
                </c:pt>
                <c:pt idx="51">
                  <c:v>15.616332686792219</c:v>
                </c:pt>
                <c:pt idx="52">
                  <c:v>184.94921923621018</c:v>
                </c:pt>
                <c:pt idx="53">
                  <c:v>71.570620986572692</c:v>
                </c:pt>
                <c:pt idx="54">
                  <c:v>510.47202979866256</c:v>
                </c:pt>
                <c:pt idx="55">
                  <c:v>684.84987230184493</c:v>
                </c:pt>
                <c:pt idx="56">
                  <c:v>519.23976859583752</c:v>
                </c:pt>
                <c:pt idx="57">
                  <c:v>253.94942008670219</c:v>
                </c:pt>
                <c:pt idx="58">
                  <c:v>297.00420737203922</c:v>
                </c:pt>
                <c:pt idx="59">
                  <c:v>297.00420737203922</c:v>
                </c:pt>
                <c:pt idx="60">
                  <c:v>-329.6899656226912</c:v>
                </c:pt>
                <c:pt idx="61">
                  <c:v>-544.956330983057</c:v>
                </c:pt>
                <c:pt idx="62">
                  <c:v>-115.75368080558565</c:v>
                </c:pt>
                <c:pt idx="63">
                  <c:v>90.942996163397879</c:v>
                </c:pt>
                <c:pt idx="64">
                  <c:v>577.37069561154613</c:v>
                </c:pt>
                <c:pt idx="65">
                  <c:v>640.50323519626227</c:v>
                </c:pt>
                <c:pt idx="66">
                  <c:v>703.49715320268376</c:v>
                </c:pt>
                <c:pt idx="67">
                  <c:v>334.11230735956332</c:v>
                </c:pt>
                <c:pt idx="68">
                  <c:v>1203.9340574891473</c:v>
                </c:pt>
                <c:pt idx="69">
                  <c:v>1035.0515526746287</c:v>
                </c:pt>
                <c:pt idx="70">
                  <c:v>976.69652161727413</c:v>
                </c:pt>
                <c:pt idx="71">
                  <c:v>625.11168979866238</c:v>
                </c:pt>
                <c:pt idx="72">
                  <c:v>709.96324217442361</c:v>
                </c:pt>
                <c:pt idx="73">
                  <c:v>283.15466686278802</c:v>
                </c:pt>
                <c:pt idx="74">
                  <c:v>196.70877612104778</c:v>
                </c:pt>
                <c:pt idx="75">
                  <c:v>349.50923832020578</c:v>
                </c:pt>
                <c:pt idx="76">
                  <c:v>808.09864121394457</c:v>
                </c:pt>
                <c:pt idx="77">
                  <c:v>810.3629326489056</c:v>
                </c:pt>
                <c:pt idx="78">
                  <c:v>1161.2920693420542</c:v>
                </c:pt>
                <c:pt idx="79">
                  <c:v>1161.2920693420531</c:v>
                </c:pt>
                <c:pt idx="80">
                  <c:v>1161.2920693420542</c:v>
                </c:pt>
                <c:pt idx="81">
                  <c:v>1161.2920693420531</c:v>
                </c:pt>
                <c:pt idx="82">
                  <c:v>1161.2920693420531</c:v>
                </c:pt>
                <c:pt idx="83">
                  <c:v>1118.362885576661</c:v>
                </c:pt>
                <c:pt idx="84">
                  <c:v>1205.294753325755</c:v>
                </c:pt>
                <c:pt idx="85">
                  <c:v>976.2029522505162</c:v>
                </c:pt>
                <c:pt idx="86">
                  <c:v>719.25474452909612</c:v>
                </c:pt>
                <c:pt idx="87">
                  <c:v>472.47214434889071</c:v>
                </c:pt>
                <c:pt idx="88">
                  <c:v>280.3564161408309</c:v>
                </c:pt>
                <c:pt idx="89">
                  <c:v>532.29462623980294</c:v>
                </c:pt>
                <c:pt idx="90">
                  <c:v>548.58260109046489</c:v>
                </c:pt>
                <c:pt idx="91">
                  <c:v>578.34417619970657</c:v>
                </c:pt>
                <c:pt idx="92">
                  <c:v>578.34417619970657</c:v>
                </c:pt>
                <c:pt idx="93">
                  <c:v>508.90982355908801</c:v>
                </c:pt>
                <c:pt idx="94">
                  <c:v>369.88786765637019</c:v>
                </c:pt>
                <c:pt idx="95">
                  <c:v>620.57702696976503</c:v>
                </c:pt>
                <c:pt idx="96">
                  <c:v>866.62656238293744</c:v>
                </c:pt>
                <c:pt idx="97">
                  <c:v>487.7148382666561</c:v>
                </c:pt>
                <c:pt idx="98">
                  <c:v>784.31308844237196</c:v>
                </c:pt>
                <c:pt idx="99">
                  <c:v>793.93082392715633</c:v>
                </c:pt>
                <c:pt idx="100">
                  <c:v>490.70239663774424</c:v>
                </c:pt>
                <c:pt idx="101">
                  <c:v>-757.3761578861554</c:v>
                </c:pt>
                <c:pt idx="102">
                  <c:v>-457.8545661481736</c:v>
                </c:pt>
                <c:pt idx="103">
                  <c:v>158.82113238323862</c:v>
                </c:pt>
                <c:pt idx="104">
                  <c:v>158.82113238323862</c:v>
                </c:pt>
                <c:pt idx="105">
                  <c:v>158.82113238323862</c:v>
                </c:pt>
                <c:pt idx="106">
                  <c:v>471.46692566817097</c:v>
                </c:pt>
                <c:pt idx="107">
                  <c:v>475.97523917666689</c:v>
                </c:pt>
                <c:pt idx="108">
                  <c:v>480.68392217442374</c:v>
                </c:pt>
                <c:pt idx="109">
                  <c:v>799.04024590345034</c:v>
                </c:pt>
                <c:pt idx="110">
                  <c:v>182.36454737203923</c:v>
                </c:pt>
                <c:pt idx="111">
                  <c:v>182.36454737203923</c:v>
                </c:pt>
                <c:pt idx="112">
                  <c:v>-757.3761578861554</c:v>
                </c:pt>
                <c:pt idx="113">
                  <c:v>-457.8545661481736</c:v>
                </c:pt>
                <c:pt idx="114">
                  <c:v>-153.62429141242734</c:v>
                </c:pt>
                <c:pt idx="115">
                  <c:v>154.71355785327768</c:v>
                </c:pt>
                <c:pt idx="116">
                  <c:v>779.80477493387593</c:v>
                </c:pt>
                <c:pt idx="117">
                  <c:v>789.02177144013092</c:v>
                </c:pt>
                <c:pt idx="118">
                  <c:v>698.55157070150585</c:v>
                </c:pt>
                <c:pt idx="119">
                  <c:v>-132.34624948285244</c:v>
                </c:pt>
                <c:pt idx="120">
                  <c:v>-595.58136540191049</c:v>
                </c:pt>
                <c:pt idx="121">
                  <c:v>-578.43042753648592</c:v>
                </c:pt>
                <c:pt idx="122">
                  <c:v>-270.09257827077982</c:v>
                </c:pt>
                <c:pt idx="123">
                  <c:v>-270.09257827078062</c:v>
                </c:pt>
                <c:pt idx="124">
                  <c:v>-177.91755888079052</c:v>
                </c:pt>
                <c:pt idx="125">
                  <c:v>-177.91755888079052</c:v>
                </c:pt>
                <c:pt idx="126">
                  <c:v>-177.91755888079052</c:v>
                </c:pt>
                <c:pt idx="127">
                  <c:v>331.85782849203139</c:v>
                </c:pt>
                <c:pt idx="128">
                  <c:v>605.34205663774424</c:v>
                </c:pt>
                <c:pt idx="129">
                  <c:v>426.13942927716533</c:v>
                </c:pt>
                <c:pt idx="130">
                  <c:v>597.98044798843557</c:v>
                </c:pt>
                <c:pt idx="131">
                  <c:v>640.83198660835558</c:v>
                </c:pt>
                <c:pt idx="132">
                  <c:v>42.673844722812305</c:v>
                </c:pt>
                <c:pt idx="133">
                  <c:v>-226.26873314465558</c:v>
                </c:pt>
                <c:pt idx="134">
                  <c:v>233.17428577727947</c:v>
                </c:pt>
                <c:pt idx="135">
                  <c:v>849.84998430869155</c:v>
                </c:pt>
                <c:pt idx="136">
                  <c:v>849.84998430869155</c:v>
                </c:pt>
                <c:pt idx="137">
                  <c:v>849.84998430869155</c:v>
                </c:pt>
                <c:pt idx="138">
                  <c:v>732.92770411470917</c:v>
                </c:pt>
                <c:pt idx="139">
                  <c:v>556.75791141112893</c:v>
                </c:pt>
                <c:pt idx="140">
                  <c:v>380.08567281258297</c:v>
                </c:pt>
                <c:pt idx="141">
                  <c:v>203.41343421403704</c:v>
                </c:pt>
                <c:pt idx="142">
                  <c:v>-31.282015997081203</c:v>
                </c:pt>
                <c:pt idx="143">
                  <c:v>-206.01359122644419</c:v>
                </c:pt>
                <c:pt idx="144">
                  <c:v>-206.01359122644419</c:v>
                </c:pt>
                <c:pt idx="145">
                  <c:v>692.33072711898376</c:v>
                </c:pt>
                <c:pt idx="146">
                  <c:v>1009.0840949338759</c:v>
                </c:pt>
                <c:pt idx="147">
                  <c:v>705.25455917666682</c:v>
                </c:pt>
                <c:pt idx="148">
                  <c:v>709.96324217442361</c:v>
                </c:pt>
                <c:pt idx="149">
                  <c:v>714.87229466145232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4E-4434-A0BE-96514798C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01248"/>
        <c:axId val="1119500592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title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00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resistive forces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01248"/>
        <c:crosses val="max"/>
        <c:crossBetween val="between"/>
      </c:valAx>
      <c:catAx>
        <c:axId val="11195012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19500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Acceleration (m/s</a:t>
            </a:r>
            <a:r>
              <a:rPr lang="en-GB">
                <a:latin typeface="Calibri" panose="020F0502020204030204" pitchFamily="34" charset="0"/>
                <a:cs typeface="Calibri" panose="020F0502020204030204" pitchFamily="34" charset="0"/>
              </a:rPr>
              <a:t>²) </a:t>
            </a:r>
            <a:r>
              <a:rPr lang="en-GB"/>
              <a:t>&amp; Fuel Consumption</a:t>
            </a:r>
            <a:r>
              <a:rPr lang="en-GB" baseline="0"/>
              <a:t> (g/s)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'!$AC$2</c:f>
              <c:strCache>
                <c:ptCount val="1"/>
                <c:pt idx="0">
                  <c:v>Fuel Consumption (g/s)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'!$AC$3:$AC$152</c:f>
              <c:numCache>
                <c:formatCode>General</c:formatCode>
                <c:ptCount val="150"/>
                <c:pt idx="0">
                  <c:v>0</c:v>
                </c:pt>
                <c:pt idx="1">
                  <c:v>0</c:v>
                </c:pt>
                <c:pt idx="2">
                  <c:v>0.14228406972913979</c:v>
                </c:pt>
                <c:pt idx="3">
                  <c:v>0.22806415151632115</c:v>
                </c:pt>
                <c:pt idx="4">
                  <c:v>0.38402377916218439</c:v>
                </c:pt>
                <c:pt idx="5">
                  <c:v>0.55475963671439121</c:v>
                </c:pt>
                <c:pt idx="6">
                  <c:v>0.73394457487497933</c:v>
                </c:pt>
                <c:pt idx="7">
                  <c:v>0.54271094057442648</c:v>
                </c:pt>
                <c:pt idx="8">
                  <c:v>0.83873193127609791</c:v>
                </c:pt>
                <c:pt idx="9">
                  <c:v>1.0826885098379202</c:v>
                </c:pt>
                <c:pt idx="10">
                  <c:v>1.3029896062263091</c:v>
                </c:pt>
                <c:pt idx="11">
                  <c:v>1.688722748817598</c:v>
                </c:pt>
                <c:pt idx="12">
                  <c:v>1.7347257666552451</c:v>
                </c:pt>
                <c:pt idx="13">
                  <c:v>0.51068215799597849</c:v>
                </c:pt>
                <c:pt idx="14">
                  <c:v>1.5283309794936029</c:v>
                </c:pt>
                <c:pt idx="15">
                  <c:v>1.5711956904937245</c:v>
                </c:pt>
                <c:pt idx="16">
                  <c:v>1.7459824482687898</c:v>
                </c:pt>
                <c:pt idx="17">
                  <c:v>0.48984972109403763</c:v>
                </c:pt>
                <c:pt idx="18">
                  <c:v>0.15632583129640362</c:v>
                </c:pt>
                <c:pt idx="19">
                  <c:v>0.58310088668898508</c:v>
                </c:pt>
                <c:pt idx="20">
                  <c:v>0.15681650250297935</c:v>
                </c:pt>
                <c:pt idx="21">
                  <c:v>2.961395267371086E-2</c:v>
                </c:pt>
                <c:pt idx="22">
                  <c:v>0.57907887460796459</c:v>
                </c:pt>
                <c:pt idx="23">
                  <c:v>0.32810517302279762</c:v>
                </c:pt>
                <c:pt idx="24">
                  <c:v>0.40088822896557857</c:v>
                </c:pt>
                <c:pt idx="25">
                  <c:v>0.42919368180165013</c:v>
                </c:pt>
                <c:pt idx="26">
                  <c:v>0.64677079803904913</c:v>
                </c:pt>
                <c:pt idx="27">
                  <c:v>0.93183998612302643</c:v>
                </c:pt>
                <c:pt idx="28">
                  <c:v>0.31799512334198904</c:v>
                </c:pt>
                <c:pt idx="29">
                  <c:v>0.53901248356917808</c:v>
                </c:pt>
                <c:pt idx="30">
                  <c:v>0.53901248356917808</c:v>
                </c:pt>
                <c:pt idx="31">
                  <c:v>0.31799512334198904</c:v>
                </c:pt>
                <c:pt idx="32">
                  <c:v>0.25010060642509868</c:v>
                </c:pt>
                <c:pt idx="33">
                  <c:v>0.7938023762774209</c:v>
                </c:pt>
                <c:pt idx="34">
                  <c:v>0.67252988329768681</c:v>
                </c:pt>
                <c:pt idx="35">
                  <c:v>0.67252988329768681</c:v>
                </c:pt>
                <c:pt idx="36">
                  <c:v>0.67252988329768681</c:v>
                </c:pt>
                <c:pt idx="37">
                  <c:v>0.67252988329768681</c:v>
                </c:pt>
                <c:pt idx="38">
                  <c:v>0.41418496413334865</c:v>
                </c:pt>
                <c:pt idx="39">
                  <c:v>0.41418496413334865</c:v>
                </c:pt>
                <c:pt idx="40">
                  <c:v>0.60578438397715739</c:v>
                </c:pt>
                <c:pt idx="41">
                  <c:v>0.58971231554611392</c:v>
                </c:pt>
                <c:pt idx="42">
                  <c:v>0.53426401121545153</c:v>
                </c:pt>
                <c:pt idx="43">
                  <c:v>0.49174955539762938</c:v>
                </c:pt>
                <c:pt idx="44">
                  <c:v>0.58302733583277844</c:v>
                </c:pt>
                <c:pt idx="45">
                  <c:v>0.48066939449243351</c:v>
                </c:pt>
                <c:pt idx="46">
                  <c:v>0.48066939449243351</c:v>
                </c:pt>
                <c:pt idx="47">
                  <c:v>0.48066939449243351</c:v>
                </c:pt>
                <c:pt idx="48">
                  <c:v>0.48066939449243351</c:v>
                </c:pt>
                <c:pt idx="49">
                  <c:v>0.27167071562305595</c:v>
                </c:pt>
                <c:pt idx="50">
                  <c:v>1.6266114464562841E-2</c:v>
                </c:pt>
                <c:pt idx="51">
                  <c:v>3.8116394900397997E-2</c:v>
                </c:pt>
                <c:pt idx="52">
                  <c:v>0.4437534822001476</c:v>
                </c:pt>
                <c:pt idx="53">
                  <c:v>0.1865055052729393</c:v>
                </c:pt>
                <c:pt idx="54">
                  <c:v>0.69392867239371714</c:v>
                </c:pt>
                <c:pt idx="55">
                  <c:v>0.94085313670033421</c:v>
                </c:pt>
                <c:pt idx="56">
                  <c:v>1.0375273828181617</c:v>
                </c:pt>
                <c:pt idx="57">
                  <c:v>0.69149116324906679</c:v>
                </c:pt>
                <c:pt idx="58">
                  <c:v>0.72077035631390962</c:v>
                </c:pt>
                <c:pt idx="59">
                  <c:v>0.72077035631390962</c:v>
                </c:pt>
                <c:pt idx="60">
                  <c:v>0.65788856717182198</c:v>
                </c:pt>
                <c:pt idx="61">
                  <c:v>0.60757971918137388</c:v>
                </c:pt>
                <c:pt idx="62">
                  <c:v>0.24852585488823653</c:v>
                </c:pt>
                <c:pt idx="63">
                  <c:v>0.20230960725991171</c:v>
                </c:pt>
                <c:pt idx="64">
                  <c:v>0.66719571894656637</c:v>
                </c:pt>
                <c:pt idx="65">
                  <c:v>0.66753000331185586</c:v>
                </c:pt>
                <c:pt idx="66">
                  <c:v>0.70231901629446158</c:v>
                </c:pt>
                <c:pt idx="67">
                  <c:v>0.41055902578681353</c:v>
                </c:pt>
                <c:pt idx="68">
                  <c:v>1.2276397778027601</c:v>
                </c:pt>
                <c:pt idx="69">
                  <c:v>1.0797175211154415</c:v>
                </c:pt>
                <c:pt idx="70">
                  <c:v>1.4381110021893744</c:v>
                </c:pt>
                <c:pt idx="71">
                  <c:v>0.68023979923432509</c:v>
                </c:pt>
                <c:pt idx="72">
                  <c:v>0.86303899043347998</c:v>
                </c:pt>
                <c:pt idx="73">
                  <c:v>0.51467833382257944</c:v>
                </c:pt>
                <c:pt idx="74">
                  <c:v>0.41643203175364518</c:v>
                </c:pt>
                <c:pt idx="75">
                  <c:v>0.53054934018438515</c:v>
                </c:pt>
                <c:pt idx="76">
                  <c:v>0.99590425665174065</c:v>
                </c:pt>
                <c:pt idx="77">
                  <c:v>0.59632275987479977</c:v>
                </c:pt>
                <c:pt idx="78">
                  <c:v>1.1182388101602698</c:v>
                </c:pt>
                <c:pt idx="79">
                  <c:v>1.1182388101602687</c:v>
                </c:pt>
                <c:pt idx="80">
                  <c:v>1.1182388101602698</c:v>
                </c:pt>
                <c:pt idx="81">
                  <c:v>1.1182388101602687</c:v>
                </c:pt>
                <c:pt idx="82">
                  <c:v>1.1182388101602687</c:v>
                </c:pt>
                <c:pt idx="83">
                  <c:v>1.1653143309294367</c:v>
                </c:pt>
                <c:pt idx="84">
                  <c:v>1.7274927752925628</c:v>
                </c:pt>
                <c:pt idx="85">
                  <c:v>1.3897141827684203</c:v>
                </c:pt>
                <c:pt idx="86">
                  <c:v>0.77454633807135598</c:v>
                </c:pt>
                <c:pt idx="87">
                  <c:v>0.72891824623389068</c:v>
                </c:pt>
                <c:pt idx="88">
                  <c:v>0.45406697174153116</c:v>
                </c:pt>
                <c:pt idx="89">
                  <c:v>0.59532161578284626</c:v>
                </c:pt>
                <c:pt idx="90">
                  <c:v>0.52802849872896918</c:v>
                </c:pt>
                <c:pt idx="91">
                  <c:v>0.55667497747894112</c:v>
                </c:pt>
                <c:pt idx="92">
                  <c:v>0.55667497747894112</c:v>
                </c:pt>
                <c:pt idx="93">
                  <c:v>0.51726338827346519</c:v>
                </c:pt>
                <c:pt idx="94">
                  <c:v>0.45452022942672504</c:v>
                </c:pt>
                <c:pt idx="95">
                  <c:v>0.64676298589101378</c:v>
                </c:pt>
                <c:pt idx="96">
                  <c:v>1.2004407183482235</c:v>
                </c:pt>
                <c:pt idx="97">
                  <c:v>0.57803754911918603</c:v>
                </c:pt>
                <c:pt idx="98">
                  <c:v>1.0356107326866033</c:v>
                </c:pt>
                <c:pt idx="99">
                  <c:v>1.210646072366661</c:v>
                </c:pt>
                <c:pt idx="100">
                  <c:v>0.99249720323822166</c:v>
                </c:pt>
                <c:pt idx="101">
                  <c:v>0.936405990372844</c:v>
                </c:pt>
                <c:pt idx="102">
                  <c:v>0.57482586559282023</c:v>
                </c:pt>
                <c:pt idx="103">
                  <c:v>0.33622397611313265</c:v>
                </c:pt>
                <c:pt idx="104">
                  <c:v>0.33622397611313265</c:v>
                </c:pt>
                <c:pt idx="105">
                  <c:v>0.33622397611313265</c:v>
                </c:pt>
                <c:pt idx="106">
                  <c:v>0.57483034986694714</c:v>
                </c:pt>
                <c:pt idx="107">
                  <c:v>0.64703420860182814</c:v>
                </c:pt>
                <c:pt idx="108">
                  <c:v>0.5494692112708186</c:v>
                </c:pt>
                <c:pt idx="109">
                  <c:v>1.5382876239947119</c:v>
                </c:pt>
                <c:pt idx="110">
                  <c:v>0.53901248356917808</c:v>
                </c:pt>
                <c:pt idx="111">
                  <c:v>0.53901248356917808</c:v>
                </c:pt>
                <c:pt idx="112">
                  <c:v>0.936405990372844</c:v>
                </c:pt>
                <c:pt idx="113">
                  <c:v>0.57482586559282023</c:v>
                </c:pt>
                <c:pt idx="114">
                  <c:v>0.31300512819008192</c:v>
                </c:pt>
                <c:pt idx="115">
                  <c:v>0.3152244776094793</c:v>
                </c:pt>
                <c:pt idx="116">
                  <c:v>0.9216912202808295</c:v>
                </c:pt>
                <c:pt idx="117">
                  <c:v>1.0735705099788349</c:v>
                </c:pt>
                <c:pt idx="118">
                  <c:v>1.195268761543377</c:v>
                </c:pt>
                <c:pt idx="119">
                  <c:v>0.41418496413335432</c:v>
                </c:pt>
                <c:pt idx="120">
                  <c:v>0.79572210250091935</c:v>
                </c:pt>
                <c:pt idx="121">
                  <c:v>0.68217470146683368</c:v>
                </c:pt>
                <c:pt idx="122">
                  <c:v>0.58774198753409035</c:v>
                </c:pt>
                <c:pt idx="123">
                  <c:v>0.58774198753409201</c:v>
                </c:pt>
                <c:pt idx="124">
                  <c:v>0.45771086634037139</c:v>
                </c:pt>
                <c:pt idx="125">
                  <c:v>0.45771086634037139</c:v>
                </c:pt>
                <c:pt idx="126">
                  <c:v>0.45771086634037139</c:v>
                </c:pt>
                <c:pt idx="127">
                  <c:v>0.72549742267516015</c:v>
                </c:pt>
                <c:pt idx="128">
                  <c:v>1.1516430488719471</c:v>
                </c:pt>
                <c:pt idx="129">
                  <c:v>0.87232619697666269</c:v>
                </c:pt>
                <c:pt idx="130">
                  <c:v>1.1376378342391147</c:v>
                </c:pt>
                <c:pt idx="131">
                  <c:v>1.1578340616105911</c:v>
                </c:pt>
                <c:pt idx="132">
                  <c:v>0.13585885701649547</c:v>
                </c:pt>
                <c:pt idx="133">
                  <c:v>0.42658252757884546</c:v>
                </c:pt>
                <c:pt idx="134">
                  <c:v>0.41911873772309777</c:v>
                </c:pt>
                <c:pt idx="135">
                  <c:v>1.1101556108978465</c:v>
                </c:pt>
                <c:pt idx="136">
                  <c:v>1.1101556108978465</c:v>
                </c:pt>
                <c:pt idx="137">
                  <c:v>1.1101556108978465</c:v>
                </c:pt>
                <c:pt idx="138">
                  <c:v>0.92820269687154544</c:v>
                </c:pt>
                <c:pt idx="139">
                  <c:v>0.69748194114896911</c:v>
                </c:pt>
                <c:pt idx="140">
                  <c:v>0.53717759296834833</c:v>
                </c:pt>
                <c:pt idx="141">
                  <c:v>0.40117926784381913</c:v>
                </c:pt>
                <c:pt idx="142">
                  <c:v>8.350862579834456E-2</c:v>
                </c:pt>
                <c:pt idx="143">
                  <c:v>0.37029879182776904</c:v>
                </c:pt>
                <c:pt idx="144">
                  <c:v>0.37029879182776904</c:v>
                </c:pt>
                <c:pt idx="145">
                  <c:v>0.70407311550876051</c:v>
                </c:pt>
                <c:pt idx="146">
                  <c:v>1.4168251621751804</c:v>
                </c:pt>
                <c:pt idx="147">
                  <c:v>0.82204076178296781</c:v>
                </c:pt>
                <c:pt idx="148">
                  <c:v>0.86303899043347998</c:v>
                </c:pt>
                <c:pt idx="149">
                  <c:v>0.98209822031762239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28-4068-9F8E-652CB0A90A7E}"/>
            </c:ext>
          </c:extLst>
        </c:ser>
        <c:ser>
          <c:idx val="1"/>
          <c:order val="1"/>
          <c:tx>
            <c:strRef>
              <c:f>'Duty Cycle '!$N$2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'!$N$3:$N$152</c:f>
              <c:numCache>
                <c:formatCode>General</c:formatCode>
                <c:ptCount val="150"/>
                <c:pt idx="0">
                  <c:v>0</c:v>
                </c:pt>
                <c:pt idx="1">
                  <c:v>0.80373645286874096</c:v>
                </c:pt>
                <c:pt idx="2">
                  <c:v>0.53582430191249397</c:v>
                </c:pt>
                <c:pt idx="3">
                  <c:v>0.53582430191249375</c:v>
                </c:pt>
                <c:pt idx="4">
                  <c:v>0.80373645286874118</c:v>
                </c:pt>
                <c:pt idx="5">
                  <c:v>0.80373645286874096</c:v>
                </c:pt>
                <c:pt idx="6">
                  <c:v>1.0716486038249884</c:v>
                </c:pt>
                <c:pt idx="7">
                  <c:v>0.80373645286874051</c:v>
                </c:pt>
                <c:pt idx="8">
                  <c:v>1.0716486038249879</c:v>
                </c:pt>
                <c:pt idx="9">
                  <c:v>0.63616205728992981</c:v>
                </c:pt>
                <c:pt idx="10">
                  <c:v>0.78511707558220767</c:v>
                </c:pt>
                <c:pt idx="11">
                  <c:v>1.1776756133733111</c:v>
                </c:pt>
                <c:pt idx="12">
                  <c:v>1.1776756133733102</c:v>
                </c:pt>
                <c:pt idx="13">
                  <c:v>3.4135525025311253E-2</c:v>
                </c:pt>
                <c:pt idx="14">
                  <c:v>1.024065750759398</c:v>
                </c:pt>
                <c:pt idx="15">
                  <c:v>1.0240657507593998</c:v>
                </c:pt>
                <c:pt idx="16">
                  <c:v>1.0240657507593998</c:v>
                </c:pt>
                <c:pt idx="17">
                  <c:v>-1.0240657507593998</c:v>
                </c:pt>
                <c:pt idx="18">
                  <c:v>-0.51203287537969722</c:v>
                </c:pt>
                <c:pt idx="19">
                  <c:v>0</c:v>
                </c:pt>
                <c:pt idx="20">
                  <c:v>-0.51203287537970255</c:v>
                </c:pt>
                <c:pt idx="21">
                  <c:v>-0.51203287537969899</c:v>
                </c:pt>
                <c:pt idx="22">
                  <c:v>-0.93872693819611541</c:v>
                </c:pt>
                <c:pt idx="23">
                  <c:v>0</c:v>
                </c:pt>
                <c:pt idx="24">
                  <c:v>0.39255853779110517</c:v>
                </c:pt>
                <c:pt idx="25">
                  <c:v>1.0582012757847092</c:v>
                </c:pt>
                <c:pt idx="26">
                  <c:v>1.0240657507593998</c:v>
                </c:pt>
                <c:pt idx="27">
                  <c:v>1.0240657507593998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-0.51203287537969899</c:v>
                </c:pt>
                <c:pt idx="41">
                  <c:v>-0.51203287537970077</c:v>
                </c:pt>
                <c:pt idx="42">
                  <c:v>-1.0240657507593998</c:v>
                </c:pt>
                <c:pt idx="43">
                  <c:v>-1.024065750759398</c:v>
                </c:pt>
                <c:pt idx="44">
                  <c:v>-1.2118111383986214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0.39255853779110161</c:v>
                </c:pt>
                <c:pt idx="52">
                  <c:v>0.78511707558220856</c:v>
                </c:pt>
                <c:pt idx="53">
                  <c:v>0.54616840040501025</c:v>
                </c:pt>
                <c:pt idx="54">
                  <c:v>1.0240657507594015</c:v>
                </c:pt>
                <c:pt idx="55">
                  <c:v>1.024065750759398</c:v>
                </c:pt>
                <c:pt idx="56">
                  <c:v>0.51203287537969899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-1.0240657507593998</c:v>
                </c:pt>
                <c:pt idx="61">
                  <c:v>-1.5360986261390988</c:v>
                </c:pt>
                <c:pt idx="62">
                  <c:v>-1.0240657507593998</c:v>
                </c:pt>
                <c:pt idx="63">
                  <c:v>-0.69977826301892065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-0.78511707558220856</c:v>
                </c:pt>
                <c:pt idx="68">
                  <c:v>0.39255853779110161</c:v>
                </c:pt>
                <c:pt idx="69">
                  <c:v>0.78511707558220856</c:v>
                </c:pt>
                <c:pt idx="70">
                  <c:v>1.3312854759872188</c:v>
                </c:pt>
                <c:pt idx="71">
                  <c:v>1.0240657507594015</c:v>
                </c:pt>
                <c:pt idx="72">
                  <c:v>0.51203287537969722</c:v>
                </c:pt>
                <c:pt idx="73">
                  <c:v>-0.51203287537969722</c:v>
                </c:pt>
                <c:pt idx="74">
                  <c:v>-1.0240657507594015</c:v>
                </c:pt>
                <c:pt idx="75">
                  <c:v>-1.0240657507593998</c:v>
                </c:pt>
                <c:pt idx="76">
                  <c:v>-0.51203287537969899</c:v>
                </c:pt>
                <c:pt idx="77">
                  <c:v>-0.5803039254303286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0.39255853779110694</c:v>
                </c:pt>
                <c:pt idx="84">
                  <c:v>0.785117075582205</c:v>
                </c:pt>
                <c:pt idx="85">
                  <c:v>0.42669406281641642</c:v>
                </c:pt>
                <c:pt idx="86">
                  <c:v>0</c:v>
                </c:pt>
                <c:pt idx="87">
                  <c:v>-0.42669406281641642</c:v>
                </c:pt>
                <c:pt idx="88">
                  <c:v>-0.785117075582205</c:v>
                </c:pt>
                <c:pt idx="89">
                  <c:v>-0.39255853779110694</c:v>
                </c:pt>
                <c:pt idx="90">
                  <c:v>-0.39255853779110161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0.78511707558220856</c:v>
                </c:pt>
                <c:pt idx="96">
                  <c:v>1.1776756133733102</c:v>
                </c:pt>
                <c:pt idx="97">
                  <c:v>0.54616840040501025</c:v>
                </c:pt>
                <c:pt idx="98">
                  <c:v>1.0240657507594015</c:v>
                </c:pt>
                <c:pt idx="99">
                  <c:v>1.024065750759398</c:v>
                </c:pt>
                <c:pt idx="100">
                  <c:v>0.51203287537969899</c:v>
                </c:pt>
                <c:pt idx="101">
                  <c:v>-1.536098626139097</c:v>
                </c:pt>
                <c:pt idx="102">
                  <c:v>-1.0240657507594015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0.51203287537969899</c:v>
                </c:pt>
                <c:pt idx="107">
                  <c:v>0.51203287537970255</c:v>
                </c:pt>
                <c:pt idx="108">
                  <c:v>0.51203287537969722</c:v>
                </c:pt>
                <c:pt idx="109">
                  <c:v>1.0240657507593998</c:v>
                </c:pt>
                <c:pt idx="110">
                  <c:v>0</c:v>
                </c:pt>
                <c:pt idx="111">
                  <c:v>0</c:v>
                </c:pt>
                <c:pt idx="112">
                  <c:v>-1.536098626139097</c:v>
                </c:pt>
                <c:pt idx="113">
                  <c:v>-1.0240657507594015</c:v>
                </c:pt>
                <c:pt idx="114">
                  <c:v>-0.51203287537969899</c:v>
                </c:pt>
                <c:pt idx="115">
                  <c:v>0</c:v>
                </c:pt>
                <c:pt idx="116">
                  <c:v>1.024065750759398</c:v>
                </c:pt>
                <c:pt idx="117">
                  <c:v>1.0240657507593998</c:v>
                </c:pt>
                <c:pt idx="118">
                  <c:v>1.0240657507593998</c:v>
                </c:pt>
                <c:pt idx="119">
                  <c:v>0</c:v>
                </c:pt>
                <c:pt idx="120">
                  <c:v>-0.51203287537969899</c:v>
                </c:pt>
                <c:pt idx="121">
                  <c:v>-0.51203287537970077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0.51203287537970077</c:v>
                </c:pt>
                <c:pt idx="128">
                  <c:v>0.51203287537969899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-1.0240657507593998</c:v>
                </c:pt>
                <c:pt idx="133">
                  <c:v>-1.5360986261390988</c:v>
                </c:pt>
                <c:pt idx="134">
                  <c:v>-1.0240657507593998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0.51203287537970077</c:v>
                </c:pt>
                <c:pt idx="146">
                  <c:v>1.024065750759398</c:v>
                </c:pt>
                <c:pt idx="147">
                  <c:v>0.51203287537970255</c:v>
                </c:pt>
                <c:pt idx="148">
                  <c:v>0.51203287537969722</c:v>
                </c:pt>
                <c:pt idx="149">
                  <c:v>0.51203287537970077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28-4068-9F8E-652CB0A90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²) &amp; fuel consumption (g/s)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    </a:t>
            </a:r>
            <a:r>
              <a:rPr lang="en-GB" baseline="0"/>
              <a:t>  </a:t>
            </a:r>
            <a:r>
              <a:rPr lang="en-GB"/>
              <a:t>Power (KW) &amp; Torqu</a:t>
            </a:r>
            <a:r>
              <a:rPr lang="en-GB" baseline="0"/>
              <a:t>e (Nm)         vs Time (s) 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(KW)</c:v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'!$W$3:$W$152</c:f>
              <c:numCache>
                <c:formatCode>General</c:formatCode>
                <c:ptCount val="150"/>
                <c:pt idx="0">
                  <c:v>0</c:v>
                </c:pt>
                <c:pt idx="1">
                  <c:v>0.60217848272409169</c:v>
                </c:pt>
                <c:pt idx="2">
                  <c:v>0.70826311803977515</c:v>
                </c:pt>
                <c:pt idx="3">
                  <c:v>1.0615524157168417</c:v>
                </c:pt>
                <c:pt idx="4">
                  <c:v>2.0330364812485606</c:v>
                </c:pt>
                <c:pt idx="5">
                  <c:v>3.5574245741794348</c:v>
                </c:pt>
                <c:pt idx="6">
                  <c:v>5.8284567720806271</c:v>
                </c:pt>
                <c:pt idx="7">
                  <c:v>6.1615530785099217</c:v>
                </c:pt>
                <c:pt idx="8">
                  <c:v>8.4788648400148308</c:v>
                </c:pt>
                <c:pt idx="9">
                  <c:v>7.9382086374669543</c:v>
                </c:pt>
                <c:pt idx="10">
                  <c:v>9.7691032705343677</c:v>
                </c:pt>
                <c:pt idx="11">
                  <c:v>12.200837504722434</c:v>
                </c:pt>
                <c:pt idx="12">
                  <c:v>11.707801759358153</c:v>
                </c:pt>
                <c:pt idx="13">
                  <c:v>5.7979211169204223</c:v>
                </c:pt>
                <c:pt idx="14">
                  <c:v>11.647457435569542</c:v>
                </c:pt>
                <c:pt idx="15">
                  <c:v>11.415204788337835</c:v>
                </c:pt>
                <c:pt idx="16">
                  <c:v>11.783773996199773</c:v>
                </c:pt>
                <c:pt idx="17">
                  <c:v>2.5966508627003071</c:v>
                </c:pt>
                <c:pt idx="18">
                  <c:v>0.63447682162333319</c:v>
                </c:pt>
                <c:pt idx="19">
                  <c:v>4.2656964792253014</c:v>
                </c:pt>
                <c:pt idx="20">
                  <c:v>0.65561243876773279</c:v>
                </c:pt>
                <c:pt idx="21">
                  <c:v>0.11121905210040153</c:v>
                </c:pt>
                <c:pt idx="22">
                  <c:v>2.938764764305358</c:v>
                </c:pt>
                <c:pt idx="23">
                  <c:v>1.3760167891310204</c:v>
                </c:pt>
                <c:pt idx="24">
                  <c:v>1.7053432558237085</c:v>
                </c:pt>
                <c:pt idx="25">
                  <c:v>2.1761604773462984</c:v>
                </c:pt>
                <c:pt idx="26">
                  <c:v>3.9830236103808683</c:v>
                </c:pt>
                <c:pt idx="27">
                  <c:v>6.0601774536227371</c:v>
                </c:pt>
                <c:pt idx="28">
                  <c:v>1.2815254773192155</c:v>
                </c:pt>
                <c:pt idx="29">
                  <c:v>2.4277927325137907</c:v>
                </c:pt>
                <c:pt idx="30">
                  <c:v>2.4277927325137907</c:v>
                </c:pt>
                <c:pt idx="31">
                  <c:v>1.2815254773192155</c:v>
                </c:pt>
                <c:pt idx="32">
                  <c:v>1.007909478794289</c:v>
                </c:pt>
                <c:pt idx="33">
                  <c:v>4.4228127933321773</c:v>
                </c:pt>
                <c:pt idx="34">
                  <c:v>3.2880875406801309</c:v>
                </c:pt>
                <c:pt idx="35">
                  <c:v>3.2880875406801309</c:v>
                </c:pt>
                <c:pt idx="36">
                  <c:v>3.2880875406801309</c:v>
                </c:pt>
                <c:pt idx="37">
                  <c:v>3.2880875406801309</c:v>
                </c:pt>
                <c:pt idx="38">
                  <c:v>1.761906397379001</c:v>
                </c:pt>
                <c:pt idx="39">
                  <c:v>1.761906397379001</c:v>
                </c:pt>
                <c:pt idx="40">
                  <c:v>3.0742924331400086</c:v>
                </c:pt>
                <c:pt idx="41">
                  <c:v>3.1260138098840509</c:v>
                </c:pt>
                <c:pt idx="42">
                  <c:v>3.8176931387118214</c:v>
                </c:pt>
                <c:pt idx="43">
                  <c:v>3.5568105693126872</c:v>
                </c:pt>
                <c:pt idx="44">
                  <c:v>4.2651584151689317</c:v>
                </c:pt>
                <c:pt idx="45">
                  <c:v>2.3513843371561025</c:v>
                </c:pt>
                <c:pt idx="46">
                  <c:v>2.3513843371561025</c:v>
                </c:pt>
                <c:pt idx="47">
                  <c:v>2.3513843371561025</c:v>
                </c:pt>
                <c:pt idx="48">
                  <c:v>2.3513843371561025</c:v>
                </c:pt>
                <c:pt idx="49">
                  <c:v>1.2052688887634042</c:v>
                </c:pt>
                <c:pt idx="50">
                  <c:v>6.0837870988356274E-2</c:v>
                </c:pt>
                <c:pt idx="51">
                  <c:v>0.14712779340447754</c:v>
                </c:pt>
                <c:pt idx="52">
                  <c:v>1.8876882717932948</c:v>
                </c:pt>
                <c:pt idx="53">
                  <c:v>0.76957672798577559</c:v>
                </c:pt>
                <c:pt idx="54">
                  <c:v>6.0117046080305849</c:v>
                </c:pt>
                <c:pt idx="55">
                  <c:v>8.766641232953349</c:v>
                </c:pt>
                <c:pt idx="56">
                  <c:v>6.9125636248660332</c:v>
                </c:pt>
                <c:pt idx="57">
                  <c:v>3.380791745968037</c:v>
                </c:pt>
                <c:pt idx="58">
                  <c:v>3.953973875814921</c:v>
                </c:pt>
                <c:pt idx="59">
                  <c:v>3.953973875814921</c:v>
                </c:pt>
                <c:pt idx="60">
                  <c:v>4.0514904259589031</c:v>
                </c:pt>
                <c:pt idx="61">
                  <c:v>5.8597466993021481</c:v>
                </c:pt>
                <c:pt idx="62">
                  <c:v>1.1261241103546917</c:v>
                </c:pt>
                <c:pt idx="63">
                  <c:v>0.82111034071364397</c:v>
                </c:pt>
                <c:pt idx="64">
                  <c:v>5.2129913087521169</c:v>
                </c:pt>
                <c:pt idx="65">
                  <c:v>5.7830053095596652</c:v>
                </c:pt>
                <c:pt idx="66">
                  <c:v>6.3517677174333347</c:v>
                </c:pt>
                <c:pt idx="67">
                  <c:v>2.7543314155367185</c:v>
                </c:pt>
                <c:pt idx="68">
                  <c:v>10.397521050506692</c:v>
                </c:pt>
                <c:pt idx="69">
                  <c:v>9.7516397773527199</c:v>
                </c:pt>
                <c:pt idx="70">
                  <c:v>10.502115295077925</c:v>
                </c:pt>
                <c:pt idx="71">
                  <c:v>7.3617879271046585</c:v>
                </c:pt>
                <c:pt idx="72">
                  <c:v>8.7245884873071429</c:v>
                </c:pt>
                <c:pt idx="73">
                  <c:v>3.3346434597714909</c:v>
                </c:pt>
                <c:pt idx="74">
                  <c:v>2.1151485652433162</c:v>
                </c:pt>
                <c:pt idx="75">
                  <c:v>3.4002441851084111</c:v>
                </c:pt>
                <c:pt idx="76">
                  <c:v>7.4479152753216802</c:v>
                </c:pt>
                <c:pt idx="77">
                  <c:v>6.9985275342568212</c:v>
                </c:pt>
                <c:pt idx="78">
                  <c:v>10.029252567165065</c:v>
                </c:pt>
                <c:pt idx="79">
                  <c:v>10.029252567165056</c:v>
                </c:pt>
                <c:pt idx="80">
                  <c:v>10.029252567165065</c:v>
                </c:pt>
                <c:pt idx="81">
                  <c:v>10.029252567165056</c:v>
                </c:pt>
                <c:pt idx="82">
                  <c:v>10.029252567165056</c:v>
                </c:pt>
                <c:pt idx="83">
                  <c:v>10.097526678881701</c:v>
                </c:pt>
                <c:pt idx="84">
                  <c:v>11.828718649321171</c:v>
                </c:pt>
                <c:pt idx="85">
                  <c:v>9.9969600918996733</c:v>
                </c:pt>
                <c:pt idx="86">
                  <c:v>7.3656414994344903</c:v>
                </c:pt>
                <c:pt idx="87">
                  <c:v>4.6368243533156903</c:v>
                </c:pt>
                <c:pt idx="88">
                  <c:v>2.531295009953769</c:v>
                </c:pt>
                <c:pt idx="89">
                  <c:v>4.5970496033166937</c:v>
                </c:pt>
                <c:pt idx="90">
                  <c:v>4.5223664585759726</c:v>
                </c:pt>
                <c:pt idx="91">
                  <c:v>4.7677128271280962</c:v>
                </c:pt>
                <c:pt idx="92">
                  <c:v>4.7677128271280962</c:v>
                </c:pt>
                <c:pt idx="93">
                  <c:v>4.1953148202815624</c:v>
                </c:pt>
                <c:pt idx="94">
                  <c:v>3.0492554499509299</c:v>
                </c:pt>
                <c:pt idx="95">
                  <c:v>5.603094636762024</c:v>
                </c:pt>
                <c:pt idx="96">
                  <c:v>8.845243059639385</c:v>
                </c:pt>
                <c:pt idx="97">
                  <c:v>5.2442466510634453</c:v>
                </c:pt>
                <c:pt idx="98">
                  <c:v>9.2366639750808535</c:v>
                </c:pt>
                <c:pt idx="99">
                  <c:v>10.162967065699901</c:v>
                </c:pt>
                <c:pt idx="100">
                  <c:v>6.5326497367594873</c:v>
                </c:pt>
                <c:pt idx="101">
                  <c:v>8.9194343129289884</c:v>
                </c:pt>
                <c:pt idx="102">
                  <c:v>4.9231683902220604</c:v>
                </c:pt>
                <c:pt idx="103">
                  <c:v>1.7077544627902423</c:v>
                </c:pt>
                <c:pt idx="104">
                  <c:v>1.7077544627902423</c:v>
                </c:pt>
                <c:pt idx="105">
                  <c:v>1.7077544627902423</c:v>
                </c:pt>
                <c:pt idx="106">
                  <c:v>5.3109444431186175</c:v>
                </c:pt>
                <c:pt idx="107">
                  <c:v>5.6054443174788906</c:v>
                </c:pt>
                <c:pt idx="108">
                  <c:v>5.9070232996742886</c:v>
                </c:pt>
                <c:pt idx="109">
                  <c:v>10.637506741005199</c:v>
                </c:pt>
                <c:pt idx="110">
                  <c:v>2.4277927325137907</c:v>
                </c:pt>
                <c:pt idx="111">
                  <c:v>2.4277927325137907</c:v>
                </c:pt>
                <c:pt idx="112">
                  <c:v>8.9194343129289884</c:v>
                </c:pt>
                <c:pt idx="113">
                  <c:v>4.9231683902220604</c:v>
                </c:pt>
                <c:pt idx="114">
                  <c:v>1.5732137532014823</c:v>
                </c:pt>
                <c:pt idx="115">
                  <c:v>1.5843685577567463</c:v>
                </c:pt>
                <c:pt idx="116">
                  <c:v>8.7842849851726683</c:v>
                </c:pt>
                <c:pt idx="117">
                  <c:v>9.6961220728241901</c:v>
                </c:pt>
                <c:pt idx="118">
                  <c:v>9.2997156030297408</c:v>
                </c:pt>
                <c:pt idx="119">
                  <c:v>1.7619063973790252</c:v>
                </c:pt>
                <c:pt idx="120">
                  <c:v>7.6239309762326979</c:v>
                </c:pt>
                <c:pt idx="121">
                  <c:v>7.1082094804467832</c:v>
                </c:pt>
                <c:pt idx="122">
                  <c:v>3.3191107072968968</c:v>
                </c:pt>
                <c:pt idx="123">
                  <c:v>3.3191107072969062</c:v>
                </c:pt>
                <c:pt idx="124">
                  <c:v>2.186391342102437</c:v>
                </c:pt>
                <c:pt idx="125">
                  <c:v>2.186391342102437</c:v>
                </c:pt>
                <c:pt idx="126">
                  <c:v>2.186391342102437</c:v>
                </c:pt>
                <c:pt idx="127">
                  <c:v>4.2480529535009524</c:v>
                </c:pt>
                <c:pt idx="128">
                  <c:v>8.0588308800606168</c:v>
                </c:pt>
                <c:pt idx="129">
                  <c:v>5.6731323294217306</c:v>
                </c:pt>
                <c:pt idx="130">
                  <c:v>7.9608268533133524</c:v>
                </c:pt>
                <c:pt idx="131">
                  <c:v>8.5313031631974017</c:v>
                </c:pt>
                <c:pt idx="132">
                  <c:v>0.52440987400628192</c:v>
                </c:pt>
                <c:pt idx="133">
                  <c:v>2.4329976308521801</c:v>
                </c:pt>
                <c:pt idx="134">
                  <c:v>2.2684651002118166</c:v>
                </c:pt>
                <c:pt idx="135">
                  <c:v>8.2678714910324711</c:v>
                </c:pt>
                <c:pt idx="136">
                  <c:v>8.2678714910324711</c:v>
                </c:pt>
                <c:pt idx="137">
                  <c:v>8.2678714910324711</c:v>
                </c:pt>
                <c:pt idx="138">
                  <c:v>7.1303785158826312</c:v>
                </c:pt>
                <c:pt idx="139">
                  <c:v>5.4164887311344945</c:v>
                </c:pt>
                <c:pt idx="140">
                  <c:v>3.6977108388762385</c:v>
                </c:pt>
                <c:pt idx="141">
                  <c:v>1.978932946617983</c:v>
                </c:pt>
                <c:pt idx="142">
                  <c:v>0.30433099137452585</c:v>
                </c:pt>
                <c:pt idx="143">
                  <c:v>2.0042288981765122</c:v>
                </c:pt>
                <c:pt idx="144">
                  <c:v>2.0042288981765122</c:v>
                </c:pt>
                <c:pt idx="145">
                  <c:v>7.0899218584090322</c:v>
                </c:pt>
                <c:pt idx="146">
                  <c:v>11.367053073836118</c:v>
                </c:pt>
                <c:pt idx="147">
                  <c:v>8.3056109556270439</c:v>
                </c:pt>
                <c:pt idx="148">
                  <c:v>8.7245884873071429</c:v>
                </c:pt>
                <c:pt idx="149">
                  <c:v>9.1509529141196868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31-4C51-81FE-C58F2D378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1"/>
          <c:order val="1"/>
          <c:tx>
            <c:strRef>
              <c:f>'Duty Cycle '!$Y$2</c:f>
              <c:strCache>
                <c:ptCount val="1"/>
                <c:pt idx="0">
                  <c:v>Torque (Nm) 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'!$Y$3:$Y$152</c:f>
              <c:numCache>
                <c:formatCode>0.00</c:formatCode>
                <c:ptCount val="150"/>
                <c:pt idx="0">
                  <c:v>0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11</c:v>
                </c:pt>
                <c:pt idx="6">
                  <c:v>14</c:v>
                </c:pt>
                <c:pt idx="7">
                  <c:v>12</c:v>
                </c:pt>
                <c:pt idx="8">
                  <c:v>14</c:v>
                </c:pt>
                <c:pt idx="9">
                  <c:v>17</c:v>
                </c:pt>
                <c:pt idx="10">
                  <c:v>19</c:v>
                </c:pt>
                <c:pt idx="11">
                  <c:v>21</c:v>
                </c:pt>
                <c:pt idx="12">
                  <c:v>18</c:v>
                </c:pt>
                <c:pt idx="13">
                  <c:v>12</c:v>
                </c:pt>
                <c:pt idx="14">
                  <c:v>21</c:v>
                </c:pt>
                <c:pt idx="15">
                  <c:v>19</c:v>
                </c:pt>
                <c:pt idx="16">
                  <c:v>18</c:v>
                </c:pt>
                <c:pt idx="17">
                  <c:v>5</c:v>
                </c:pt>
                <c:pt idx="18">
                  <c:v>2</c:v>
                </c:pt>
                <c:pt idx="19">
                  <c:v>8</c:v>
                </c:pt>
                <c:pt idx="20">
                  <c:v>2</c:v>
                </c:pt>
                <c:pt idx="21">
                  <c:v>1</c:v>
                </c:pt>
                <c:pt idx="22">
                  <c:v>5</c:v>
                </c:pt>
                <c:pt idx="23">
                  <c:v>3</c:v>
                </c:pt>
                <c:pt idx="24">
                  <c:v>3</c:v>
                </c:pt>
                <c:pt idx="25">
                  <c:v>4</c:v>
                </c:pt>
                <c:pt idx="26">
                  <c:v>7</c:v>
                </c:pt>
                <c:pt idx="27">
                  <c:v>9</c:v>
                </c:pt>
                <c:pt idx="28">
                  <c:v>2</c:v>
                </c:pt>
                <c:pt idx="29">
                  <c:v>4</c:v>
                </c:pt>
                <c:pt idx="30">
                  <c:v>4</c:v>
                </c:pt>
                <c:pt idx="31">
                  <c:v>2</c:v>
                </c:pt>
                <c:pt idx="32">
                  <c:v>2</c:v>
                </c:pt>
                <c:pt idx="33">
                  <c:v>7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3</c:v>
                </c:pt>
                <c:pt idx="39">
                  <c:v>3</c:v>
                </c:pt>
                <c:pt idx="40">
                  <c:v>5</c:v>
                </c:pt>
                <c:pt idx="41">
                  <c:v>5</c:v>
                </c:pt>
                <c:pt idx="42">
                  <c:v>7</c:v>
                </c:pt>
                <c:pt idx="43">
                  <c:v>7</c:v>
                </c:pt>
                <c:pt idx="44">
                  <c:v>8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3</c:v>
                </c:pt>
                <c:pt idx="50">
                  <c:v>1</c:v>
                </c:pt>
                <c:pt idx="51">
                  <c:v>1</c:v>
                </c:pt>
                <c:pt idx="52">
                  <c:v>3</c:v>
                </c:pt>
                <c:pt idx="53">
                  <c:v>2</c:v>
                </c:pt>
                <c:pt idx="54">
                  <c:v>10</c:v>
                </c:pt>
                <c:pt idx="55">
                  <c:v>14</c:v>
                </c:pt>
                <c:pt idx="56">
                  <c:v>11</c:v>
                </c:pt>
                <c:pt idx="57">
                  <c:v>5</c:v>
                </c:pt>
                <c:pt idx="58">
                  <c:v>6</c:v>
                </c:pt>
                <c:pt idx="59">
                  <c:v>6</c:v>
                </c:pt>
                <c:pt idx="60">
                  <c:v>7</c:v>
                </c:pt>
                <c:pt idx="61">
                  <c:v>11</c:v>
                </c:pt>
                <c:pt idx="62">
                  <c:v>3</c:v>
                </c:pt>
                <c:pt idx="63">
                  <c:v>2</c:v>
                </c:pt>
                <c:pt idx="64">
                  <c:v>9</c:v>
                </c:pt>
                <c:pt idx="65">
                  <c:v>10</c:v>
                </c:pt>
                <c:pt idx="66">
                  <c:v>11</c:v>
                </c:pt>
                <c:pt idx="67">
                  <c:v>6</c:v>
                </c:pt>
                <c:pt idx="68">
                  <c:v>19</c:v>
                </c:pt>
                <c:pt idx="69">
                  <c:v>16</c:v>
                </c:pt>
                <c:pt idx="70">
                  <c:v>20</c:v>
                </c:pt>
                <c:pt idx="71">
                  <c:v>13</c:v>
                </c:pt>
                <c:pt idx="72">
                  <c:v>14</c:v>
                </c:pt>
                <c:pt idx="73">
                  <c:v>6</c:v>
                </c:pt>
                <c:pt idx="74">
                  <c:v>4</c:v>
                </c:pt>
                <c:pt idx="75">
                  <c:v>7</c:v>
                </c:pt>
                <c:pt idx="76">
                  <c:v>16</c:v>
                </c:pt>
                <c:pt idx="77">
                  <c:v>13</c:v>
                </c:pt>
                <c:pt idx="78">
                  <c:v>18</c:v>
                </c:pt>
                <c:pt idx="79">
                  <c:v>18</c:v>
                </c:pt>
                <c:pt idx="80">
                  <c:v>18</c:v>
                </c:pt>
                <c:pt idx="81">
                  <c:v>18</c:v>
                </c:pt>
                <c:pt idx="82">
                  <c:v>18</c:v>
                </c:pt>
                <c:pt idx="83">
                  <c:v>17</c:v>
                </c:pt>
                <c:pt idx="84">
                  <c:v>19</c:v>
                </c:pt>
                <c:pt idx="85">
                  <c:v>20</c:v>
                </c:pt>
                <c:pt idx="86">
                  <c:v>15</c:v>
                </c:pt>
                <c:pt idx="87">
                  <c:v>8</c:v>
                </c:pt>
                <c:pt idx="88">
                  <c:v>5</c:v>
                </c:pt>
                <c:pt idx="89">
                  <c:v>8</c:v>
                </c:pt>
                <c:pt idx="90">
                  <c:v>9</c:v>
                </c:pt>
                <c:pt idx="91">
                  <c:v>9</c:v>
                </c:pt>
                <c:pt idx="92">
                  <c:v>9</c:v>
                </c:pt>
                <c:pt idx="93">
                  <c:v>8</c:v>
                </c:pt>
                <c:pt idx="94">
                  <c:v>6</c:v>
                </c:pt>
                <c:pt idx="95">
                  <c:v>10</c:v>
                </c:pt>
                <c:pt idx="96">
                  <c:v>13</c:v>
                </c:pt>
                <c:pt idx="97">
                  <c:v>10</c:v>
                </c:pt>
                <c:pt idx="98">
                  <c:v>16</c:v>
                </c:pt>
                <c:pt idx="99">
                  <c:v>16</c:v>
                </c:pt>
                <c:pt idx="100">
                  <c:v>10</c:v>
                </c:pt>
                <c:pt idx="101">
                  <c:v>15</c:v>
                </c:pt>
                <c:pt idx="102">
                  <c:v>9</c:v>
                </c:pt>
                <c:pt idx="103">
                  <c:v>4</c:v>
                </c:pt>
                <c:pt idx="104">
                  <c:v>4</c:v>
                </c:pt>
                <c:pt idx="105">
                  <c:v>4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16</c:v>
                </c:pt>
                <c:pt idx="110">
                  <c:v>4</c:v>
                </c:pt>
                <c:pt idx="111">
                  <c:v>4</c:v>
                </c:pt>
                <c:pt idx="112">
                  <c:v>15</c:v>
                </c:pt>
                <c:pt idx="113">
                  <c:v>9</c:v>
                </c:pt>
                <c:pt idx="114">
                  <c:v>4</c:v>
                </c:pt>
                <c:pt idx="115">
                  <c:v>4</c:v>
                </c:pt>
                <c:pt idx="116">
                  <c:v>16</c:v>
                </c:pt>
                <c:pt idx="117">
                  <c:v>16</c:v>
                </c:pt>
                <c:pt idx="118">
                  <c:v>14</c:v>
                </c:pt>
                <c:pt idx="119">
                  <c:v>3</c:v>
                </c:pt>
                <c:pt idx="120">
                  <c:v>12</c:v>
                </c:pt>
                <c:pt idx="121">
                  <c:v>12</c:v>
                </c:pt>
                <c:pt idx="122">
                  <c:v>6</c:v>
                </c:pt>
                <c:pt idx="123">
                  <c:v>6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7</c:v>
                </c:pt>
                <c:pt idx="128">
                  <c:v>12</c:v>
                </c:pt>
                <c:pt idx="129">
                  <c:v>9</c:v>
                </c:pt>
                <c:pt idx="130">
                  <c:v>12</c:v>
                </c:pt>
                <c:pt idx="131">
                  <c:v>13</c:v>
                </c:pt>
                <c:pt idx="132">
                  <c:v>1</c:v>
                </c:pt>
                <c:pt idx="133">
                  <c:v>5</c:v>
                </c:pt>
                <c:pt idx="134">
                  <c:v>5</c:v>
                </c:pt>
                <c:pt idx="135">
                  <c:v>17</c:v>
                </c:pt>
                <c:pt idx="136">
                  <c:v>17</c:v>
                </c:pt>
                <c:pt idx="137">
                  <c:v>17</c:v>
                </c:pt>
                <c:pt idx="138">
                  <c:v>15</c:v>
                </c:pt>
                <c:pt idx="139">
                  <c:v>11</c:v>
                </c:pt>
                <c:pt idx="140">
                  <c:v>8</c:v>
                </c:pt>
                <c:pt idx="141">
                  <c:v>4</c:v>
                </c:pt>
                <c:pt idx="142">
                  <c:v>1</c:v>
                </c:pt>
                <c:pt idx="143">
                  <c:v>5</c:v>
                </c:pt>
                <c:pt idx="144">
                  <c:v>5</c:v>
                </c:pt>
                <c:pt idx="145">
                  <c:v>14</c:v>
                </c:pt>
                <c:pt idx="146">
                  <c:v>20</c:v>
                </c:pt>
                <c:pt idx="147">
                  <c:v>14</c:v>
                </c:pt>
                <c:pt idx="148">
                  <c:v>14</c:v>
                </c:pt>
                <c:pt idx="14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31-4C51-81FE-C58F2D378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630680"/>
        <c:axId val="1130632320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306323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0630680"/>
        <c:crosses val="max"/>
        <c:crossBetween val="between"/>
      </c:valAx>
      <c:catAx>
        <c:axId val="1130630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063232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(m/s) &amp; Aerodynamic Drag (N)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'Duty Cycle '!$R$2</c:f>
              <c:strCache>
                <c:ptCount val="1"/>
                <c:pt idx="0">
                  <c:v>Aero Drag (N)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'!$R$3:$R$152</c:f>
              <c:numCache>
                <c:formatCode>General</c:formatCode>
                <c:ptCount val="150"/>
                <c:pt idx="0">
                  <c:v>0</c:v>
                </c:pt>
                <c:pt idx="1">
                  <c:v>0.24685005894359213</c:v>
                </c:pt>
                <c:pt idx="2">
                  <c:v>0.68569460817664474</c:v>
                </c:pt>
                <c:pt idx="3">
                  <c:v>1.3439614320262234</c:v>
                </c:pt>
                <c:pt idx="4">
                  <c:v>2.742778432706579</c:v>
                </c:pt>
                <c:pt idx="5">
                  <c:v>4.635295551274119</c:v>
                </c:pt>
                <c:pt idx="6">
                  <c:v>7.9266296705220158</c:v>
                </c:pt>
                <c:pt idx="7">
                  <c:v>10.971113730826316</c:v>
                </c:pt>
                <c:pt idx="8">
                  <c:v>15.798403772389896</c:v>
                </c:pt>
                <c:pt idx="9">
                  <c:v>19.07918276794549</c:v>
                </c:pt>
                <c:pt idx="10">
                  <c:v>23.554546627093202</c:v>
                </c:pt>
                <c:pt idx="11">
                  <c:v>31.15088791433077</c:v>
                </c:pt>
                <c:pt idx="12">
                  <c:v>39.807183799787531</c:v>
                </c:pt>
                <c:pt idx="13">
                  <c:v>40.073897853277657</c:v>
                </c:pt>
                <c:pt idx="14">
                  <c:v>48.489416402465956</c:v>
                </c:pt>
                <c:pt idx="15">
                  <c:v>57.70641290871982</c:v>
                </c:pt>
                <c:pt idx="16">
                  <c:v>67.724887372039234</c:v>
                </c:pt>
                <c:pt idx="17">
                  <c:v>57.70641290871982</c:v>
                </c:pt>
                <c:pt idx="18">
                  <c:v>52.997729910959706</c:v>
                </c:pt>
                <c:pt idx="19">
                  <c:v>52.997729910959706</c:v>
                </c:pt>
                <c:pt idx="20">
                  <c:v>48.489416402465956</c:v>
                </c:pt>
                <c:pt idx="21">
                  <c:v>44.181472383238614</c:v>
                </c:pt>
                <c:pt idx="22">
                  <c:v>36.803979104833125</c:v>
                </c:pt>
                <c:pt idx="23">
                  <c:v>36.803979104833125</c:v>
                </c:pt>
                <c:pt idx="24">
                  <c:v>39.807183799787531</c:v>
                </c:pt>
                <c:pt idx="25">
                  <c:v>48.489416402465956</c:v>
                </c:pt>
                <c:pt idx="26">
                  <c:v>57.70641290871982</c:v>
                </c:pt>
                <c:pt idx="27">
                  <c:v>67.724887372039234</c:v>
                </c:pt>
                <c:pt idx="28">
                  <c:v>67.724887372039234</c:v>
                </c:pt>
                <c:pt idx="29">
                  <c:v>67.724887372039234</c:v>
                </c:pt>
                <c:pt idx="30">
                  <c:v>67.724887372039234</c:v>
                </c:pt>
                <c:pt idx="31">
                  <c:v>67.724887372039234</c:v>
                </c:pt>
                <c:pt idx="32">
                  <c:v>67.724887372039234</c:v>
                </c:pt>
                <c:pt idx="33">
                  <c:v>67.724887372039234</c:v>
                </c:pt>
                <c:pt idx="34">
                  <c:v>67.724887372039234</c:v>
                </c:pt>
                <c:pt idx="35">
                  <c:v>67.724887372039234</c:v>
                </c:pt>
                <c:pt idx="36">
                  <c:v>67.724887372039234</c:v>
                </c:pt>
                <c:pt idx="37">
                  <c:v>67.724887372039234</c:v>
                </c:pt>
                <c:pt idx="38">
                  <c:v>67.724887372039234</c:v>
                </c:pt>
                <c:pt idx="39">
                  <c:v>67.724887372039234</c:v>
                </c:pt>
                <c:pt idx="40">
                  <c:v>62.615465395746334</c:v>
                </c:pt>
                <c:pt idx="41">
                  <c:v>57.70641290871982</c:v>
                </c:pt>
                <c:pt idx="42">
                  <c:v>48.489416402465956</c:v>
                </c:pt>
                <c:pt idx="43">
                  <c:v>40.073897853277657</c:v>
                </c:pt>
                <c:pt idx="44">
                  <c:v>31.15088791433077</c:v>
                </c:pt>
                <c:pt idx="45">
                  <c:v>31.15088791433077</c:v>
                </c:pt>
                <c:pt idx="46">
                  <c:v>31.15088791433077</c:v>
                </c:pt>
                <c:pt idx="47">
                  <c:v>31.15088791433077</c:v>
                </c:pt>
                <c:pt idx="48">
                  <c:v>31.15088791433077</c:v>
                </c:pt>
                <c:pt idx="49">
                  <c:v>31.15088791433077</c:v>
                </c:pt>
                <c:pt idx="50">
                  <c:v>31.15088791433077</c:v>
                </c:pt>
                <c:pt idx="51">
                  <c:v>33.918547143014209</c:v>
                </c:pt>
                <c:pt idx="52">
                  <c:v>39.807183799787531</c:v>
                </c:pt>
                <c:pt idx="53">
                  <c:v>44.181472383238614</c:v>
                </c:pt>
                <c:pt idx="54">
                  <c:v>52.997729910959706</c:v>
                </c:pt>
                <c:pt idx="55">
                  <c:v>62.615465395746334</c:v>
                </c:pt>
                <c:pt idx="56">
                  <c:v>67.724887372039234</c:v>
                </c:pt>
                <c:pt idx="57">
                  <c:v>67.724887372039234</c:v>
                </c:pt>
                <c:pt idx="58">
                  <c:v>67.724887372039234</c:v>
                </c:pt>
                <c:pt idx="59">
                  <c:v>67.724887372039234</c:v>
                </c:pt>
                <c:pt idx="60">
                  <c:v>57.70641290871982</c:v>
                </c:pt>
                <c:pt idx="61">
                  <c:v>44.181472383238614</c:v>
                </c:pt>
                <c:pt idx="62">
                  <c:v>36.166692812583079</c:v>
                </c:pt>
                <c:pt idx="63">
                  <c:v>31.15088791433077</c:v>
                </c:pt>
                <c:pt idx="64">
                  <c:v>31.15088791433077</c:v>
                </c:pt>
                <c:pt idx="65">
                  <c:v>31.15088791433077</c:v>
                </c:pt>
                <c:pt idx="66">
                  <c:v>31.15088791433077</c:v>
                </c:pt>
                <c:pt idx="67">
                  <c:v>25.968887656370253</c:v>
                </c:pt>
                <c:pt idx="68">
                  <c:v>28.501001418782764</c:v>
                </c:pt>
                <c:pt idx="69">
                  <c:v>33.918547143014209</c:v>
                </c:pt>
                <c:pt idx="70">
                  <c:v>44.181472383238614</c:v>
                </c:pt>
                <c:pt idx="71">
                  <c:v>52.997729910959706</c:v>
                </c:pt>
                <c:pt idx="72">
                  <c:v>57.70641290871982</c:v>
                </c:pt>
                <c:pt idx="73">
                  <c:v>52.997729910959706</c:v>
                </c:pt>
                <c:pt idx="74">
                  <c:v>44.181472383238614</c:v>
                </c:pt>
                <c:pt idx="75">
                  <c:v>36.166692812583079</c:v>
                </c:pt>
                <c:pt idx="76">
                  <c:v>32.459857261154902</c:v>
                </c:pt>
                <c:pt idx="77">
                  <c:v>28.501001418782764</c:v>
                </c:pt>
                <c:pt idx="78">
                  <c:v>28.501001418782764</c:v>
                </c:pt>
                <c:pt idx="79">
                  <c:v>28.501001418782764</c:v>
                </c:pt>
                <c:pt idx="80">
                  <c:v>28.501001418782764</c:v>
                </c:pt>
                <c:pt idx="81">
                  <c:v>28.501001418782764</c:v>
                </c:pt>
                <c:pt idx="82">
                  <c:v>28.501001418782764</c:v>
                </c:pt>
                <c:pt idx="83">
                  <c:v>31.15088791433077</c:v>
                </c:pt>
                <c:pt idx="84">
                  <c:v>36.803979104833125</c:v>
                </c:pt>
                <c:pt idx="85">
                  <c:v>40.073897853277657</c:v>
                </c:pt>
                <c:pt idx="86">
                  <c:v>40.073897853277657</c:v>
                </c:pt>
                <c:pt idx="87">
                  <c:v>36.803979104833125</c:v>
                </c:pt>
                <c:pt idx="88">
                  <c:v>31.15088791433077</c:v>
                </c:pt>
                <c:pt idx="89">
                  <c:v>28.501001418782764</c:v>
                </c:pt>
                <c:pt idx="90">
                  <c:v>25.968887656370253</c:v>
                </c:pt>
                <c:pt idx="91">
                  <c:v>25.968887656370253</c:v>
                </c:pt>
                <c:pt idx="92">
                  <c:v>25.968887656370253</c:v>
                </c:pt>
                <c:pt idx="93">
                  <c:v>25.968887656370253</c:v>
                </c:pt>
                <c:pt idx="94">
                  <c:v>25.968887656370253</c:v>
                </c:pt>
                <c:pt idx="95">
                  <c:v>31.15088791433077</c:v>
                </c:pt>
                <c:pt idx="96">
                  <c:v>39.807183799787531</c:v>
                </c:pt>
                <c:pt idx="97">
                  <c:v>44.181472383238614</c:v>
                </c:pt>
                <c:pt idx="98">
                  <c:v>52.997729910959706</c:v>
                </c:pt>
                <c:pt idx="99">
                  <c:v>62.615465395746334</c:v>
                </c:pt>
                <c:pt idx="100">
                  <c:v>67.724887372039234</c:v>
                </c:pt>
                <c:pt idx="101">
                  <c:v>52.997729910959706</c:v>
                </c:pt>
                <c:pt idx="102">
                  <c:v>44.181472383238614</c:v>
                </c:pt>
                <c:pt idx="103">
                  <c:v>44.181472383238614</c:v>
                </c:pt>
                <c:pt idx="104">
                  <c:v>44.181472383238614</c:v>
                </c:pt>
                <c:pt idx="105">
                  <c:v>44.181472383238614</c:v>
                </c:pt>
                <c:pt idx="106">
                  <c:v>48.489416402465956</c:v>
                </c:pt>
                <c:pt idx="107">
                  <c:v>52.997729910959706</c:v>
                </c:pt>
                <c:pt idx="108">
                  <c:v>57.70641290871982</c:v>
                </c:pt>
                <c:pt idx="109">
                  <c:v>67.724887372039234</c:v>
                </c:pt>
                <c:pt idx="110">
                  <c:v>67.724887372039234</c:v>
                </c:pt>
                <c:pt idx="111">
                  <c:v>67.724887372039234</c:v>
                </c:pt>
                <c:pt idx="112">
                  <c:v>52.997729910959706</c:v>
                </c:pt>
                <c:pt idx="113">
                  <c:v>44.181472383238614</c:v>
                </c:pt>
                <c:pt idx="114">
                  <c:v>40.073897853277657</c:v>
                </c:pt>
                <c:pt idx="115">
                  <c:v>40.073897853277657</c:v>
                </c:pt>
                <c:pt idx="116">
                  <c:v>48.489416402465956</c:v>
                </c:pt>
                <c:pt idx="117">
                  <c:v>57.70641290871982</c:v>
                </c:pt>
                <c:pt idx="118">
                  <c:v>67.724887372039234</c:v>
                </c:pt>
                <c:pt idx="119">
                  <c:v>67.724887372039234</c:v>
                </c:pt>
                <c:pt idx="120">
                  <c:v>62.615465395746334</c:v>
                </c:pt>
                <c:pt idx="121">
                  <c:v>57.70641290871982</c:v>
                </c:pt>
                <c:pt idx="122">
                  <c:v>57.70641290871982</c:v>
                </c:pt>
                <c:pt idx="123">
                  <c:v>57.70641290871982</c:v>
                </c:pt>
                <c:pt idx="124">
                  <c:v>57.70641290871982</c:v>
                </c:pt>
                <c:pt idx="125">
                  <c:v>57.70641290871982</c:v>
                </c:pt>
                <c:pt idx="126">
                  <c:v>57.70641290871982</c:v>
                </c:pt>
                <c:pt idx="127">
                  <c:v>62.615465395746334</c:v>
                </c:pt>
                <c:pt idx="128">
                  <c:v>67.724887372039234</c:v>
                </c:pt>
                <c:pt idx="129">
                  <c:v>67.724887372039234</c:v>
                </c:pt>
                <c:pt idx="130">
                  <c:v>67.724887372039234</c:v>
                </c:pt>
                <c:pt idx="131">
                  <c:v>67.724887372039234</c:v>
                </c:pt>
                <c:pt idx="132">
                  <c:v>57.70641290871982</c:v>
                </c:pt>
                <c:pt idx="133">
                  <c:v>44.181472383238614</c:v>
                </c:pt>
                <c:pt idx="134">
                  <c:v>36.166692812583079</c:v>
                </c:pt>
                <c:pt idx="135">
                  <c:v>36.166692812583079</c:v>
                </c:pt>
                <c:pt idx="136">
                  <c:v>36.166692812583079</c:v>
                </c:pt>
                <c:pt idx="137">
                  <c:v>36.166692812583079</c:v>
                </c:pt>
                <c:pt idx="138">
                  <c:v>36.166692812583079</c:v>
                </c:pt>
                <c:pt idx="139">
                  <c:v>36.166692812583079</c:v>
                </c:pt>
                <c:pt idx="140">
                  <c:v>36.166692812583079</c:v>
                </c:pt>
                <c:pt idx="141">
                  <c:v>36.166692812583079</c:v>
                </c:pt>
                <c:pt idx="142">
                  <c:v>36.166692812583079</c:v>
                </c:pt>
                <c:pt idx="143">
                  <c:v>36.166692812583079</c:v>
                </c:pt>
                <c:pt idx="144">
                  <c:v>36.166692812583079</c:v>
                </c:pt>
                <c:pt idx="145">
                  <c:v>40.073897853277657</c:v>
                </c:pt>
                <c:pt idx="146">
                  <c:v>48.489416402465956</c:v>
                </c:pt>
                <c:pt idx="147">
                  <c:v>52.997729910959706</c:v>
                </c:pt>
                <c:pt idx="148">
                  <c:v>57.70641290871982</c:v>
                </c:pt>
                <c:pt idx="149">
                  <c:v>62.615465395746334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E6-45D6-9BB1-6A2EF7AE1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0"/>
          <c:order val="0"/>
          <c:tx>
            <c:strRef>
              <c:f>'Duty Cycle '!$L$2</c:f>
              <c:strCache>
                <c:ptCount val="1"/>
                <c:pt idx="0">
                  <c:v>Velocity (m/s) 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'!$L$3:$L$152</c:f>
              <c:numCache>
                <c:formatCode>General</c:formatCode>
                <c:ptCount val="150"/>
                <c:pt idx="0">
                  <c:v>0</c:v>
                </c:pt>
                <c:pt idx="1">
                  <c:v>0.80373645286874096</c:v>
                </c:pt>
                <c:pt idx="2">
                  <c:v>1.3395607547812349</c:v>
                </c:pt>
                <c:pt idx="3">
                  <c:v>1.8753850566937287</c:v>
                </c:pt>
                <c:pt idx="4">
                  <c:v>2.6791215095624699</c:v>
                </c:pt>
                <c:pt idx="5">
                  <c:v>3.4828579624312108</c:v>
                </c:pt>
                <c:pt idx="6">
                  <c:v>4.5545065662561992</c:v>
                </c:pt>
                <c:pt idx="7">
                  <c:v>5.3582430191249397</c:v>
                </c:pt>
                <c:pt idx="8">
                  <c:v>6.4298916229499277</c:v>
                </c:pt>
                <c:pt idx="9">
                  <c:v>7.0660536802398575</c:v>
                </c:pt>
                <c:pt idx="10">
                  <c:v>7.8511707558220651</c:v>
                </c:pt>
                <c:pt idx="11">
                  <c:v>9.0288463691953762</c:v>
                </c:pt>
                <c:pt idx="12">
                  <c:v>10.206521982568686</c:v>
                </c:pt>
                <c:pt idx="13">
                  <c:v>10.240657507593998</c:v>
                </c:pt>
                <c:pt idx="14">
                  <c:v>11.264723258353396</c:v>
                </c:pt>
                <c:pt idx="15">
                  <c:v>12.288789009112795</c:v>
                </c:pt>
                <c:pt idx="16">
                  <c:v>13.312854759872195</c:v>
                </c:pt>
                <c:pt idx="17">
                  <c:v>12.288789009112795</c:v>
                </c:pt>
                <c:pt idx="18">
                  <c:v>11.776756133733098</c:v>
                </c:pt>
                <c:pt idx="19">
                  <c:v>11.776756133733098</c:v>
                </c:pt>
                <c:pt idx="20">
                  <c:v>11.264723258353396</c:v>
                </c:pt>
                <c:pt idx="21">
                  <c:v>10.752690382973697</c:v>
                </c:pt>
                <c:pt idx="22">
                  <c:v>9.8139634447775812</c:v>
                </c:pt>
                <c:pt idx="23">
                  <c:v>9.8139634447775812</c:v>
                </c:pt>
                <c:pt idx="24">
                  <c:v>10.206521982568686</c:v>
                </c:pt>
                <c:pt idx="25">
                  <c:v>11.264723258353396</c:v>
                </c:pt>
                <c:pt idx="26">
                  <c:v>12.288789009112795</c:v>
                </c:pt>
                <c:pt idx="27">
                  <c:v>13.312854759872195</c:v>
                </c:pt>
                <c:pt idx="28">
                  <c:v>13.312854759872195</c:v>
                </c:pt>
                <c:pt idx="29">
                  <c:v>13.312854759872195</c:v>
                </c:pt>
                <c:pt idx="30">
                  <c:v>13.312854759872195</c:v>
                </c:pt>
                <c:pt idx="31">
                  <c:v>13.312854759872195</c:v>
                </c:pt>
                <c:pt idx="32">
                  <c:v>13.312854759872195</c:v>
                </c:pt>
                <c:pt idx="33">
                  <c:v>13.312854759872195</c:v>
                </c:pt>
                <c:pt idx="34">
                  <c:v>13.312854759872195</c:v>
                </c:pt>
                <c:pt idx="35">
                  <c:v>13.312854759872195</c:v>
                </c:pt>
                <c:pt idx="36">
                  <c:v>13.312854759872195</c:v>
                </c:pt>
                <c:pt idx="37">
                  <c:v>13.312854759872195</c:v>
                </c:pt>
                <c:pt idx="38">
                  <c:v>13.312854759872195</c:v>
                </c:pt>
                <c:pt idx="39">
                  <c:v>13.312854759872195</c:v>
                </c:pt>
                <c:pt idx="40">
                  <c:v>12.800821884492496</c:v>
                </c:pt>
                <c:pt idx="41">
                  <c:v>12.288789009112795</c:v>
                </c:pt>
                <c:pt idx="42">
                  <c:v>11.264723258353396</c:v>
                </c:pt>
                <c:pt idx="43">
                  <c:v>10.240657507593998</c:v>
                </c:pt>
                <c:pt idx="44">
                  <c:v>9.0288463691953762</c:v>
                </c:pt>
                <c:pt idx="45">
                  <c:v>9.0288463691953762</c:v>
                </c:pt>
                <c:pt idx="46">
                  <c:v>9.0288463691953762</c:v>
                </c:pt>
                <c:pt idx="47">
                  <c:v>9.0288463691953762</c:v>
                </c:pt>
                <c:pt idx="48">
                  <c:v>9.0288463691953762</c:v>
                </c:pt>
                <c:pt idx="49">
                  <c:v>9.0288463691953762</c:v>
                </c:pt>
                <c:pt idx="50">
                  <c:v>9.0288463691953762</c:v>
                </c:pt>
                <c:pt idx="51">
                  <c:v>9.4214049069864778</c:v>
                </c:pt>
                <c:pt idx="52">
                  <c:v>10.206521982568686</c:v>
                </c:pt>
                <c:pt idx="53">
                  <c:v>10.752690382973697</c:v>
                </c:pt>
                <c:pt idx="54">
                  <c:v>11.776756133733098</c:v>
                </c:pt>
                <c:pt idx="55">
                  <c:v>12.800821884492496</c:v>
                </c:pt>
                <c:pt idx="56">
                  <c:v>13.312854759872195</c:v>
                </c:pt>
                <c:pt idx="57">
                  <c:v>13.312854759872195</c:v>
                </c:pt>
                <c:pt idx="58">
                  <c:v>13.312854759872195</c:v>
                </c:pt>
                <c:pt idx="59">
                  <c:v>13.312854759872195</c:v>
                </c:pt>
                <c:pt idx="60">
                  <c:v>12.288789009112795</c:v>
                </c:pt>
                <c:pt idx="61">
                  <c:v>10.752690382973697</c:v>
                </c:pt>
                <c:pt idx="62">
                  <c:v>9.7286246322142969</c:v>
                </c:pt>
                <c:pt idx="63">
                  <c:v>9.0288463691953762</c:v>
                </c:pt>
                <c:pt idx="64">
                  <c:v>9.0288463691953762</c:v>
                </c:pt>
                <c:pt idx="65">
                  <c:v>9.0288463691953762</c:v>
                </c:pt>
                <c:pt idx="66">
                  <c:v>9.0288463691953762</c:v>
                </c:pt>
                <c:pt idx="67">
                  <c:v>8.2437292936131676</c:v>
                </c:pt>
                <c:pt idx="68">
                  <c:v>8.6362878314042693</c:v>
                </c:pt>
                <c:pt idx="69">
                  <c:v>9.4214049069864778</c:v>
                </c:pt>
                <c:pt idx="70">
                  <c:v>10.752690382973697</c:v>
                </c:pt>
                <c:pt idx="71">
                  <c:v>11.776756133733098</c:v>
                </c:pt>
                <c:pt idx="72">
                  <c:v>12.288789009112795</c:v>
                </c:pt>
                <c:pt idx="73">
                  <c:v>11.776756133733098</c:v>
                </c:pt>
                <c:pt idx="74">
                  <c:v>10.752690382973697</c:v>
                </c:pt>
                <c:pt idx="75">
                  <c:v>9.7286246322142969</c:v>
                </c:pt>
                <c:pt idx="76">
                  <c:v>9.2165917568345979</c:v>
                </c:pt>
                <c:pt idx="77">
                  <c:v>8.6362878314042693</c:v>
                </c:pt>
                <c:pt idx="78">
                  <c:v>8.6362878314042693</c:v>
                </c:pt>
                <c:pt idx="79">
                  <c:v>8.6362878314042693</c:v>
                </c:pt>
                <c:pt idx="80">
                  <c:v>8.6362878314042693</c:v>
                </c:pt>
                <c:pt idx="81">
                  <c:v>8.6362878314042693</c:v>
                </c:pt>
                <c:pt idx="82">
                  <c:v>8.6362878314042693</c:v>
                </c:pt>
                <c:pt idx="83">
                  <c:v>9.0288463691953762</c:v>
                </c:pt>
                <c:pt idx="84">
                  <c:v>9.8139634447775812</c:v>
                </c:pt>
                <c:pt idx="85">
                  <c:v>10.240657507593998</c:v>
                </c:pt>
                <c:pt idx="86">
                  <c:v>10.240657507593998</c:v>
                </c:pt>
                <c:pt idx="87">
                  <c:v>9.8139634447775812</c:v>
                </c:pt>
                <c:pt idx="88">
                  <c:v>9.0288463691953762</c:v>
                </c:pt>
                <c:pt idx="89">
                  <c:v>8.6362878314042693</c:v>
                </c:pt>
                <c:pt idx="90">
                  <c:v>8.2437292936131676</c:v>
                </c:pt>
                <c:pt idx="91">
                  <c:v>8.2437292936131676</c:v>
                </c:pt>
                <c:pt idx="92">
                  <c:v>8.2437292936131676</c:v>
                </c:pt>
                <c:pt idx="93">
                  <c:v>8.2437292936131676</c:v>
                </c:pt>
                <c:pt idx="94">
                  <c:v>8.2437292936131676</c:v>
                </c:pt>
                <c:pt idx="95">
                  <c:v>9.0288463691953762</c:v>
                </c:pt>
                <c:pt idx="96">
                  <c:v>10.206521982568686</c:v>
                </c:pt>
                <c:pt idx="97">
                  <c:v>10.752690382973697</c:v>
                </c:pt>
                <c:pt idx="98">
                  <c:v>11.776756133733098</c:v>
                </c:pt>
                <c:pt idx="99">
                  <c:v>12.800821884492496</c:v>
                </c:pt>
                <c:pt idx="100">
                  <c:v>13.312854759872195</c:v>
                </c:pt>
                <c:pt idx="101">
                  <c:v>11.776756133733098</c:v>
                </c:pt>
                <c:pt idx="102">
                  <c:v>10.752690382973697</c:v>
                </c:pt>
                <c:pt idx="103">
                  <c:v>10.752690382973697</c:v>
                </c:pt>
                <c:pt idx="104">
                  <c:v>10.752690382973697</c:v>
                </c:pt>
                <c:pt idx="105">
                  <c:v>10.752690382973697</c:v>
                </c:pt>
                <c:pt idx="106">
                  <c:v>11.264723258353396</c:v>
                </c:pt>
                <c:pt idx="107">
                  <c:v>11.776756133733098</c:v>
                </c:pt>
                <c:pt idx="108">
                  <c:v>12.288789009112795</c:v>
                </c:pt>
                <c:pt idx="109">
                  <c:v>13.312854759872195</c:v>
                </c:pt>
                <c:pt idx="110">
                  <c:v>13.312854759872195</c:v>
                </c:pt>
                <c:pt idx="111">
                  <c:v>13.312854759872195</c:v>
                </c:pt>
                <c:pt idx="112">
                  <c:v>11.776756133733098</c:v>
                </c:pt>
                <c:pt idx="113">
                  <c:v>10.752690382973697</c:v>
                </c:pt>
                <c:pt idx="114">
                  <c:v>10.240657507593998</c:v>
                </c:pt>
                <c:pt idx="115">
                  <c:v>10.240657507593998</c:v>
                </c:pt>
                <c:pt idx="116">
                  <c:v>11.264723258353396</c:v>
                </c:pt>
                <c:pt idx="117">
                  <c:v>12.288789009112795</c:v>
                </c:pt>
                <c:pt idx="118">
                  <c:v>13.312854759872195</c:v>
                </c:pt>
                <c:pt idx="119">
                  <c:v>13.312854759872195</c:v>
                </c:pt>
                <c:pt idx="120">
                  <c:v>12.800821884492496</c:v>
                </c:pt>
                <c:pt idx="121">
                  <c:v>12.288789009112795</c:v>
                </c:pt>
                <c:pt idx="122">
                  <c:v>12.288789009112795</c:v>
                </c:pt>
                <c:pt idx="123">
                  <c:v>12.288789009112795</c:v>
                </c:pt>
                <c:pt idx="124">
                  <c:v>12.288789009112795</c:v>
                </c:pt>
                <c:pt idx="125">
                  <c:v>12.288789009112795</c:v>
                </c:pt>
                <c:pt idx="126">
                  <c:v>12.288789009112795</c:v>
                </c:pt>
                <c:pt idx="127">
                  <c:v>12.800821884492496</c:v>
                </c:pt>
                <c:pt idx="128">
                  <c:v>13.312854759872195</c:v>
                </c:pt>
                <c:pt idx="129">
                  <c:v>13.312854759872195</c:v>
                </c:pt>
                <c:pt idx="130">
                  <c:v>13.312854759872195</c:v>
                </c:pt>
                <c:pt idx="131">
                  <c:v>13.312854759872195</c:v>
                </c:pt>
                <c:pt idx="132">
                  <c:v>12.288789009112795</c:v>
                </c:pt>
                <c:pt idx="133">
                  <c:v>10.752690382973697</c:v>
                </c:pt>
                <c:pt idx="134">
                  <c:v>9.7286246322142969</c:v>
                </c:pt>
                <c:pt idx="135">
                  <c:v>9.7286246322142969</c:v>
                </c:pt>
                <c:pt idx="136">
                  <c:v>9.7286246322142969</c:v>
                </c:pt>
                <c:pt idx="137">
                  <c:v>9.7286246322142969</c:v>
                </c:pt>
                <c:pt idx="138">
                  <c:v>9.7286246322142969</c:v>
                </c:pt>
                <c:pt idx="139">
                  <c:v>9.7286246322142969</c:v>
                </c:pt>
                <c:pt idx="140">
                  <c:v>9.7286246322142969</c:v>
                </c:pt>
                <c:pt idx="141">
                  <c:v>9.7286246322142969</c:v>
                </c:pt>
                <c:pt idx="142">
                  <c:v>9.7286246322142969</c:v>
                </c:pt>
                <c:pt idx="143">
                  <c:v>9.7286246322142969</c:v>
                </c:pt>
                <c:pt idx="144">
                  <c:v>9.7286246322142969</c:v>
                </c:pt>
                <c:pt idx="145">
                  <c:v>10.240657507593998</c:v>
                </c:pt>
                <c:pt idx="146">
                  <c:v>11.264723258353396</c:v>
                </c:pt>
                <c:pt idx="147">
                  <c:v>11.776756133733098</c:v>
                </c:pt>
                <c:pt idx="148">
                  <c:v>12.288789009112795</c:v>
                </c:pt>
                <c:pt idx="149">
                  <c:v>12.800821884492496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E6-45D6-9BB1-6A2EF7AE1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01248"/>
        <c:axId val="1119500592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DRAG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00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01248"/>
        <c:crosses val="max"/>
        <c:crossBetween val="between"/>
      </c:valAx>
      <c:catAx>
        <c:axId val="11195012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19500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    </a:t>
            </a:r>
            <a:r>
              <a:rPr lang="en-GB" baseline="0"/>
              <a:t>  </a:t>
            </a:r>
            <a:r>
              <a:rPr lang="en-GB"/>
              <a:t>Torqu</a:t>
            </a:r>
            <a:r>
              <a:rPr lang="en-GB" baseline="0"/>
              <a:t>e (Nm) vs Time (s) 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Power (KW)</c:v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'Duty Cycle '!$B$3:$B$152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'Duty Cycle '!$W$3:$W$152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0.60217848272409169</c:v>
                      </c:pt>
                      <c:pt idx="2">
                        <c:v>0.70826311803977515</c:v>
                      </c:pt>
                      <c:pt idx="3">
                        <c:v>1.0615524157168417</c:v>
                      </c:pt>
                      <c:pt idx="4">
                        <c:v>2.0330364812485606</c:v>
                      </c:pt>
                      <c:pt idx="5">
                        <c:v>3.5574245741794348</c:v>
                      </c:pt>
                      <c:pt idx="6">
                        <c:v>5.8284567720806271</c:v>
                      </c:pt>
                      <c:pt idx="7">
                        <c:v>6.1615530785099217</c:v>
                      </c:pt>
                      <c:pt idx="8">
                        <c:v>8.4788648400148308</c:v>
                      </c:pt>
                      <c:pt idx="9">
                        <c:v>7.9382086374669543</c:v>
                      </c:pt>
                      <c:pt idx="10">
                        <c:v>9.7691032705343677</c:v>
                      </c:pt>
                      <c:pt idx="11">
                        <c:v>12.200837504722434</c:v>
                      </c:pt>
                      <c:pt idx="12">
                        <c:v>11.707801759358153</c:v>
                      </c:pt>
                      <c:pt idx="13">
                        <c:v>5.7979211169204223</c:v>
                      </c:pt>
                      <c:pt idx="14">
                        <c:v>11.647457435569542</c:v>
                      </c:pt>
                      <c:pt idx="15">
                        <c:v>11.415204788337835</c:v>
                      </c:pt>
                      <c:pt idx="16">
                        <c:v>11.783773996199773</c:v>
                      </c:pt>
                      <c:pt idx="17">
                        <c:v>2.5966508627003071</c:v>
                      </c:pt>
                      <c:pt idx="18">
                        <c:v>0.63447682162333319</c:v>
                      </c:pt>
                      <c:pt idx="19">
                        <c:v>4.2656964792253014</c:v>
                      </c:pt>
                      <c:pt idx="20">
                        <c:v>0.65561243876773279</c:v>
                      </c:pt>
                      <c:pt idx="21">
                        <c:v>0.11121905210040153</c:v>
                      </c:pt>
                      <c:pt idx="22">
                        <c:v>2.938764764305358</c:v>
                      </c:pt>
                      <c:pt idx="23">
                        <c:v>1.3760167891310204</c:v>
                      </c:pt>
                      <c:pt idx="24">
                        <c:v>1.7053432558237085</c:v>
                      </c:pt>
                      <c:pt idx="25">
                        <c:v>2.1761604773462984</c:v>
                      </c:pt>
                      <c:pt idx="26">
                        <c:v>3.9830236103808683</c:v>
                      </c:pt>
                      <c:pt idx="27">
                        <c:v>6.0601774536227371</c:v>
                      </c:pt>
                      <c:pt idx="28">
                        <c:v>1.2815254773192155</c:v>
                      </c:pt>
                      <c:pt idx="29">
                        <c:v>2.4277927325137907</c:v>
                      </c:pt>
                      <c:pt idx="30">
                        <c:v>2.4277927325137907</c:v>
                      </c:pt>
                      <c:pt idx="31">
                        <c:v>1.2815254773192155</c:v>
                      </c:pt>
                      <c:pt idx="32">
                        <c:v>1.007909478794289</c:v>
                      </c:pt>
                      <c:pt idx="33">
                        <c:v>4.4228127933321773</c:v>
                      </c:pt>
                      <c:pt idx="34">
                        <c:v>3.2880875406801309</c:v>
                      </c:pt>
                      <c:pt idx="35">
                        <c:v>3.2880875406801309</c:v>
                      </c:pt>
                      <c:pt idx="36">
                        <c:v>3.2880875406801309</c:v>
                      </c:pt>
                      <c:pt idx="37">
                        <c:v>3.2880875406801309</c:v>
                      </c:pt>
                      <c:pt idx="38">
                        <c:v>1.761906397379001</c:v>
                      </c:pt>
                      <c:pt idx="39">
                        <c:v>1.761906397379001</c:v>
                      </c:pt>
                      <c:pt idx="40">
                        <c:v>3.0742924331400086</c:v>
                      </c:pt>
                      <c:pt idx="41">
                        <c:v>3.1260138098840509</c:v>
                      </c:pt>
                      <c:pt idx="42">
                        <c:v>3.8176931387118214</c:v>
                      </c:pt>
                      <c:pt idx="43">
                        <c:v>3.5568105693126872</c:v>
                      </c:pt>
                      <c:pt idx="44">
                        <c:v>4.2651584151689317</c:v>
                      </c:pt>
                      <c:pt idx="45">
                        <c:v>2.3513843371561025</c:v>
                      </c:pt>
                      <c:pt idx="46">
                        <c:v>2.3513843371561025</c:v>
                      </c:pt>
                      <c:pt idx="47">
                        <c:v>2.3513843371561025</c:v>
                      </c:pt>
                      <c:pt idx="48">
                        <c:v>2.3513843371561025</c:v>
                      </c:pt>
                      <c:pt idx="49">
                        <c:v>1.2052688887634042</c:v>
                      </c:pt>
                      <c:pt idx="50">
                        <c:v>6.0837870988356274E-2</c:v>
                      </c:pt>
                      <c:pt idx="51">
                        <c:v>0.14712779340447754</c:v>
                      </c:pt>
                      <c:pt idx="52">
                        <c:v>1.8876882717932948</c:v>
                      </c:pt>
                      <c:pt idx="53">
                        <c:v>0.76957672798577559</c:v>
                      </c:pt>
                      <c:pt idx="54">
                        <c:v>6.0117046080305849</c:v>
                      </c:pt>
                      <c:pt idx="55">
                        <c:v>8.766641232953349</c:v>
                      </c:pt>
                      <c:pt idx="56">
                        <c:v>6.9125636248660332</c:v>
                      </c:pt>
                      <c:pt idx="57">
                        <c:v>3.380791745968037</c:v>
                      </c:pt>
                      <c:pt idx="58">
                        <c:v>3.953973875814921</c:v>
                      </c:pt>
                      <c:pt idx="59">
                        <c:v>3.953973875814921</c:v>
                      </c:pt>
                      <c:pt idx="60">
                        <c:v>4.0514904259589031</c:v>
                      </c:pt>
                      <c:pt idx="61">
                        <c:v>5.8597466993021481</c:v>
                      </c:pt>
                      <c:pt idx="62">
                        <c:v>1.1261241103546917</c:v>
                      </c:pt>
                      <c:pt idx="63">
                        <c:v>0.82111034071364397</c:v>
                      </c:pt>
                      <c:pt idx="64">
                        <c:v>5.2129913087521169</c:v>
                      </c:pt>
                      <c:pt idx="65">
                        <c:v>5.7830053095596652</c:v>
                      </c:pt>
                      <c:pt idx="66">
                        <c:v>6.3517677174333347</c:v>
                      </c:pt>
                      <c:pt idx="67">
                        <c:v>2.7543314155367185</c:v>
                      </c:pt>
                      <c:pt idx="68">
                        <c:v>10.397521050506692</c:v>
                      </c:pt>
                      <c:pt idx="69">
                        <c:v>9.7516397773527199</c:v>
                      </c:pt>
                      <c:pt idx="70">
                        <c:v>10.502115295077925</c:v>
                      </c:pt>
                      <c:pt idx="71">
                        <c:v>7.3617879271046585</c:v>
                      </c:pt>
                      <c:pt idx="72">
                        <c:v>8.7245884873071429</c:v>
                      </c:pt>
                      <c:pt idx="73">
                        <c:v>3.3346434597714909</c:v>
                      </c:pt>
                      <c:pt idx="74">
                        <c:v>2.1151485652433162</c:v>
                      </c:pt>
                      <c:pt idx="75">
                        <c:v>3.4002441851084111</c:v>
                      </c:pt>
                      <c:pt idx="76">
                        <c:v>7.4479152753216802</c:v>
                      </c:pt>
                      <c:pt idx="77">
                        <c:v>6.9985275342568212</c:v>
                      </c:pt>
                      <c:pt idx="78">
                        <c:v>10.029252567165065</c:v>
                      </c:pt>
                      <c:pt idx="79">
                        <c:v>10.029252567165056</c:v>
                      </c:pt>
                      <c:pt idx="80">
                        <c:v>10.029252567165065</c:v>
                      </c:pt>
                      <c:pt idx="81">
                        <c:v>10.029252567165056</c:v>
                      </c:pt>
                      <c:pt idx="82">
                        <c:v>10.029252567165056</c:v>
                      </c:pt>
                      <c:pt idx="83">
                        <c:v>10.097526678881701</c:v>
                      </c:pt>
                      <c:pt idx="84">
                        <c:v>11.828718649321171</c:v>
                      </c:pt>
                      <c:pt idx="85">
                        <c:v>9.9969600918996733</c:v>
                      </c:pt>
                      <c:pt idx="86">
                        <c:v>7.3656414994344903</c:v>
                      </c:pt>
                      <c:pt idx="87">
                        <c:v>4.6368243533156903</c:v>
                      </c:pt>
                      <c:pt idx="88">
                        <c:v>2.531295009953769</c:v>
                      </c:pt>
                      <c:pt idx="89">
                        <c:v>4.5970496033166937</c:v>
                      </c:pt>
                      <c:pt idx="90">
                        <c:v>4.5223664585759726</c:v>
                      </c:pt>
                      <c:pt idx="91">
                        <c:v>4.7677128271280962</c:v>
                      </c:pt>
                      <c:pt idx="92">
                        <c:v>4.7677128271280962</c:v>
                      </c:pt>
                      <c:pt idx="93">
                        <c:v>4.1953148202815624</c:v>
                      </c:pt>
                      <c:pt idx="94">
                        <c:v>3.0492554499509299</c:v>
                      </c:pt>
                      <c:pt idx="95">
                        <c:v>5.603094636762024</c:v>
                      </c:pt>
                      <c:pt idx="96">
                        <c:v>8.845243059639385</c:v>
                      </c:pt>
                      <c:pt idx="97">
                        <c:v>5.2442466510634453</c:v>
                      </c:pt>
                      <c:pt idx="98">
                        <c:v>9.2366639750808535</c:v>
                      </c:pt>
                      <c:pt idx="99">
                        <c:v>10.162967065699901</c:v>
                      </c:pt>
                      <c:pt idx="100">
                        <c:v>6.5326497367594873</c:v>
                      </c:pt>
                      <c:pt idx="101">
                        <c:v>8.9194343129289884</c:v>
                      </c:pt>
                      <c:pt idx="102">
                        <c:v>4.9231683902220604</c:v>
                      </c:pt>
                      <c:pt idx="103">
                        <c:v>1.7077544627902423</c:v>
                      </c:pt>
                      <c:pt idx="104">
                        <c:v>1.7077544627902423</c:v>
                      </c:pt>
                      <c:pt idx="105">
                        <c:v>1.7077544627902423</c:v>
                      </c:pt>
                      <c:pt idx="106">
                        <c:v>5.3109444431186175</c:v>
                      </c:pt>
                      <c:pt idx="107">
                        <c:v>5.6054443174788906</c:v>
                      </c:pt>
                      <c:pt idx="108">
                        <c:v>5.9070232996742886</c:v>
                      </c:pt>
                      <c:pt idx="109">
                        <c:v>10.637506741005199</c:v>
                      </c:pt>
                      <c:pt idx="110">
                        <c:v>2.4277927325137907</c:v>
                      </c:pt>
                      <c:pt idx="111">
                        <c:v>2.4277927325137907</c:v>
                      </c:pt>
                      <c:pt idx="112">
                        <c:v>8.9194343129289884</c:v>
                      </c:pt>
                      <c:pt idx="113">
                        <c:v>4.9231683902220604</c:v>
                      </c:pt>
                      <c:pt idx="114">
                        <c:v>1.5732137532014823</c:v>
                      </c:pt>
                      <c:pt idx="115">
                        <c:v>1.5843685577567463</c:v>
                      </c:pt>
                      <c:pt idx="116">
                        <c:v>8.7842849851726683</c:v>
                      </c:pt>
                      <c:pt idx="117">
                        <c:v>9.6961220728241901</c:v>
                      </c:pt>
                      <c:pt idx="118">
                        <c:v>9.2997156030297408</c:v>
                      </c:pt>
                      <c:pt idx="119">
                        <c:v>1.7619063973790252</c:v>
                      </c:pt>
                      <c:pt idx="120">
                        <c:v>7.6239309762326979</c:v>
                      </c:pt>
                      <c:pt idx="121">
                        <c:v>7.1082094804467832</c:v>
                      </c:pt>
                      <c:pt idx="122">
                        <c:v>3.3191107072968968</c:v>
                      </c:pt>
                      <c:pt idx="123">
                        <c:v>3.3191107072969062</c:v>
                      </c:pt>
                      <c:pt idx="124">
                        <c:v>2.186391342102437</c:v>
                      </c:pt>
                      <c:pt idx="125">
                        <c:v>2.186391342102437</c:v>
                      </c:pt>
                      <c:pt idx="126">
                        <c:v>2.186391342102437</c:v>
                      </c:pt>
                      <c:pt idx="127">
                        <c:v>4.2480529535009524</c:v>
                      </c:pt>
                      <c:pt idx="128">
                        <c:v>8.0588308800606168</c:v>
                      </c:pt>
                      <c:pt idx="129">
                        <c:v>5.6731323294217306</c:v>
                      </c:pt>
                      <c:pt idx="130">
                        <c:v>7.9608268533133524</c:v>
                      </c:pt>
                      <c:pt idx="131">
                        <c:v>8.5313031631974017</c:v>
                      </c:pt>
                      <c:pt idx="132">
                        <c:v>0.52440987400628192</c:v>
                      </c:pt>
                      <c:pt idx="133">
                        <c:v>2.4329976308521801</c:v>
                      </c:pt>
                      <c:pt idx="134">
                        <c:v>2.2684651002118166</c:v>
                      </c:pt>
                      <c:pt idx="135">
                        <c:v>8.2678714910324711</c:v>
                      </c:pt>
                      <c:pt idx="136">
                        <c:v>8.2678714910324711</c:v>
                      </c:pt>
                      <c:pt idx="137">
                        <c:v>8.2678714910324711</c:v>
                      </c:pt>
                      <c:pt idx="138">
                        <c:v>7.1303785158826312</c:v>
                      </c:pt>
                      <c:pt idx="139">
                        <c:v>5.4164887311344945</c:v>
                      </c:pt>
                      <c:pt idx="140">
                        <c:v>3.6977108388762385</c:v>
                      </c:pt>
                      <c:pt idx="141">
                        <c:v>1.978932946617983</c:v>
                      </c:pt>
                      <c:pt idx="142">
                        <c:v>0.30433099137452585</c:v>
                      </c:pt>
                      <c:pt idx="143">
                        <c:v>2.0042288981765122</c:v>
                      </c:pt>
                      <c:pt idx="144">
                        <c:v>2.0042288981765122</c:v>
                      </c:pt>
                      <c:pt idx="145">
                        <c:v>7.0899218584090322</c:v>
                      </c:pt>
                      <c:pt idx="146">
                        <c:v>11.367053073836118</c:v>
                      </c:pt>
                      <c:pt idx="147">
                        <c:v>8.3056109556270439</c:v>
                      </c:pt>
                      <c:pt idx="148">
                        <c:v>8.7245884873071429</c:v>
                      </c:pt>
                      <c:pt idx="149">
                        <c:v>9.1509529141196868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1DD-40A4-A955-E1135FC410FB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'Duty Cycle '!$Y$2</c:f>
              <c:strCache>
                <c:ptCount val="1"/>
                <c:pt idx="0">
                  <c:v>Torque (Nm) 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'!$Y$3:$Y$152</c:f>
              <c:numCache>
                <c:formatCode>0.00</c:formatCode>
                <c:ptCount val="150"/>
                <c:pt idx="0">
                  <c:v>0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11</c:v>
                </c:pt>
                <c:pt idx="6">
                  <c:v>14</c:v>
                </c:pt>
                <c:pt idx="7">
                  <c:v>12</c:v>
                </c:pt>
                <c:pt idx="8">
                  <c:v>14</c:v>
                </c:pt>
                <c:pt idx="9">
                  <c:v>17</c:v>
                </c:pt>
                <c:pt idx="10">
                  <c:v>19</c:v>
                </c:pt>
                <c:pt idx="11">
                  <c:v>21</c:v>
                </c:pt>
                <c:pt idx="12">
                  <c:v>18</c:v>
                </c:pt>
                <c:pt idx="13">
                  <c:v>12</c:v>
                </c:pt>
                <c:pt idx="14">
                  <c:v>21</c:v>
                </c:pt>
                <c:pt idx="15">
                  <c:v>19</c:v>
                </c:pt>
                <c:pt idx="16">
                  <c:v>18</c:v>
                </c:pt>
                <c:pt idx="17">
                  <c:v>5</c:v>
                </c:pt>
                <c:pt idx="18">
                  <c:v>2</c:v>
                </c:pt>
                <c:pt idx="19">
                  <c:v>8</c:v>
                </c:pt>
                <c:pt idx="20">
                  <c:v>2</c:v>
                </c:pt>
                <c:pt idx="21">
                  <c:v>1</c:v>
                </c:pt>
                <c:pt idx="22">
                  <c:v>5</c:v>
                </c:pt>
                <c:pt idx="23">
                  <c:v>3</c:v>
                </c:pt>
                <c:pt idx="24">
                  <c:v>3</c:v>
                </c:pt>
                <c:pt idx="25">
                  <c:v>4</c:v>
                </c:pt>
                <c:pt idx="26">
                  <c:v>7</c:v>
                </c:pt>
                <c:pt idx="27">
                  <c:v>9</c:v>
                </c:pt>
                <c:pt idx="28">
                  <c:v>2</c:v>
                </c:pt>
                <c:pt idx="29">
                  <c:v>4</c:v>
                </c:pt>
                <c:pt idx="30">
                  <c:v>4</c:v>
                </c:pt>
                <c:pt idx="31">
                  <c:v>2</c:v>
                </c:pt>
                <c:pt idx="32">
                  <c:v>2</c:v>
                </c:pt>
                <c:pt idx="33">
                  <c:v>7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3</c:v>
                </c:pt>
                <c:pt idx="39">
                  <c:v>3</c:v>
                </c:pt>
                <c:pt idx="40">
                  <c:v>5</c:v>
                </c:pt>
                <c:pt idx="41">
                  <c:v>5</c:v>
                </c:pt>
                <c:pt idx="42">
                  <c:v>7</c:v>
                </c:pt>
                <c:pt idx="43">
                  <c:v>7</c:v>
                </c:pt>
                <c:pt idx="44">
                  <c:v>8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3</c:v>
                </c:pt>
                <c:pt idx="50">
                  <c:v>1</c:v>
                </c:pt>
                <c:pt idx="51">
                  <c:v>1</c:v>
                </c:pt>
                <c:pt idx="52">
                  <c:v>3</c:v>
                </c:pt>
                <c:pt idx="53">
                  <c:v>2</c:v>
                </c:pt>
                <c:pt idx="54">
                  <c:v>10</c:v>
                </c:pt>
                <c:pt idx="55">
                  <c:v>14</c:v>
                </c:pt>
                <c:pt idx="56">
                  <c:v>11</c:v>
                </c:pt>
                <c:pt idx="57">
                  <c:v>5</c:v>
                </c:pt>
                <c:pt idx="58">
                  <c:v>6</c:v>
                </c:pt>
                <c:pt idx="59">
                  <c:v>6</c:v>
                </c:pt>
                <c:pt idx="60">
                  <c:v>7</c:v>
                </c:pt>
                <c:pt idx="61">
                  <c:v>11</c:v>
                </c:pt>
                <c:pt idx="62">
                  <c:v>3</c:v>
                </c:pt>
                <c:pt idx="63">
                  <c:v>2</c:v>
                </c:pt>
                <c:pt idx="64">
                  <c:v>9</c:v>
                </c:pt>
                <c:pt idx="65">
                  <c:v>10</c:v>
                </c:pt>
                <c:pt idx="66">
                  <c:v>11</c:v>
                </c:pt>
                <c:pt idx="67">
                  <c:v>6</c:v>
                </c:pt>
                <c:pt idx="68">
                  <c:v>19</c:v>
                </c:pt>
                <c:pt idx="69">
                  <c:v>16</c:v>
                </c:pt>
                <c:pt idx="70">
                  <c:v>20</c:v>
                </c:pt>
                <c:pt idx="71">
                  <c:v>13</c:v>
                </c:pt>
                <c:pt idx="72">
                  <c:v>14</c:v>
                </c:pt>
                <c:pt idx="73">
                  <c:v>6</c:v>
                </c:pt>
                <c:pt idx="74">
                  <c:v>4</c:v>
                </c:pt>
                <c:pt idx="75">
                  <c:v>7</c:v>
                </c:pt>
                <c:pt idx="76">
                  <c:v>16</c:v>
                </c:pt>
                <c:pt idx="77">
                  <c:v>13</c:v>
                </c:pt>
                <c:pt idx="78">
                  <c:v>18</c:v>
                </c:pt>
                <c:pt idx="79">
                  <c:v>18</c:v>
                </c:pt>
                <c:pt idx="80">
                  <c:v>18</c:v>
                </c:pt>
                <c:pt idx="81">
                  <c:v>18</c:v>
                </c:pt>
                <c:pt idx="82">
                  <c:v>18</c:v>
                </c:pt>
                <c:pt idx="83">
                  <c:v>17</c:v>
                </c:pt>
                <c:pt idx="84">
                  <c:v>19</c:v>
                </c:pt>
                <c:pt idx="85">
                  <c:v>20</c:v>
                </c:pt>
                <c:pt idx="86">
                  <c:v>15</c:v>
                </c:pt>
                <c:pt idx="87">
                  <c:v>8</c:v>
                </c:pt>
                <c:pt idx="88">
                  <c:v>5</c:v>
                </c:pt>
                <c:pt idx="89">
                  <c:v>8</c:v>
                </c:pt>
                <c:pt idx="90">
                  <c:v>9</c:v>
                </c:pt>
                <c:pt idx="91">
                  <c:v>9</c:v>
                </c:pt>
                <c:pt idx="92">
                  <c:v>9</c:v>
                </c:pt>
                <c:pt idx="93">
                  <c:v>8</c:v>
                </c:pt>
                <c:pt idx="94">
                  <c:v>6</c:v>
                </c:pt>
                <c:pt idx="95">
                  <c:v>10</c:v>
                </c:pt>
                <c:pt idx="96">
                  <c:v>13</c:v>
                </c:pt>
                <c:pt idx="97">
                  <c:v>10</c:v>
                </c:pt>
                <c:pt idx="98">
                  <c:v>16</c:v>
                </c:pt>
                <c:pt idx="99">
                  <c:v>16</c:v>
                </c:pt>
                <c:pt idx="100">
                  <c:v>10</c:v>
                </c:pt>
                <c:pt idx="101">
                  <c:v>15</c:v>
                </c:pt>
                <c:pt idx="102">
                  <c:v>9</c:v>
                </c:pt>
                <c:pt idx="103">
                  <c:v>4</c:v>
                </c:pt>
                <c:pt idx="104">
                  <c:v>4</c:v>
                </c:pt>
                <c:pt idx="105">
                  <c:v>4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16</c:v>
                </c:pt>
                <c:pt idx="110">
                  <c:v>4</c:v>
                </c:pt>
                <c:pt idx="111">
                  <c:v>4</c:v>
                </c:pt>
                <c:pt idx="112">
                  <c:v>15</c:v>
                </c:pt>
                <c:pt idx="113">
                  <c:v>9</c:v>
                </c:pt>
                <c:pt idx="114">
                  <c:v>4</c:v>
                </c:pt>
                <c:pt idx="115">
                  <c:v>4</c:v>
                </c:pt>
                <c:pt idx="116">
                  <c:v>16</c:v>
                </c:pt>
                <c:pt idx="117">
                  <c:v>16</c:v>
                </c:pt>
                <c:pt idx="118">
                  <c:v>14</c:v>
                </c:pt>
                <c:pt idx="119">
                  <c:v>3</c:v>
                </c:pt>
                <c:pt idx="120">
                  <c:v>12</c:v>
                </c:pt>
                <c:pt idx="121">
                  <c:v>12</c:v>
                </c:pt>
                <c:pt idx="122">
                  <c:v>6</c:v>
                </c:pt>
                <c:pt idx="123">
                  <c:v>6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7</c:v>
                </c:pt>
                <c:pt idx="128">
                  <c:v>12</c:v>
                </c:pt>
                <c:pt idx="129">
                  <c:v>9</c:v>
                </c:pt>
                <c:pt idx="130">
                  <c:v>12</c:v>
                </c:pt>
                <c:pt idx="131">
                  <c:v>13</c:v>
                </c:pt>
                <c:pt idx="132">
                  <c:v>1</c:v>
                </c:pt>
                <c:pt idx="133">
                  <c:v>5</c:v>
                </c:pt>
                <c:pt idx="134">
                  <c:v>5</c:v>
                </c:pt>
                <c:pt idx="135">
                  <c:v>17</c:v>
                </c:pt>
                <c:pt idx="136">
                  <c:v>17</c:v>
                </c:pt>
                <c:pt idx="137">
                  <c:v>17</c:v>
                </c:pt>
                <c:pt idx="138">
                  <c:v>15</c:v>
                </c:pt>
                <c:pt idx="139">
                  <c:v>11</c:v>
                </c:pt>
                <c:pt idx="140">
                  <c:v>8</c:v>
                </c:pt>
                <c:pt idx="141">
                  <c:v>4</c:v>
                </c:pt>
                <c:pt idx="142">
                  <c:v>1</c:v>
                </c:pt>
                <c:pt idx="143">
                  <c:v>5</c:v>
                </c:pt>
                <c:pt idx="144">
                  <c:v>5</c:v>
                </c:pt>
                <c:pt idx="145">
                  <c:v>14</c:v>
                </c:pt>
                <c:pt idx="146">
                  <c:v>20</c:v>
                </c:pt>
                <c:pt idx="147">
                  <c:v>14</c:v>
                </c:pt>
                <c:pt idx="148">
                  <c:v>14</c:v>
                </c:pt>
                <c:pt idx="14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DD-40A4-A955-E1135FC41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630680"/>
        <c:axId val="1130632320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30632320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1130630680"/>
        <c:crosses val="max"/>
        <c:crossBetween val="between"/>
      </c:valAx>
      <c:catAx>
        <c:axId val="1130630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0632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    </a:t>
            </a:r>
            <a:r>
              <a:rPr lang="en-GB" baseline="0"/>
              <a:t>  </a:t>
            </a:r>
            <a:r>
              <a:rPr lang="en-GB"/>
              <a:t>Power (KW) &amp; Selected</a:t>
            </a:r>
            <a:r>
              <a:rPr lang="en-GB" baseline="0"/>
              <a:t> Gear </a:t>
            </a:r>
          </a:p>
          <a:p>
            <a:pPr>
              <a:defRPr/>
            </a:pPr>
            <a:r>
              <a:rPr lang="en-GB" baseline="0"/>
              <a:t>vs Time (s) 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(KW)</c:v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'!$W$3:$W$152</c:f>
              <c:numCache>
                <c:formatCode>General</c:formatCode>
                <c:ptCount val="150"/>
                <c:pt idx="0">
                  <c:v>0</c:v>
                </c:pt>
                <c:pt idx="1">
                  <c:v>0.60217848272409169</c:v>
                </c:pt>
                <c:pt idx="2">
                  <c:v>0.70826311803977515</c:v>
                </c:pt>
                <c:pt idx="3">
                  <c:v>1.0615524157168417</c:v>
                </c:pt>
                <c:pt idx="4">
                  <c:v>2.0330364812485606</c:v>
                </c:pt>
                <c:pt idx="5">
                  <c:v>3.5574245741794348</c:v>
                </c:pt>
                <c:pt idx="6">
                  <c:v>5.8284567720806271</c:v>
                </c:pt>
                <c:pt idx="7">
                  <c:v>6.1615530785099217</c:v>
                </c:pt>
                <c:pt idx="8">
                  <c:v>8.4788648400148308</c:v>
                </c:pt>
                <c:pt idx="9">
                  <c:v>7.9382086374669543</c:v>
                </c:pt>
                <c:pt idx="10">
                  <c:v>9.7691032705343677</c:v>
                </c:pt>
                <c:pt idx="11">
                  <c:v>12.200837504722434</c:v>
                </c:pt>
                <c:pt idx="12">
                  <c:v>11.707801759358153</c:v>
                </c:pt>
                <c:pt idx="13">
                  <c:v>5.7979211169204223</c:v>
                </c:pt>
                <c:pt idx="14">
                  <c:v>11.647457435569542</c:v>
                </c:pt>
                <c:pt idx="15">
                  <c:v>11.415204788337835</c:v>
                </c:pt>
                <c:pt idx="16">
                  <c:v>11.783773996199773</c:v>
                </c:pt>
                <c:pt idx="17">
                  <c:v>2.5966508627003071</c:v>
                </c:pt>
                <c:pt idx="18">
                  <c:v>0.63447682162333319</c:v>
                </c:pt>
                <c:pt idx="19">
                  <c:v>4.2656964792253014</c:v>
                </c:pt>
                <c:pt idx="20">
                  <c:v>0.65561243876773279</c:v>
                </c:pt>
                <c:pt idx="21">
                  <c:v>0.11121905210040153</c:v>
                </c:pt>
                <c:pt idx="22">
                  <c:v>2.938764764305358</c:v>
                </c:pt>
                <c:pt idx="23">
                  <c:v>1.3760167891310204</c:v>
                </c:pt>
                <c:pt idx="24">
                  <c:v>1.7053432558237085</c:v>
                </c:pt>
                <c:pt idx="25">
                  <c:v>2.1761604773462984</c:v>
                </c:pt>
                <c:pt idx="26">
                  <c:v>3.9830236103808683</c:v>
                </c:pt>
                <c:pt idx="27">
                  <c:v>6.0601774536227371</c:v>
                </c:pt>
                <c:pt idx="28">
                  <c:v>1.2815254773192155</c:v>
                </c:pt>
                <c:pt idx="29">
                  <c:v>2.4277927325137907</c:v>
                </c:pt>
                <c:pt idx="30">
                  <c:v>2.4277927325137907</c:v>
                </c:pt>
                <c:pt idx="31">
                  <c:v>1.2815254773192155</c:v>
                </c:pt>
                <c:pt idx="32">
                  <c:v>1.007909478794289</c:v>
                </c:pt>
                <c:pt idx="33">
                  <c:v>4.4228127933321773</c:v>
                </c:pt>
                <c:pt idx="34">
                  <c:v>3.2880875406801309</c:v>
                </c:pt>
                <c:pt idx="35">
                  <c:v>3.2880875406801309</c:v>
                </c:pt>
                <c:pt idx="36">
                  <c:v>3.2880875406801309</c:v>
                </c:pt>
                <c:pt idx="37">
                  <c:v>3.2880875406801309</c:v>
                </c:pt>
                <c:pt idx="38">
                  <c:v>1.761906397379001</c:v>
                </c:pt>
                <c:pt idx="39">
                  <c:v>1.761906397379001</c:v>
                </c:pt>
                <c:pt idx="40">
                  <c:v>3.0742924331400086</c:v>
                </c:pt>
                <c:pt idx="41">
                  <c:v>3.1260138098840509</c:v>
                </c:pt>
                <c:pt idx="42">
                  <c:v>3.8176931387118214</c:v>
                </c:pt>
                <c:pt idx="43">
                  <c:v>3.5568105693126872</c:v>
                </c:pt>
                <c:pt idx="44">
                  <c:v>4.2651584151689317</c:v>
                </c:pt>
                <c:pt idx="45">
                  <c:v>2.3513843371561025</c:v>
                </c:pt>
                <c:pt idx="46">
                  <c:v>2.3513843371561025</c:v>
                </c:pt>
                <c:pt idx="47">
                  <c:v>2.3513843371561025</c:v>
                </c:pt>
                <c:pt idx="48">
                  <c:v>2.3513843371561025</c:v>
                </c:pt>
                <c:pt idx="49">
                  <c:v>1.2052688887634042</c:v>
                </c:pt>
                <c:pt idx="50">
                  <c:v>6.0837870988356274E-2</c:v>
                </c:pt>
                <c:pt idx="51">
                  <c:v>0.14712779340447754</c:v>
                </c:pt>
                <c:pt idx="52">
                  <c:v>1.8876882717932948</c:v>
                </c:pt>
                <c:pt idx="53">
                  <c:v>0.76957672798577559</c:v>
                </c:pt>
                <c:pt idx="54">
                  <c:v>6.0117046080305849</c:v>
                </c:pt>
                <c:pt idx="55">
                  <c:v>8.766641232953349</c:v>
                </c:pt>
                <c:pt idx="56">
                  <c:v>6.9125636248660332</c:v>
                </c:pt>
                <c:pt idx="57">
                  <c:v>3.380791745968037</c:v>
                </c:pt>
                <c:pt idx="58">
                  <c:v>3.953973875814921</c:v>
                </c:pt>
                <c:pt idx="59">
                  <c:v>3.953973875814921</c:v>
                </c:pt>
                <c:pt idx="60">
                  <c:v>4.0514904259589031</c:v>
                </c:pt>
                <c:pt idx="61">
                  <c:v>5.8597466993021481</c:v>
                </c:pt>
                <c:pt idx="62">
                  <c:v>1.1261241103546917</c:v>
                </c:pt>
                <c:pt idx="63">
                  <c:v>0.82111034071364397</c:v>
                </c:pt>
                <c:pt idx="64">
                  <c:v>5.2129913087521169</c:v>
                </c:pt>
                <c:pt idx="65">
                  <c:v>5.7830053095596652</c:v>
                </c:pt>
                <c:pt idx="66">
                  <c:v>6.3517677174333347</c:v>
                </c:pt>
                <c:pt idx="67">
                  <c:v>2.7543314155367185</c:v>
                </c:pt>
                <c:pt idx="68">
                  <c:v>10.397521050506692</c:v>
                </c:pt>
                <c:pt idx="69">
                  <c:v>9.7516397773527199</c:v>
                </c:pt>
                <c:pt idx="70">
                  <c:v>10.502115295077925</c:v>
                </c:pt>
                <c:pt idx="71">
                  <c:v>7.3617879271046585</c:v>
                </c:pt>
                <c:pt idx="72">
                  <c:v>8.7245884873071429</c:v>
                </c:pt>
                <c:pt idx="73">
                  <c:v>3.3346434597714909</c:v>
                </c:pt>
                <c:pt idx="74">
                  <c:v>2.1151485652433162</c:v>
                </c:pt>
                <c:pt idx="75">
                  <c:v>3.4002441851084111</c:v>
                </c:pt>
                <c:pt idx="76">
                  <c:v>7.4479152753216802</c:v>
                </c:pt>
                <c:pt idx="77">
                  <c:v>6.9985275342568212</c:v>
                </c:pt>
                <c:pt idx="78">
                  <c:v>10.029252567165065</c:v>
                </c:pt>
                <c:pt idx="79">
                  <c:v>10.029252567165056</c:v>
                </c:pt>
                <c:pt idx="80">
                  <c:v>10.029252567165065</c:v>
                </c:pt>
                <c:pt idx="81">
                  <c:v>10.029252567165056</c:v>
                </c:pt>
                <c:pt idx="82">
                  <c:v>10.029252567165056</c:v>
                </c:pt>
                <c:pt idx="83">
                  <c:v>10.097526678881701</c:v>
                </c:pt>
                <c:pt idx="84">
                  <c:v>11.828718649321171</c:v>
                </c:pt>
                <c:pt idx="85">
                  <c:v>9.9969600918996733</c:v>
                </c:pt>
                <c:pt idx="86">
                  <c:v>7.3656414994344903</c:v>
                </c:pt>
                <c:pt idx="87">
                  <c:v>4.6368243533156903</c:v>
                </c:pt>
                <c:pt idx="88">
                  <c:v>2.531295009953769</c:v>
                </c:pt>
                <c:pt idx="89">
                  <c:v>4.5970496033166937</c:v>
                </c:pt>
                <c:pt idx="90">
                  <c:v>4.5223664585759726</c:v>
                </c:pt>
                <c:pt idx="91">
                  <c:v>4.7677128271280962</c:v>
                </c:pt>
                <c:pt idx="92">
                  <c:v>4.7677128271280962</c:v>
                </c:pt>
                <c:pt idx="93">
                  <c:v>4.1953148202815624</c:v>
                </c:pt>
                <c:pt idx="94">
                  <c:v>3.0492554499509299</c:v>
                </c:pt>
                <c:pt idx="95">
                  <c:v>5.603094636762024</c:v>
                </c:pt>
                <c:pt idx="96">
                  <c:v>8.845243059639385</c:v>
                </c:pt>
                <c:pt idx="97">
                  <c:v>5.2442466510634453</c:v>
                </c:pt>
                <c:pt idx="98">
                  <c:v>9.2366639750808535</c:v>
                </c:pt>
                <c:pt idx="99">
                  <c:v>10.162967065699901</c:v>
                </c:pt>
                <c:pt idx="100">
                  <c:v>6.5326497367594873</c:v>
                </c:pt>
                <c:pt idx="101">
                  <c:v>8.9194343129289884</c:v>
                </c:pt>
                <c:pt idx="102">
                  <c:v>4.9231683902220604</c:v>
                </c:pt>
                <c:pt idx="103">
                  <c:v>1.7077544627902423</c:v>
                </c:pt>
                <c:pt idx="104">
                  <c:v>1.7077544627902423</c:v>
                </c:pt>
                <c:pt idx="105">
                  <c:v>1.7077544627902423</c:v>
                </c:pt>
                <c:pt idx="106">
                  <c:v>5.3109444431186175</c:v>
                </c:pt>
                <c:pt idx="107">
                  <c:v>5.6054443174788906</c:v>
                </c:pt>
                <c:pt idx="108">
                  <c:v>5.9070232996742886</c:v>
                </c:pt>
                <c:pt idx="109">
                  <c:v>10.637506741005199</c:v>
                </c:pt>
                <c:pt idx="110">
                  <c:v>2.4277927325137907</c:v>
                </c:pt>
                <c:pt idx="111">
                  <c:v>2.4277927325137907</c:v>
                </c:pt>
                <c:pt idx="112">
                  <c:v>8.9194343129289884</c:v>
                </c:pt>
                <c:pt idx="113">
                  <c:v>4.9231683902220604</c:v>
                </c:pt>
                <c:pt idx="114">
                  <c:v>1.5732137532014823</c:v>
                </c:pt>
                <c:pt idx="115">
                  <c:v>1.5843685577567463</c:v>
                </c:pt>
                <c:pt idx="116">
                  <c:v>8.7842849851726683</c:v>
                </c:pt>
                <c:pt idx="117">
                  <c:v>9.6961220728241901</c:v>
                </c:pt>
                <c:pt idx="118">
                  <c:v>9.2997156030297408</c:v>
                </c:pt>
                <c:pt idx="119">
                  <c:v>1.7619063973790252</c:v>
                </c:pt>
                <c:pt idx="120">
                  <c:v>7.6239309762326979</c:v>
                </c:pt>
                <c:pt idx="121">
                  <c:v>7.1082094804467832</c:v>
                </c:pt>
                <c:pt idx="122">
                  <c:v>3.3191107072968968</c:v>
                </c:pt>
                <c:pt idx="123">
                  <c:v>3.3191107072969062</c:v>
                </c:pt>
                <c:pt idx="124">
                  <c:v>2.186391342102437</c:v>
                </c:pt>
                <c:pt idx="125">
                  <c:v>2.186391342102437</c:v>
                </c:pt>
                <c:pt idx="126">
                  <c:v>2.186391342102437</c:v>
                </c:pt>
                <c:pt idx="127">
                  <c:v>4.2480529535009524</c:v>
                </c:pt>
                <c:pt idx="128">
                  <c:v>8.0588308800606168</c:v>
                </c:pt>
                <c:pt idx="129">
                  <c:v>5.6731323294217306</c:v>
                </c:pt>
                <c:pt idx="130">
                  <c:v>7.9608268533133524</c:v>
                </c:pt>
                <c:pt idx="131">
                  <c:v>8.5313031631974017</c:v>
                </c:pt>
                <c:pt idx="132">
                  <c:v>0.52440987400628192</c:v>
                </c:pt>
                <c:pt idx="133">
                  <c:v>2.4329976308521801</c:v>
                </c:pt>
                <c:pt idx="134">
                  <c:v>2.2684651002118166</c:v>
                </c:pt>
                <c:pt idx="135">
                  <c:v>8.2678714910324711</c:v>
                </c:pt>
                <c:pt idx="136">
                  <c:v>8.2678714910324711</c:v>
                </c:pt>
                <c:pt idx="137">
                  <c:v>8.2678714910324711</c:v>
                </c:pt>
                <c:pt idx="138">
                  <c:v>7.1303785158826312</c:v>
                </c:pt>
                <c:pt idx="139">
                  <c:v>5.4164887311344945</c:v>
                </c:pt>
                <c:pt idx="140">
                  <c:v>3.6977108388762385</c:v>
                </c:pt>
                <c:pt idx="141">
                  <c:v>1.978932946617983</c:v>
                </c:pt>
                <c:pt idx="142">
                  <c:v>0.30433099137452585</c:v>
                </c:pt>
                <c:pt idx="143">
                  <c:v>2.0042288981765122</c:v>
                </c:pt>
                <c:pt idx="144">
                  <c:v>2.0042288981765122</c:v>
                </c:pt>
                <c:pt idx="145">
                  <c:v>7.0899218584090322</c:v>
                </c:pt>
                <c:pt idx="146">
                  <c:v>11.367053073836118</c:v>
                </c:pt>
                <c:pt idx="147">
                  <c:v>8.3056109556270439</c:v>
                </c:pt>
                <c:pt idx="148">
                  <c:v>8.7245884873071429</c:v>
                </c:pt>
                <c:pt idx="149">
                  <c:v>9.1509529141196868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FC-4010-8AD2-C860D91DF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</c:lineChart>
      <c:lineChart>
        <c:grouping val="standard"/>
        <c:varyColors val="0"/>
        <c:ser>
          <c:idx val="1"/>
          <c:order val="1"/>
          <c:tx>
            <c:v>Selected Gear 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'!$J$3:$J$152</c:f>
              <c:numCache>
                <c:formatCode>General</c:formatCode>
                <c:ptCount val="15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3</c:v>
                </c:pt>
                <c:pt idx="86">
                  <c:v>3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FC-4010-8AD2-C860D91DF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527160"/>
        <c:axId val="1119526504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1952650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Selected gear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527160"/>
        <c:crosses val="max"/>
        <c:crossBetween val="between"/>
      </c:valAx>
      <c:catAx>
        <c:axId val="1119527160"/>
        <c:scaling>
          <c:orientation val="minMax"/>
        </c:scaling>
        <c:delete val="1"/>
        <c:axPos val="b"/>
        <c:majorTickMark val="out"/>
        <c:minorTickMark val="none"/>
        <c:tickLblPos val="nextTo"/>
        <c:crossAx val="111952650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Power (KW)</c:v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'Duty Cycle '!$B$3:$B$152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'Duty Cycle '!$W$3:$W$152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0.60217848272409169</c:v>
                      </c:pt>
                      <c:pt idx="2">
                        <c:v>0.70826311803977515</c:v>
                      </c:pt>
                      <c:pt idx="3">
                        <c:v>1.0615524157168417</c:v>
                      </c:pt>
                      <c:pt idx="4">
                        <c:v>2.0330364812485606</c:v>
                      </c:pt>
                      <c:pt idx="5">
                        <c:v>3.5574245741794348</c:v>
                      </c:pt>
                      <c:pt idx="6">
                        <c:v>5.8284567720806271</c:v>
                      </c:pt>
                      <c:pt idx="7">
                        <c:v>6.1615530785099217</c:v>
                      </c:pt>
                      <c:pt idx="8">
                        <c:v>8.4788648400148308</c:v>
                      </c:pt>
                      <c:pt idx="9">
                        <c:v>7.9382086374669543</c:v>
                      </c:pt>
                      <c:pt idx="10">
                        <c:v>9.7691032705343677</c:v>
                      </c:pt>
                      <c:pt idx="11">
                        <c:v>12.200837504722434</c:v>
                      </c:pt>
                      <c:pt idx="12">
                        <c:v>11.707801759358153</c:v>
                      </c:pt>
                      <c:pt idx="13">
                        <c:v>5.7979211169204223</c:v>
                      </c:pt>
                      <c:pt idx="14">
                        <c:v>11.647457435569542</c:v>
                      </c:pt>
                      <c:pt idx="15">
                        <c:v>11.415204788337835</c:v>
                      </c:pt>
                      <c:pt idx="16">
                        <c:v>11.783773996199773</c:v>
                      </c:pt>
                      <c:pt idx="17">
                        <c:v>2.5966508627003071</c:v>
                      </c:pt>
                      <c:pt idx="18">
                        <c:v>0.63447682162333319</c:v>
                      </c:pt>
                      <c:pt idx="19">
                        <c:v>4.2656964792253014</c:v>
                      </c:pt>
                      <c:pt idx="20">
                        <c:v>0.65561243876773279</c:v>
                      </c:pt>
                      <c:pt idx="21">
                        <c:v>0.11121905210040153</c:v>
                      </c:pt>
                      <c:pt idx="22">
                        <c:v>2.938764764305358</c:v>
                      </c:pt>
                      <c:pt idx="23">
                        <c:v>1.3760167891310204</c:v>
                      </c:pt>
                      <c:pt idx="24">
                        <c:v>1.7053432558237085</c:v>
                      </c:pt>
                      <c:pt idx="25">
                        <c:v>2.1761604773462984</c:v>
                      </c:pt>
                      <c:pt idx="26">
                        <c:v>3.9830236103808683</c:v>
                      </c:pt>
                      <c:pt idx="27">
                        <c:v>6.0601774536227371</c:v>
                      </c:pt>
                      <c:pt idx="28">
                        <c:v>1.2815254773192155</c:v>
                      </c:pt>
                      <c:pt idx="29">
                        <c:v>2.4277927325137907</c:v>
                      </c:pt>
                      <c:pt idx="30">
                        <c:v>2.4277927325137907</c:v>
                      </c:pt>
                      <c:pt idx="31">
                        <c:v>1.2815254773192155</c:v>
                      </c:pt>
                      <c:pt idx="32">
                        <c:v>1.007909478794289</c:v>
                      </c:pt>
                      <c:pt idx="33">
                        <c:v>4.4228127933321773</c:v>
                      </c:pt>
                      <c:pt idx="34">
                        <c:v>3.2880875406801309</c:v>
                      </c:pt>
                      <c:pt idx="35">
                        <c:v>3.2880875406801309</c:v>
                      </c:pt>
                      <c:pt idx="36">
                        <c:v>3.2880875406801309</c:v>
                      </c:pt>
                      <c:pt idx="37">
                        <c:v>3.2880875406801309</c:v>
                      </c:pt>
                      <c:pt idx="38">
                        <c:v>1.761906397379001</c:v>
                      </c:pt>
                      <c:pt idx="39">
                        <c:v>1.761906397379001</c:v>
                      </c:pt>
                      <c:pt idx="40">
                        <c:v>3.0742924331400086</c:v>
                      </c:pt>
                      <c:pt idx="41">
                        <c:v>3.1260138098840509</c:v>
                      </c:pt>
                      <c:pt idx="42">
                        <c:v>3.8176931387118214</c:v>
                      </c:pt>
                      <c:pt idx="43">
                        <c:v>3.5568105693126872</c:v>
                      </c:pt>
                      <c:pt idx="44">
                        <c:v>4.2651584151689317</c:v>
                      </c:pt>
                      <c:pt idx="45">
                        <c:v>2.3513843371561025</c:v>
                      </c:pt>
                      <c:pt idx="46">
                        <c:v>2.3513843371561025</c:v>
                      </c:pt>
                      <c:pt idx="47">
                        <c:v>2.3513843371561025</c:v>
                      </c:pt>
                      <c:pt idx="48">
                        <c:v>2.3513843371561025</c:v>
                      </c:pt>
                      <c:pt idx="49">
                        <c:v>1.2052688887634042</c:v>
                      </c:pt>
                      <c:pt idx="50">
                        <c:v>6.0837870988356274E-2</c:v>
                      </c:pt>
                      <c:pt idx="51">
                        <c:v>0.14712779340447754</c:v>
                      </c:pt>
                      <c:pt idx="52">
                        <c:v>1.8876882717932948</c:v>
                      </c:pt>
                      <c:pt idx="53">
                        <c:v>0.76957672798577559</c:v>
                      </c:pt>
                      <c:pt idx="54">
                        <c:v>6.0117046080305849</c:v>
                      </c:pt>
                      <c:pt idx="55">
                        <c:v>8.766641232953349</c:v>
                      </c:pt>
                      <c:pt idx="56">
                        <c:v>6.9125636248660332</c:v>
                      </c:pt>
                      <c:pt idx="57">
                        <c:v>3.380791745968037</c:v>
                      </c:pt>
                      <c:pt idx="58">
                        <c:v>3.953973875814921</c:v>
                      </c:pt>
                      <c:pt idx="59">
                        <c:v>3.953973875814921</c:v>
                      </c:pt>
                      <c:pt idx="60">
                        <c:v>4.0514904259589031</c:v>
                      </c:pt>
                      <c:pt idx="61">
                        <c:v>5.8597466993021481</c:v>
                      </c:pt>
                      <c:pt idx="62">
                        <c:v>1.1261241103546917</c:v>
                      </c:pt>
                      <c:pt idx="63">
                        <c:v>0.82111034071364397</c:v>
                      </c:pt>
                      <c:pt idx="64">
                        <c:v>5.2129913087521169</c:v>
                      </c:pt>
                      <c:pt idx="65">
                        <c:v>5.7830053095596652</c:v>
                      </c:pt>
                      <c:pt idx="66">
                        <c:v>6.3517677174333347</c:v>
                      </c:pt>
                      <c:pt idx="67">
                        <c:v>2.7543314155367185</c:v>
                      </c:pt>
                      <c:pt idx="68">
                        <c:v>10.397521050506692</c:v>
                      </c:pt>
                      <c:pt idx="69">
                        <c:v>9.7516397773527199</c:v>
                      </c:pt>
                      <c:pt idx="70">
                        <c:v>10.502115295077925</c:v>
                      </c:pt>
                      <c:pt idx="71">
                        <c:v>7.3617879271046585</c:v>
                      </c:pt>
                      <c:pt idx="72">
                        <c:v>8.7245884873071429</c:v>
                      </c:pt>
                      <c:pt idx="73">
                        <c:v>3.3346434597714909</c:v>
                      </c:pt>
                      <c:pt idx="74">
                        <c:v>2.1151485652433162</c:v>
                      </c:pt>
                      <c:pt idx="75">
                        <c:v>3.4002441851084111</c:v>
                      </c:pt>
                      <c:pt idx="76">
                        <c:v>7.4479152753216802</c:v>
                      </c:pt>
                      <c:pt idx="77">
                        <c:v>6.9985275342568212</c:v>
                      </c:pt>
                      <c:pt idx="78">
                        <c:v>10.029252567165065</c:v>
                      </c:pt>
                      <c:pt idx="79">
                        <c:v>10.029252567165056</c:v>
                      </c:pt>
                      <c:pt idx="80">
                        <c:v>10.029252567165065</c:v>
                      </c:pt>
                      <c:pt idx="81">
                        <c:v>10.029252567165056</c:v>
                      </c:pt>
                      <c:pt idx="82">
                        <c:v>10.029252567165056</c:v>
                      </c:pt>
                      <c:pt idx="83">
                        <c:v>10.097526678881701</c:v>
                      </c:pt>
                      <c:pt idx="84">
                        <c:v>11.828718649321171</c:v>
                      </c:pt>
                      <c:pt idx="85">
                        <c:v>9.9969600918996733</c:v>
                      </c:pt>
                      <c:pt idx="86">
                        <c:v>7.3656414994344903</c:v>
                      </c:pt>
                      <c:pt idx="87">
                        <c:v>4.6368243533156903</c:v>
                      </c:pt>
                      <c:pt idx="88">
                        <c:v>2.531295009953769</c:v>
                      </c:pt>
                      <c:pt idx="89">
                        <c:v>4.5970496033166937</c:v>
                      </c:pt>
                      <c:pt idx="90">
                        <c:v>4.5223664585759726</c:v>
                      </c:pt>
                      <c:pt idx="91">
                        <c:v>4.7677128271280962</c:v>
                      </c:pt>
                      <c:pt idx="92">
                        <c:v>4.7677128271280962</c:v>
                      </c:pt>
                      <c:pt idx="93">
                        <c:v>4.1953148202815624</c:v>
                      </c:pt>
                      <c:pt idx="94">
                        <c:v>3.0492554499509299</c:v>
                      </c:pt>
                      <c:pt idx="95">
                        <c:v>5.603094636762024</c:v>
                      </c:pt>
                      <c:pt idx="96">
                        <c:v>8.845243059639385</c:v>
                      </c:pt>
                      <c:pt idx="97">
                        <c:v>5.2442466510634453</c:v>
                      </c:pt>
                      <c:pt idx="98">
                        <c:v>9.2366639750808535</c:v>
                      </c:pt>
                      <c:pt idx="99">
                        <c:v>10.162967065699901</c:v>
                      </c:pt>
                      <c:pt idx="100">
                        <c:v>6.5326497367594873</c:v>
                      </c:pt>
                      <c:pt idx="101">
                        <c:v>8.9194343129289884</c:v>
                      </c:pt>
                      <c:pt idx="102">
                        <c:v>4.9231683902220604</c:v>
                      </c:pt>
                      <c:pt idx="103">
                        <c:v>1.7077544627902423</c:v>
                      </c:pt>
                      <c:pt idx="104">
                        <c:v>1.7077544627902423</c:v>
                      </c:pt>
                      <c:pt idx="105">
                        <c:v>1.7077544627902423</c:v>
                      </c:pt>
                      <c:pt idx="106">
                        <c:v>5.3109444431186175</c:v>
                      </c:pt>
                      <c:pt idx="107">
                        <c:v>5.6054443174788906</c:v>
                      </c:pt>
                      <c:pt idx="108">
                        <c:v>5.9070232996742886</c:v>
                      </c:pt>
                      <c:pt idx="109">
                        <c:v>10.637506741005199</c:v>
                      </c:pt>
                      <c:pt idx="110">
                        <c:v>2.4277927325137907</c:v>
                      </c:pt>
                      <c:pt idx="111">
                        <c:v>2.4277927325137907</c:v>
                      </c:pt>
                      <c:pt idx="112">
                        <c:v>8.9194343129289884</c:v>
                      </c:pt>
                      <c:pt idx="113">
                        <c:v>4.9231683902220604</c:v>
                      </c:pt>
                      <c:pt idx="114">
                        <c:v>1.5732137532014823</c:v>
                      </c:pt>
                      <c:pt idx="115">
                        <c:v>1.5843685577567463</c:v>
                      </c:pt>
                      <c:pt idx="116">
                        <c:v>8.7842849851726683</c:v>
                      </c:pt>
                      <c:pt idx="117">
                        <c:v>9.6961220728241901</c:v>
                      </c:pt>
                      <c:pt idx="118">
                        <c:v>9.2997156030297408</c:v>
                      </c:pt>
                      <c:pt idx="119">
                        <c:v>1.7619063973790252</c:v>
                      </c:pt>
                      <c:pt idx="120">
                        <c:v>7.6239309762326979</c:v>
                      </c:pt>
                      <c:pt idx="121">
                        <c:v>7.1082094804467832</c:v>
                      </c:pt>
                      <c:pt idx="122">
                        <c:v>3.3191107072968968</c:v>
                      </c:pt>
                      <c:pt idx="123">
                        <c:v>3.3191107072969062</c:v>
                      </c:pt>
                      <c:pt idx="124">
                        <c:v>2.186391342102437</c:v>
                      </c:pt>
                      <c:pt idx="125">
                        <c:v>2.186391342102437</c:v>
                      </c:pt>
                      <c:pt idx="126">
                        <c:v>2.186391342102437</c:v>
                      </c:pt>
                      <c:pt idx="127">
                        <c:v>4.2480529535009524</c:v>
                      </c:pt>
                      <c:pt idx="128">
                        <c:v>8.0588308800606168</c:v>
                      </c:pt>
                      <c:pt idx="129">
                        <c:v>5.6731323294217306</c:v>
                      </c:pt>
                      <c:pt idx="130">
                        <c:v>7.9608268533133524</c:v>
                      </c:pt>
                      <c:pt idx="131">
                        <c:v>8.5313031631974017</c:v>
                      </c:pt>
                      <c:pt idx="132">
                        <c:v>0.52440987400628192</c:v>
                      </c:pt>
                      <c:pt idx="133">
                        <c:v>2.4329976308521801</c:v>
                      </c:pt>
                      <c:pt idx="134">
                        <c:v>2.2684651002118166</c:v>
                      </c:pt>
                      <c:pt idx="135">
                        <c:v>8.2678714910324711</c:v>
                      </c:pt>
                      <c:pt idx="136">
                        <c:v>8.2678714910324711</c:v>
                      </c:pt>
                      <c:pt idx="137">
                        <c:v>8.2678714910324711</c:v>
                      </c:pt>
                      <c:pt idx="138">
                        <c:v>7.1303785158826312</c:v>
                      </c:pt>
                      <c:pt idx="139">
                        <c:v>5.4164887311344945</c:v>
                      </c:pt>
                      <c:pt idx="140">
                        <c:v>3.6977108388762385</c:v>
                      </c:pt>
                      <c:pt idx="141">
                        <c:v>1.978932946617983</c:v>
                      </c:pt>
                      <c:pt idx="142">
                        <c:v>0.30433099137452585</c:v>
                      </c:pt>
                      <c:pt idx="143">
                        <c:v>2.0042288981765122</c:v>
                      </c:pt>
                      <c:pt idx="144">
                        <c:v>2.0042288981765122</c:v>
                      </c:pt>
                      <c:pt idx="145">
                        <c:v>7.0899218584090322</c:v>
                      </c:pt>
                      <c:pt idx="146">
                        <c:v>11.367053073836118</c:v>
                      </c:pt>
                      <c:pt idx="147">
                        <c:v>8.3056109556270439</c:v>
                      </c:pt>
                      <c:pt idx="148">
                        <c:v>8.7245884873071429</c:v>
                      </c:pt>
                      <c:pt idx="149">
                        <c:v>9.1509529141196868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9E5-4494-A13B-651542BA913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'Duty Cycle '!$K$2</c:f>
              <c:strCache>
                <c:ptCount val="1"/>
                <c:pt idx="0">
                  <c:v>RPM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'!$K$3:$K$152</c:f>
              <c:numCache>
                <c:formatCode>General</c:formatCode>
                <c:ptCount val="150"/>
                <c:pt idx="0">
                  <c:v>750</c:v>
                </c:pt>
                <c:pt idx="1">
                  <c:v>750</c:v>
                </c:pt>
                <c:pt idx="2">
                  <c:v>1250</c:v>
                </c:pt>
                <c:pt idx="3">
                  <c:v>1750</c:v>
                </c:pt>
                <c:pt idx="4">
                  <c:v>2500</c:v>
                </c:pt>
                <c:pt idx="5">
                  <c:v>3250</c:v>
                </c:pt>
                <c:pt idx="6">
                  <c:v>4250</c:v>
                </c:pt>
                <c:pt idx="7">
                  <c:v>5000</c:v>
                </c:pt>
                <c:pt idx="8">
                  <c:v>6000</c:v>
                </c:pt>
                <c:pt idx="9">
                  <c:v>4500</c:v>
                </c:pt>
                <c:pt idx="10">
                  <c:v>5000</c:v>
                </c:pt>
                <c:pt idx="11">
                  <c:v>5750</c:v>
                </c:pt>
                <c:pt idx="12">
                  <c:v>6500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  <c:pt idx="16">
                  <c:v>6500</c:v>
                </c:pt>
                <c:pt idx="17">
                  <c:v>6000</c:v>
                </c:pt>
                <c:pt idx="18">
                  <c:v>5750</c:v>
                </c:pt>
                <c:pt idx="19">
                  <c:v>5750</c:v>
                </c:pt>
                <c:pt idx="20">
                  <c:v>5500</c:v>
                </c:pt>
                <c:pt idx="21">
                  <c:v>5250</c:v>
                </c:pt>
                <c:pt idx="22">
                  <c:v>6250</c:v>
                </c:pt>
                <c:pt idx="23">
                  <c:v>6250</c:v>
                </c:pt>
                <c:pt idx="24">
                  <c:v>6500</c:v>
                </c:pt>
                <c:pt idx="25">
                  <c:v>5500</c:v>
                </c:pt>
                <c:pt idx="26">
                  <c:v>6000</c:v>
                </c:pt>
                <c:pt idx="27">
                  <c:v>6500</c:v>
                </c:pt>
                <c:pt idx="28">
                  <c:v>6500</c:v>
                </c:pt>
                <c:pt idx="29">
                  <c:v>6500</c:v>
                </c:pt>
                <c:pt idx="30">
                  <c:v>6500</c:v>
                </c:pt>
                <c:pt idx="31">
                  <c:v>6500</c:v>
                </c:pt>
                <c:pt idx="32">
                  <c:v>6500</c:v>
                </c:pt>
                <c:pt idx="33">
                  <c:v>6500</c:v>
                </c:pt>
                <c:pt idx="34">
                  <c:v>6500</c:v>
                </c:pt>
                <c:pt idx="35">
                  <c:v>6500</c:v>
                </c:pt>
                <c:pt idx="36">
                  <c:v>6500</c:v>
                </c:pt>
                <c:pt idx="37">
                  <c:v>6500</c:v>
                </c:pt>
                <c:pt idx="38">
                  <c:v>6500</c:v>
                </c:pt>
                <c:pt idx="39">
                  <c:v>6500</c:v>
                </c:pt>
                <c:pt idx="40">
                  <c:v>6250</c:v>
                </c:pt>
                <c:pt idx="41">
                  <c:v>6000</c:v>
                </c:pt>
                <c:pt idx="42">
                  <c:v>5500</c:v>
                </c:pt>
                <c:pt idx="43">
                  <c:v>5000</c:v>
                </c:pt>
                <c:pt idx="44">
                  <c:v>5750</c:v>
                </c:pt>
                <c:pt idx="45">
                  <c:v>5750</c:v>
                </c:pt>
                <c:pt idx="46">
                  <c:v>5750</c:v>
                </c:pt>
                <c:pt idx="47">
                  <c:v>5750</c:v>
                </c:pt>
                <c:pt idx="48">
                  <c:v>5750</c:v>
                </c:pt>
                <c:pt idx="49">
                  <c:v>5750</c:v>
                </c:pt>
                <c:pt idx="50">
                  <c:v>5750</c:v>
                </c:pt>
                <c:pt idx="51">
                  <c:v>6000</c:v>
                </c:pt>
                <c:pt idx="52">
                  <c:v>6500</c:v>
                </c:pt>
                <c:pt idx="53">
                  <c:v>5250</c:v>
                </c:pt>
                <c:pt idx="54">
                  <c:v>5750</c:v>
                </c:pt>
                <c:pt idx="55">
                  <c:v>6250</c:v>
                </c:pt>
                <c:pt idx="56">
                  <c:v>6500</c:v>
                </c:pt>
                <c:pt idx="57">
                  <c:v>6500</c:v>
                </c:pt>
                <c:pt idx="58">
                  <c:v>6500</c:v>
                </c:pt>
                <c:pt idx="59">
                  <c:v>6500</c:v>
                </c:pt>
                <c:pt idx="60">
                  <c:v>6000</c:v>
                </c:pt>
                <c:pt idx="61">
                  <c:v>5250</c:v>
                </c:pt>
                <c:pt idx="62">
                  <c:v>4750</c:v>
                </c:pt>
                <c:pt idx="63">
                  <c:v>5750</c:v>
                </c:pt>
                <c:pt idx="64">
                  <c:v>5750</c:v>
                </c:pt>
                <c:pt idx="65">
                  <c:v>5750</c:v>
                </c:pt>
                <c:pt idx="66">
                  <c:v>5750</c:v>
                </c:pt>
                <c:pt idx="67">
                  <c:v>5250</c:v>
                </c:pt>
                <c:pt idx="68">
                  <c:v>5500</c:v>
                </c:pt>
                <c:pt idx="69">
                  <c:v>6000</c:v>
                </c:pt>
                <c:pt idx="70">
                  <c:v>5250</c:v>
                </c:pt>
                <c:pt idx="71">
                  <c:v>5750</c:v>
                </c:pt>
                <c:pt idx="72">
                  <c:v>6000</c:v>
                </c:pt>
                <c:pt idx="73">
                  <c:v>5750</c:v>
                </c:pt>
                <c:pt idx="74">
                  <c:v>5250</c:v>
                </c:pt>
                <c:pt idx="75">
                  <c:v>4750</c:v>
                </c:pt>
                <c:pt idx="76">
                  <c:v>4500</c:v>
                </c:pt>
                <c:pt idx="77">
                  <c:v>5500</c:v>
                </c:pt>
                <c:pt idx="78">
                  <c:v>5500</c:v>
                </c:pt>
                <c:pt idx="79">
                  <c:v>5500</c:v>
                </c:pt>
                <c:pt idx="80">
                  <c:v>5500</c:v>
                </c:pt>
                <c:pt idx="81">
                  <c:v>5500</c:v>
                </c:pt>
                <c:pt idx="82">
                  <c:v>5500</c:v>
                </c:pt>
                <c:pt idx="83">
                  <c:v>5750</c:v>
                </c:pt>
                <c:pt idx="84">
                  <c:v>6250</c:v>
                </c:pt>
                <c:pt idx="85">
                  <c:v>5000</c:v>
                </c:pt>
                <c:pt idx="86">
                  <c:v>5000</c:v>
                </c:pt>
                <c:pt idx="87">
                  <c:v>6250</c:v>
                </c:pt>
                <c:pt idx="88">
                  <c:v>5750</c:v>
                </c:pt>
                <c:pt idx="89">
                  <c:v>5500</c:v>
                </c:pt>
                <c:pt idx="90">
                  <c:v>5250</c:v>
                </c:pt>
                <c:pt idx="91">
                  <c:v>5250</c:v>
                </c:pt>
                <c:pt idx="92">
                  <c:v>5250</c:v>
                </c:pt>
                <c:pt idx="93">
                  <c:v>5250</c:v>
                </c:pt>
                <c:pt idx="94">
                  <c:v>5250</c:v>
                </c:pt>
                <c:pt idx="95">
                  <c:v>5750</c:v>
                </c:pt>
                <c:pt idx="96">
                  <c:v>6500</c:v>
                </c:pt>
                <c:pt idx="97">
                  <c:v>5250</c:v>
                </c:pt>
                <c:pt idx="98">
                  <c:v>5750</c:v>
                </c:pt>
                <c:pt idx="99">
                  <c:v>6250</c:v>
                </c:pt>
                <c:pt idx="100">
                  <c:v>6500</c:v>
                </c:pt>
                <c:pt idx="101">
                  <c:v>5750</c:v>
                </c:pt>
                <c:pt idx="102">
                  <c:v>5250</c:v>
                </c:pt>
                <c:pt idx="103">
                  <c:v>5250</c:v>
                </c:pt>
                <c:pt idx="104">
                  <c:v>5250</c:v>
                </c:pt>
                <c:pt idx="105">
                  <c:v>5250</c:v>
                </c:pt>
                <c:pt idx="106">
                  <c:v>5500</c:v>
                </c:pt>
                <c:pt idx="107">
                  <c:v>5750</c:v>
                </c:pt>
                <c:pt idx="108">
                  <c:v>6000</c:v>
                </c:pt>
                <c:pt idx="109">
                  <c:v>6500</c:v>
                </c:pt>
                <c:pt idx="110">
                  <c:v>6500</c:v>
                </c:pt>
                <c:pt idx="111">
                  <c:v>6500</c:v>
                </c:pt>
                <c:pt idx="112">
                  <c:v>5750</c:v>
                </c:pt>
                <c:pt idx="113">
                  <c:v>5250</c:v>
                </c:pt>
                <c:pt idx="114">
                  <c:v>5000</c:v>
                </c:pt>
                <c:pt idx="115">
                  <c:v>5000</c:v>
                </c:pt>
                <c:pt idx="116">
                  <c:v>5500</c:v>
                </c:pt>
                <c:pt idx="117">
                  <c:v>6000</c:v>
                </c:pt>
                <c:pt idx="118">
                  <c:v>6500</c:v>
                </c:pt>
                <c:pt idx="119">
                  <c:v>6500</c:v>
                </c:pt>
                <c:pt idx="120">
                  <c:v>6250</c:v>
                </c:pt>
                <c:pt idx="121">
                  <c:v>6000</c:v>
                </c:pt>
                <c:pt idx="122">
                  <c:v>6000</c:v>
                </c:pt>
                <c:pt idx="123">
                  <c:v>6000</c:v>
                </c:pt>
                <c:pt idx="124">
                  <c:v>6000</c:v>
                </c:pt>
                <c:pt idx="125">
                  <c:v>6000</c:v>
                </c:pt>
                <c:pt idx="126">
                  <c:v>6000</c:v>
                </c:pt>
                <c:pt idx="127">
                  <c:v>6250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6000</c:v>
                </c:pt>
                <c:pt idx="133">
                  <c:v>5250</c:v>
                </c:pt>
                <c:pt idx="134">
                  <c:v>4750</c:v>
                </c:pt>
                <c:pt idx="135">
                  <c:v>4750</c:v>
                </c:pt>
                <c:pt idx="136">
                  <c:v>4750</c:v>
                </c:pt>
                <c:pt idx="137">
                  <c:v>4750</c:v>
                </c:pt>
                <c:pt idx="138">
                  <c:v>4750</c:v>
                </c:pt>
                <c:pt idx="139">
                  <c:v>4750</c:v>
                </c:pt>
                <c:pt idx="140">
                  <c:v>4750</c:v>
                </c:pt>
                <c:pt idx="141">
                  <c:v>4750</c:v>
                </c:pt>
                <c:pt idx="142">
                  <c:v>4750</c:v>
                </c:pt>
                <c:pt idx="143">
                  <c:v>4750</c:v>
                </c:pt>
                <c:pt idx="144">
                  <c:v>4750</c:v>
                </c:pt>
                <c:pt idx="145">
                  <c:v>5000</c:v>
                </c:pt>
                <c:pt idx="146">
                  <c:v>5500</c:v>
                </c:pt>
                <c:pt idx="147">
                  <c:v>5750</c:v>
                </c:pt>
                <c:pt idx="148">
                  <c:v>6000</c:v>
                </c:pt>
                <c:pt idx="149">
                  <c:v>6250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E5-4494-A13B-651542BA91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630680"/>
        <c:axId val="1130632320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306323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0630680"/>
        <c:crosses val="max"/>
        <c:crossBetween val="between"/>
      </c:valAx>
      <c:catAx>
        <c:axId val="1130630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0632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&amp; Selected Gear </a:t>
            </a:r>
          </a:p>
          <a:p>
            <a:pPr>
              <a:defRPr/>
            </a:pPr>
            <a:r>
              <a:rPr lang="en-GB" baseline="0"/>
              <a:t>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Selected Gear </c:v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  <c:extLst xmlns:c15="http://schemas.microsoft.com/office/drawing/2012/chart"/>
            </c:numRef>
          </c:cat>
          <c:val>
            <c:numRef>
              <c:f>'Duty Cycle '!$J$3:$J$152</c:f>
              <c:numCache>
                <c:formatCode>General</c:formatCode>
                <c:ptCount val="15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3</c:v>
                </c:pt>
                <c:pt idx="86">
                  <c:v>3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8A-4E91-8C88-0514C684A4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  <c:extLst/>
      </c:lineChart>
      <c:lineChart>
        <c:grouping val="standard"/>
        <c:varyColors val="0"/>
        <c:ser>
          <c:idx val="1"/>
          <c:order val="1"/>
          <c:tx>
            <c:strRef>
              <c:f>'Duty Cycle '!$K$2</c:f>
              <c:strCache>
                <c:ptCount val="1"/>
                <c:pt idx="0">
                  <c:v>RPM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'!$K$3:$K$152</c:f>
              <c:numCache>
                <c:formatCode>General</c:formatCode>
                <c:ptCount val="150"/>
                <c:pt idx="0">
                  <c:v>750</c:v>
                </c:pt>
                <c:pt idx="1">
                  <c:v>750</c:v>
                </c:pt>
                <c:pt idx="2">
                  <c:v>1250</c:v>
                </c:pt>
                <c:pt idx="3">
                  <c:v>1750</c:v>
                </c:pt>
                <c:pt idx="4">
                  <c:v>2500</c:v>
                </c:pt>
                <c:pt idx="5">
                  <c:v>3250</c:v>
                </c:pt>
                <c:pt idx="6">
                  <c:v>4250</c:v>
                </c:pt>
                <c:pt idx="7">
                  <c:v>5000</c:v>
                </c:pt>
                <c:pt idx="8">
                  <c:v>6000</c:v>
                </c:pt>
                <c:pt idx="9">
                  <c:v>4500</c:v>
                </c:pt>
                <c:pt idx="10">
                  <c:v>5000</c:v>
                </c:pt>
                <c:pt idx="11">
                  <c:v>5750</c:v>
                </c:pt>
                <c:pt idx="12">
                  <c:v>6500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  <c:pt idx="16">
                  <c:v>6500</c:v>
                </c:pt>
                <c:pt idx="17">
                  <c:v>6000</c:v>
                </c:pt>
                <c:pt idx="18">
                  <c:v>5750</c:v>
                </c:pt>
                <c:pt idx="19">
                  <c:v>5750</c:v>
                </c:pt>
                <c:pt idx="20">
                  <c:v>5500</c:v>
                </c:pt>
                <c:pt idx="21">
                  <c:v>5250</c:v>
                </c:pt>
                <c:pt idx="22">
                  <c:v>6250</c:v>
                </c:pt>
                <c:pt idx="23">
                  <c:v>6250</c:v>
                </c:pt>
                <c:pt idx="24">
                  <c:v>6500</c:v>
                </c:pt>
                <c:pt idx="25">
                  <c:v>5500</c:v>
                </c:pt>
                <c:pt idx="26">
                  <c:v>6000</c:v>
                </c:pt>
                <c:pt idx="27">
                  <c:v>6500</c:v>
                </c:pt>
                <c:pt idx="28">
                  <c:v>6500</c:v>
                </c:pt>
                <c:pt idx="29">
                  <c:v>6500</c:v>
                </c:pt>
                <c:pt idx="30">
                  <c:v>6500</c:v>
                </c:pt>
                <c:pt idx="31">
                  <c:v>6500</c:v>
                </c:pt>
                <c:pt idx="32">
                  <c:v>6500</c:v>
                </c:pt>
                <c:pt idx="33">
                  <c:v>6500</c:v>
                </c:pt>
                <c:pt idx="34">
                  <c:v>6500</c:v>
                </c:pt>
                <c:pt idx="35">
                  <c:v>6500</c:v>
                </c:pt>
                <c:pt idx="36">
                  <c:v>6500</c:v>
                </c:pt>
                <c:pt idx="37">
                  <c:v>6500</c:v>
                </c:pt>
                <c:pt idx="38">
                  <c:v>6500</c:v>
                </c:pt>
                <c:pt idx="39">
                  <c:v>6500</c:v>
                </c:pt>
                <c:pt idx="40">
                  <c:v>6250</c:v>
                </c:pt>
                <c:pt idx="41">
                  <c:v>6000</c:v>
                </c:pt>
                <c:pt idx="42">
                  <c:v>5500</c:v>
                </c:pt>
                <c:pt idx="43">
                  <c:v>5000</c:v>
                </c:pt>
                <c:pt idx="44">
                  <c:v>5750</c:v>
                </c:pt>
                <c:pt idx="45">
                  <c:v>5750</c:v>
                </c:pt>
                <c:pt idx="46">
                  <c:v>5750</c:v>
                </c:pt>
                <c:pt idx="47">
                  <c:v>5750</c:v>
                </c:pt>
                <c:pt idx="48">
                  <c:v>5750</c:v>
                </c:pt>
                <c:pt idx="49">
                  <c:v>5750</c:v>
                </c:pt>
                <c:pt idx="50">
                  <c:v>5750</c:v>
                </c:pt>
                <c:pt idx="51">
                  <c:v>6000</c:v>
                </c:pt>
                <c:pt idx="52">
                  <c:v>6500</c:v>
                </c:pt>
                <c:pt idx="53">
                  <c:v>5250</c:v>
                </c:pt>
                <c:pt idx="54">
                  <c:v>5750</c:v>
                </c:pt>
                <c:pt idx="55">
                  <c:v>6250</c:v>
                </c:pt>
                <c:pt idx="56">
                  <c:v>6500</c:v>
                </c:pt>
                <c:pt idx="57">
                  <c:v>6500</c:v>
                </c:pt>
                <c:pt idx="58">
                  <c:v>6500</c:v>
                </c:pt>
                <c:pt idx="59">
                  <c:v>6500</c:v>
                </c:pt>
                <c:pt idx="60">
                  <c:v>6000</c:v>
                </c:pt>
                <c:pt idx="61">
                  <c:v>5250</c:v>
                </c:pt>
                <c:pt idx="62">
                  <c:v>4750</c:v>
                </c:pt>
                <c:pt idx="63">
                  <c:v>5750</c:v>
                </c:pt>
                <c:pt idx="64">
                  <c:v>5750</c:v>
                </c:pt>
                <c:pt idx="65">
                  <c:v>5750</c:v>
                </c:pt>
                <c:pt idx="66">
                  <c:v>5750</c:v>
                </c:pt>
                <c:pt idx="67">
                  <c:v>5250</c:v>
                </c:pt>
                <c:pt idx="68">
                  <c:v>5500</c:v>
                </c:pt>
                <c:pt idx="69">
                  <c:v>6000</c:v>
                </c:pt>
                <c:pt idx="70">
                  <c:v>5250</c:v>
                </c:pt>
                <c:pt idx="71">
                  <c:v>5750</c:v>
                </c:pt>
                <c:pt idx="72">
                  <c:v>6000</c:v>
                </c:pt>
                <c:pt idx="73">
                  <c:v>5750</c:v>
                </c:pt>
                <c:pt idx="74">
                  <c:v>5250</c:v>
                </c:pt>
                <c:pt idx="75">
                  <c:v>4750</c:v>
                </c:pt>
                <c:pt idx="76">
                  <c:v>4500</c:v>
                </c:pt>
                <c:pt idx="77">
                  <c:v>5500</c:v>
                </c:pt>
                <c:pt idx="78">
                  <c:v>5500</c:v>
                </c:pt>
                <c:pt idx="79">
                  <c:v>5500</c:v>
                </c:pt>
                <c:pt idx="80">
                  <c:v>5500</c:v>
                </c:pt>
                <c:pt idx="81">
                  <c:v>5500</c:v>
                </c:pt>
                <c:pt idx="82">
                  <c:v>5500</c:v>
                </c:pt>
                <c:pt idx="83">
                  <c:v>5750</c:v>
                </c:pt>
                <c:pt idx="84">
                  <c:v>6250</c:v>
                </c:pt>
                <c:pt idx="85">
                  <c:v>5000</c:v>
                </c:pt>
                <c:pt idx="86">
                  <c:v>5000</c:v>
                </c:pt>
                <c:pt idx="87">
                  <c:v>6250</c:v>
                </c:pt>
                <c:pt idx="88">
                  <c:v>5750</c:v>
                </c:pt>
                <c:pt idx="89">
                  <c:v>5500</c:v>
                </c:pt>
                <c:pt idx="90">
                  <c:v>5250</c:v>
                </c:pt>
                <c:pt idx="91">
                  <c:v>5250</c:v>
                </c:pt>
                <c:pt idx="92">
                  <c:v>5250</c:v>
                </c:pt>
                <c:pt idx="93">
                  <c:v>5250</c:v>
                </c:pt>
                <c:pt idx="94">
                  <c:v>5250</c:v>
                </c:pt>
                <c:pt idx="95">
                  <c:v>5750</c:v>
                </c:pt>
                <c:pt idx="96">
                  <c:v>6500</c:v>
                </c:pt>
                <c:pt idx="97">
                  <c:v>5250</c:v>
                </c:pt>
                <c:pt idx="98">
                  <c:v>5750</c:v>
                </c:pt>
                <c:pt idx="99">
                  <c:v>6250</c:v>
                </c:pt>
                <c:pt idx="100">
                  <c:v>6500</c:v>
                </c:pt>
                <c:pt idx="101">
                  <c:v>5750</c:v>
                </c:pt>
                <c:pt idx="102">
                  <c:v>5250</c:v>
                </c:pt>
                <c:pt idx="103">
                  <c:v>5250</c:v>
                </c:pt>
                <c:pt idx="104">
                  <c:v>5250</c:v>
                </c:pt>
                <c:pt idx="105">
                  <c:v>5250</c:v>
                </c:pt>
                <c:pt idx="106">
                  <c:v>5500</c:v>
                </c:pt>
                <c:pt idx="107">
                  <c:v>5750</c:v>
                </c:pt>
                <c:pt idx="108">
                  <c:v>6000</c:v>
                </c:pt>
                <c:pt idx="109">
                  <c:v>6500</c:v>
                </c:pt>
                <c:pt idx="110">
                  <c:v>6500</c:v>
                </c:pt>
                <c:pt idx="111">
                  <c:v>6500</c:v>
                </c:pt>
                <c:pt idx="112">
                  <c:v>5750</c:v>
                </c:pt>
                <c:pt idx="113">
                  <c:v>5250</c:v>
                </c:pt>
                <c:pt idx="114">
                  <c:v>5000</c:v>
                </c:pt>
                <c:pt idx="115">
                  <c:v>5000</c:v>
                </c:pt>
                <c:pt idx="116">
                  <c:v>5500</c:v>
                </c:pt>
                <c:pt idx="117">
                  <c:v>6000</c:v>
                </c:pt>
                <c:pt idx="118">
                  <c:v>6500</c:v>
                </c:pt>
                <c:pt idx="119">
                  <c:v>6500</c:v>
                </c:pt>
                <c:pt idx="120">
                  <c:v>6250</c:v>
                </c:pt>
                <c:pt idx="121">
                  <c:v>6000</c:v>
                </c:pt>
                <c:pt idx="122">
                  <c:v>6000</c:v>
                </c:pt>
                <c:pt idx="123">
                  <c:v>6000</c:v>
                </c:pt>
                <c:pt idx="124">
                  <c:v>6000</c:v>
                </c:pt>
                <c:pt idx="125">
                  <c:v>6000</c:v>
                </c:pt>
                <c:pt idx="126">
                  <c:v>6000</c:v>
                </c:pt>
                <c:pt idx="127">
                  <c:v>6250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6000</c:v>
                </c:pt>
                <c:pt idx="133">
                  <c:v>5250</c:v>
                </c:pt>
                <c:pt idx="134">
                  <c:v>4750</c:v>
                </c:pt>
                <c:pt idx="135">
                  <c:v>4750</c:v>
                </c:pt>
                <c:pt idx="136">
                  <c:v>4750</c:v>
                </c:pt>
                <c:pt idx="137">
                  <c:v>4750</c:v>
                </c:pt>
                <c:pt idx="138">
                  <c:v>4750</c:v>
                </c:pt>
                <c:pt idx="139">
                  <c:v>4750</c:v>
                </c:pt>
                <c:pt idx="140">
                  <c:v>4750</c:v>
                </c:pt>
                <c:pt idx="141">
                  <c:v>4750</c:v>
                </c:pt>
                <c:pt idx="142">
                  <c:v>4750</c:v>
                </c:pt>
                <c:pt idx="143">
                  <c:v>4750</c:v>
                </c:pt>
                <c:pt idx="144">
                  <c:v>4750</c:v>
                </c:pt>
                <c:pt idx="145">
                  <c:v>5000</c:v>
                </c:pt>
                <c:pt idx="146">
                  <c:v>5500</c:v>
                </c:pt>
                <c:pt idx="147">
                  <c:v>5750</c:v>
                </c:pt>
                <c:pt idx="148">
                  <c:v>6000</c:v>
                </c:pt>
                <c:pt idx="149">
                  <c:v>6250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8A-4E91-8C88-0514C684A4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630680"/>
        <c:axId val="1130632320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selected gear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306323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0630680"/>
        <c:crosses val="max"/>
        <c:crossBetween val="between"/>
      </c:valAx>
      <c:catAx>
        <c:axId val="1130630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0632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BSFC</a:t>
            </a:r>
            <a:r>
              <a:rPr lang="en-GB" baseline="0"/>
              <a:t>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482776"/>
        <c:axId val="606481136"/>
        <c:extLst>
          <c:ext xmlns:c15="http://schemas.microsoft.com/office/drawing/2012/chart" uri="{02D57815-91ED-43cb-92C2-25804820EDAC}">
            <c15:filteredLineSeries>
              <c15:ser>
                <c:idx val="0"/>
                <c:order val="1"/>
                <c:tx>
                  <c:v>Power (KW)</c:v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'Duty Cycle '!$B$3:$B$152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'Duty Cycle '!$W$3:$W$152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0.60217848272409169</c:v>
                      </c:pt>
                      <c:pt idx="2">
                        <c:v>0.70826311803977515</c:v>
                      </c:pt>
                      <c:pt idx="3">
                        <c:v>1.0615524157168417</c:v>
                      </c:pt>
                      <c:pt idx="4">
                        <c:v>2.0330364812485606</c:v>
                      </c:pt>
                      <c:pt idx="5">
                        <c:v>3.5574245741794348</c:v>
                      </c:pt>
                      <c:pt idx="6">
                        <c:v>5.8284567720806271</c:v>
                      </c:pt>
                      <c:pt idx="7">
                        <c:v>6.1615530785099217</c:v>
                      </c:pt>
                      <c:pt idx="8">
                        <c:v>8.4788648400148308</c:v>
                      </c:pt>
                      <c:pt idx="9">
                        <c:v>7.9382086374669543</c:v>
                      </c:pt>
                      <c:pt idx="10">
                        <c:v>9.7691032705343677</c:v>
                      </c:pt>
                      <c:pt idx="11">
                        <c:v>12.200837504722434</c:v>
                      </c:pt>
                      <c:pt idx="12">
                        <c:v>11.707801759358153</c:v>
                      </c:pt>
                      <c:pt idx="13">
                        <c:v>5.7979211169204223</c:v>
                      </c:pt>
                      <c:pt idx="14">
                        <c:v>11.647457435569542</c:v>
                      </c:pt>
                      <c:pt idx="15">
                        <c:v>11.415204788337835</c:v>
                      </c:pt>
                      <c:pt idx="16">
                        <c:v>11.783773996199773</c:v>
                      </c:pt>
                      <c:pt idx="17">
                        <c:v>2.5966508627003071</c:v>
                      </c:pt>
                      <c:pt idx="18">
                        <c:v>0.63447682162333319</c:v>
                      </c:pt>
                      <c:pt idx="19">
                        <c:v>4.2656964792253014</c:v>
                      </c:pt>
                      <c:pt idx="20">
                        <c:v>0.65561243876773279</c:v>
                      </c:pt>
                      <c:pt idx="21">
                        <c:v>0.11121905210040153</c:v>
                      </c:pt>
                      <c:pt idx="22">
                        <c:v>2.938764764305358</c:v>
                      </c:pt>
                      <c:pt idx="23">
                        <c:v>1.3760167891310204</c:v>
                      </c:pt>
                      <c:pt idx="24">
                        <c:v>1.7053432558237085</c:v>
                      </c:pt>
                      <c:pt idx="25">
                        <c:v>2.1761604773462984</c:v>
                      </c:pt>
                      <c:pt idx="26">
                        <c:v>3.9830236103808683</c:v>
                      </c:pt>
                      <c:pt idx="27">
                        <c:v>6.0601774536227371</c:v>
                      </c:pt>
                      <c:pt idx="28">
                        <c:v>1.2815254773192155</c:v>
                      </c:pt>
                      <c:pt idx="29">
                        <c:v>2.4277927325137907</c:v>
                      </c:pt>
                      <c:pt idx="30">
                        <c:v>2.4277927325137907</c:v>
                      </c:pt>
                      <c:pt idx="31">
                        <c:v>1.2815254773192155</c:v>
                      </c:pt>
                      <c:pt idx="32">
                        <c:v>1.007909478794289</c:v>
                      </c:pt>
                      <c:pt idx="33">
                        <c:v>4.4228127933321773</c:v>
                      </c:pt>
                      <c:pt idx="34">
                        <c:v>3.2880875406801309</c:v>
                      </c:pt>
                      <c:pt idx="35">
                        <c:v>3.2880875406801309</c:v>
                      </c:pt>
                      <c:pt idx="36">
                        <c:v>3.2880875406801309</c:v>
                      </c:pt>
                      <c:pt idx="37">
                        <c:v>3.2880875406801309</c:v>
                      </c:pt>
                      <c:pt idx="38">
                        <c:v>1.761906397379001</c:v>
                      </c:pt>
                      <c:pt idx="39">
                        <c:v>1.761906397379001</c:v>
                      </c:pt>
                      <c:pt idx="40">
                        <c:v>3.0742924331400086</c:v>
                      </c:pt>
                      <c:pt idx="41">
                        <c:v>3.1260138098840509</c:v>
                      </c:pt>
                      <c:pt idx="42">
                        <c:v>3.8176931387118214</c:v>
                      </c:pt>
                      <c:pt idx="43">
                        <c:v>3.5568105693126872</c:v>
                      </c:pt>
                      <c:pt idx="44">
                        <c:v>4.2651584151689317</c:v>
                      </c:pt>
                      <c:pt idx="45">
                        <c:v>2.3513843371561025</c:v>
                      </c:pt>
                      <c:pt idx="46">
                        <c:v>2.3513843371561025</c:v>
                      </c:pt>
                      <c:pt idx="47">
                        <c:v>2.3513843371561025</c:v>
                      </c:pt>
                      <c:pt idx="48">
                        <c:v>2.3513843371561025</c:v>
                      </c:pt>
                      <c:pt idx="49">
                        <c:v>1.2052688887634042</c:v>
                      </c:pt>
                      <c:pt idx="50">
                        <c:v>6.0837870988356274E-2</c:v>
                      </c:pt>
                      <c:pt idx="51">
                        <c:v>0.14712779340447754</c:v>
                      </c:pt>
                      <c:pt idx="52">
                        <c:v>1.8876882717932948</c:v>
                      </c:pt>
                      <c:pt idx="53">
                        <c:v>0.76957672798577559</c:v>
                      </c:pt>
                      <c:pt idx="54">
                        <c:v>6.0117046080305849</c:v>
                      </c:pt>
                      <c:pt idx="55">
                        <c:v>8.766641232953349</c:v>
                      </c:pt>
                      <c:pt idx="56">
                        <c:v>6.9125636248660332</c:v>
                      </c:pt>
                      <c:pt idx="57">
                        <c:v>3.380791745968037</c:v>
                      </c:pt>
                      <c:pt idx="58">
                        <c:v>3.953973875814921</c:v>
                      </c:pt>
                      <c:pt idx="59">
                        <c:v>3.953973875814921</c:v>
                      </c:pt>
                      <c:pt idx="60">
                        <c:v>4.0514904259589031</c:v>
                      </c:pt>
                      <c:pt idx="61">
                        <c:v>5.8597466993021481</c:v>
                      </c:pt>
                      <c:pt idx="62">
                        <c:v>1.1261241103546917</c:v>
                      </c:pt>
                      <c:pt idx="63">
                        <c:v>0.82111034071364397</c:v>
                      </c:pt>
                      <c:pt idx="64">
                        <c:v>5.2129913087521169</c:v>
                      </c:pt>
                      <c:pt idx="65">
                        <c:v>5.7830053095596652</c:v>
                      </c:pt>
                      <c:pt idx="66">
                        <c:v>6.3517677174333347</c:v>
                      </c:pt>
                      <c:pt idx="67">
                        <c:v>2.7543314155367185</c:v>
                      </c:pt>
                      <c:pt idx="68">
                        <c:v>10.397521050506692</c:v>
                      </c:pt>
                      <c:pt idx="69">
                        <c:v>9.7516397773527199</c:v>
                      </c:pt>
                      <c:pt idx="70">
                        <c:v>10.502115295077925</c:v>
                      </c:pt>
                      <c:pt idx="71">
                        <c:v>7.3617879271046585</c:v>
                      </c:pt>
                      <c:pt idx="72">
                        <c:v>8.7245884873071429</c:v>
                      </c:pt>
                      <c:pt idx="73">
                        <c:v>3.3346434597714909</c:v>
                      </c:pt>
                      <c:pt idx="74">
                        <c:v>2.1151485652433162</c:v>
                      </c:pt>
                      <c:pt idx="75">
                        <c:v>3.4002441851084111</c:v>
                      </c:pt>
                      <c:pt idx="76">
                        <c:v>7.4479152753216802</c:v>
                      </c:pt>
                      <c:pt idx="77">
                        <c:v>6.9985275342568212</c:v>
                      </c:pt>
                      <c:pt idx="78">
                        <c:v>10.029252567165065</c:v>
                      </c:pt>
                      <c:pt idx="79">
                        <c:v>10.029252567165056</c:v>
                      </c:pt>
                      <c:pt idx="80">
                        <c:v>10.029252567165065</c:v>
                      </c:pt>
                      <c:pt idx="81">
                        <c:v>10.029252567165056</c:v>
                      </c:pt>
                      <c:pt idx="82">
                        <c:v>10.029252567165056</c:v>
                      </c:pt>
                      <c:pt idx="83">
                        <c:v>10.097526678881701</c:v>
                      </c:pt>
                      <c:pt idx="84">
                        <c:v>11.828718649321171</c:v>
                      </c:pt>
                      <c:pt idx="85">
                        <c:v>9.9969600918996733</c:v>
                      </c:pt>
                      <c:pt idx="86">
                        <c:v>7.3656414994344903</c:v>
                      </c:pt>
                      <c:pt idx="87">
                        <c:v>4.6368243533156903</c:v>
                      </c:pt>
                      <c:pt idx="88">
                        <c:v>2.531295009953769</c:v>
                      </c:pt>
                      <c:pt idx="89">
                        <c:v>4.5970496033166937</c:v>
                      </c:pt>
                      <c:pt idx="90">
                        <c:v>4.5223664585759726</c:v>
                      </c:pt>
                      <c:pt idx="91">
                        <c:v>4.7677128271280962</c:v>
                      </c:pt>
                      <c:pt idx="92">
                        <c:v>4.7677128271280962</c:v>
                      </c:pt>
                      <c:pt idx="93">
                        <c:v>4.1953148202815624</c:v>
                      </c:pt>
                      <c:pt idx="94">
                        <c:v>3.0492554499509299</c:v>
                      </c:pt>
                      <c:pt idx="95">
                        <c:v>5.603094636762024</c:v>
                      </c:pt>
                      <c:pt idx="96">
                        <c:v>8.845243059639385</c:v>
                      </c:pt>
                      <c:pt idx="97">
                        <c:v>5.2442466510634453</c:v>
                      </c:pt>
                      <c:pt idx="98">
                        <c:v>9.2366639750808535</c:v>
                      </c:pt>
                      <c:pt idx="99">
                        <c:v>10.162967065699901</c:v>
                      </c:pt>
                      <c:pt idx="100">
                        <c:v>6.5326497367594873</c:v>
                      </c:pt>
                      <c:pt idx="101">
                        <c:v>8.9194343129289884</c:v>
                      </c:pt>
                      <c:pt idx="102">
                        <c:v>4.9231683902220604</c:v>
                      </c:pt>
                      <c:pt idx="103">
                        <c:v>1.7077544627902423</c:v>
                      </c:pt>
                      <c:pt idx="104">
                        <c:v>1.7077544627902423</c:v>
                      </c:pt>
                      <c:pt idx="105">
                        <c:v>1.7077544627902423</c:v>
                      </c:pt>
                      <c:pt idx="106">
                        <c:v>5.3109444431186175</c:v>
                      </c:pt>
                      <c:pt idx="107">
                        <c:v>5.6054443174788906</c:v>
                      </c:pt>
                      <c:pt idx="108">
                        <c:v>5.9070232996742886</c:v>
                      </c:pt>
                      <c:pt idx="109">
                        <c:v>10.637506741005199</c:v>
                      </c:pt>
                      <c:pt idx="110">
                        <c:v>2.4277927325137907</c:v>
                      </c:pt>
                      <c:pt idx="111">
                        <c:v>2.4277927325137907</c:v>
                      </c:pt>
                      <c:pt idx="112">
                        <c:v>8.9194343129289884</c:v>
                      </c:pt>
                      <c:pt idx="113">
                        <c:v>4.9231683902220604</c:v>
                      </c:pt>
                      <c:pt idx="114">
                        <c:v>1.5732137532014823</c:v>
                      </c:pt>
                      <c:pt idx="115">
                        <c:v>1.5843685577567463</c:v>
                      </c:pt>
                      <c:pt idx="116">
                        <c:v>8.7842849851726683</c:v>
                      </c:pt>
                      <c:pt idx="117">
                        <c:v>9.6961220728241901</c:v>
                      </c:pt>
                      <c:pt idx="118">
                        <c:v>9.2997156030297408</c:v>
                      </c:pt>
                      <c:pt idx="119">
                        <c:v>1.7619063973790252</c:v>
                      </c:pt>
                      <c:pt idx="120">
                        <c:v>7.6239309762326979</c:v>
                      </c:pt>
                      <c:pt idx="121">
                        <c:v>7.1082094804467832</c:v>
                      </c:pt>
                      <c:pt idx="122">
                        <c:v>3.3191107072968968</c:v>
                      </c:pt>
                      <c:pt idx="123">
                        <c:v>3.3191107072969062</c:v>
                      </c:pt>
                      <c:pt idx="124">
                        <c:v>2.186391342102437</c:v>
                      </c:pt>
                      <c:pt idx="125">
                        <c:v>2.186391342102437</c:v>
                      </c:pt>
                      <c:pt idx="126">
                        <c:v>2.186391342102437</c:v>
                      </c:pt>
                      <c:pt idx="127">
                        <c:v>4.2480529535009524</c:v>
                      </c:pt>
                      <c:pt idx="128">
                        <c:v>8.0588308800606168</c:v>
                      </c:pt>
                      <c:pt idx="129">
                        <c:v>5.6731323294217306</c:v>
                      </c:pt>
                      <c:pt idx="130">
                        <c:v>7.9608268533133524</c:v>
                      </c:pt>
                      <c:pt idx="131">
                        <c:v>8.5313031631974017</c:v>
                      </c:pt>
                      <c:pt idx="132">
                        <c:v>0.52440987400628192</c:v>
                      </c:pt>
                      <c:pt idx="133">
                        <c:v>2.4329976308521801</c:v>
                      </c:pt>
                      <c:pt idx="134">
                        <c:v>2.2684651002118166</c:v>
                      </c:pt>
                      <c:pt idx="135">
                        <c:v>8.2678714910324711</c:v>
                      </c:pt>
                      <c:pt idx="136">
                        <c:v>8.2678714910324711</c:v>
                      </c:pt>
                      <c:pt idx="137">
                        <c:v>8.2678714910324711</c:v>
                      </c:pt>
                      <c:pt idx="138">
                        <c:v>7.1303785158826312</c:v>
                      </c:pt>
                      <c:pt idx="139">
                        <c:v>5.4164887311344945</c:v>
                      </c:pt>
                      <c:pt idx="140">
                        <c:v>3.6977108388762385</c:v>
                      </c:pt>
                      <c:pt idx="141">
                        <c:v>1.978932946617983</c:v>
                      </c:pt>
                      <c:pt idx="142">
                        <c:v>0.30433099137452585</c:v>
                      </c:pt>
                      <c:pt idx="143">
                        <c:v>2.0042288981765122</c:v>
                      </c:pt>
                      <c:pt idx="144">
                        <c:v>2.0042288981765122</c:v>
                      </c:pt>
                      <c:pt idx="145">
                        <c:v>7.0899218584090322</c:v>
                      </c:pt>
                      <c:pt idx="146">
                        <c:v>11.367053073836118</c:v>
                      </c:pt>
                      <c:pt idx="147">
                        <c:v>8.3056109556270439</c:v>
                      </c:pt>
                      <c:pt idx="148">
                        <c:v>8.7245884873071429</c:v>
                      </c:pt>
                      <c:pt idx="149">
                        <c:v>9.1509529141196868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FDA-409A-B57C-1BD4B9856FAD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0"/>
          <c:tx>
            <c:strRef>
              <c:f>'Duty Cycle '!$AB$2</c:f>
              <c:strCache>
                <c:ptCount val="1"/>
                <c:pt idx="0">
                  <c:v>Fuel Consumption (g/KWh)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'!$AB$3:$AB$152</c:f>
              <c:numCache>
                <c:formatCode>General</c:formatCode>
                <c:ptCount val="150"/>
                <c:pt idx="0">
                  <c:v>0</c:v>
                </c:pt>
                <c:pt idx="1">
                  <c:v>0</c:v>
                </c:pt>
                <c:pt idx="2">
                  <c:v>723.20955020580004</c:v>
                </c:pt>
                <c:pt idx="3">
                  <c:v>773.42478176580005</c:v>
                </c:pt>
                <c:pt idx="4">
                  <c:v>680.01022988767511</c:v>
                </c:pt>
                <c:pt idx="5">
                  <c:v>561.39902632580004</c:v>
                </c:pt>
                <c:pt idx="6">
                  <c:v>453.32762562580001</c:v>
                </c:pt>
                <c:pt idx="7">
                  <c:v>317.08878608580005</c:v>
                </c:pt>
                <c:pt idx="8">
                  <c:v>356.11311296580016</c:v>
                </c:pt>
                <c:pt idx="9">
                  <c:v>491.00229200579992</c:v>
                </c:pt>
                <c:pt idx="10">
                  <c:v>480.16306640580012</c:v>
                </c:pt>
                <c:pt idx="11">
                  <c:v>498.27742508580008</c:v>
                </c:pt>
                <c:pt idx="12">
                  <c:v>533.40609008579997</c:v>
                </c:pt>
                <c:pt idx="13">
                  <c:v>317.08878608580005</c:v>
                </c:pt>
                <c:pt idx="14">
                  <c:v>472.37704508580003</c:v>
                </c:pt>
                <c:pt idx="15">
                  <c:v>495.50617712580004</c:v>
                </c:pt>
                <c:pt idx="16">
                  <c:v>533.40609008579997</c:v>
                </c:pt>
                <c:pt idx="17">
                  <c:v>679.12826528580001</c:v>
                </c:pt>
                <c:pt idx="18">
                  <c:v>886.98747296580007</c:v>
                </c:pt>
                <c:pt idx="19">
                  <c:v>492.10327136580003</c:v>
                </c:pt>
                <c:pt idx="20">
                  <c:v>861.08709296580003</c:v>
                </c:pt>
                <c:pt idx="21">
                  <c:v>958.56085456579979</c:v>
                </c:pt>
                <c:pt idx="22">
                  <c:v>709.37421528580001</c:v>
                </c:pt>
                <c:pt idx="23">
                  <c:v>858.40422312580006</c:v>
                </c:pt>
                <c:pt idx="24">
                  <c:v>846.27984386579999</c:v>
                </c:pt>
                <c:pt idx="25">
                  <c:v>710.01071408579992</c:v>
                </c:pt>
                <c:pt idx="26">
                  <c:v>584.57471024580013</c:v>
                </c:pt>
                <c:pt idx="27">
                  <c:v>553.55209904579965</c:v>
                </c:pt>
                <c:pt idx="28">
                  <c:v>893.29667204579994</c:v>
                </c:pt>
                <c:pt idx="29">
                  <c:v>799.26301568579993</c:v>
                </c:pt>
                <c:pt idx="30">
                  <c:v>799.26301568579993</c:v>
                </c:pt>
                <c:pt idx="31">
                  <c:v>893.29667204579994</c:v>
                </c:pt>
                <c:pt idx="32">
                  <c:v>893.29667204579994</c:v>
                </c:pt>
                <c:pt idx="33">
                  <c:v>646.12469216580007</c:v>
                </c:pt>
                <c:pt idx="34">
                  <c:v>736.32698336579983</c:v>
                </c:pt>
                <c:pt idx="35">
                  <c:v>736.32698336579983</c:v>
                </c:pt>
                <c:pt idx="36">
                  <c:v>736.32698336579983</c:v>
                </c:pt>
                <c:pt idx="37">
                  <c:v>736.32698336579983</c:v>
                </c:pt>
                <c:pt idx="38">
                  <c:v>846.27984386579999</c:v>
                </c:pt>
                <c:pt idx="39">
                  <c:v>846.27984386579999</c:v>
                </c:pt>
                <c:pt idx="40">
                  <c:v>709.37421528580001</c:v>
                </c:pt>
                <c:pt idx="41">
                  <c:v>679.12826528580001</c:v>
                </c:pt>
                <c:pt idx="42">
                  <c:v>503.79911912579979</c:v>
                </c:pt>
                <c:pt idx="43">
                  <c:v>497.72074304580002</c:v>
                </c:pt>
                <c:pt idx="44">
                  <c:v>492.10327136580003</c:v>
                </c:pt>
                <c:pt idx="45">
                  <c:v>735.91109408579985</c:v>
                </c:pt>
                <c:pt idx="46">
                  <c:v>735.91109408579985</c:v>
                </c:pt>
                <c:pt idx="47">
                  <c:v>735.91109408579985</c:v>
                </c:pt>
                <c:pt idx="48">
                  <c:v>735.91109408579985</c:v>
                </c:pt>
                <c:pt idx="49">
                  <c:v>811.44928352579996</c:v>
                </c:pt>
                <c:pt idx="50">
                  <c:v>962.52566240579995</c:v>
                </c:pt>
                <c:pt idx="51">
                  <c:v>932.65193792580044</c:v>
                </c:pt>
                <c:pt idx="52">
                  <c:v>846.27984386579999</c:v>
                </c:pt>
                <c:pt idx="53">
                  <c:v>872.45338192580004</c:v>
                </c:pt>
                <c:pt idx="54">
                  <c:v>415.54656848580015</c:v>
                </c:pt>
                <c:pt idx="55">
                  <c:v>386.35906296580015</c:v>
                </c:pt>
                <c:pt idx="56">
                  <c:v>540.33478472579975</c:v>
                </c:pt>
                <c:pt idx="57">
                  <c:v>736.32698336579983</c:v>
                </c:pt>
                <c:pt idx="58">
                  <c:v>656.24441744579997</c:v>
                </c:pt>
                <c:pt idx="59">
                  <c:v>656.24441744579997</c:v>
                </c:pt>
                <c:pt idx="60">
                  <c:v>584.57471024580013</c:v>
                </c:pt>
                <c:pt idx="61">
                  <c:v>373.27330024579999</c:v>
                </c:pt>
                <c:pt idx="62">
                  <c:v>794.48887504580011</c:v>
                </c:pt>
                <c:pt idx="63">
                  <c:v>886.98747296580007</c:v>
                </c:pt>
                <c:pt idx="64">
                  <c:v>460.75361456580009</c:v>
                </c:pt>
                <c:pt idx="65">
                  <c:v>415.54656848580015</c:v>
                </c:pt>
                <c:pt idx="66">
                  <c:v>398.05430096580005</c:v>
                </c:pt>
                <c:pt idx="67">
                  <c:v>536.61388912580014</c:v>
                </c:pt>
                <c:pt idx="68">
                  <c:v>425.05354676580004</c:v>
                </c:pt>
                <c:pt idx="69">
                  <c:v>398.59789376580005</c:v>
                </c:pt>
                <c:pt idx="70">
                  <c:v>492.96731776579998</c:v>
                </c:pt>
                <c:pt idx="71">
                  <c:v>332.64518096579997</c:v>
                </c:pt>
                <c:pt idx="72">
                  <c:v>356.11311296580016</c:v>
                </c:pt>
                <c:pt idx="73">
                  <c:v>555.63421520579993</c:v>
                </c:pt>
                <c:pt idx="74">
                  <c:v>708.77069296579998</c:v>
                </c:pt>
                <c:pt idx="75">
                  <c:v>561.71778280767512</c:v>
                </c:pt>
                <c:pt idx="76">
                  <c:v>481.37702852580003</c:v>
                </c:pt>
                <c:pt idx="77">
                  <c:v>306.74480096579998</c:v>
                </c:pt>
                <c:pt idx="78">
                  <c:v>401.39179760580015</c:v>
                </c:pt>
                <c:pt idx="79">
                  <c:v>401.39179760580015</c:v>
                </c:pt>
                <c:pt idx="80">
                  <c:v>401.39179760580015</c:v>
                </c:pt>
                <c:pt idx="81">
                  <c:v>401.39179760580015</c:v>
                </c:pt>
                <c:pt idx="82">
                  <c:v>401.39179760580015</c:v>
                </c:pt>
                <c:pt idx="83">
                  <c:v>415.46130302580013</c:v>
                </c:pt>
                <c:pt idx="84">
                  <c:v>525.75212712580003</c:v>
                </c:pt>
                <c:pt idx="85">
                  <c:v>500.44923776579998</c:v>
                </c:pt>
                <c:pt idx="86">
                  <c:v>378.56401472579995</c:v>
                </c:pt>
                <c:pt idx="87">
                  <c:v>565.9273430457996</c:v>
                </c:pt>
                <c:pt idx="88">
                  <c:v>645.7726546458</c:v>
                </c:pt>
                <c:pt idx="89">
                  <c:v>466.20289136579999</c:v>
                </c:pt>
                <c:pt idx="90">
                  <c:v>420.33360472580006</c:v>
                </c:pt>
                <c:pt idx="91">
                  <c:v>420.33360472580006</c:v>
                </c:pt>
                <c:pt idx="92">
                  <c:v>420.33360472580006</c:v>
                </c:pt>
                <c:pt idx="93">
                  <c:v>443.86375696580012</c:v>
                </c:pt>
                <c:pt idx="94">
                  <c:v>536.61388912580014</c:v>
                </c:pt>
                <c:pt idx="95">
                  <c:v>415.54656848580015</c:v>
                </c:pt>
                <c:pt idx="96">
                  <c:v>488.57748248579992</c:v>
                </c:pt>
                <c:pt idx="97">
                  <c:v>396.80345248580005</c:v>
                </c:pt>
                <c:pt idx="98">
                  <c:v>403.63042844580013</c:v>
                </c:pt>
                <c:pt idx="99">
                  <c:v>428.84384376580005</c:v>
                </c:pt>
                <c:pt idx="100">
                  <c:v>546.94344188579976</c:v>
                </c:pt>
                <c:pt idx="101">
                  <c:v>377.94566864580003</c:v>
                </c:pt>
                <c:pt idx="102">
                  <c:v>420.33360472580006</c:v>
                </c:pt>
                <c:pt idx="103">
                  <c:v>708.77069296579998</c:v>
                </c:pt>
                <c:pt idx="104">
                  <c:v>708.77069296579998</c:v>
                </c:pt>
                <c:pt idx="105">
                  <c:v>708.77069296579998</c:v>
                </c:pt>
                <c:pt idx="106">
                  <c:v>389.64618848580011</c:v>
                </c:pt>
                <c:pt idx="107">
                  <c:v>415.54656848580015</c:v>
                </c:pt>
                <c:pt idx="108">
                  <c:v>334.87072256580029</c:v>
                </c:pt>
                <c:pt idx="109">
                  <c:v>520.59524672580005</c:v>
                </c:pt>
                <c:pt idx="110">
                  <c:v>799.26301568579993</c:v>
                </c:pt>
                <c:pt idx="111">
                  <c:v>799.26301568579993</c:v>
                </c:pt>
                <c:pt idx="112">
                  <c:v>377.94566864580003</c:v>
                </c:pt>
                <c:pt idx="113">
                  <c:v>420.33360472580006</c:v>
                </c:pt>
                <c:pt idx="114">
                  <c:v>716.25261296579993</c:v>
                </c:pt>
                <c:pt idx="115">
                  <c:v>716.25261296579993</c:v>
                </c:pt>
                <c:pt idx="116">
                  <c:v>377.73004844580009</c:v>
                </c:pt>
                <c:pt idx="117">
                  <c:v>398.59789376580005</c:v>
                </c:pt>
                <c:pt idx="118">
                  <c:v>462.6988313658</c:v>
                </c:pt>
                <c:pt idx="119">
                  <c:v>846.27984386579999</c:v>
                </c:pt>
                <c:pt idx="120">
                  <c:v>375.73786776580022</c:v>
                </c:pt>
                <c:pt idx="121">
                  <c:v>345.49191776580017</c:v>
                </c:pt>
                <c:pt idx="122">
                  <c:v>637.48134416580001</c:v>
                </c:pt>
                <c:pt idx="123">
                  <c:v>637.48134416580001</c:v>
                </c:pt>
                <c:pt idx="124">
                  <c:v>753.64326920579992</c:v>
                </c:pt>
                <c:pt idx="125">
                  <c:v>753.64326920579992</c:v>
                </c:pt>
                <c:pt idx="126">
                  <c:v>753.64326920579992</c:v>
                </c:pt>
                <c:pt idx="127">
                  <c:v>614.82066024580013</c:v>
                </c:pt>
                <c:pt idx="128">
                  <c:v>514.45613360579978</c:v>
                </c:pt>
                <c:pt idx="129">
                  <c:v>553.55209904579965</c:v>
                </c:pt>
                <c:pt idx="130">
                  <c:v>514.45613360579978</c:v>
                </c:pt>
                <c:pt idx="131">
                  <c:v>488.57748248579992</c:v>
                </c:pt>
                <c:pt idx="132">
                  <c:v>932.65193792580044</c:v>
                </c:pt>
                <c:pt idx="133">
                  <c:v>631.19547664579989</c:v>
                </c:pt>
                <c:pt idx="134">
                  <c:v>665.13143872580008</c:v>
                </c:pt>
                <c:pt idx="135">
                  <c:v>483.3844120057999</c:v>
                </c:pt>
                <c:pt idx="136">
                  <c:v>483.3844120057999</c:v>
                </c:pt>
                <c:pt idx="137">
                  <c:v>483.3844120057999</c:v>
                </c:pt>
                <c:pt idx="138">
                  <c:v>468.63286448180003</c:v>
                </c:pt>
                <c:pt idx="139">
                  <c:v>463.57245676580004</c:v>
                </c:pt>
                <c:pt idx="140">
                  <c:v>522.98284504955018</c:v>
                </c:pt>
                <c:pt idx="141">
                  <c:v>729.8101568858001</c:v>
                </c:pt>
                <c:pt idx="142">
                  <c:v>987.84238672579977</c:v>
                </c:pt>
                <c:pt idx="143">
                  <c:v>665.13143872580008</c:v>
                </c:pt>
                <c:pt idx="144">
                  <c:v>665.13143872580008</c:v>
                </c:pt>
                <c:pt idx="145">
                  <c:v>357.50227808580001</c:v>
                </c:pt>
                <c:pt idx="146">
                  <c:v>448.71529592580009</c:v>
                </c:pt>
                <c:pt idx="147">
                  <c:v>356.30693012580002</c:v>
                </c:pt>
                <c:pt idx="148">
                  <c:v>356.11311296580016</c:v>
                </c:pt>
                <c:pt idx="149">
                  <c:v>386.35906296580015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DA-409A-B57C-1BD4B9856F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630680"/>
        <c:axId val="1130632320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valAx>
        <c:axId val="11306323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0630680"/>
        <c:crosses val="max"/>
        <c:crossBetween val="between"/>
      </c:valAx>
      <c:catAx>
        <c:axId val="1130630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0632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    </a:t>
            </a:r>
            <a:r>
              <a:rPr lang="en-GB" baseline="0"/>
              <a:t>  </a:t>
            </a:r>
            <a:r>
              <a:rPr lang="en-GB"/>
              <a:t>Resistive Forces</a:t>
            </a:r>
            <a:r>
              <a:rPr lang="en-GB" baseline="0"/>
              <a:t> (N)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'!$Q$2</c:f>
              <c:strCache>
                <c:ptCount val="1"/>
                <c:pt idx="0">
                  <c:v>Rolling Drag (N)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'!$Q$3:$Q$152</c:f>
              <c:numCache>
                <c:formatCode>General</c:formatCode>
                <c:ptCount val="150"/>
                <c:pt idx="0">
                  <c:v>0</c:v>
                </c:pt>
                <c:pt idx="1">
                  <c:v>114.63966000000001</c:v>
                </c:pt>
                <c:pt idx="2">
                  <c:v>114.63966000000001</c:v>
                </c:pt>
                <c:pt idx="3">
                  <c:v>114.63966000000001</c:v>
                </c:pt>
                <c:pt idx="4">
                  <c:v>114.63966000000001</c:v>
                </c:pt>
                <c:pt idx="5">
                  <c:v>114.63966000000001</c:v>
                </c:pt>
                <c:pt idx="6">
                  <c:v>114.63966000000001</c:v>
                </c:pt>
                <c:pt idx="7">
                  <c:v>114.63966000000001</c:v>
                </c:pt>
                <c:pt idx="8">
                  <c:v>114.63966000000001</c:v>
                </c:pt>
                <c:pt idx="9">
                  <c:v>114.63966000000001</c:v>
                </c:pt>
                <c:pt idx="10">
                  <c:v>114.63966000000001</c:v>
                </c:pt>
                <c:pt idx="11">
                  <c:v>114.63966000000001</c:v>
                </c:pt>
                <c:pt idx="12">
                  <c:v>114.63966000000001</c:v>
                </c:pt>
                <c:pt idx="13">
                  <c:v>114.63966000000001</c:v>
                </c:pt>
                <c:pt idx="14">
                  <c:v>114.63966000000001</c:v>
                </c:pt>
                <c:pt idx="15">
                  <c:v>114.63966000000001</c:v>
                </c:pt>
                <c:pt idx="16">
                  <c:v>114.63966000000001</c:v>
                </c:pt>
                <c:pt idx="17">
                  <c:v>114.63966000000001</c:v>
                </c:pt>
                <c:pt idx="18">
                  <c:v>114.63966000000001</c:v>
                </c:pt>
                <c:pt idx="19">
                  <c:v>114.63966000000001</c:v>
                </c:pt>
                <c:pt idx="20">
                  <c:v>114.63966000000001</c:v>
                </c:pt>
                <c:pt idx="21">
                  <c:v>114.63966000000001</c:v>
                </c:pt>
                <c:pt idx="22">
                  <c:v>114.63966000000001</c:v>
                </c:pt>
                <c:pt idx="23">
                  <c:v>114.63966000000001</c:v>
                </c:pt>
                <c:pt idx="24">
                  <c:v>114.63966000000001</c:v>
                </c:pt>
                <c:pt idx="25">
                  <c:v>114.63966000000001</c:v>
                </c:pt>
                <c:pt idx="26">
                  <c:v>114.63966000000001</c:v>
                </c:pt>
                <c:pt idx="27">
                  <c:v>114.63966000000001</c:v>
                </c:pt>
                <c:pt idx="28">
                  <c:v>114.63966000000001</c:v>
                </c:pt>
                <c:pt idx="29">
                  <c:v>114.63966000000001</c:v>
                </c:pt>
                <c:pt idx="30">
                  <c:v>114.63966000000001</c:v>
                </c:pt>
                <c:pt idx="31">
                  <c:v>114.63966000000001</c:v>
                </c:pt>
                <c:pt idx="32">
                  <c:v>114.63966000000001</c:v>
                </c:pt>
                <c:pt idx="33">
                  <c:v>114.63966000000001</c:v>
                </c:pt>
                <c:pt idx="34">
                  <c:v>114.63966000000001</c:v>
                </c:pt>
                <c:pt idx="35">
                  <c:v>114.63966000000001</c:v>
                </c:pt>
                <c:pt idx="36">
                  <c:v>114.63966000000001</c:v>
                </c:pt>
                <c:pt idx="37">
                  <c:v>114.63966000000001</c:v>
                </c:pt>
                <c:pt idx="38">
                  <c:v>229.27932000000001</c:v>
                </c:pt>
                <c:pt idx="39">
                  <c:v>229.27932000000001</c:v>
                </c:pt>
                <c:pt idx="40">
                  <c:v>229.27932000000001</c:v>
                </c:pt>
                <c:pt idx="41">
                  <c:v>229.27932000000001</c:v>
                </c:pt>
                <c:pt idx="42">
                  <c:v>229.27932000000001</c:v>
                </c:pt>
                <c:pt idx="43">
                  <c:v>229.27932000000001</c:v>
                </c:pt>
                <c:pt idx="44">
                  <c:v>229.27932000000001</c:v>
                </c:pt>
                <c:pt idx="45">
                  <c:v>229.27932000000001</c:v>
                </c:pt>
                <c:pt idx="46">
                  <c:v>229.27932000000001</c:v>
                </c:pt>
                <c:pt idx="47">
                  <c:v>229.27932000000001</c:v>
                </c:pt>
                <c:pt idx="48">
                  <c:v>229.27932000000001</c:v>
                </c:pt>
                <c:pt idx="49">
                  <c:v>229.27932000000001</c:v>
                </c:pt>
                <c:pt idx="50">
                  <c:v>229.27932000000001</c:v>
                </c:pt>
                <c:pt idx="51">
                  <c:v>229.27932000000001</c:v>
                </c:pt>
                <c:pt idx="52">
                  <c:v>229.27932000000001</c:v>
                </c:pt>
                <c:pt idx="53">
                  <c:v>229.27932000000001</c:v>
                </c:pt>
                <c:pt idx="54">
                  <c:v>229.27932000000001</c:v>
                </c:pt>
                <c:pt idx="55">
                  <c:v>229.27932000000001</c:v>
                </c:pt>
                <c:pt idx="56">
                  <c:v>229.27932000000001</c:v>
                </c:pt>
                <c:pt idx="57">
                  <c:v>229.27932000000001</c:v>
                </c:pt>
                <c:pt idx="58">
                  <c:v>229.27932000000001</c:v>
                </c:pt>
                <c:pt idx="59">
                  <c:v>229.27932000000001</c:v>
                </c:pt>
                <c:pt idx="60">
                  <c:v>229.27932000000001</c:v>
                </c:pt>
                <c:pt idx="61">
                  <c:v>229.27932000000001</c:v>
                </c:pt>
                <c:pt idx="62">
                  <c:v>229.27932000000001</c:v>
                </c:pt>
                <c:pt idx="63">
                  <c:v>229.27932000000001</c:v>
                </c:pt>
                <c:pt idx="64">
                  <c:v>229.27932000000001</c:v>
                </c:pt>
                <c:pt idx="65">
                  <c:v>229.27932000000001</c:v>
                </c:pt>
                <c:pt idx="66">
                  <c:v>229.27932000000001</c:v>
                </c:pt>
                <c:pt idx="67">
                  <c:v>229.27932000000001</c:v>
                </c:pt>
                <c:pt idx="68">
                  <c:v>343.91897999999992</c:v>
                </c:pt>
                <c:pt idx="69">
                  <c:v>343.91897999999992</c:v>
                </c:pt>
                <c:pt idx="70">
                  <c:v>343.91897999999992</c:v>
                </c:pt>
                <c:pt idx="71">
                  <c:v>343.91897999999992</c:v>
                </c:pt>
                <c:pt idx="72">
                  <c:v>343.91897999999992</c:v>
                </c:pt>
                <c:pt idx="73">
                  <c:v>343.91897999999992</c:v>
                </c:pt>
                <c:pt idx="74">
                  <c:v>343.91897999999992</c:v>
                </c:pt>
                <c:pt idx="75">
                  <c:v>343.91897999999992</c:v>
                </c:pt>
                <c:pt idx="76">
                  <c:v>343.91897999999992</c:v>
                </c:pt>
                <c:pt idx="77">
                  <c:v>343.91897999999992</c:v>
                </c:pt>
                <c:pt idx="78">
                  <c:v>343.91897999999992</c:v>
                </c:pt>
                <c:pt idx="79">
                  <c:v>343.91897999999992</c:v>
                </c:pt>
                <c:pt idx="80">
                  <c:v>343.91897999999992</c:v>
                </c:pt>
                <c:pt idx="81">
                  <c:v>343.91897999999992</c:v>
                </c:pt>
                <c:pt idx="82">
                  <c:v>343.91897999999992</c:v>
                </c:pt>
                <c:pt idx="83">
                  <c:v>343.91897999999992</c:v>
                </c:pt>
                <c:pt idx="84">
                  <c:v>343.91897999999992</c:v>
                </c:pt>
                <c:pt idx="85">
                  <c:v>343.91897999999992</c:v>
                </c:pt>
                <c:pt idx="86">
                  <c:v>343.91897999999992</c:v>
                </c:pt>
                <c:pt idx="87">
                  <c:v>343.91897999999992</c:v>
                </c:pt>
                <c:pt idx="88">
                  <c:v>343.91897999999992</c:v>
                </c:pt>
                <c:pt idx="89">
                  <c:v>343.91897999999992</c:v>
                </c:pt>
                <c:pt idx="90">
                  <c:v>343.91897999999992</c:v>
                </c:pt>
                <c:pt idx="91">
                  <c:v>343.91897999999992</c:v>
                </c:pt>
                <c:pt idx="92">
                  <c:v>343.91897999999992</c:v>
                </c:pt>
                <c:pt idx="93">
                  <c:v>343.91897999999992</c:v>
                </c:pt>
                <c:pt idx="94">
                  <c:v>343.91897999999992</c:v>
                </c:pt>
                <c:pt idx="95">
                  <c:v>114.63966000000001</c:v>
                </c:pt>
                <c:pt idx="96">
                  <c:v>114.63966000000001</c:v>
                </c:pt>
                <c:pt idx="97">
                  <c:v>114.63966000000001</c:v>
                </c:pt>
                <c:pt idx="98">
                  <c:v>114.63966000000001</c:v>
                </c:pt>
                <c:pt idx="99">
                  <c:v>114.63966000000001</c:v>
                </c:pt>
                <c:pt idx="100">
                  <c:v>114.63966000000001</c:v>
                </c:pt>
                <c:pt idx="101">
                  <c:v>114.63966000000001</c:v>
                </c:pt>
                <c:pt idx="102">
                  <c:v>114.63966000000001</c:v>
                </c:pt>
                <c:pt idx="103">
                  <c:v>114.63966000000001</c:v>
                </c:pt>
                <c:pt idx="104">
                  <c:v>114.63966000000001</c:v>
                </c:pt>
                <c:pt idx="105">
                  <c:v>114.63966000000001</c:v>
                </c:pt>
                <c:pt idx="106">
                  <c:v>114.63966000000001</c:v>
                </c:pt>
                <c:pt idx="107">
                  <c:v>114.63966000000001</c:v>
                </c:pt>
                <c:pt idx="108">
                  <c:v>114.63966000000001</c:v>
                </c:pt>
                <c:pt idx="109">
                  <c:v>114.63966000000001</c:v>
                </c:pt>
                <c:pt idx="110">
                  <c:v>114.63966000000001</c:v>
                </c:pt>
                <c:pt idx="111">
                  <c:v>114.63966000000001</c:v>
                </c:pt>
                <c:pt idx="112">
                  <c:v>114.63966000000001</c:v>
                </c:pt>
                <c:pt idx="113">
                  <c:v>114.63966000000001</c:v>
                </c:pt>
                <c:pt idx="114">
                  <c:v>114.63966000000001</c:v>
                </c:pt>
                <c:pt idx="115">
                  <c:v>114.63966000000001</c:v>
                </c:pt>
                <c:pt idx="116">
                  <c:v>114.63966000000001</c:v>
                </c:pt>
                <c:pt idx="117">
                  <c:v>114.63966000000001</c:v>
                </c:pt>
                <c:pt idx="118">
                  <c:v>229.27932000000001</c:v>
                </c:pt>
                <c:pt idx="119">
                  <c:v>229.27932000000001</c:v>
                </c:pt>
                <c:pt idx="120">
                  <c:v>229.27932000000001</c:v>
                </c:pt>
                <c:pt idx="121">
                  <c:v>229.27932000000001</c:v>
                </c:pt>
                <c:pt idx="122">
                  <c:v>229.27932000000001</c:v>
                </c:pt>
                <c:pt idx="123">
                  <c:v>229.27932000000001</c:v>
                </c:pt>
                <c:pt idx="124">
                  <c:v>229.27932000000001</c:v>
                </c:pt>
                <c:pt idx="125">
                  <c:v>229.27932000000001</c:v>
                </c:pt>
                <c:pt idx="126">
                  <c:v>229.27932000000001</c:v>
                </c:pt>
                <c:pt idx="127">
                  <c:v>229.27932000000001</c:v>
                </c:pt>
                <c:pt idx="128">
                  <c:v>229.27932000000001</c:v>
                </c:pt>
                <c:pt idx="129">
                  <c:v>229.27932000000001</c:v>
                </c:pt>
                <c:pt idx="130">
                  <c:v>229.27932000000001</c:v>
                </c:pt>
                <c:pt idx="131">
                  <c:v>229.27932000000001</c:v>
                </c:pt>
                <c:pt idx="132">
                  <c:v>229.27932000000001</c:v>
                </c:pt>
                <c:pt idx="133">
                  <c:v>229.27932000000001</c:v>
                </c:pt>
                <c:pt idx="134">
                  <c:v>343.91897999999992</c:v>
                </c:pt>
                <c:pt idx="135">
                  <c:v>343.91897999999992</c:v>
                </c:pt>
                <c:pt idx="136">
                  <c:v>343.91897999999992</c:v>
                </c:pt>
                <c:pt idx="137">
                  <c:v>343.91897999999992</c:v>
                </c:pt>
                <c:pt idx="138">
                  <c:v>343.91897999999992</c:v>
                </c:pt>
                <c:pt idx="139">
                  <c:v>343.91897999999992</c:v>
                </c:pt>
                <c:pt idx="140">
                  <c:v>343.91897999999992</c:v>
                </c:pt>
                <c:pt idx="141">
                  <c:v>343.91897999999992</c:v>
                </c:pt>
                <c:pt idx="142">
                  <c:v>343.91897999999992</c:v>
                </c:pt>
                <c:pt idx="143">
                  <c:v>343.91897999999992</c:v>
                </c:pt>
                <c:pt idx="144">
                  <c:v>343.91897999999992</c:v>
                </c:pt>
                <c:pt idx="145">
                  <c:v>343.91897999999992</c:v>
                </c:pt>
                <c:pt idx="146">
                  <c:v>343.91897999999992</c:v>
                </c:pt>
                <c:pt idx="147">
                  <c:v>343.91897999999992</c:v>
                </c:pt>
                <c:pt idx="148">
                  <c:v>343.91897999999992</c:v>
                </c:pt>
                <c:pt idx="149">
                  <c:v>343.91897999999992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CC-4AA5-9357-F6A70DC0A539}"/>
            </c:ext>
          </c:extLst>
        </c:ser>
        <c:ser>
          <c:idx val="1"/>
          <c:order val="1"/>
          <c:tx>
            <c:strRef>
              <c:f>'Duty Cycle '!$R$2</c:f>
              <c:strCache>
                <c:ptCount val="1"/>
                <c:pt idx="0">
                  <c:v>Aero Drag (N)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'!$R$3:$R$152</c:f>
              <c:numCache>
                <c:formatCode>General</c:formatCode>
                <c:ptCount val="150"/>
                <c:pt idx="0">
                  <c:v>0</c:v>
                </c:pt>
                <c:pt idx="1">
                  <c:v>0.24685005894359213</c:v>
                </c:pt>
                <c:pt idx="2">
                  <c:v>0.68569460817664474</c:v>
                </c:pt>
                <c:pt idx="3">
                  <c:v>1.3439614320262234</c:v>
                </c:pt>
                <c:pt idx="4">
                  <c:v>2.742778432706579</c:v>
                </c:pt>
                <c:pt idx="5">
                  <c:v>4.635295551274119</c:v>
                </c:pt>
                <c:pt idx="6">
                  <c:v>7.9266296705220158</c:v>
                </c:pt>
                <c:pt idx="7">
                  <c:v>10.971113730826316</c:v>
                </c:pt>
                <c:pt idx="8">
                  <c:v>15.798403772389896</c:v>
                </c:pt>
                <c:pt idx="9">
                  <c:v>19.07918276794549</c:v>
                </c:pt>
                <c:pt idx="10">
                  <c:v>23.554546627093202</c:v>
                </c:pt>
                <c:pt idx="11">
                  <c:v>31.15088791433077</c:v>
                </c:pt>
                <c:pt idx="12">
                  <c:v>39.807183799787531</c:v>
                </c:pt>
                <c:pt idx="13">
                  <c:v>40.073897853277657</c:v>
                </c:pt>
                <c:pt idx="14">
                  <c:v>48.489416402465956</c:v>
                </c:pt>
                <c:pt idx="15">
                  <c:v>57.70641290871982</c:v>
                </c:pt>
                <c:pt idx="16">
                  <c:v>67.724887372039234</c:v>
                </c:pt>
                <c:pt idx="17">
                  <c:v>57.70641290871982</c:v>
                </c:pt>
                <c:pt idx="18">
                  <c:v>52.997729910959706</c:v>
                </c:pt>
                <c:pt idx="19">
                  <c:v>52.997729910959706</c:v>
                </c:pt>
                <c:pt idx="20">
                  <c:v>48.489416402465956</c:v>
                </c:pt>
                <c:pt idx="21">
                  <c:v>44.181472383238614</c:v>
                </c:pt>
                <c:pt idx="22">
                  <c:v>36.803979104833125</c:v>
                </c:pt>
                <c:pt idx="23">
                  <c:v>36.803979104833125</c:v>
                </c:pt>
                <c:pt idx="24">
                  <c:v>39.807183799787531</c:v>
                </c:pt>
                <c:pt idx="25">
                  <c:v>48.489416402465956</c:v>
                </c:pt>
                <c:pt idx="26">
                  <c:v>57.70641290871982</c:v>
                </c:pt>
                <c:pt idx="27">
                  <c:v>67.724887372039234</c:v>
                </c:pt>
                <c:pt idx="28">
                  <c:v>67.724887372039234</c:v>
                </c:pt>
                <c:pt idx="29">
                  <c:v>67.724887372039234</c:v>
                </c:pt>
                <c:pt idx="30">
                  <c:v>67.724887372039234</c:v>
                </c:pt>
                <c:pt idx="31">
                  <c:v>67.724887372039234</c:v>
                </c:pt>
                <c:pt idx="32">
                  <c:v>67.724887372039234</c:v>
                </c:pt>
                <c:pt idx="33">
                  <c:v>67.724887372039234</c:v>
                </c:pt>
                <c:pt idx="34">
                  <c:v>67.724887372039234</c:v>
                </c:pt>
                <c:pt idx="35">
                  <c:v>67.724887372039234</c:v>
                </c:pt>
                <c:pt idx="36">
                  <c:v>67.724887372039234</c:v>
                </c:pt>
                <c:pt idx="37">
                  <c:v>67.724887372039234</c:v>
                </c:pt>
                <c:pt idx="38">
                  <c:v>67.724887372039234</c:v>
                </c:pt>
                <c:pt idx="39">
                  <c:v>67.724887372039234</c:v>
                </c:pt>
                <c:pt idx="40">
                  <c:v>62.615465395746334</c:v>
                </c:pt>
                <c:pt idx="41">
                  <c:v>57.70641290871982</c:v>
                </c:pt>
                <c:pt idx="42">
                  <c:v>48.489416402465956</c:v>
                </c:pt>
                <c:pt idx="43">
                  <c:v>40.073897853277657</c:v>
                </c:pt>
                <c:pt idx="44">
                  <c:v>31.15088791433077</c:v>
                </c:pt>
                <c:pt idx="45">
                  <c:v>31.15088791433077</c:v>
                </c:pt>
                <c:pt idx="46">
                  <c:v>31.15088791433077</c:v>
                </c:pt>
                <c:pt idx="47">
                  <c:v>31.15088791433077</c:v>
                </c:pt>
                <c:pt idx="48">
                  <c:v>31.15088791433077</c:v>
                </c:pt>
                <c:pt idx="49">
                  <c:v>31.15088791433077</c:v>
                </c:pt>
                <c:pt idx="50">
                  <c:v>31.15088791433077</c:v>
                </c:pt>
                <c:pt idx="51">
                  <c:v>33.918547143014209</c:v>
                </c:pt>
                <c:pt idx="52">
                  <c:v>39.807183799787531</c:v>
                </c:pt>
                <c:pt idx="53">
                  <c:v>44.181472383238614</c:v>
                </c:pt>
                <c:pt idx="54">
                  <c:v>52.997729910959706</c:v>
                </c:pt>
                <c:pt idx="55">
                  <c:v>62.615465395746334</c:v>
                </c:pt>
                <c:pt idx="56">
                  <c:v>67.724887372039234</c:v>
                </c:pt>
                <c:pt idx="57">
                  <c:v>67.724887372039234</c:v>
                </c:pt>
                <c:pt idx="58">
                  <c:v>67.724887372039234</c:v>
                </c:pt>
                <c:pt idx="59">
                  <c:v>67.724887372039234</c:v>
                </c:pt>
                <c:pt idx="60">
                  <c:v>57.70641290871982</c:v>
                </c:pt>
                <c:pt idx="61">
                  <c:v>44.181472383238614</c:v>
                </c:pt>
                <c:pt idx="62">
                  <c:v>36.166692812583079</c:v>
                </c:pt>
                <c:pt idx="63">
                  <c:v>31.15088791433077</c:v>
                </c:pt>
                <c:pt idx="64">
                  <c:v>31.15088791433077</c:v>
                </c:pt>
                <c:pt idx="65">
                  <c:v>31.15088791433077</c:v>
                </c:pt>
                <c:pt idx="66">
                  <c:v>31.15088791433077</c:v>
                </c:pt>
                <c:pt idx="67">
                  <c:v>25.968887656370253</c:v>
                </c:pt>
                <c:pt idx="68">
                  <c:v>28.501001418782764</c:v>
                </c:pt>
                <c:pt idx="69">
                  <c:v>33.918547143014209</c:v>
                </c:pt>
                <c:pt idx="70">
                  <c:v>44.181472383238614</c:v>
                </c:pt>
                <c:pt idx="71">
                  <c:v>52.997729910959706</c:v>
                </c:pt>
                <c:pt idx="72">
                  <c:v>57.70641290871982</c:v>
                </c:pt>
                <c:pt idx="73">
                  <c:v>52.997729910959706</c:v>
                </c:pt>
                <c:pt idx="74">
                  <c:v>44.181472383238614</c:v>
                </c:pt>
                <c:pt idx="75">
                  <c:v>36.166692812583079</c:v>
                </c:pt>
                <c:pt idx="76">
                  <c:v>32.459857261154902</c:v>
                </c:pt>
                <c:pt idx="77">
                  <c:v>28.501001418782764</c:v>
                </c:pt>
                <c:pt idx="78">
                  <c:v>28.501001418782764</c:v>
                </c:pt>
                <c:pt idx="79">
                  <c:v>28.501001418782764</c:v>
                </c:pt>
                <c:pt idx="80">
                  <c:v>28.501001418782764</c:v>
                </c:pt>
                <c:pt idx="81">
                  <c:v>28.501001418782764</c:v>
                </c:pt>
                <c:pt idx="82">
                  <c:v>28.501001418782764</c:v>
                </c:pt>
                <c:pt idx="83">
                  <c:v>31.15088791433077</c:v>
                </c:pt>
                <c:pt idx="84">
                  <c:v>36.803979104833125</c:v>
                </c:pt>
                <c:pt idx="85">
                  <c:v>40.073897853277657</c:v>
                </c:pt>
                <c:pt idx="86">
                  <c:v>40.073897853277657</c:v>
                </c:pt>
                <c:pt idx="87">
                  <c:v>36.803979104833125</c:v>
                </c:pt>
                <c:pt idx="88">
                  <c:v>31.15088791433077</c:v>
                </c:pt>
                <c:pt idx="89">
                  <c:v>28.501001418782764</c:v>
                </c:pt>
                <c:pt idx="90">
                  <c:v>25.968887656370253</c:v>
                </c:pt>
                <c:pt idx="91">
                  <c:v>25.968887656370253</c:v>
                </c:pt>
                <c:pt idx="92">
                  <c:v>25.968887656370253</c:v>
                </c:pt>
                <c:pt idx="93">
                  <c:v>25.968887656370253</c:v>
                </c:pt>
                <c:pt idx="94">
                  <c:v>25.968887656370253</c:v>
                </c:pt>
                <c:pt idx="95">
                  <c:v>31.15088791433077</c:v>
                </c:pt>
                <c:pt idx="96">
                  <c:v>39.807183799787531</c:v>
                </c:pt>
                <c:pt idx="97">
                  <c:v>44.181472383238614</c:v>
                </c:pt>
                <c:pt idx="98">
                  <c:v>52.997729910959706</c:v>
                </c:pt>
                <c:pt idx="99">
                  <c:v>62.615465395746334</c:v>
                </c:pt>
                <c:pt idx="100">
                  <c:v>67.724887372039234</c:v>
                </c:pt>
                <c:pt idx="101">
                  <c:v>52.997729910959706</c:v>
                </c:pt>
                <c:pt idx="102">
                  <c:v>44.181472383238614</c:v>
                </c:pt>
                <c:pt idx="103">
                  <c:v>44.181472383238614</c:v>
                </c:pt>
                <c:pt idx="104">
                  <c:v>44.181472383238614</c:v>
                </c:pt>
                <c:pt idx="105">
                  <c:v>44.181472383238614</c:v>
                </c:pt>
                <c:pt idx="106">
                  <c:v>48.489416402465956</c:v>
                </c:pt>
                <c:pt idx="107">
                  <c:v>52.997729910959706</c:v>
                </c:pt>
                <c:pt idx="108">
                  <c:v>57.70641290871982</c:v>
                </c:pt>
                <c:pt idx="109">
                  <c:v>67.724887372039234</c:v>
                </c:pt>
                <c:pt idx="110">
                  <c:v>67.724887372039234</c:v>
                </c:pt>
                <c:pt idx="111">
                  <c:v>67.724887372039234</c:v>
                </c:pt>
                <c:pt idx="112">
                  <c:v>52.997729910959706</c:v>
                </c:pt>
                <c:pt idx="113">
                  <c:v>44.181472383238614</c:v>
                </c:pt>
                <c:pt idx="114">
                  <c:v>40.073897853277657</c:v>
                </c:pt>
                <c:pt idx="115">
                  <c:v>40.073897853277657</c:v>
                </c:pt>
                <c:pt idx="116">
                  <c:v>48.489416402465956</c:v>
                </c:pt>
                <c:pt idx="117">
                  <c:v>57.70641290871982</c:v>
                </c:pt>
                <c:pt idx="118">
                  <c:v>67.724887372039234</c:v>
                </c:pt>
                <c:pt idx="119">
                  <c:v>67.724887372039234</c:v>
                </c:pt>
                <c:pt idx="120">
                  <c:v>62.615465395746334</c:v>
                </c:pt>
                <c:pt idx="121">
                  <c:v>57.70641290871982</c:v>
                </c:pt>
                <c:pt idx="122">
                  <c:v>57.70641290871982</c:v>
                </c:pt>
                <c:pt idx="123">
                  <c:v>57.70641290871982</c:v>
                </c:pt>
                <c:pt idx="124">
                  <c:v>57.70641290871982</c:v>
                </c:pt>
                <c:pt idx="125">
                  <c:v>57.70641290871982</c:v>
                </c:pt>
                <c:pt idx="126">
                  <c:v>57.70641290871982</c:v>
                </c:pt>
                <c:pt idx="127">
                  <c:v>62.615465395746334</c:v>
                </c:pt>
                <c:pt idx="128">
                  <c:v>67.724887372039234</c:v>
                </c:pt>
                <c:pt idx="129">
                  <c:v>67.724887372039234</c:v>
                </c:pt>
                <c:pt idx="130">
                  <c:v>67.724887372039234</c:v>
                </c:pt>
                <c:pt idx="131">
                  <c:v>67.724887372039234</c:v>
                </c:pt>
                <c:pt idx="132">
                  <c:v>57.70641290871982</c:v>
                </c:pt>
                <c:pt idx="133">
                  <c:v>44.181472383238614</c:v>
                </c:pt>
                <c:pt idx="134">
                  <c:v>36.166692812583079</c:v>
                </c:pt>
                <c:pt idx="135">
                  <c:v>36.166692812583079</c:v>
                </c:pt>
                <c:pt idx="136">
                  <c:v>36.166692812583079</c:v>
                </c:pt>
                <c:pt idx="137">
                  <c:v>36.166692812583079</c:v>
                </c:pt>
                <c:pt idx="138">
                  <c:v>36.166692812583079</c:v>
                </c:pt>
                <c:pt idx="139">
                  <c:v>36.166692812583079</c:v>
                </c:pt>
                <c:pt idx="140">
                  <c:v>36.166692812583079</c:v>
                </c:pt>
                <c:pt idx="141">
                  <c:v>36.166692812583079</c:v>
                </c:pt>
                <c:pt idx="142">
                  <c:v>36.166692812583079</c:v>
                </c:pt>
                <c:pt idx="143">
                  <c:v>36.166692812583079</c:v>
                </c:pt>
                <c:pt idx="144">
                  <c:v>36.166692812583079</c:v>
                </c:pt>
                <c:pt idx="145">
                  <c:v>40.073897853277657</c:v>
                </c:pt>
                <c:pt idx="146">
                  <c:v>48.489416402465956</c:v>
                </c:pt>
                <c:pt idx="147">
                  <c:v>52.997729910959706</c:v>
                </c:pt>
                <c:pt idx="148">
                  <c:v>57.70641290871982</c:v>
                </c:pt>
                <c:pt idx="149">
                  <c:v>62.615465395746334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CC-4AA5-9357-F6A70DC0A539}"/>
            </c:ext>
          </c:extLst>
        </c:ser>
        <c:ser>
          <c:idx val="2"/>
          <c:order val="2"/>
          <c:tx>
            <c:strRef>
              <c:f>'Duty Cycle '!$S$2</c:f>
              <c:strCache>
                <c:ptCount val="1"/>
                <c:pt idx="0">
                  <c:v>Forces due to Incline (N) 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'!$S$3:$S$153</c:f>
              <c:numCache>
                <c:formatCode>General</c:formatCode>
                <c:ptCount val="151"/>
                <c:pt idx="0">
                  <c:v>0</c:v>
                </c:pt>
                <c:pt idx="1">
                  <c:v>142.58925732013751</c:v>
                </c:pt>
                <c:pt idx="2">
                  <c:v>85.57050092601699</c:v>
                </c:pt>
                <c:pt idx="3">
                  <c:v>122.22939742890185</c:v>
                </c:pt>
                <c:pt idx="4">
                  <c:v>149.71397215955378</c:v>
                </c:pt>
                <c:pt idx="5">
                  <c:v>410.38661228270013</c:v>
                </c:pt>
                <c:pt idx="6">
                  <c:v>501.48167565599397</c:v>
                </c:pt>
                <c:pt idx="7">
                  <c:v>532.56161242534517</c:v>
                </c:pt>
                <c:pt idx="8">
                  <c:v>532.56161242534495</c:v>
                </c:pt>
                <c:pt idx="9">
                  <c:v>605.00160630818573</c:v>
                </c:pt>
                <c:pt idx="10">
                  <c:v>631.30549460339432</c:v>
                </c:pt>
                <c:pt idx="11">
                  <c:v>493.34716718366531</c:v>
                </c:pt>
                <c:pt idx="12">
                  <c:v>280.4636784800561</c:v>
                </c:pt>
                <c:pt idx="13">
                  <c:v>390.89746618300615</c:v>
                </c:pt>
                <c:pt idx="14">
                  <c:v>254.17157481198475</c:v>
                </c:pt>
                <c:pt idx="15">
                  <c:v>139.89032721115606</c:v>
                </c:pt>
                <c:pt idx="16">
                  <c:v>86.102288041906121</c:v>
                </c:pt>
                <c:pt idx="17">
                  <c:v>233.02720511772924</c:v>
                </c:pt>
                <c:pt idx="18">
                  <c:v>194.57580621753189</c:v>
                </c:pt>
                <c:pt idx="19">
                  <c:v>194.57580621753337</c:v>
                </c:pt>
                <c:pt idx="20">
                  <c:v>203.40926511959216</c:v>
                </c:pt>
                <c:pt idx="21">
                  <c:v>159.86008660103573</c:v>
                </c:pt>
                <c:pt idx="22">
                  <c:v>116.78855604902414</c:v>
                </c:pt>
                <c:pt idx="23">
                  <c:v>-291.65373840607481</c:v>
                </c:pt>
                <c:pt idx="24">
                  <c:v>-558.9237636190087</c:v>
                </c:pt>
                <c:pt idx="25">
                  <c:v>-607.17697071619614</c:v>
                </c:pt>
                <c:pt idx="26">
                  <c:v>-464.90329178951254</c:v>
                </c:pt>
                <c:pt idx="27">
                  <c:v>-343.82777923631488</c:v>
                </c:pt>
                <c:pt idx="28">
                  <c:v>-86.102288041906021</c:v>
                </c:pt>
                <c:pt idx="29">
                  <c:v>0</c:v>
                </c:pt>
                <c:pt idx="30">
                  <c:v>0</c:v>
                </c:pt>
                <c:pt idx="31">
                  <c:v>-86.102288041906021</c:v>
                </c:pt>
                <c:pt idx="32">
                  <c:v>-258.07403996203914</c:v>
                </c:pt>
                <c:pt idx="33">
                  <c:v>-514.58576311484785</c:v>
                </c:pt>
                <c:pt idx="34">
                  <c:v>-429.35045685488984</c:v>
                </c:pt>
                <c:pt idx="35">
                  <c:v>-429.35045685488984</c:v>
                </c:pt>
                <c:pt idx="36">
                  <c:v>-429.35045685488984</c:v>
                </c:pt>
                <c:pt idx="37">
                  <c:v>-429.35045685488984</c:v>
                </c:pt>
                <c:pt idx="38">
                  <c:v>-429.35045685488984</c:v>
                </c:pt>
                <c:pt idx="39">
                  <c:v>-429.35045685488984</c:v>
                </c:pt>
                <c:pt idx="40">
                  <c:v>-223.72061162531148</c:v>
                </c:pt>
                <c:pt idx="41">
                  <c:v>-233.02720511772895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-126.93930116066826</c:v>
                </c:pt>
                <c:pt idx="50">
                  <c:v>-253.69204132021051</c:v>
                </c:pt>
                <c:pt idx="51">
                  <c:v>-484.97477398393755</c:v>
                </c:pt>
                <c:pt idx="52">
                  <c:v>-558.92376361901165</c:v>
                </c:pt>
                <c:pt idx="53">
                  <c:v>-530.7838772800834</c:v>
                </c:pt>
                <c:pt idx="54">
                  <c:v>-388.48071864370934</c:v>
                </c:pt>
                <c:pt idx="55">
                  <c:v>-223.72061162531148</c:v>
                </c:pt>
                <c:pt idx="56">
                  <c:v>-86.102288041906689</c:v>
                </c:pt>
                <c:pt idx="57">
                  <c:v>-43.054787285337035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106.59642443082052</c:v>
                </c:pt>
                <c:pt idx="62">
                  <c:v>235.47600491324229</c:v>
                </c:pt>
                <c:pt idx="63">
                  <c:v>253.69204132021247</c:v>
                </c:pt>
                <c:pt idx="64">
                  <c:v>316.94048769721536</c:v>
                </c:pt>
                <c:pt idx="65">
                  <c:v>380.0730272819315</c:v>
                </c:pt>
                <c:pt idx="66">
                  <c:v>443.066945288353</c:v>
                </c:pt>
                <c:pt idx="67">
                  <c:v>553.65057875862738</c:v>
                </c:pt>
                <c:pt idx="68">
                  <c:v>594.12083654264904</c:v>
                </c:pt>
                <c:pt idx="69">
                  <c:v>182.42754647618025</c:v>
                </c:pt>
                <c:pt idx="70">
                  <c:v>-213.08233885679832</c:v>
                </c:pt>
                <c:pt idx="71">
                  <c:v>-388.48071864370945</c:v>
                </c:pt>
                <c:pt idx="72">
                  <c:v>0</c:v>
                </c:pt>
                <c:pt idx="73">
                  <c:v>194.57580621753229</c:v>
                </c:pt>
                <c:pt idx="74">
                  <c:v>425.28402226922145</c:v>
                </c:pt>
                <c:pt idx="75">
                  <c:v>586.09926403903387</c:v>
                </c:pt>
                <c:pt idx="76">
                  <c:v>740.05765321849481</c:v>
                </c:pt>
                <c:pt idx="77">
                  <c:v>788.87208792327044</c:v>
                </c:pt>
                <c:pt idx="78">
                  <c:v>788.87208792327158</c:v>
                </c:pt>
                <c:pt idx="79">
                  <c:v>788.87208792327044</c:v>
                </c:pt>
                <c:pt idx="80">
                  <c:v>788.87208792327158</c:v>
                </c:pt>
                <c:pt idx="81">
                  <c:v>788.87208792327044</c:v>
                </c:pt>
                <c:pt idx="82">
                  <c:v>788.87208792327044</c:v>
                </c:pt>
                <c:pt idx="83">
                  <c:v>505.89977813461161</c:v>
                </c:pt>
                <c:pt idx="84">
                  <c:v>349.78531516548975</c:v>
                </c:pt>
                <c:pt idx="85">
                  <c:v>335.26186667581743</c:v>
                </c:pt>
                <c:pt idx="86">
                  <c:v>335.26186667581845</c:v>
                </c:pt>
                <c:pt idx="87">
                  <c:v>349.78531516548867</c:v>
                </c:pt>
                <c:pt idx="88">
                  <c:v>380.07302728193241</c:v>
                </c:pt>
                <c:pt idx="89">
                  <c:v>397.26788434873913</c:v>
                </c:pt>
                <c:pt idx="90">
                  <c:v>416.08797296181029</c:v>
                </c:pt>
                <c:pt idx="91">
                  <c:v>208.45630854333635</c:v>
                </c:pt>
                <c:pt idx="92">
                  <c:v>208.45630854333635</c:v>
                </c:pt>
                <c:pt idx="93">
                  <c:v>139.02195590271782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-215.12833520194437</c:v>
                </c:pt>
                <c:pt idx="119">
                  <c:v>-429.35045685489166</c:v>
                </c:pt>
                <c:pt idx="120">
                  <c:v>-579.13830153195181</c:v>
                </c:pt>
                <c:pt idx="121">
                  <c:v>-557.07831117949968</c:v>
                </c:pt>
                <c:pt idx="122">
                  <c:v>-557.07831117949968</c:v>
                </c:pt>
                <c:pt idx="123">
                  <c:v>-557.07831117950047</c:v>
                </c:pt>
                <c:pt idx="124">
                  <c:v>-464.90329178951038</c:v>
                </c:pt>
                <c:pt idx="125">
                  <c:v>-464.90329178951038</c:v>
                </c:pt>
                <c:pt idx="126">
                  <c:v>-464.90329178951038</c:v>
                </c:pt>
                <c:pt idx="127">
                  <c:v>-268.37480616942105</c:v>
                </c:pt>
                <c:pt idx="128">
                  <c:v>0</c:v>
                </c:pt>
                <c:pt idx="129">
                  <c:v>129.13522190512612</c:v>
                </c:pt>
                <c:pt idx="130">
                  <c:v>300.97624061639641</c:v>
                </c:pt>
                <c:pt idx="131">
                  <c:v>343.82777923631636</c:v>
                </c:pt>
                <c:pt idx="132">
                  <c:v>372.36381034550345</c:v>
                </c:pt>
                <c:pt idx="133">
                  <c:v>425.28402226922196</c:v>
                </c:pt>
                <c:pt idx="134">
                  <c:v>469.76431149610755</c:v>
                </c:pt>
                <c:pt idx="135">
                  <c:v>469.76431149610858</c:v>
                </c:pt>
                <c:pt idx="136">
                  <c:v>469.76431149610858</c:v>
                </c:pt>
                <c:pt idx="137">
                  <c:v>469.76431149610858</c:v>
                </c:pt>
                <c:pt idx="138">
                  <c:v>352.8420313021262</c:v>
                </c:pt>
                <c:pt idx="139">
                  <c:v>176.67223859854593</c:v>
                </c:pt>
                <c:pt idx="140">
                  <c:v>0</c:v>
                </c:pt>
                <c:pt idx="141">
                  <c:v>-176.67223859854593</c:v>
                </c:pt>
                <c:pt idx="142">
                  <c:v>-411.36768880966417</c:v>
                </c:pt>
                <c:pt idx="143">
                  <c:v>-586.09926403902716</c:v>
                </c:pt>
                <c:pt idx="144">
                  <c:v>-586.09926403902716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CC-4AA5-9357-F6A70DC0A539}"/>
            </c:ext>
          </c:extLst>
        </c:ser>
        <c:ser>
          <c:idx val="3"/>
          <c:order val="3"/>
          <c:tx>
            <c:strRef>
              <c:f>'Duty Cycle '!$O$2</c:f>
              <c:strCache>
                <c:ptCount val="1"/>
                <c:pt idx="0">
                  <c:v>Acceleration Force (N)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'Duty Cycle '!$O$3:$O$153</c:f>
              <c:numCache>
                <c:formatCode>General</c:formatCode>
                <c:ptCount val="151"/>
                <c:pt idx="0">
                  <c:v>0</c:v>
                </c:pt>
                <c:pt idx="1">
                  <c:v>491.74803673576611</c:v>
                </c:pt>
                <c:pt idx="2">
                  <c:v>327.83202449051072</c:v>
                </c:pt>
                <c:pt idx="3">
                  <c:v>327.83202449051061</c:v>
                </c:pt>
                <c:pt idx="4">
                  <c:v>491.74803673576622</c:v>
                </c:pt>
                <c:pt idx="5">
                  <c:v>491.74803673576611</c:v>
                </c:pt>
                <c:pt idx="6">
                  <c:v>655.66404898102178</c:v>
                </c:pt>
                <c:pt idx="7">
                  <c:v>491.74803673576582</c:v>
                </c:pt>
                <c:pt idx="8">
                  <c:v>655.66404898102144</c:v>
                </c:pt>
                <c:pt idx="9">
                  <c:v>384.70841188286056</c:v>
                </c:pt>
                <c:pt idx="10">
                  <c:v>474.7864790554338</c:v>
                </c:pt>
                <c:pt idx="11">
                  <c:v>712.17971858315047</c:v>
                </c:pt>
                <c:pt idx="12">
                  <c:v>712.17971858314991</c:v>
                </c:pt>
                <c:pt idx="13">
                  <c:v>20.555856617712458</c:v>
                </c:pt>
                <c:pt idx="14">
                  <c:v>616.67569853141003</c:v>
                </c:pt>
                <c:pt idx="15">
                  <c:v>616.67569853141106</c:v>
                </c:pt>
                <c:pt idx="16">
                  <c:v>616.67569853141106</c:v>
                </c:pt>
                <c:pt idx="17">
                  <c:v>-616.67569853141106</c:v>
                </c:pt>
                <c:pt idx="18">
                  <c:v>-308.33784926570394</c:v>
                </c:pt>
                <c:pt idx="19">
                  <c:v>0</c:v>
                </c:pt>
                <c:pt idx="20">
                  <c:v>-308.33784926570718</c:v>
                </c:pt>
                <c:pt idx="21">
                  <c:v>-308.33784926570502</c:v>
                </c:pt>
                <c:pt idx="22">
                  <c:v>-567.67948582714757</c:v>
                </c:pt>
                <c:pt idx="23">
                  <c:v>0</c:v>
                </c:pt>
                <c:pt idx="24">
                  <c:v>237.3932395277177</c:v>
                </c:pt>
                <c:pt idx="25">
                  <c:v>637.23155514912253</c:v>
                </c:pt>
                <c:pt idx="26">
                  <c:v>616.67569853141106</c:v>
                </c:pt>
                <c:pt idx="27">
                  <c:v>616.67569853141106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-308.33784926570502</c:v>
                </c:pt>
                <c:pt idx="41">
                  <c:v>-308.3378492657061</c:v>
                </c:pt>
                <c:pt idx="42">
                  <c:v>-616.67569853141106</c:v>
                </c:pt>
                <c:pt idx="43">
                  <c:v>-616.67569853141003</c:v>
                </c:pt>
                <c:pt idx="44">
                  <c:v>-732.82260897686308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237.39323952771556</c:v>
                </c:pt>
                <c:pt idx="52">
                  <c:v>474.78647905543431</c:v>
                </c:pt>
                <c:pt idx="53">
                  <c:v>328.89370588341745</c:v>
                </c:pt>
                <c:pt idx="54">
                  <c:v>616.67569853141219</c:v>
                </c:pt>
                <c:pt idx="55">
                  <c:v>616.67569853141003</c:v>
                </c:pt>
                <c:pt idx="56">
                  <c:v>308.33784926570502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-616.67569853141106</c:v>
                </c:pt>
                <c:pt idx="61">
                  <c:v>-925.01354779711619</c:v>
                </c:pt>
                <c:pt idx="62">
                  <c:v>-616.67569853141106</c:v>
                </c:pt>
                <c:pt idx="63">
                  <c:v>-423.17925307114535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-474.78647905543431</c:v>
                </c:pt>
                <c:pt idx="68">
                  <c:v>237.39323952771556</c:v>
                </c:pt>
                <c:pt idx="69">
                  <c:v>474.78647905543431</c:v>
                </c:pt>
                <c:pt idx="70">
                  <c:v>801.67840809083395</c:v>
                </c:pt>
                <c:pt idx="71">
                  <c:v>616.67569853141219</c:v>
                </c:pt>
                <c:pt idx="72">
                  <c:v>308.33784926570394</c:v>
                </c:pt>
                <c:pt idx="73">
                  <c:v>-308.33784926570394</c:v>
                </c:pt>
                <c:pt idx="74">
                  <c:v>-616.67569853141219</c:v>
                </c:pt>
                <c:pt idx="75">
                  <c:v>-616.67569853141106</c:v>
                </c:pt>
                <c:pt idx="76">
                  <c:v>-308.33784926570502</c:v>
                </c:pt>
                <c:pt idx="77">
                  <c:v>-350.92913669314743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237.39323952771878</c:v>
                </c:pt>
                <c:pt idx="84">
                  <c:v>474.78647905543221</c:v>
                </c:pt>
                <c:pt idx="85">
                  <c:v>256.94820772142123</c:v>
                </c:pt>
                <c:pt idx="86">
                  <c:v>0</c:v>
                </c:pt>
                <c:pt idx="87">
                  <c:v>-258.03612992143093</c:v>
                </c:pt>
                <c:pt idx="88">
                  <c:v>-474.78647905543221</c:v>
                </c:pt>
                <c:pt idx="89">
                  <c:v>-237.39323952771878</c:v>
                </c:pt>
                <c:pt idx="90">
                  <c:v>-237.39323952771556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474.78647905543431</c:v>
                </c:pt>
                <c:pt idx="96">
                  <c:v>712.17971858314991</c:v>
                </c:pt>
                <c:pt idx="97">
                  <c:v>328.89370588341745</c:v>
                </c:pt>
                <c:pt idx="98">
                  <c:v>616.67569853141219</c:v>
                </c:pt>
                <c:pt idx="99">
                  <c:v>616.67569853141003</c:v>
                </c:pt>
                <c:pt idx="100">
                  <c:v>308.33784926570502</c:v>
                </c:pt>
                <c:pt idx="101">
                  <c:v>-925.01354779711505</c:v>
                </c:pt>
                <c:pt idx="102">
                  <c:v>-616.67569853141219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308.33784926570502</c:v>
                </c:pt>
                <c:pt idx="107">
                  <c:v>308.33784926570718</c:v>
                </c:pt>
                <c:pt idx="108">
                  <c:v>308.33784926570394</c:v>
                </c:pt>
                <c:pt idx="109">
                  <c:v>616.67569853141106</c:v>
                </c:pt>
                <c:pt idx="110">
                  <c:v>0</c:v>
                </c:pt>
                <c:pt idx="111">
                  <c:v>0</c:v>
                </c:pt>
                <c:pt idx="112">
                  <c:v>-925.01354779711505</c:v>
                </c:pt>
                <c:pt idx="113">
                  <c:v>-616.67569853141219</c:v>
                </c:pt>
                <c:pt idx="114">
                  <c:v>-308.33784926570502</c:v>
                </c:pt>
                <c:pt idx="115">
                  <c:v>0</c:v>
                </c:pt>
                <c:pt idx="116">
                  <c:v>616.67569853141003</c:v>
                </c:pt>
                <c:pt idx="117">
                  <c:v>616.67569853141106</c:v>
                </c:pt>
                <c:pt idx="118">
                  <c:v>616.67569853141106</c:v>
                </c:pt>
                <c:pt idx="119">
                  <c:v>0</c:v>
                </c:pt>
                <c:pt idx="120">
                  <c:v>-308.33784926570502</c:v>
                </c:pt>
                <c:pt idx="121">
                  <c:v>-308.3378492657061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308.3378492657061</c:v>
                </c:pt>
                <c:pt idx="128">
                  <c:v>308.33784926570502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-616.67569853141106</c:v>
                </c:pt>
                <c:pt idx="133">
                  <c:v>-925.01354779711619</c:v>
                </c:pt>
                <c:pt idx="134">
                  <c:v>-616.67569853141106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308.3378492657061</c:v>
                </c:pt>
                <c:pt idx="146">
                  <c:v>616.67569853141003</c:v>
                </c:pt>
                <c:pt idx="147">
                  <c:v>308.33784926570718</c:v>
                </c:pt>
                <c:pt idx="148">
                  <c:v>308.33784926570394</c:v>
                </c:pt>
                <c:pt idx="149">
                  <c:v>308.3378492657061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7CC-4AA5-9357-F6A70DC0A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6482776"/>
        <c:axId val="606481136"/>
      </c:lineChart>
      <c:catAx>
        <c:axId val="606482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     Total Fuel Consumption (g)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'Duty Cycle '!$AD$2</c:f>
              <c:strCache>
                <c:ptCount val="1"/>
                <c:pt idx="0">
                  <c:v>Total Fuel Consumption (g)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'Duty Cycle '!$B$3:$B$152</c:f>
              <c:numCache>
                <c:formatCode>General</c:formatCode>
                <c:ptCount val="1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</c:numCache>
            </c:numRef>
          </c:cat>
          <c:val>
            <c:numRef>
              <c:f>'Duty Cycle '!$AD$3:$AD$152</c:f>
              <c:numCache>
                <c:formatCode>General</c:formatCode>
                <c:ptCount val="150"/>
                <c:pt idx="0">
                  <c:v>0</c:v>
                </c:pt>
                <c:pt idx="1">
                  <c:v>0</c:v>
                </c:pt>
                <c:pt idx="2">
                  <c:v>0.14228406972913979</c:v>
                </c:pt>
                <c:pt idx="3">
                  <c:v>0.37034822124546096</c:v>
                </c:pt>
                <c:pt idx="4">
                  <c:v>0.75437200040764529</c:v>
                </c:pt>
                <c:pt idx="5">
                  <c:v>1.3091316371220365</c:v>
                </c:pt>
                <c:pt idx="6">
                  <c:v>2.0430762119970156</c:v>
                </c:pt>
                <c:pt idx="7">
                  <c:v>2.585787152571442</c:v>
                </c:pt>
                <c:pt idx="8">
                  <c:v>3.4245190838475397</c:v>
                </c:pt>
                <c:pt idx="9">
                  <c:v>4.5072075936854601</c:v>
                </c:pt>
                <c:pt idx="10">
                  <c:v>5.8101971999117694</c:v>
                </c:pt>
                <c:pt idx="11">
                  <c:v>7.4989199487293678</c:v>
                </c:pt>
                <c:pt idx="12">
                  <c:v>9.233645715384613</c:v>
                </c:pt>
                <c:pt idx="13">
                  <c:v>9.7443278733805911</c:v>
                </c:pt>
                <c:pt idx="14">
                  <c:v>11.272658852874194</c:v>
                </c:pt>
                <c:pt idx="15">
                  <c:v>12.843854543367918</c:v>
                </c:pt>
                <c:pt idx="16">
                  <c:v>14.589836991636709</c:v>
                </c:pt>
                <c:pt idx="17">
                  <c:v>15.079686712730746</c:v>
                </c:pt>
                <c:pt idx="18">
                  <c:v>15.236012544027149</c:v>
                </c:pt>
                <c:pt idx="19">
                  <c:v>15.819113430716135</c:v>
                </c:pt>
                <c:pt idx="20">
                  <c:v>15.975929933219113</c:v>
                </c:pt>
                <c:pt idx="21">
                  <c:v>16.005543885892823</c:v>
                </c:pt>
                <c:pt idx="22">
                  <c:v>16.584622760500789</c:v>
                </c:pt>
                <c:pt idx="23">
                  <c:v>16.912727933523588</c:v>
                </c:pt>
                <c:pt idx="24">
                  <c:v>17.313616162489165</c:v>
                </c:pt>
                <c:pt idx="25">
                  <c:v>17.742809844290814</c:v>
                </c:pt>
                <c:pt idx="26">
                  <c:v>18.389580642329864</c:v>
                </c:pt>
                <c:pt idx="27">
                  <c:v>19.321420628452891</c:v>
                </c:pt>
                <c:pt idx="28">
                  <c:v>19.639415751794882</c:v>
                </c:pt>
                <c:pt idx="29">
                  <c:v>20.178428235364059</c:v>
                </c:pt>
                <c:pt idx="30">
                  <c:v>20.717440718933236</c:v>
                </c:pt>
                <c:pt idx="31">
                  <c:v>21.035435842275227</c:v>
                </c:pt>
                <c:pt idx="32">
                  <c:v>21.285536448700327</c:v>
                </c:pt>
                <c:pt idx="33">
                  <c:v>22.079338824977746</c:v>
                </c:pt>
                <c:pt idx="34">
                  <c:v>22.751868708275435</c:v>
                </c:pt>
                <c:pt idx="35">
                  <c:v>23.424398591573123</c:v>
                </c:pt>
                <c:pt idx="36">
                  <c:v>24.096928474870811</c:v>
                </c:pt>
                <c:pt idx="37">
                  <c:v>24.7694583581685</c:v>
                </c:pt>
                <c:pt idx="38">
                  <c:v>25.183643322301847</c:v>
                </c:pt>
                <c:pt idx="39">
                  <c:v>25.597828286435195</c:v>
                </c:pt>
                <c:pt idx="40">
                  <c:v>26.203612670412351</c:v>
                </c:pt>
                <c:pt idx="41">
                  <c:v>26.793324985958463</c:v>
                </c:pt>
                <c:pt idx="42">
                  <c:v>27.327588997173915</c:v>
                </c:pt>
                <c:pt idx="43">
                  <c:v>27.819338552571544</c:v>
                </c:pt>
                <c:pt idx="44">
                  <c:v>28.402365888404322</c:v>
                </c:pt>
                <c:pt idx="45">
                  <c:v>28.883035282896756</c:v>
                </c:pt>
                <c:pt idx="46">
                  <c:v>29.36370467738919</c:v>
                </c:pt>
                <c:pt idx="47">
                  <c:v>29.844374071881624</c:v>
                </c:pt>
                <c:pt idx="48">
                  <c:v>30.325043466374058</c:v>
                </c:pt>
                <c:pt idx="49">
                  <c:v>30.596714181997115</c:v>
                </c:pt>
                <c:pt idx="50">
                  <c:v>30.612980296461679</c:v>
                </c:pt>
                <c:pt idx="51">
                  <c:v>30.651096691362078</c:v>
                </c:pt>
                <c:pt idx="52">
                  <c:v>31.094850173562225</c:v>
                </c:pt>
                <c:pt idx="53">
                  <c:v>31.281355678835165</c:v>
                </c:pt>
                <c:pt idx="54">
                  <c:v>31.975284351228883</c:v>
                </c:pt>
                <c:pt idx="55">
                  <c:v>32.91613748792922</c:v>
                </c:pt>
                <c:pt idx="56">
                  <c:v>33.953664870747382</c:v>
                </c:pt>
                <c:pt idx="57">
                  <c:v>34.64515603399645</c:v>
                </c:pt>
                <c:pt idx="58">
                  <c:v>35.365926390310356</c:v>
                </c:pt>
                <c:pt idx="59">
                  <c:v>36.086696746624263</c:v>
                </c:pt>
                <c:pt idx="60">
                  <c:v>36.744585313796087</c:v>
                </c:pt>
                <c:pt idx="61">
                  <c:v>37.35216503297746</c:v>
                </c:pt>
                <c:pt idx="62">
                  <c:v>37.600690887865696</c:v>
                </c:pt>
                <c:pt idx="63">
                  <c:v>37.803000495125609</c:v>
                </c:pt>
                <c:pt idx="64">
                  <c:v>38.470196214072175</c:v>
                </c:pt>
                <c:pt idx="65">
                  <c:v>39.137726217384028</c:v>
                </c:pt>
                <c:pt idx="66">
                  <c:v>39.840045233678488</c:v>
                </c:pt>
                <c:pt idx="67">
                  <c:v>40.250604259465298</c:v>
                </c:pt>
                <c:pt idx="68">
                  <c:v>41.478244037268055</c:v>
                </c:pt>
                <c:pt idx="69">
                  <c:v>42.557961558383496</c:v>
                </c:pt>
                <c:pt idx="70">
                  <c:v>43.99607256057287</c:v>
                </c:pt>
                <c:pt idx="71">
                  <c:v>44.676312359807191</c:v>
                </c:pt>
                <c:pt idx="72">
                  <c:v>45.539351350240672</c:v>
                </c:pt>
                <c:pt idx="73">
                  <c:v>46.054029684063252</c:v>
                </c:pt>
                <c:pt idx="74">
                  <c:v>46.470461715816896</c:v>
                </c:pt>
                <c:pt idx="75">
                  <c:v>47.001011056001282</c:v>
                </c:pt>
                <c:pt idx="76">
                  <c:v>47.996915312653023</c:v>
                </c:pt>
                <c:pt idx="77">
                  <c:v>48.593238072527825</c:v>
                </c:pt>
                <c:pt idx="78">
                  <c:v>49.711476882688096</c:v>
                </c:pt>
                <c:pt idx="79">
                  <c:v>50.829715692848367</c:v>
                </c:pt>
                <c:pt idx="80">
                  <c:v>51.947954503008638</c:v>
                </c:pt>
                <c:pt idx="81">
                  <c:v>53.06619331316891</c:v>
                </c:pt>
                <c:pt idx="82">
                  <c:v>54.184432123329181</c:v>
                </c:pt>
                <c:pt idx="83">
                  <c:v>55.349746454258614</c:v>
                </c:pt>
                <c:pt idx="84">
                  <c:v>57.077239229551175</c:v>
                </c:pt>
                <c:pt idx="85">
                  <c:v>58.466953412319597</c:v>
                </c:pt>
                <c:pt idx="86">
                  <c:v>59.24149975039095</c:v>
                </c:pt>
                <c:pt idx="87">
                  <c:v>59.970417996624839</c:v>
                </c:pt>
                <c:pt idx="88">
                  <c:v>60.424484968366372</c:v>
                </c:pt>
                <c:pt idx="89">
                  <c:v>61.019806584149215</c:v>
                </c:pt>
                <c:pt idx="90">
                  <c:v>61.547835082878187</c:v>
                </c:pt>
                <c:pt idx="91">
                  <c:v>62.104510060357129</c:v>
                </c:pt>
                <c:pt idx="92">
                  <c:v>62.66118503783607</c:v>
                </c:pt>
                <c:pt idx="93">
                  <c:v>63.178448426109533</c:v>
                </c:pt>
                <c:pt idx="94">
                  <c:v>63.63296865553626</c:v>
                </c:pt>
                <c:pt idx="95">
                  <c:v>64.279731641427276</c:v>
                </c:pt>
                <c:pt idx="96">
                  <c:v>65.480172359775494</c:v>
                </c:pt>
                <c:pt idx="97">
                  <c:v>66.058209908894682</c:v>
                </c:pt>
                <c:pt idx="98">
                  <c:v>67.093820641581289</c:v>
                </c:pt>
                <c:pt idx="99">
                  <c:v>68.304466713947946</c:v>
                </c:pt>
                <c:pt idx="100">
                  <c:v>69.296963917186162</c:v>
                </c:pt>
                <c:pt idx="101">
                  <c:v>70.233369907559009</c:v>
                </c:pt>
                <c:pt idx="102">
                  <c:v>70.808195773151823</c:v>
                </c:pt>
                <c:pt idx="103">
                  <c:v>71.144419749264955</c:v>
                </c:pt>
                <c:pt idx="104">
                  <c:v>71.480643725378087</c:v>
                </c:pt>
                <c:pt idx="105">
                  <c:v>71.816867701491219</c:v>
                </c:pt>
                <c:pt idx="106">
                  <c:v>72.391698051358162</c:v>
                </c:pt>
                <c:pt idx="107">
                  <c:v>73.038732259959986</c:v>
                </c:pt>
                <c:pt idx="108">
                  <c:v>73.588201471230803</c:v>
                </c:pt>
                <c:pt idx="109">
                  <c:v>75.126489095225509</c:v>
                </c:pt>
                <c:pt idx="110">
                  <c:v>75.665501578794689</c:v>
                </c:pt>
                <c:pt idx="111">
                  <c:v>76.20451406236387</c:v>
                </c:pt>
                <c:pt idx="112">
                  <c:v>77.140920052736718</c:v>
                </c:pt>
                <c:pt idx="113">
                  <c:v>77.715745918329532</c:v>
                </c:pt>
                <c:pt idx="114">
                  <c:v>78.028751046519616</c:v>
                </c:pt>
                <c:pt idx="115">
                  <c:v>78.343975524129092</c:v>
                </c:pt>
                <c:pt idx="116">
                  <c:v>79.265666744409927</c:v>
                </c:pt>
                <c:pt idx="117">
                  <c:v>80.339237254388763</c:v>
                </c:pt>
                <c:pt idx="118">
                  <c:v>81.534506015932138</c:v>
                </c:pt>
                <c:pt idx="119">
                  <c:v>81.948690980065493</c:v>
                </c:pt>
                <c:pt idx="120">
                  <c:v>82.74441308256641</c:v>
                </c:pt>
                <c:pt idx="121">
                  <c:v>83.426587784033245</c:v>
                </c:pt>
                <c:pt idx="122">
                  <c:v>84.014329771567333</c:v>
                </c:pt>
                <c:pt idx="123">
                  <c:v>84.60207175910142</c:v>
                </c:pt>
                <c:pt idx="124">
                  <c:v>85.059782625441798</c:v>
                </c:pt>
                <c:pt idx="125">
                  <c:v>85.517493491782176</c:v>
                </c:pt>
                <c:pt idx="126">
                  <c:v>85.975204358122554</c:v>
                </c:pt>
                <c:pt idx="127">
                  <c:v>86.700701780797715</c:v>
                </c:pt>
                <c:pt idx="128">
                  <c:v>87.852344829669661</c:v>
                </c:pt>
                <c:pt idx="129">
                  <c:v>88.72467102664632</c:v>
                </c:pt>
                <c:pt idx="130">
                  <c:v>89.862308860885435</c:v>
                </c:pt>
                <c:pt idx="131">
                  <c:v>91.020142922496021</c:v>
                </c:pt>
                <c:pt idx="132">
                  <c:v>91.156001779512522</c:v>
                </c:pt>
                <c:pt idx="133">
                  <c:v>91.582584307091366</c:v>
                </c:pt>
                <c:pt idx="134">
                  <c:v>92.001703044814462</c:v>
                </c:pt>
                <c:pt idx="135">
                  <c:v>93.111858655712311</c:v>
                </c:pt>
                <c:pt idx="136">
                  <c:v>94.222014266610159</c:v>
                </c:pt>
                <c:pt idx="137">
                  <c:v>95.332169877508008</c:v>
                </c:pt>
                <c:pt idx="138">
                  <c:v>96.260372574379559</c:v>
                </c:pt>
                <c:pt idx="139">
                  <c:v>96.957854515528524</c:v>
                </c:pt>
                <c:pt idx="140">
                  <c:v>97.495032108496872</c:v>
                </c:pt>
                <c:pt idx="141">
                  <c:v>97.896211376340688</c:v>
                </c:pt>
                <c:pt idx="142">
                  <c:v>97.979720002139032</c:v>
                </c:pt>
                <c:pt idx="143">
                  <c:v>98.350018793966797</c:v>
                </c:pt>
                <c:pt idx="144">
                  <c:v>98.720317585794561</c:v>
                </c:pt>
                <c:pt idx="145">
                  <c:v>99.424390701303324</c:v>
                </c:pt>
                <c:pt idx="146">
                  <c:v>100.84121586347851</c:v>
                </c:pt>
                <c:pt idx="147">
                  <c:v>101.66325662526148</c:v>
                </c:pt>
                <c:pt idx="148">
                  <c:v>102.52629561569496</c:v>
                </c:pt>
                <c:pt idx="149">
                  <c:v>103.50839383601259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4B-4C6D-95A3-7AA33CB1F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6482776"/>
        <c:axId val="606481136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'Duty Cycle '!$R$2</c15:sqref>
                        </c15:formulaRef>
                      </c:ext>
                    </c:extLst>
                    <c:strCache>
                      <c:ptCount val="1"/>
                      <c:pt idx="0">
                        <c:v>Aero Drag (N)</c:v>
                      </c:pt>
                    </c:strCache>
                  </c:strRef>
                </c:tx>
                <c:spPr>
                  <a:ln w="22225" cap="rnd">
                    <a:solidFill>
                      <a:schemeClr val="accent5"/>
                    </a:solidFill>
                  </a:ln>
                  <a:effectLst>
                    <a:glow rad="139700">
                      <a:schemeClr val="accent5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'Duty Cycle '!$R$3:$R$152</c15:sqref>
                        </c15:formulaRef>
                      </c:ext>
                    </c:extLst>
                    <c:numCache>
                      <c:formatCode>General</c:formatCode>
                      <c:ptCount val="150"/>
                      <c:pt idx="0">
                        <c:v>0</c:v>
                      </c:pt>
                      <c:pt idx="1">
                        <c:v>0.24685005894359213</c:v>
                      </c:pt>
                      <c:pt idx="2">
                        <c:v>0.68569460817664474</c:v>
                      </c:pt>
                      <c:pt idx="3">
                        <c:v>1.3439614320262234</c:v>
                      </c:pt>
                      <c:pt idx="4">
                        <c:v>2.742778432706579</c:v>
                      </c:pt>
                      <c:pt idx="5">
                        <c:v>4.635295551274119</c:v>
                      </c:pt>
                      <c:pt idx="6">
                        <c:v>7.9266296705220158</c:v>
                      </c:pt>
                      <c:pt idx="7">
                        <c:v>10.971113730826316</c:v>
                      </c:pt>
                      <c:pt idx="8">
                        <c:v>15.798403772389896</c:v>
                      </c:pt>
                      <c:pt idx="9">
                        <c:v>19.07918276794549</c:v>
                      </c:pt>
                      <c:pt idx="10">
                        <c:v>23.554546627093202</c:v>
                      </c:pt>
                      <c:pt idx="11">
                        <c:v>31.15088791433077</c:v>
                      </c:pt>
                      <c:pt idx="12">
                        <c:v>39.807183799787531</c:v>
                      </c:pt>
                      <c:pt idx="13">
                        <c:v>40.073897853277657</c:v>
                      </c:pt>
                      <c:pt idx="14">
                        <c:v>48.489416402465956</c:v>
                      </c:pt>
                      <c:pt idx="15">
                        <c:v>57.70641290871982</c:v>
                      </c:pt>
                      <c:pt idx="16">
                        <c:v>67.724887372039234</c:v>
                      </c:pt>
                      <c:pt idx="17">
                        <c:v>57.70641290871982</c:v>
                      </c:pt>
                      <c:pt idx="18">
                        <c:v>52.997729910959706</c:v>
                      </c:pt>
                      <c:pt idx="19">
                        <c:v>52.997729910959706</c:v>
                      </c:pt>
                      <c:pt idx="20">
                        <c:v>48.489416402465956</c:v>
                      </c:pt>
                      <c:pt idx="21">
                        <c:v>44.181472383238614</c:v>
                      </c:pt>
                      <c:pt idx="22">
                        <c:v>36.803979104833125</c:v>
                      </c:pt>
                      <c:pt idx="23">
                        <c:v>36.803979104833125</c:v>
                      </c:pt>
                      <c:pt idx="24">
                        <c:v>39.807183799787531</c:v>
                      </c:pt>
                      <c:pt idx="25">
                        <c:v>48.489416402465956</c:v>
                      </c:pt>
                      <c:pt idx="26">
                        <c:v>57.70641290871982</c:v>
                      </c:pt>
                      <c:pt idx="27">
                        <c:v>67.724887372039234</c:v>
                      </c:pt>
                      <c:pt idx="28">
                        <c:v>67.724887372039234</c:v>
                      </c:pt>
                      <c:pt idx="29">
                        <c:v>67.724887372039234</c:v>
                      </c:pt>
                      <c:pt idx="30">
                        <c:v>67.724887372039234</c:v>
                      </c:pt>
                      <c:pt idx="31">
                        <c:v>67.724887372039234</c:v>
                      </c:pt>
                      <c:pt idx="32">
                        <c:v>67.724887372039234</c:v>
                      </c:pt>
                      <c:pt idx="33">
                        <c:v>67.724887372039234</c:v>
                      </c:pt>
                      <c:pt idx="34">
                        <c:v>67.724887372039234</c:v>
                      </c:pt>
                      <c:pt idx="35">
                        <c:v>67.724887372039234</c:v>
                      </c:pt>
                      <c:pt idx="36">
                        <c:v>67.724887372039234</c:v>
                      </c:pt>
                      <c:pt idx="37">
                        <c:v>67.724887372039234</c:v>
                      </c:pt>
                      <c:pt idx="38">
                        <c:v>67.724887372039234</c:v>
                      </c:pt>
                      <c:pt idx="39">
                        <c:v>67.724887372039234</c:v>
                      </c:pt>
                      <c:pt idx="40">
                        <c:v>62.615465395746334</c:v>
                      </c:pt>
                      <c:pt idx="41">
                        <c:v>57.70641290871982</c:v>
                      </c:pt>
                      <c:pt idx="42">
                        <c:v>48.489416402465956</c:v>
                      </c:pt>
                      <c:pt idx="43">
                        <c:v>40.073897853277657</c:v>
                      </c:pt>
                      <c:pt idx="44">
                        <c:v>31.15088791433077</c:v>
                      </c:pt>
                      <c:pt idx="45">
                        <c:v>31.15088791433077</c:v>
                      </c:pt>
                      <c:pt idx="46">
                        <c:v>31.15088791433077</c:v>
                      </c:pt>
                      <c:pt idx="47">
                        <c:v>31.15088791433077</c:v>
                      </c:pt>
                      <c:pt idx="48">
                        <c:v>31.15088791433077</c:v>
                      </c:pt>
                      <c:pt idx="49">
                        <c:v>31.15088791433077</c:v>
                      </c:pt>
                      <c:pt idx="50">
                        <c:v>31.15088791433077</c:v>
                      </c:pt>
                      <c:pt idx="51">
                        <c:v>33.918547143014209</c:v>
                      </c:pt>
                      <c:pt idx="52">
                        <c:v>39.807183799787531</c:v>
                      </c:pt>
                      <c:pt idx="53">
                        <c:v>44.181472383238614</c:v>
                      </c:pt>
                      <c:pt idx="54">
                        <c:v>52.997729910959706</c:v>
                      </c:pt>
                      <c:pt idx="55">
                        <c:v>62.615465395746334</c:v>
                      </c:pt>
                      <c:pt idx="56">
                        <c:v>67.724887372039234</c:v>
                      </c:pt>
                      <c:pt idx="57">
                        <c:v>67.724887372039234</c:v>
                      </c:pt>
                      <c:pt idx="58">
                        <c:v>67.724887372039234</c:v>
                      </c:pt>
                      <c:pt idx="59">
                        <c:v>67.724887372039234</c:v>
                      </c:pt>
                      <c:pt idx="60">
                        <c:v>57.70641290871982</c:v>
                      </c:pt>
                      <c:pt idx="61">
                        <c:v>44.181472383238614</c:v>
                      </c:pt>
                      <c:pt idx="62">
                        <c:v>36.166692812583079</c:v>
                      </c:pt>
                      <c:pt idx="63">
                        <c:v>31.15088791433077</c:v>
                      </c:pt>
                      <c:pt idx="64">
                        <c:v>31.15088791433077</c:v>
                      </c:pt>
                      <c:pt idx="65">
                        <c:v>31.15088791433077</c:v>
                      </c:pt>
                      <c:pt idx="66">
                        <c:v>31.15088791433077</c:v>
                      </c:pt>
                      <c:pt idx="67">
                        <c:v>25.968887656370253</c:v>
                      </c:pt>
                      <c:pt idx="68">
                        <c:v>28.501001418782764</c:v>
                      </c:pt>
                      <c:pt idx="69">
                        <c:v>33.918547143014209</c:v>
                      </c:pt>
                      <c:pt idx="70">
                        <c:v>44.181472383238614</c:v>
                      </c:pt>
                      <c:pt idx="71">
                        <c:v>52.997729910959706</c:v>
                      </c:pt>
                      <c:pt idx="72">
                        <c:v>57.70641290871982</c:v>
                      </c:pt>
                      <c:pt idx="73">
                        <c:v>52.997729910959706</c:v>
                      </c:pt>
                      <c:pt idx="74">
                        <c:v>44.181472383238614</c:v>
                      </c:pt>
                      <c:pt idx="75">
                        <c:v>36.166692812583079</c:v>
                      </c:pt>
                      <c:pt idx="76">
                        <c:v>32.459857261154902</c:v>
                      </c:pt>
                      <c:pt idx="77">
                        <c:v>28.501001418782764</c:v>
                      </c:pt>
                      <c:pt idx="78">
                        <c:v>28.501001418782764</c:v>
                      </c:pt>
                      <c:pt idx="79">
                        <c:v>28.501001418782764</c:v>
                      </c:pt>
                      <c:pt idx="80">
                        <c:v>28.501001418782764</c:v>
                      </c:pt>
                      <c:pt idx="81">
                        <c:v>28.501001418782764</c:v>
                      </c:pt>
                      <c:pt idx="82">
                        <c:v>28.501001418782764</c:v>
                      </c:pt>
                      <c:pt idx="83">
                        <c:v>31.15088791433077</c:v>
                      </c:pt>
                      <c:pt idx="84">
                        <c:v>36.803979104833125</c:v>
                      </c:pt>
                      <c:pt idx="85">
                        <c:v>40.073897853277657</c:v>
                      </c:pt>
                      <c:pt idx="86">
                        <c:v>40.073897853277657</c:v>
                      </c:pt>
                      <c:pt idx="87">
                        <c:v>36.803979104833125</c:v>
                      </c:pt>
                      <c:pt idx="88">
                        <c:v>31.15088791433077</c:v>
                      </c:pt>
                      <c:pt idx="89">
                        <c:v>28.501001418782764</c:v>
                      </c:pt>
                      <c:pt idx="90">
                        <c:v>25.968887656370253</c:v>
                      </c:pt>
                      <c:pt idx="91">
                        <c:v>25.968887656370253</c:v>
                      </c:pt>
                      <c:pt idx="92">
                        <c:v>25.968887656370253</c:v>
                      </c:pt>
                      <c:pt idx="93">
                        <c:v>25.968887656370253</c:v>
                      </c:pt>
                      <c:pt idx="94">
                        <c:v>25.968887656370253</c:v>
                      </c:pt>
                      <c:pt idx="95">
                        <c:v>31.15088791433077</c:v>
                      </c:pt>
                      <c:pt idx="96">
                        <c:v>39.807183799787531</c:v>
                      </c:pt>
                      <c:pt idx="97">
                        <c:v>44.181472383238614</c:v>
                      </c:pt>
                      <c:pt idx="98">
                        <c:v>52.997729910959706</c:v>
                      </c:pt>
                      <c:pt idx="99">
                        <c:v>62.615465395746334</c:v>
                      </c:pt>
                      <c:pt idx="100">
                        <c:v>67.724887372039234</c:v>
                      </c:pt>
                      <c:pt idx="101">
                        <c:v>52.997729910959706</c:v>
                      </c:pt>
                      <c:pt idx="102">
                        <c:v>44.181472383238614</c:v>
                      </c:pt>
                      <c:pt idx="103">
                        <c:v>44.181472383238614</c:v>
                      </c:pt>
                      <c:pt idx="104">
                        <c:v>44.181472383238614</c:v>
                      </c:pt>
                      <c:pt idx="105">
                        <c:v>44.181472383238614</c:v>
                      </c:pt>
                      <c:pt idx="106">
                        <c:v>48.489416402465956</c:v>
                      </c:pt>
                      <c:pt idx="107">
                        <c:v>52.997729910959706</c:v>
                      </c:pt>
                      <c:pt idx="108">
                        <c:v>57.70641290871982</c:v>
                      </c:pt>
                      <c:pt idx="109">
                        <c:v>67.724887372039234</c:v>
                      </c:pt>
                      <c:pt idx="110">
                        <c:v>67.724887372039234</c:v>
                      </c:pt>
                      <c:pt idx="111">
                        <c:v>67.724887372039234</c:v>
                      </c:pt>
                      <c:pt idx="112">
                        <c:v>52.997729910959706</c:v>
                      </c:pt>
                      <c:pt idx="113">
                        <c:v>44.181472383238614</c:v>
                      </c:pt>
                      <c:pt idx="114">
                        <c:v>40.073897853277657</c:v>
                      </c:pt>
                      <c:pt idx="115">
                        <c:v>40.073897853277657</c:v>
                      </c:pt>
                      <c:pt idx="116">
                        <c:v>48.489416402465956</c:v>
                      </c:pt>
                      <c:pt idx="117">
                        <c:v>57.70641290871982</c:v>
                      </c:pt>
                      <c:pt idx="118">
                        <c:v>67.724887372039234</c:v>
                      </c:pt>
                      <c:pt idx="119">
                        <c:v>67.724887372039234</c:v>
                      </c:pt>
                      <c:pt idx="120">
                        <c:v>62.615465395746334</c:v>
                      </c:pt>
                      <c:pt idx="121">
                        <c:v>57.70641290871982</c:v>
                      </c:pt>
                      <c:pt idx="122">
                        <c:v>57.70641290871982</c:v>
                      </c:pt>
                      <c:pt idx="123">
                        <c:v>57.70641290871982</c:v>
                      </c:pt>
                      <c:pt idx="124">
                        <c:v>57.70641290871982</c:v>
                      </c:pt>
                      <c:pt idx="125">
                        <c:v>57.70641290871982</c:v>
                      </c:pt>
                      <c:pt idx="126">
                        <c:v>57.70641290871982</c:v>
                      </c:pt>
                      <c:pt idx="127">
                        <c:v>62.615465395746334</c:v>
                      </c:pt>
                      <c:pt idx="128">
                        <c:v>67.724887372039234</c:v>
                      </c:pt>
                      <c:pt idx="129">
                        <c:v>67.724887372039234</c:v>
                      </c:pt>
                      <c:pt idx="130">
                        <c:v>67.724887372039234</c:v>
                      </c:pt>
                      <c:pt idx="131">
                        <c:v>67.724887372039234</c:v>
                      </c:pt>
                      <c:pt idx="132">
                        <c:v>57.70641290871982</c:v>
                      </c:pt>
                      <c:pt idx="133">
                        <c:v>44.181472383238614</c:v>
                      </c:pt>
                      <c:pt idx="134">
                        <c:v>36.166692812583079</c:v>
                      </c:pt>
                      <c:pt idx="135">
                        <c:v>36.166692812583079</c:v>
                      </c:pt>
                      <c:pt idx="136">
                        <c:v>36.166692812583079</c:v>
                      </c:pt>
                      <c:pt idx="137">
                        <c:v>36.166692812583079</c:v>
                      </c:pt>
                      <c:pt idx="138">
                        <c:v>36.166692812583079</c:v>
                      </c:pt>
                      <c:pt idx="139">
                        <c:v>36.166692812583079</c:v>
                      </c:pt>
                      <c:pt idx="140">
                        <c:v>36.166692812583079</c:v>
                      </c:pt>
                      <c:pt idx="141">
                        <c:v>36.166692812583079</c:v>
                      </c:pt>
                      <c:pt idx="142">
                        <c:v>36.166692812583079</c:v>
                      </c:pt>
                      <c:pt idx="143">
                        <c:v>36.166692812583079</c:v>
                      </c:pt>
                      <c:pt idx="144">
                        <c:v>36.166692812583079</c:v>
                      </c:pt>
                      <c:pt idx="145">
                        <c:v>40.073897853277657</c:v>
                      </c:pt>
                      <c:pt idx="146">
                        <c:v>48.489416402465956</c:v>
                      </c:pt>
                      <c:pt idx="147">
                        <c:v>52.997729910959706</c:v>
                      </c:pt>
                      <c:pt idx="148">
                        <c:v>57.70641290871982</c:v>
                      </c:pt>
                      <c:pt idx="149">
                        <c:v>62.615465395746334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7E4B-4C6D-95A3-7AA33CB1FB91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'Duty Cycle '!$S$2</c15:sqref>
                        </c15:formulaRef>
                      </c:ext>
                    </c:extLst>
                    <c:strCache>
                      <c:ptCount val="1"/>
                      <c:pt idx="0">
                        <c:v>Forces due to Incline (N) </c:v>
                      </c:pt>
                    </c:strCache>
                  </c:strRef>
                </c:tx>
                <c:spPr>
                  <a:ln w="22225" cap="rnd">
                    <a:solidFill>
                      <a:schemeClr val="accent4"/>
                    </a:solidFill>
                  </a:ln>
                  <a:effectLst>
                    <a:glow rad="139700">
                      <a:schemeClr val="accent4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'Duty Cycle '!$S$3:$S$153</c15:sqref>
                        </c15:formulaRef>
                      </c:ext>
                    </c:extLst>
                    <c:numCache>
                      <c:formatCode>General</c:formatCode>
                      <c:ptCount val="151"/>
                      <c:pt idx="0">
                        <c:v>0</c:v>
                      </c:pt>
                      <c:pt idx="1">
                        <c:v>142.58925732013751</c:v>
                      </c:pt>
                      <c:pt idx="2">
                        <c:v>85.57050092601699</c:v>
                      </c:pt>
                      <c:pt idx="3">
                        <c:v>122.22939742890185</c:v>
                      </c:pt>
                      <c:pt idx="4">
                        <c:v>149.71397215955378</c:v>
                      </c:pt>
                      <c:pt idx="5">
                        <c:v>410.38661228270013</c:v>
                      </c:pt>
                      <c:pt idx="6">
                        <c:v>501.48167565599397</c:v>
                      </c:pt>
                      <c:pt idx="7">
                        <c:v>532.56161242534517</c:v>
                      </c:pt>
                      <c:pt idx="8">
                        <c:v>532.56161242534495</c:v>
                      </c:pt>
                      <c:pt idx="9">
                        <c:v>605.00160630818573</c:v>
                      </c:pt>
                      <c:pt idx="10">
                        <c:v>631.30549460339432</c:v>
                      </c:pt>
                      <c:pt idx="11">
                        <c:v>493.34716718366531</c:v>
                      </c:pt>
                      <c:pt idx="12">
                        <c:v>280.4636784800561</c:v>
                      </c:pt>
                      <c:pt idx="13">
                        <c:v>390.89746618300615</c:v>
                      </c:pt>
                      <c:pt idx="14">
                        <c:v>254.17157481198475</c:v>
                      </c:pt>
                      <c:pt idx="15">
                        <c:v>139.89032721115606</c:v>
                      </c:pt>
                      <c:pt idx="16">
                        <c:v>86.102288041906121</c:v>
                      </c:pt>
                      <c:pt idx="17">
                        <c:v>233.02720511772924</c:v>
                      </c:pt>
                      <c:pt idx="18">
                        <c:v>194.57580621753189</c:v>
                      </c:pt>
                      <c:pt idx="19">
                        <c:v>194.57580621753337</c:v>
                      </c:pt>
                      <c:pt idx="20">
                        <c:v>203.40926511959216</c:v>
                      </c:pt>
                      <c:pt idx="21">
                        <c:v>159.86008660103573</c:v>
                      </c:pt>
                      <c:pt idx="22">
                        <c:v>116.78855604902414</c:v>
                      </c:pt>
                      <c:pt idx="23">
                        <c:v>-291.65373840607481</c:v>
                      </c:pt>
                      <c:pt idx="24">
                        <c:v>-558.9237636190087</c:v>
                      </c:pt>
                      <c:pt idx="25">
                        <c:v>-607.17697071619614</c:v>
                      </c:pt>
                      <c:pt idx="26">
                        <c:v>-464.90329178951254</c:v>
                      </c:pt>
                      <c:pt idx="27">
                        <c:v>-343.82777923631488</c:v>
                      </c:pt>
                      <c:pt idx="28">
                        <c:v>-86.102288041906021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-86.102288041906021</c:v>
                      </c:pt>
                      <c:pt idx="32">
                        <c:v>-258.07403996203914</c:v>
                      </c:pt>
                      <c:pt idx="33">
                        <c:v>-514.58576311484785</c:v>
                      </c:pt>
                      <c:pt idx="34">
                        <c:v>-429.35045685488984</c:v>
                      </c:pt>
                      <c:pt idx="35">
                        <c:v>-429.35045685488984</c:v>
                      </c:pt>
                      <c:pt idx="36">
                        <c:v>-429.35045685488984</c:v>
                      </c:pt>
                      <c:pt idx="37">
                        <c:v>-429.35045685488984</c:v>
                      </c:pt>
                      <c:pt idx="38">
                        <c:v>-429.35045685488984</c:v>
                      </c:pt>
                      <c:pt idx="39">
                        <c:v>-429.35045685488984</c:v>
                      </c:pt>
                      <c:pt idx="40">
                        <c:v>-223.72061162531148</c:v>
                      </c:pt>
                      <c:pt idx="41">
                        <c:v>-233.02720511772895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-126.93930116066826</c:v>
                      </c:pt>
                      <c:pt idx="50">
                        <c:v>-253.69204132021051</c:v>
                      </c:pt>
                      <c:pt idx="51">
                        <c:v>-484.97477398393755</c:v>
                      </c:pt>
                      <c:pt idx="52">
                        <c:v>-558.92376361901165</c:v>
                      </c:pt>
                      <c:pt idx="53">
                        <c:v>-530.7838772800834</c:v>
                      </c:pt>
                      <c:pt idx="54">
                        <c:v>-388.48071864370934</c:v>
                      </c:pt>
                      <c:pt idx="55">
                        <c:v>-223.72061162531148</c:v>
                      </c:pt>
                      <c:pt idx="56">
                        <c:v>-86.102288041906689</c:v>
                      </c:pt>
                      <c:pt idx="57">
                        <c:v>-43.054787285337035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106.59642443082052</c:v>
                      </c:pt>
                      <c:pt idx="62">
                        <c:v>235.47600491324229</c:v>
                      </c:pt>
                      <c:pt idx="63">
                        <c:v>253.69204132021247</c:v>
                      </c:pt>
                      <c:pt idx="64">
                        <c:v>316.94048769721536</c:v>
                      </c:pt>
                      <c:pt idx="65">
                        <c:v>380.0730272819315</c:v>
                      </c:pt>
                      <c:pt idx="66">
                        <c:v>443.066945288353</c:v>
                      </c:pt>
                      <c:pt idx="67">
                        <c:v>553.65057875862738</c:v>
                      </c:pt>
                      <c:pt idx="68">
                        <c:v>594.12083654264904</c:v>
                      </c:pt>
                      <c:pt idx="69">
                        <c:v>182.42754647618025</c:v>
                      </c:pt>
                      <c:pt idx="70">
                        <c:v>-213.08233885679832</c:v>
                      </c:pt>
                      <c:pt idx="71">
                        <c:v>-388.48071864370945</c:v>
                      </c:pt>
                      <c:pt idx="72">
                        <c:v>0</c:v>
                      </c:pt>
                      <c:pt idx="73">
                        <c:v>194.57580621753229</c:v>
                      </c:pt>
                      <c:pt idx="74">
                        <c:v>425.28402226922145</c:v>
                      </c:pt>
                      <c:pt idx="75">
                        <c:v>586.09926403903387</c:v>
                      </c:pt>
                      <c:pt idx="76">
                        <c:v>740.05765321849481</c:v>
                      </c:pt>
                      <c:pt idx="77">
                        <c:v>788.87208792327044</c:v>
                      </c:pt>
                      <c:pt idx="78">
                        <c:v>788.87208792327158</c:v>
                      </c:pt>
                      <c:pt idx="79">
                        <c:v>788.87208792327044</c:v>
                      </c:pt>
                      <c:pt idx="80">
                        <c:v>788.87208792327158</c:v>
                      </c:pt>
                      <c:pt idx="81">
                        <c:v>788.87208792327044</c:v>
                      </c:pt>
                      <c:pt idx="82">
                        <c:v>788.87208792327044</c:v>
                      </c:pt>
                      <c:pt idx="83">
                        <c:v>505.89977813461161</c:v>
                      </c:pt>
                      <c:pt idx="84">
                        <c:v>349.78531516548975</c:v>
                      </c:pt>
                      <c:pt idx="85">
                        <c:v>335.26186667581743</c:v>
                      </c:pt>
                      <c:pt idx="86">
                        <c:v>335.26186667581845</c:v>
                      </c:pt>
                      <c:pt idx="87">
                        <c:v>349.78531516548867</c:v>
                      </c:pt>
                      <c:pt idx="88">
                        <c:v>380.07302728193241</c:v>
                      </c:pt>
                      <c:pt idx="89">
                        <c:v>397.26788434873913</c:v>
                      </c:pt>
                      <c:pt idx="90">
                        <c:v>416.08797296181029</c:v>
                      </c:pt>
                      <c:pt idx="91">
                        <c:v>208.45630854333635</c:v>
                      </c:pt>
                      <c:pt idx="92">
                        <c:v>208.45630854333635</c:v>
                      </c:pt>
                      <c:pt idx="93">
                        <c:v>139.02195590271782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-215.12833520194437</c:v>
                      </c:pt>
                      <c:pt idx="119">
                        <c:v>-429.35045685489166</c:v>
                      </c:pt>
                      <c:pt idx="120">
                        <c:v>-579.13830153195181</c:v>
                      </c:pt>
                      <c:pt idx="121">
                        <c:v>-557.07831117949968</c:v>
                      </c:pt>
                      <c:pt idx="122">
                        <c:v>-557.07831117949968</c:v>
                      </c:pt>
                      <c:pt idx="123">
                        <c:v>-557.07831117950047</c:v>
                      </c:pt>
                      <c:pt idx="124">
                        <c:v>-464.90329178951038</c:v>
                      </c:pt>
                      <c:pt idx="125">
                        <c:v>-464.90329178951038</c:v>
                      </c:pt>
                      <c:pt idx="126">
                        <c:v>-464.90329178951038</c:v>
                      </c:pt>
                      <c:pt idx="127">
                        <c:v>-268.37480616942105</c:v>
                      </c:pt>
                      <c:pt idx="128">
                        <c:v>0</c:v>
                      </c:pt>
                      <c:pt idx="129">
                        <c:v>129.13522190512612</c:v>
                      </c:pt>
                      <c:pt idx="130">
                        <c:v>300.97624061639641</c:v>
                      </c:pt>
                      <c:pt idx="131">
                        <c:v>343.82777923631636</c:v>
                      </c:pt>
                      <c:pt idx="132">
                        <c:v>372.36381034550345</c:v>
                      </c:pt>
                      <c:pt idx="133">
                        <c:v>425.28402226922196</c:v>
                      </c:pt>
                      <c:pt idx="134">
                        <c:v>469.76431149610755</c:v>
                      </c:pt>
                      <c:pt idx="135">
                        <c:v>469.76431149610858</c:v>
                      </c:pt>
                      <c:pt idx="136">
                        <c:v>469.76431149610858</c:v>
                      </c:pt>
                      <c:pt idx="137">
                        <c:v>469.76431149610858</c:v>
                      </c:pt>
                      <c:pt idx="138">
                        <c:v>352.8420313021262</c:v>
                      </c:pt>
                      <c:pt idx="139">
                        <c:v>176.67223859854593</c:v>
                      </c:pt>
                      <c:pt idx="140">
                        <c:v>0</c:v>
                      </c:pt>
                      <c:pt idx="141">
                        <c:v>-176.67223859854593</c:v>
                      </c:pt>
                      <c:pt idx="142">
                        <c:v>-411.36768880966417</c:v>
                      </c:pt>
                      <c:pt idx="143">
                        <c:v>-586.09926403902716</c:v>
                      </c:pt>
                      <c:pt idx="144">
                        <c:v>-586.09926403902716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7E4B-4C6D-95A3-7AA33CB1FB91}"/>
                  </c:ext>
                </c:extLst>
              </c15:ser>
            </c15:filteredLineSeries>
          </c:ext>
        </c:extLst>
      </c:lineChart>
      <c:catAx>
        <c:axId val="60648277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1136"/>
        <c:crosses val="autoZero"/>
        <c:auto val="1"/>
        <c:lblAlgn val="ctr"/>
        <c:lblOffset val="100"/>
        <c:noMultiLvlLbl val="0"/>
      </c:catAx>
      <c:valAx>
        <c:axId val="60648113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FUEL CONSUMPTION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6482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13" Type="http://schemas.openxmlformats.org/officeDocument/2006/relationships/chart" Target="../charts/chart17.xml"/><Relationship Id="rId18" Type="http://schemas.openxmlformats.org/officeDocument/2006/relationships/chart" Target="../charts/chart22.xml"/><Relationship Id="rId3" Type="http://schemas.openxmlformats.org/officeDocument/2006/relationships/chart" Target="../charts/chart7.xml"/><Relationship Id="rId21" Type="http://schemas.openxmlformats.org/officeDocument/2006/relationships/chart" Target="../charts/chart25.xml"/><Relationship Id="rId7" Type="http://schemas.openxmlformats.org/officeDocument/2006/relationships/chart" Target="../charts/chart11.xml"/><Relationship Id="rId12" Type="http://schemas.openxmlformats.org/officeDocument/2006/relationships/chart" Target="../charts/chart16.xml"/><Relationship Id="rId17" Type="http://schemas.openxmlformats.org/officeDocument/2006/relationships/chart" Target="../charts/chart21.xml"/><Relationship Id="rId2" Type="http://schemas.openxmlformats.org/officeDocument/2006/relationships/chart" Target="../charts/chart6.xml"/><Relationship Id="rId16" Type="http://schemas.openxmlformats.org/officeDocument/2006/relationships/chart" Target="../charts/chart20.xml"/><Relationship Id="rId20" Type="http://schemas.openxmlformats.org/officeDocument/2006/relationships/chart" Target="../charts/chart24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11" Type="http://schemas.openxmlformats.org/officeDocument/2006/relationships/chart" Target="../charts/chart15.xml"/><Relationship Id="rId5" Type="http://schemas.openxmlformats.org/officeDocument/2006/relationships/chart" Target="../charts/chart9.xml"/><Relationship Id="rId15" Type="http://schemas.openxmlformats.org/officeDocument/2006/relationships/chart" Target="../charts/chart19.xml"/><Relationship Id="rId10" Type="http://schemas.openxmlformats.org/officeDocument/2006/relationships/chart" Target="../charts/chart14.xml"/><Relationship Id="rId19" Type="http://schemas.openxmlformats.org/officeDocument/2006/relationships/chart" Target="../charts/chart23.xml"/><Relationship Id="rId4" Type="http://schemas.openxmlformats.org/officeDocument/2006/relationships/chart" Target="../charts/chart8.xml"/><Relationship Id="rId9" Type="http://schemas.openxmlformats.org/officeDocument/2006/relationships/chart" Target="../charts/chart13.xml"/><Relationship Id="rId14" Type="http://schemas.openxmlformats.org/officeDocument/2006/relationships/chart" Target="../charts/chart18.xml"/><Relationship Id="rId22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593911</xdr:colOff>
      <xdr:row>74</xdr:row>
      <xdr:rowOff>179294</xdr:rowOff>
    </xdr:from>
    <xdr:to>
      <xdr:col>16</xdr:col>
      <xdr:colOff>369794</xdr:colOff>
      <xdr:row>125</xdr:row>
      <xdr:rowOff>11206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A1EA065-5010-4131-ADC6-665ED65478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11205</xdr:colOff>
      <xdr:row>28</xdr:row>
      <xdr:rowOff>8405</xdr:rowOff>
    </xdr:from>
    <xdr:to>
      <xdr:col>16</xdr:col>
      <xdr:colOff>403411</xdr:colOff>
      <xdr:row>74</xdr:row>
      <xdr:rowOff>179295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760D021-BB92-4469-89CF-9A61F5A4D1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369795</xdr:colOff>
      <xdr:row>74</xdr:row>
      <xdr:rowOff>168088</xdr:rowOff>
    </xdr:from>
    <xdr:to>
      <xdr:col>31</xdr:col>
      <xdr:colOff>1</xdr:colOff>
      <xdr:row>125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2EEC05E-719C-47E9-A416-DBC5DD008C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369794</xdr:colOff>
      <xdr:row>28</xdr:row>
      <xdr:rowOff>11206</xdr:rowOff>
    </xdr:from>
    <xdr:to>
      <xdr:col>31</xdr:col>
      <xdr:colOff>1</xdr:colOff>
      <xdr:row>74</xdr:row>
      <xdr:rowOff>182096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6386C8A-C888-46EF-A7A3-67F589C967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342900</xdr:colOff>
      <xdr:row>35</xdr:row>
      <xdr:rowOff>180975</xdr:rowOff>
    </xdr:from>
    <xdr:to>
      <xdr:col>24</xdr:col>
      <xdr:colOff>238125</xdr:colOff>
      <xdr:row>71</xdr:row>
      <xdr:rowOff>9710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743962-B52B-440C-9101-4C5D49B86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8100" y="6848475"/>
          <a:ext cx="7210425" cy="6686735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0</xdr:row>
      <xdr:rowOff>180975</xdr:rowOff>
    </xdr:from>
    <xdr:to>
      <xdr:col>19</xdr:col>
      <xdr:colOff>15073</xdr:colOff>
      <xdr:row>36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78C5535-4069-498D-AACD-523CA559E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6325" y="180975"/>
          <a:ext cx="6711148" cy="6677025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</xdr:colOff>
      <xdr:row>0</xdr:row>
      <xdr:rowOff>180975</xdr:rowOff>
    </xdr:from>
    <xdr:to>
      <xdr:col>30</xdr:col>
      <xdr:colOff>285750</xdr:colOff>
      <xdr:row>36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45106D0-1031-49CE-B5DF-96D807E1C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10975" y="180975"/>
          <a:ext cx="6962775" cy="6677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14</xdr:row>
      <xdr:rowOff>76200</xdr:rowOff>
    </xdr:from>
    <xdr:to>
      <xdr:col>22</xdr:col>
      <xdr:colOff>285750</xdr:colOff>
      <xdr:row>28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DE198A-536D-400D-B928-B3CE1F8580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85725</xdr:colOff>
      <xdr:row>0</xdr:row>
      <xdr:rowOff>0</xdr:rowOff>
    </xdr:from>
    <xdr:to>
      <xdr:col>14</xdr:col>
      <xdr:colOff>390525</xdr:colOff>
      <xdr:row>14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7929C13-3CE1-41B6-813A-C9B028E528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285750</xdr:colOff>
      <xdr:row>14</xdr:row>
      <xdr:rowOff>19050</xdr:rowOff>
    </xdr:from>
    <xdr:to>
      <xdr:col>14</xdr:col>
      <xdr:colOff>590550</xdr:colOff>
      <xdr:row>28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4471CC1-3AF2-4500-B78B-4CB1EEFF33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14</xdr:row>
      <xdr:rowOff>57150</xdr:rowOff>
    </xdr:from>
    <xdr:to>
      <xdr:col>7</xdr:col>
      <xdr:colOff>304800</xdr:colOff>
      <xdr:row>28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DBB8C78-A263-48C1-9C86-6E7C4E5B8F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304799</xdr:colOff>
      <xdr:row>0</xdr:row>
      <xdr:rowOff>0</xdr:rowOff>
    </xdr:from>
    <xdr:to>
      <xdr:col>38</xdr:col>
      <xdr:colOff>371475</xdr:colOff>
      <xdr:row>28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78C4A87-0E31-4D86-9BA2-623DBF23FB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380999</xdr:colOff>
      <xdr:row>0</xdr:row>
      <xdr:rowOff>0</xdr:rowOff>
    </xdr:from>
    <xdr:to>
      <xdr:col>22</xdr:col>
      <xdr:colOff>314325</xdr:colOff>
      <xdr:row>14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1F0AC74-A02A-4DEC-835E-296A0C9457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14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27F5CF-7F50-4670-8A82-A92DDD9100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28</xdr:row>
      <xdr:rowOff>142874</xdr:rowOff>
    </xdr:from>
    <xdr:to>
      <xdr:col>7</xdr:col>
      <xdr:colOff>419100</xdr:colOff>
      <xdr:row>47</xdr:row>
      <xdr:rowOff>190499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95B9D00-9C3D-495B-AC54-7AB407D746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419100</xdr:colOff>
      <xdr:row>28</xdr:row>
      <xdr:rowOff>142874</xdr:rowOff>
    </xdr:from>
    <xdr:to>
      <xdr:col>15</xdr:col>
      <xdr:colOff>228600</xdr:colOff>
      <xdr:row>47</xdr:row>
      <xdr:rowOff>190499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57C0AAF-5798-4474-97ED-9777BBB084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209550</xdr:colOff>
      <xdr:row>28</xdr:row>
      <xdr:rowOff>142875</xdr:rowOff>
    </xdr:from>
    <xdr:to>
      <xdr:col>23</xdr:col>
      <xdr:colOff>19050</xdr:colOff>
      <xdr:row>48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E854730-819C-41D6-ADD9-2AD8A9FB0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47</xdr:row>
      <xdr:rowOff>161925</xdr:rowOff>
    </xdr:from>
    <xdr:to>
      <xdr:col>7</xdr:col>
      <xdr:colOff>419100</xdr:colOff>
      <xdr:row>67</xdr:row>
      <xdr:rowOff>19050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D113D0A-0D05-4FE1-923C-5FC61090EF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400050</xdr:colOff>
      <xdr:row>47</xdr:row>
      <xdr:rowOff>180975</xdr:rowOff>
    </xdr:from>
    <xdr:to>
      <xdr:col>15</xdr:col>
      <xdr:colOff>209550</xdr:colOff>
      <xdr:row>67</xdr:row>
      <xdr:rowOff>38100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CB0A024-5C6B-447C-A435-F9387158B1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22</xdr:col>
      <xdr:colOff>590549</xdr:colOff>
      <xdr:row>28</xdr:row>
      <xdr:rowOff>142875</xdr:rowOff>
    </xdr:from>
    <xdr:to>
      <xdr:col>31</xdr:col>
      <xdr:colOff>0</xdr:colOff>
      <xdr:row>48</xdr:row>
      <xdr:rowOff>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5112BC5-5172-48FF-ADFA-8FEA5EEB22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66</xdr:row>
      <xdr:rowOff>180975</xdr:rowOff>
    </xdr:from>
    <xdr:to>
      <xdr:col>7</xdr:col>
      <xdr:colOff>419100</xdr:colOff>
      <xdr:row>86</xdr:row>
      <xdr:rowOff>38100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FB07A64C-2C33-4BAE-8F33-61AB08C605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22</xdr:col>
      <xdr:colOff>609599</xdr:colOff>
      <xdr:row>48</xdr:row>
      <xdr:rowOff>0</xdr:rowOff>
    </xdr:from>
    <xdr:to>
      <xdr:col>30</xdr:col>
      <xdr:colOff>600074</xdr:colOff>
      <xdr:row>67</xdr:row>
      <xdr:rowOff>47625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A93AE1F-B081-4F0E-A8DA-FD5627C591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7</xdr:col>
      <xdr:colOff>400050</xdr:colOff>
      <xdr:row>67</xdr:row>
      <xdr:rowOff>19050</xdr:rowOff>
    </xdr:from>
    <xdr:to>
      <xdr:col>15</xdr:col>
      <xdr:colOff>209550</xdr:colOff>
      <xdr:row>86</xdr:row>
      <xdr:rowOff>66675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75C0DE15-5B36-4C17-B180-FCE45BDE52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15</xdr:col>
      <xdr:colOff>180975</xdr:colOff>
      <xdr:row>67</xdr:row>
      <xdr:rowOff>19050</xdr:rowOff>
    </xdr:from>
    <xdr:to>
      <xdr:col>23</xdr:col>
      <xdr:colOff>9525</xdr:colOff>
      <xdr:row>86</xdr:row>
      <xdr:rowOff>66675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BC95E289-156A-4382-A207-D12E20A172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30</xdr:col>
      <xdr:colOff>409575</xdr:colOff>
      <xdr:row>67</xdr:row>
      <xdr:rowOff>19050</xdr:rowOff>
    </xdr:from>
    <xdr:to>
      <xdr:col>38</xdr:col>
      <xdr:colOff>390525</xdr:colOff>
      <xdr:row>86</xdr:row>
      <xdr:rowOff>66675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94693EE0-B180-41BD-9251-38071DFEE5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22</xdr:col>
      <xdr:colOff>600075</xdr:colOff>
      <xdr:row>67</xdr:row>
      <xdr:rowOff>19050</xdr:rowOff>
    </xdr:from>
    <xdr:to>
      <xdr:col>30</xdr:col>
      <xdr:colOff>409575</xdr:colOff>
      <xdr:row>86</xdr:row>
      <xdr:rowOff>66675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C2DF157B-D5CC-40DF-93AD-687F4A64B0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30</xdr:col>
      <xdr:colOff>590550</xdr:colOff>
      <xdr:row>48</xdr:row>
      <xdr:rowOff>9525</xdr:rowOff>
    </xdr:from>
    <xdr:to>
      <xdr:col>38</xdr:col>
      <xdr:colOff>400050</xdr:colOff>
      <xdr:row>67</xdr:row>
      <xdr:rowOff>57150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E1FDE0E6-6E84-4865-BBAD-DA649FECBB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15</xdr:col>
      <xdr:colOff>190500</xdr:colOff>
      <xdr:row>47</xdr:row>
      <xdr:rowOff>161925</xdr:rowOff>
    </xdr:from>
    <xdr:to>
      <xdr:col>23</xdr:col>
      <xdr:colOff>19050</xdr:colOff>
      <xdr:row>67</xdr:row>
      <xdr:rowOff>19050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CED29A63-8200-4FA8-A43C-2F7ED43E09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30</xdr:col>
      <xdr:colOff>561975</xdr:colOff>
      <xdr:row>28</xdr:row>
      <xdr:rowOff>152400</xdr:rowOff>
    </xdr:from>
    <xdr:to>
      <xdr:col>38</xdr:col>
      <xdr:colOff>390525</xdr:colOff>
      <xdr:row>48</xdr:row>
      <xdr:rowOff>9525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AE89624F-7F1A-4D97-A5FB-8D23261220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n/Downloads/Hybrid%20Powertrain%20and%20Control%20Assignment%201%20P14989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fications"/>
      <sheetName val="Main Data"/>
      <sheetName val="Graphs"/>
      <sheetName val="Tractive Effort"/>
      <sheetName val="BSFC"/>
      <sheetName val="RPM"/>
    </sheetNames>
    <sheetDataSet>
      <sheetData sheetId="0"/>
      <sheetData sheetId="1">
        <row r="31">
          <cell r="K31">
            <v>0</v>
          </cell>
          <cell r="AJ31">
            <v>0</v>
          </cell>
        </row>
        <row r="32">
          <cell r="K32">
            <v>0.78553610768350823</v>
          </cell>
          <cell r="AJ32">
            <v>11.835087276463158</v>
          </cell>
        </row>
        <row r="33">
          <cell r="K33">
            <v>1.3411679200476521</v>
          </cell>
          <cell r="AJ33">
            <v>14.104146855384617</v>
          </cell>
        </row>
        <row r="34">
          <cell r="K34">
            <v>1.7949814017089143</v>
          </cell>
          <cell r="AJ34">
            <v>16.848978153599997</v>
          </cell>
        </row>
        <row r="35">
          <cell r="K35">
            <v>2.1881183995371849</v>
          </cell>
          <cell r="AJ35">
            <v>18.544195941016216</v>
          </cell>
        </row>
        <row r="36">
          <cell r="K36">
            <v>2.5398608409119521</v>
          </cell>
          <cell r="AJ36">
            <v>18.235529678048781</v>
          </cell>
        </row>
        <row r="37">
          <cell r="K37">
            <v>2.861056735354226</v>
          </cell>
          <cell r="AJ37">
            <v>18.260229654755552</v>
          </cell>
        </row>
        <row r="38">
          <cell r="K38">
            <v>3.1585193541820873</v>
          </cell>
          <cell r="AJ38">
            <v>18.394728746666669</v>
          </cell>
        </row>
        <row r="39">
          <cell r="K39">
            <v>3.4368571615316497</v>
          </cell>
          <cell r="AJ39">
            <v>19.219981093415385</v>
          </cell>
        </row>
        <row r="40">
          <cell r="K40">
            <v>3.6993586015371012</v>
          </cell>
          <cell r="AJ40">
            <v>21.030191701643634</v>
          </cell>
        </row>
        <row r="41">
          <cell r="K41">
            <v>3.9484671701027878</v>
          </cell>
          <cell r="AJ41">
            <v>21.005593471999997</v>
          </cell>
        </row>
        <row r="42">
          <cell r="K42">
            <v>4.1860570929555339</v>
          </cell>
          <cell r="AJ42">
            <v>20.459685393066664</v>
          </cell>
        </row>
        <row r="43">
          <cell r="K43">
            <v>4.413603195173903</v>
          </cell>
          <cell r="AJ43">
            <v>19.705812331682537</v>
          </cell>
        </row>
        <row r="44">
          <cell r="K44">
            <v>4.6322907071491368</v>
          </cell>
          <cell r="AJ44">
            <v>19.49932536123077</v>
          </cell>
        </row>
        <row r="45">
          <cell r="K45">
            <v>4.8430890777824578</v>
          </cell>
          <cell r="AJ45">
            <v>14.659935623529412</v>
          </cell>
        </row>
        <row r="46">
          <cell r="K46">
            <v>5.0468032377130871</v>
          </cell>
          <cell r="AJ46">
            <v>13.189952963047652</v>
          </cell>
        </row>
        <row r="47">
          <cell r="K47">
            <v>5.2441101982880438</v>
          </cell>
          <cell r="AJ47">
            <v>18.46093727797895</v>
          </cell>
        </row>
        <row r="48">
          <cell r="K48">
            <v>5.4348860331209545</v>
          </cell>
          <cell r="AJ48">
            <v>18.306908751360002</v>
          </cell>
        </row>
        <row r="49">
          <cell r="K49">
            <v>5.6197471011810602</v>
          </cell>
          <cell r="AJ49">
            <v>18.235529678048781</v>
          </cell>
        </row>
        <row r="50">
          <cell r="K50">
            <v>5.7992187731207325</v>
          </cell>
          <cell r="AJ50">
            <v>18.242145743238094</v>
          </cell>
        </row>
        <row r="51">
          <cell r="K51">
            <v>5.9737531835605768</v>
          </cell>
          <cell r="AJ51">
            <v>18.248454084465116</v>
          </cell>
        </row>
        <row r="52">
          <cell r="K52">
            <v>6.1437427653480077</v>
          </cell>
          <cell r="AJ52">
            <v>18.254475682909089</v>
          </cell>
        </row>
        <row r="53">
          <cell r="K53">
            <v>6.309530729356231</v>
          </cell>
          <cell r="AJ53">
            <v>18.265733453913043</v>
          </cell>
        </row>
        <row r="54">
          <cell r="K54">
            <v>6.471419292147357</v>
          </cell>
          <cell r="AJ54">
            <v>18.331603390638296</v>
          </cell>
        </row>
        <row r="55">
          <cell r="K55">
            <v>6.6296762160960592</v>
          </cell>
          <cell r="AJ55">
            <v>18.394728746666669</v>
          </cell>
        </row>
        <row r="56">
          <cell r="K56">
            <v>6.7845400665792601</v>
          </cell>
          <cell r="AJ56">
            <v>18.455277557551021</v>
          </cell>
        </row>
        <row r="57">
          <cell r="K57">
            <v>6.9362244809756346</v>
          </cell>
          <cell r="AJ57">
            <v>18.513404416</v>
          </cell>
        </row>
        <row r="58">
          <cell r="K58">
            <v>7.0849216673982811</v>
          </cell>
          <cell r="AJ58">
            <v>18.569251789803925</v>
          </cell>
        </row>
        <row r="59">
          <cell r="K59">
            <v>7.230805296476067</v>
          </cell>
          <cell r="AJ59">
            <v>19.219981093415385</v>
          </cell>
        </row>
        <row r="60">
          <cell r="K60">
            <v>7.3740329100947895</v>
          </cell>
          <cell r="AJ60">
            <v>19.846154574249059</v>
          </cell>
        </row>
        <row r="61">
          <cell r="K61">
            <v>7.5147479421826304</v>
          </cell>
          <cell r="AJ61">
            <v>20.449136444681479</v>
          </cell>
        </row>
        <row r="62">
          <cell r="K62">
            <v>7.6530814252685229</v>
          </cell>
          <cell r="AJ62">
            <v>20.449136444681479</v>
          </cell>
        </row>
        <row r="63">
          <cell r="K63">
            <v>7.7891534405358449</v>
          </cell>
          <cell r="AJ63">
            <v>21.030191701643634</v>
          </cell>
        </row>
        <row r="64">
          <cell r="K64">
            <v>7.9230743569676294</v>
          </cell>
          <cell r="AJ64">
            <v>21.590494985142858</v>
          </cell>
        </row>
        <row r="65">
          <cell r="K65">
            <v>8.0549458959006337</v>
          </cell>
          <cell r="AJ65">
            <v>21.292913513543862</v>
          </cell>
        </row>
        <row r="66">
          <cell r="K66">
            <v>8.1848620501393832</v>
          </cell>
          <cell r="AJ66">
            <v>21.005593471999997</v>
          </cell>
        </row>
        <row r="67">
          <cell r="K67">
            <v>8.3129098811986246</v>
          </cell>
          <cell r="AJ67">
            <v>20.728013092881355</v>
          </cell>
        </row>
        <row r="68">
          <cell r="K68">
            <v>8.4391702138582634</v>
          </cell>
          <cell r="AJ68">
            <v>20.459685393066664</v>
          </cell>
        </row>
        <row r="69">
          <cell r="K69">
            <v>8.5637182437453632</v>
          </cell>
          <cell r="AJ69">
            <v>20.459685393066664</v>
          </cell>
        </row>
        <row r="70">
          <cell r="K70">
            <v>8.6866240708927478</v>
          </cell>
          <cell r="AJ70">
            <v>20.200155322754096</v>
          </cell>
        </row>
        <row r="71">
          <cell r="K71">
            <v>8.8079531700052076</v>
          </cell>
          <cell r="AJ71">
            <v>19.948997190193548</v>
          </cell>
        </row>
        <row r="72">
          <cell r="K72">
            <v>8.9277668063731284</v>
          </cell>
          <cell r="AJ72">
            <v>19.705812331682537</v>
          </cell>
        </row>
        <row r="73">
          <cell r="K73">
            <v>9.0461224049184725</v>
          </cell>
          <cell r="AJ73">
            <v>19.470227000000001</v>
          </cell>
        </row>
        <row r="74">
          <cell r="K74">
            <v>9.1630738786696799</v>
          </cell>
          <cell r="AJ74">
            <v>19.470227000000001</v>
          </cell>
        </row>
        <row r="75">
          <cell r="K75">
            <v>9.2786719219862217</v>
          </cell>
          <cell r="AJ75">
            <v>19.49932536123077</v>
          </cell>
        </row>
        <row r="76">
          <cell r="K76">
            <v>9.3929642730481078</v>
          </cell>
          <cell r="AJ76">
            <v>19.419654981818184</v>
          </cell>
        </row>
        <row r="77">
          <cell r="K77">
            <v>9.5059959494577164</v>
          </cell>
          <cell r="AJ77">
            <v>17.854488759402983</v>
          </cell>
        </row>
        <row r="78">
          <cell r="K78">
            <v>9.6178094602448372</v>
          </cell>
          <cell r="AJ78">
            <v>17.854488759402983</v>
          </cell>
        </row>
        <row r="79">
          <cell r="K79">
            <v>9.7284449971001816</v>
          </cell>
          <cell r="AJ79">
            <v>14.659935623529412</v>
          </cell>
        </row>
        <row r="80">
          <cell r="K80">
            <v>9.8379406072714062</v>
          </cell>
          <cell r="AJ80">
            <v>13.914292245024122</v>
          </cell>
        </row>
        <row r="81">
          <cell r="K81">
            <v>9.9463323502256351</v>
          </cell>
          <cell r="AJ81">
            <v>13.914292245024122</v>
          </cell>
        </row>
        <row r="82">
          <cell r="K82">
            <v>10.053654439903049</v>
          </cell>
          <cell r="AJ82">
            <v>13.189952963047652</v>
          </cell>
        </row>
        <row r="83">
          <cell r="K83">
            <v>10.159939374148587</v>
          </cell>
          <cell r="AJ83">
            <v>18.513404416</v>
          </cell>
        </row>
        <row r="84">
          <cell r="K84">
            <v>10.265093068132369</v>
          </cell>
          <cell r="AJ84">
            <v>18.513404416</v>
          </cell>
        </row>
        <row r="85">
          <cell r="K85">
            <v>10.369152603362648</v>
          </cell>
          <cell r="AJ85">
            <v>18.569251789803925</v>
          </cell>
        </row>
        <row r="86">
          <cell r="K86">
            <v>10.472153097749104</v>
          </cell>
          <cell r="AJ86">
            <v>18.569251789803925</v>
          </cell>
        </row>
        <row r="87">
          <cell r="K87">
            <v>10.57412784797415</v>
          </cell>
          <cell r="AJ87">
            <v>19.219981093415385</v>
          </cell>
        </row>
        <row r="88">
          <cell r="K88">
            <v>10.675108458866948</v>
          </cell>
          <cell r="AJ88">
            <v>19.219981093415385</v>
          </cell>
        </row>
        <row r="89">
          <cell r="K89">
            <v>10.775124961201239</v>
          </cell>
          <cell r="AJ89">
            <v>19.846154574249059</v>
          </cell>
        </row>
        <row r="90">
          <cell r="K90">
            <v>10.874205919158106</v>
          </cell>
          <cell r="AJ90">
            <v>19.846154574249059</v>
          </cell>
        </row>
        <row r="91">
          <cell r="K91">
            <v>10.972378528540512</v>
          </cell>
          <cell r="AJ91">
            <v>20.449136444681479</v>
          </cell>
        </row>
        <row r="92">
          <cell r="K92">
            <v>11.069668706693943</v>
          </cell>
          <cell r="AJ92">
            <v>20.449136444681479</v>
          </cell>
        </row>
        <row r="93">
          <cell r="K93">
            <v>11.16610117497326</v>
          </cell>
          <cell r="AJ93">
            <v>21.030191701643634</v>
          </cell>
        </row>
        <row r="94">
          <cell r="K94">
            <v>11.26169953449712</v>
          </cell>
          <cell r="AJ94">
            <v>21.030191701643634</v>
          </cell>
        </row>
        <row r="95">
          <cell r="K95">
            <v>11.356486335845741</v>
          </cell>
          <cell r="AJ95">
            <v>21.590494985142858</v>
          </cell>
        </row>
        <row r="96">
          <cell r="K96">
            <v>11.450483143283391</v>
          </cell>
          <cell r="AJ96">
            <v>21.590494985142858</v>
          </cell>
        </row>
        <row r="97">
          <cell r="K97">
            <v>11.543710594022201</v>
          </cell>
          <cell r="AJ97">
            <v>21.590494985142858</v>
          </cell>
        </row>
        <row r="98">
          <cell r="K98">
            <v>11.636188452987218</v>
          </cell>
          <cell r="AJ98">
            <v>21.292913513543862</v>
          </cell>
        </row>
        <row r="99">
          <cell r="K99">
            <v>11.727935663493101</v>
          </cell>
          <cell r="AJ99">
            <v>21.292913513543862</v>
          </cell>
        </row>
        <row r="100">
          <cell r="K100">
            <v>11.818970394199299</v>
          </cell>
          <cell r="AJ100">
            <v>21.005593471999997</v>
          </cell>
        </row>
        <row r="101">
          <cell r="K101">
            <v>11.909310082672311</v>
          </cell>
          <cell r="AJ101">
            <v>21.005593471999997</v>
          </cell>
        </row>
        <row r="102">
          <cell r="K102">
            <v>11.99897147584986</v>
          </cell>
          <cell r="AJ102">
            <v>20.728013092881355</v>
          </cell>
        </row>
        <row r="103">
          <cell r="K103">
            <v>12.087970667672025</v>
          </cell>
          <cell r="AJ103">
            <v>20.728013092881355</v>
          </cell>
        </row>
        <row r="104">
          <cell r="K104">
            <v>12.176323134117986</v>
          </cell>
          <cell r="AJ104">
            <v>20.459685393066664</v>
          </cell>
        </row>
        <row r="105">
          <cell r="K105">
            <v>12.264043765863642</v>
          </cell>
          <cell r="AJ105">
            <v>20.459685393066664</v>
          </cell>
        </row>
        <row r="106">
          <cell r="K106">
            <v>12.351146898754555</v>
          </cell>
          <cell r="AJ106">
            <v>20.459685393066664</v>
          </cell>
        </row>
        <row r="107">
          <cell r="K107">
            <v>12.437646342270197</v>
          </cell>
          <cell r="AJ107">
            <v>20.200155322754096</v>
          </cell>
        </row>
        <row r="108">
          <cell r="K108">
            <v>12.523555406138943</v>
          </cell>
          <cell r="AJ108">
            <v>20.200155322754096</v>
          </cell>
        </row>
        <row r="109">
          <cell r="K109">
            <v>12.608886925248523</v>
          </cell>
          <cell r="AJ109">
            <v>19.948997190193548</v>
          </cell>
        </row>
        <row r="110">
          <cell r="K110">
            <v>12.693653282983449</v>
          </cell>
          <cell r="AJ110">
            <v>19.948997190193548</v>
          </cell>
        </row>
        <row r="111">
          <cell r="K111">
            <v>12.777866433109105</v>
          </cell>
          <cell r="AJ111">
            <v>19.948997190193548</v>
          </cell>
        </row>
        <row r="112">
          <cell r="K112">
            <v>12.861537920311582</v>
          </cell>
          <cell r="AJ112">
            <v>19.705812331682537</v>
          </cell>
        </row>
        <row r="113">
          <cell r="K113">
            <v>12.944678899492791</v>
          </cell>
          <cell r="AJ113">
            <v>19.705812331682537</v>
          </cell>
        </row>
        <row r="114">
          <cell r="K114">
            <v>13.027300153911792</v>
          </cell>
          <cell r="AJ114">
            <v>19.470227000000001</v>
          </cell>
        </row>
        <row r="115">
          <cell r="K115">
            <v>13.109412112255537</v>
          </cell>
          <cell r="AJ115">
            <v>19.470227000000001</v>
          </cell>
        </row>
        <row r="116">
          <cell r="K116">
            <v>13.191024864715214</v>
          </cell>
          <cell r="AJ116">
            <v>19.470227000000001</v>
          </cell>
        </row>
        <row r="117">
          <cell r="K117">
            <v>13.272148178138069</v>
          </cell>
          <cell r="AJ117">
            <v>19.49932536123077</v>
          </cell>
        </row>
        <row r="118">
          <cell r="K118">
            <v>13.352791510318857</v>
          </cell>
          <cell r="AJ118">
            <v>19.49932536123077</v>
          </cell>
        </row>
        <row r="119">
          <cell r="K119">
            <v>13.432964023489845</v>
          </cell>
          <cell r="AJ119">
            <v>19.419654981818184</v>
          </cell>
        </row>
        <row r="120">
          <cell r="K120">
            <v>13.512674597063633</v>
          </cell>
          <cell r="AJ120">
            <v>19.419654981818184</v>
          </cell>
        </row>
        <row r="121">
          <cell r="K121">
            <v>13.591931839678731</v>
          </cell>
          <cell r="AJ121">
            <v>19.419654981818184</v>
          </cell>
        </row>
        <row r="122">
          <cell r="K122">
            <v>13.671733142383639</v>
          </cell>
          <cell r="AJ122">
            <v>19.419654981818184</v>
          </cell>
        </row>
        <row r="123">
          <cell r="K123">
            <v>13.752090934570768</v>
          </cell>
          <cell r="AJ123">
            <v>19.49932536123077</v>
          </cell>
        </row>
        <row r="124">
          <cell r="K124">
            <v>13.833018117174054</v>
          </cell>
          <cell r="AJ124">
            <v>19.49932536123077</v>
          </cell>
        </row>
        <row r="125">
          <cell r="K125">
            <v>13.914528088036421</v>
          </cell>
          <cell r="AJ125">
            <v>19.49932536123077</v>
          </cell>
        </row>
        <row r="126">
          <cell r="K126">
            <v>13.996634769057735</v>
          </cell>
          <cell r="AJ126">
            <v>19.470227000000001</v>
          </cell>
        </row>
        <row r="127">
          <cell r="K127">
            <v>14.079352635278363</v>
          </cell>
          <cell r="AJ127">
            <v>19.470227000000001</v>
          </cell>
        </row>
        <row r="128">
          <cell r="K128">
            <v>14.162696746069667</v>
          </cell>
          <cell r="AJ128">
            <v>19.705812331682537</v>
          </cell>
        </row>
        <row r="129">
          <cell r="K129">
            <v>14.246682778620944</v>
          </cell>
          <cell r="AJ129">
            <v>19.705812331682537</v>
          </cell>
        </row>
        <row r="130">
          <cell r="K130">
            <v>14.331327063932857</v>
          </cell>
          <cell r="AJ130">
            <v>19.948997190193548</v>
          </cell>
        </row>
        <row r="131">
          <cell r="K131">
            <v>14.416646625550438</v>
          </cell>
          <cell r="AJ131">
            <v>19.948997190193548</v>
          </cell>
        </row>
        <row r="132">
          <cell r="K132">
            <v>14.502659221294802</v>
          </cell>
          <cell r="AJ132">
            <v>20.200155322754096</v>
          </cell>
        </row>
        <row r="133">
          <cell r="K133">
            <v>14.589383388282208</v>
          </cell>
          <cell r="AJ133">
            <v>20.200155322754096</v>
          </cell>
        </row>
        <row r="134">
          <cell r="K134">
            <v>14.676838491552488</v>
          </cell>
          <cell r="AJ134">
            <v>20.459685393066664</v>
          </cell>
        </row>
        <row r="135">
          <cell r="K135">
            <v>14.76504477666683</v>
          </cell>
          <cell r="AJ135">
            <v>20.459685393066664</v>
          </cell>
        </row>
        <row r="136">
          <cell r="K136">
            <v>14.854023426678092</v>
          </cell>
          <cell r="AJ136">
            <v>20.728013092881355</v>
          </cell>
        </row>
        <row r="137">
          <cell r="K137">
            <v>14.943796623926143</v>
          </cell>
          <cell r="AJ137">
            <v>20.728013092881355</v>
          </cell>
        </row>
        <row r="138">
          <cell r="K138">
            <v>15.034387617167113</v>
          </cell>
          <cell r="AJ138">
            <v>21.005593471999997</v>
          </cell>
        </row>
        <row r="139">
          <cell r="K139">
            <v>15.125820794610064</v>
          </cell>
          <cell r="AJ139">
            <v>21.005593471999997</v>
          </cell>
        </row>
        <row r="140">
          <cell r="K140">
            <v>15.218121763508995</v>
          </cell>
          <cell r="AJ140">
            <v>21.292913513543862</v>
          </cell>
        </row>
        <row r="141">
          <cell r="K141">
            <v>15.311317437043641</v>
          </cell>
          <cell r="AJ141">
            <v>21.590494985142858</v>
          </cell>
        </row>
        <row r="142">
          <cell r="K142">
            <v>15.405436129321641</v>
          </cell>
          <cell r="AJ142">
            <v>21.590494985142858</v>
          </cell>
        </row>
        <row r="143">
          <cell r="K143">
            <v>15.50050765944933</v>
          </cell>
          <cell r="AJ143">
            <v>21.030191701643634</v>
          </cell>
        </row>
        <row r="144">
          <cell r="K144">
            <v>15.596563465751805</v>
          </cell>
          <cell r="AJ144">
            <v>21.030191701643634</v>
          </cell>
        </row>
        <row r="145">
          <cell r="K145">
            <v>15.693636731378495</v>
          </cell>
          <cell r="AJ145">
            <v>20.449136444681479</v>
          </cell>
        </row>
        <row r="146">
          <cell r="K146">
            <v>15.791762522712354</v>
          </cell>
          <cell r="AJ146">
            <v>20.449136444681479</v>
          </cell>
        </row>
        <row r="147">
          <cell r="K147">
            <v>15.890977942214414</v>
          </cell>
          <cell r="AJ147">
            <v>19.846154574249059</v>
          </cell>
        </row>
        <row r="148">
          <cell r="K148">
            <v>15.991322297586979</v>
          </cell>
          <cell r="AJ148">
            <v>19.846154574249059</v>
          </cell>
        </row>
        <row r="149">
          <cell r="K149">
            <v>16.092837289436105</v>
          </cell>
          <cell r="AJ149">
            <v>19.219981093415385</v>
          </cell>
        </row>
        <row r="150">
          <cell r="K150">
            <v>16.195567219966946</v>
          </cell>
          <cell r="AJ150">
            <v>18.569251789803925</v>
          </cell>
        </row>
        <row r="151">
          <cell r="K151">
            <v>16.299559225666066</v>
          </cell>
          <cell r="AJ151">
            <v>18.569251789803925</v>
          </cell>
        </row>
        <row r="152">
          <cell r="K152">
            <v>16.404863537427865</v>
          </cell>
          <cell r="AJ152">
            <v>18.513404416</v>
          </cell>
        </row>
        <row r="153">
          <cell r="K153">
            <v>16.511533772187054</v>
          </cell>
          <cell r="AJ153">
            <v>13.189952963047652</v>
          </cell>
        </row>
        <row r="154">
          <cell r="K154">
            <v>16.619464915655758</v>
          </cell>
          <cell r="AJ154">
            <v>13.189952963047652</v>
          </cell>
        </row>
        <row r="155">
          <cell r="K155">
            <v>16.72870501670171</v>
          </cell>
          <cell r="AJ155">
            <v>13.914292245024122</v>
          </cell>
        </row>
        <row r="156">
          <cell r="K156">
            <v>16.839305224354888</v>
          </cell>
          <cell r="AJ156">
            <v>14.659935623529412</v>
          </cell>
        </row>
        <row r="157">
          <cell r="K157">
            <v>16.951320074876609</v>
          </cell>
          <cell r="AJ157">
            <v>17.854488759402983</v>
          </cell>
        </row>
        <row r="158">
          <cell r="K158">
            <v>17.06480781391895</v>
          </cell>
          <cell r="AJ158">
            <v>19.419654981818184</v>
          </cell>
        </row>
        <row r="159">
          <cell r="K159">
            <v>17.17983075916241</v>
          </cell>
          <cell r="AJ159">
            <v>19.49932536123077</v>
          </cell>
        </row>
        <row r="160">
          <cell r="K160">
            <v>17.296455709825405</v>
          </cell>
          <cell r="AJ160">
            <v>19.470227000000001</v>
          </cell>
        </row>
        <row r="161">
          <cell r="K161">
            <v>17.41475441066785</v>
          </cell>
          <cell r="AJ161">
            <v>19.470227000000001</v>
          </cell>
        </row>
        <row r="162">
          <cell r="K162">
            <v>17.534804079620468</v>
          </cell>
          <cell r="AJ162">
            <v>19.705812331682537</v>
          </cell>
        </row>
        <row r="163">
          <cell r="K163">
            <v>17.656688010036667</v>
          </cell>
          <cell r="AJ163">
            <v>19.948997190193548</v>
          </cell>
        </row>
        <row r="164">
          <cell r="K164">
            <v>17.780496260882714</v>
          </cell>
          <cell r="AJ164">
            <v>20.200155322754096</v>
          </cell>
        </row>
        <row r="165">
          <cell r="K165">
            <v>17.906326451083988</v>
          </cell>
          <cell r="AJ165">
            <v>20.459685393066664</v>
          </cell>
        </row>
        <row r="166">
          <cell r="K166">
            <v>18.034284677902363</v>
          </cell>
          <cell r="AJ166">
            <v>20.728013092881355</v>
          </cell>
        </row>
        <row r="167">
          <cell r="K167">
            <v>18.16448658386264</v>
          </cell>
          <cell r="AJ167">
            <v>21.005593471999997</v>
          </cell>
        </row>
        <row r="168">
          <cell r="K168">
            <v>18.297058602687112</v>
          </cell>
          <cell r="AJ168">
            <v>21.292913513543862</v>
          </cell>
        </row>
        <row r="169">
          <cell r="K169">
            <v>18.432139422363871</v>
          </cell>
          <cell r="AJ169">
            <v>21.590494985142858</v>
          </cell>
        </row>
        <row r="170">
          <cell r="K170">
            <v>18.569881713457278</v>
          </cell>
          <cell r="AJ170">
            <v>21.030191701643634</v>
          </cell>
        </row>
        <row r="171">
          <cell r="K171">
            <v>18.71045418389448</v>
          </cell>
          <cell r="AJ171">
            <v>20.449136444681479</v>
          </cell>
        </row>
        <row r="172">
          <cell r="K172">
            <v>18.854044038900472</v>
          </cell>
          <cell r="AJ172">
            <v>19.219981093415385</v>
          </cell>
        </row>
        <row r="173">
          <cell r="K173">
            <v>19.000859948185816</v>
          </cell>
          <cell r="AJ173">
            <v>18.569251789803925</v>
          </cell>
        </row>
        <row r="174">
          <cell r="K174">
            <v>19.151135654362403</v>
          </cell>
          <cell r="AJ174">
            <v>18.513404416</v>
          </cell>
        </row>
        <row r="175">
          <cell r="K175">
            <v>19.305134400492506</v>
          </cell>
          <cell r="AJ175">
            <v>18.455277557551021</v>
          </cell>
        </row>
        <row r="176">
          <cell r="K176">
            <v>19.463154416110875</v>
          </cell>
          <cell r="AJ176">
            <v>18.394728746666669</v>
          </cell>
        </row>
        <row r="177">
          <cell r="K177">
            <v>19.625535788348035</v>
          </cell>
          <cell r="AJ177">
            <v>18.265733453913043</v>
          </cell>
        </row>
        <row r="178">
          <cell r="K178">
            <v>19.792669170990948</v>
          </cell>
          <cell r="AJ178">
            <v>18.260229654755552</v>
          </cell>
        </row>
        <row r="179">
          <cell r="K179">
            <v>19.965006970357464</v>
          </cell>
          <cell r="AJ179">
            <v>18.254475682909089</v>
          </cell>
        </row>
        <row r="180">
          <cell r="K180">
            <v>20.143077927055213</v>
          </cell>
          <cell r="AJ180">
            <v>18.242145743238094</v>
          </cell>
        </row>
        <row r="181">
          <cell r="K181">
            <v>20.327506444966595</v>
          </cell>
          <cell r="AJ181">
            <v>18.235529678048781</v>
          </cell>
        </row>
        <row r="182">
          <cell r="K182">
            <v>20.519038704015177</v>
          </cell>
          <cell r="AJ182">
            <v>18.381948289969227</v>
          </cell>
        </row>
        <row r="183">
          <cell r="K183">
            <v>20.718578713411503</v>
          </cell>
          <cell r="AJ183">
            <v>18.46093727797895</v>
          </cell>
        </row>
        <row r="184">
          <cell r="K184">
            <v>20.927239359058053</v>
          </cell>
          <cell r="AJ184">
            <v>13.914292245024122</v>
          </cell>
        </row>
        <row r="185">
          <cell r="K185">
            <v>21.145158644745973</v>
          </cell>
          <cell r="AJ185">
            <v>19.419654981818184</v>
          </cell>
        </row>
        <row r="186">
          <cell r="K186">
            <v>21.373706719926258</v>
          </cell>
          <cell r="AJ186">
            <v>19.705812331682537</v>
          </cell>
        </row>
        <row r="187">
          <cell r="K187">
            <v>21.614627843206094</v>
          </cell>
          <cell r="AJ187">
            <v>20.728013092881355</v>
          </cell>
        </row>
        <row r="188">
          <cell r="K188">
            <v>21.870200957568699</v>
          </cell>
          <cell r="AJ188">
            <v>21.590494985142858</v>
          </cell>
        </row>
        <row r="189">
          <cell r="K189">
            <v>22.143501331906965</v>
          </cell>
          <cell r="AJ189">
            <v>19.219981093415385</v>
          </cell>
        </row>
        <row r="190">
          <cell r="K190">
            <v>22.438853748823732</v>
          </cell>
          <cell r="AJ190">
            <v>18.455277557551021</v>
          </cell>
        </row>
        <row r="191">
          <cell r="K191">
            <v>22.762682228112851</v>
          </cell>
          <cell r="AJ191">
            <v>18.254475682909089</v>
          </cell>
        </row>
        <row r="192">
          <cell r="K192">
            <v>23.08651070740197</v>
          </cell>
          <cell r="AJ192">
            <v>18.254475682909089</v>
          </cell>
        </row>
        <row r="193">
          <cell r="K193">
            <v>23.41033918669109</v>
          </cell>
          <cell r="AJ193">
            <v>18.254475682909089</v>
          </cell>
        </row>
        <row r="194">
          <cell r="K194">
            <v>23.734167665980209</v>
          </cell>
          <cell r="AJ194">
            <v>18.254475682909089</v>
          </cell>
        </row>
        <row r="195">
          <cell r="K195">
            <v>24.057996145269328</v>
          </cell>
          <cell r="AJ195">
            <v>18.254475682909089</v>
          </cell>
        </row>
        <row r="196">
          <cell r="K196">
            <v>24.381824624558448</v>
          </cell>
          <cell r="AJ196">
            <v>18.254475682909089</v>
          </cell>
        </row>
        <row r="197">
          <cell r="K197">
            <v>24.705653103847567</v>
          </cell>
          <cell r="AJ197">
            <v>18.254475682909089</v>
          </cell>
        </row>
        <row r="198">
          <cell r="K198">
            <v>25.029481583136686</v>
          </cell>
          <cell r="AJ198">
            <v>18.254475682909089</v>
          </cell>
        </row>
        <row r="199">
          <cell r="K199">
            <v>25.353310062425805</v>
          </cell>
          <cell r="AJ199">
            <v>18.254475682909089</v>
          </cell>
        </row>
        <row r="200">
          <cell r="K200">
            <v>25.677138541714925</v>
          </cell>
          <cell r="AJ200">
            <v>18.254475682909089</v>
          </cell>
        </row>
        <row r="201">
          <cell r="K201">
            <v>26.000967021004044</v>
          </cell>
          <cell r="AJ201">
            <v>18.254475682909089</v>
          </cell>
        </row>
        <row r="202">
          <cell r="K202">
            <v>26.324795500293163</v>
          </cell>
          <cell r="AJ202">
            <v>18.254475682909089</v>
          </cell>
        </row>
        <row r="203">
          <cell r="K203">
            <v>26.648623979582283</v>
          </cell>
          <cell r="AJ203">
            <v>18.254475682909089</v>
          </cell>
        </row>
        <row r="204">
          <cell r="K204">
            <v>26.972452458871402</v>
          </cell>
          <cell r="AJ204">
            <v>18.254475682909089</v>
          </cell>
        </row>
        <row r="205">
          <cell r="K205">
            <v>27.296280938160521</v>
          </cell>
          <cell r="AJ205">
            <v>18.254475682909089</v>
          </cell>
        </row>
        <row r="206">
          <cell r="K206">
            <v>27.62010941744964</v>
          </cell>
          <cell r="AJ206">
            <v>18.254475682909089</v>
          </cell>
        </row>
        <row r="207">
          <cell r="K207">
            <v>27.94393789673876</v>
          </cell>
          <cell r="AJ207">
            <v>18.254475682909089</v>
          </cell>
        </row>
        <row r="208">
          <cell r="K208">
            <v>28.267766376027879</v>
          </cell>
          <cell r="AJ208">
            <v>18.254475682909089</v>
          </cell>
        </row>
        <row r="209">
          <cell r="K209">
            <v>28.591594855316998</v>
          </cell>
          <cell r="AJ209">
            <v>18.254475682909089</v>
          </cell>
        </row>
        <row r="210">
          <cell r="K210">
            <v>28.915423334606118</v>
          </cell>
          <cell r="AJ210">
            <v>18.254475682909089</v>
          </cell>
        </row>
        <row r="211">
          <cell r="K211">
            <v>29.239251813895237</v>
          </cell>
          <cell r="AJ211">
            <v>18.254475682909089</v>
          </cell>
        </row>
        <row r="212">
          <cell r="K212">
            <v>29.563080293184356</v>
          </cell>
          <cell r="AJ212">
            <v>18.254475682909089</v>
          </cell>
        </row>
        <row r="213">
          <cell r="K213">
            <v>29.886908772473475</v>
          </cell>
          <cell r="AJ213">
            <v>18.254475682909089</v>
          </cell>
        </row>
        <row r="214">
          <cell r="K214">
            <v>30.210737251762595</v>
          </cell>
          <cell r="AJ214">
            <v>18.254475682909089</v>
          </cell>
        </row>
        <row r="215">
          <cell r="K215">
            <v>30.534565731051714</v>
          </cell>
          <cell r="AJ215">
            <v>18.254475682909089</v>
          </cell>
        </row>
        <row r="216">
          <cell r="K216">
            <v>30.858394210340833</v>
          </cell>
          <cell r="AJ216">
            <v>18.254475682909089</v>
          </cell>
        </row>
        <row r="217">
          <cell r="K217">
            <v>31.182222689629953</v>
          </cell>
          <cell r="AJ217">
            <v>18.254475682909089</v>
          </cell>
        </row>
        <row r="218">
          <cell r="K218">
            <v>31.506051168919072</v>
          </cell>
          <cell r="AJ218">
            <v>18.254475682909089</v>
          </cell>
        </row>
        <row r="219">
          <cell r="K219">
            <v>31.829879648208191</v>
          </cell>
          <cell r="AJ219">
            <v>18.254475682909089</v>
          </cell>
        </row>
        <row r="220">
          <cell r="K220">
            <v>32.15370812749731</v>
          </cell>
          <cell r="AJ220">
            <v>18.254475682909089</v>
          </cell>
        </row>
        <row r="221">
          <cell r="K221">
            <v>32.47753660678643</v>
          </cell>
          <cell r="AJ221">
            <v>18.254475682909089</v>
          </cell>
        </row>
        <row r="222">
          <cell r="K222">
            <v>32.801365086075549</v>
          </cell>
          <cell r="AJ222">
            <v>18.254475682909089</v>
          </cell>
        </row>
        <row r="223">
          <cell r="K223">
            <v>33.125193565364668</v>
          </cell>
          <cell r="AJ223">
            <v>18.254475682909089</v>
          </cell>
        </row>
        <row r="224">
          <cell r="K224">
            <v>33.449022044653788</v>
          </cell>
          <cell r="AJ224">
            <v>18.254475682909089</v>
          </cell>
        </row>
        <row r="225">
          <cell r="K225">
            <v>33.772850523942907</v>
          </cell>
          <cell r="AJ225">
            <v>18.254475682909089</v>
          </cell>
        </row>
        <row r="226">
          <cell r="K226">
            <v>34.096679003232026</v>
          </cell>
          <cell r="AJ226">
            <v>18.254475682909089</v>
          </cell>
        </row>
        <row r="227">
          <cell r="K227">
            <v>34.420507482521145</v>
          </cell>
          <cell r="AJ227">
            <v>18.254475682909089</v>
          </cell>
        </row>
        <row r="228">
          <cell r="K228">
            <v>34.744335961810265</v>
          </cell>
          <cell r="AJ228">
            <v>18.254475682909089</v>
          </cell>
        </row>
        <row r="229">
          <cell r="K229">
            <v>35.068164441099384</v>
          </cell>
          <cell r="AJ229">
            <v>18.254475682909089</v>
          </cell>
        </row>
        <row r="230">
          <cell r="K230">
            <v>35.391992920388503</v>
          </cell>
          <cell r="AJ230">
            <v>18.254475682909089</v>
          </cell>
        </row>
        <row r="231">
          <cell r="K231">
            <v>35.715821399677623</v>
          </cell>
          <cell r="AJ231">
            <v>18.254475682909089</v>
          </cell>
        </row>
        <row r="232">
          <cell r="K232">
            <v>36.015368791404896</v>
          </cell>
          <cell r="AJ232">
            <v>18.394728746666669</v>
          </cell>
        </row>
        <row r="233">
          <cell r="K233">
            <v>36.295410169280764</v>
          </cell>
          <cell r="AJ233">
            <v>18.569251789803925</v>
          </cell>
        </row>
        <row r="234">
          <cell r="K234">
            <v>36.559337376916176</v>
          </cell>
          <cell r="AJ234">
            <v>20.449136444681479</v>
          </cell>
        </row>
        <row r="235">
          <cell r="K235">
            <v>36.809661905858341</v>
          </cell>
          <cell r="AJ235">
            <v>21.292913513543862</v>
          </cell>
        </row>
        <row r="236">
          <cell r="K236">
            <v>37.04830476541661</v>
          </cell>
          <cell r="AJ236">
            <v>20.459685393066664</v>
          </cell>
        </row>
        <row r="237">
          <cell r="K237">
            <v>37.276774161464068</v>
          </cell>
          <cell r="AJ237">
            <v>19.705812331682537</v>
          </cell>
        </row>
        <row r="238">
          <cell r="K238">
            <v>37.496279864326169</v>
          </cell>
          <cell r="AJ238">
            <v>19.49932536123077</v>
          </cell>
        </row>
        <row r="239">
          <cell r="K239">
            <v>37.707809819945545</v>
          </cell>
          <cell r="AJ239">
            <v>14.659935623529412</v>
          </cell>
        </row>
        <row r="240">
          <cell r="K240">
            <v>37.91218320011307</v>
          </cell>
          <cell r="AJ240">
            <v>13.189952963047652</v>
          </cell>
        </row>
        <row r="241">
          <cell r="K241">
            <v>38.110088182494252</v>
          </cell>
          <cell r="AJ241">
            <v>18.46093727797895</v>
          </cell>
        </row>
        <row r="242">
          <cell r="K242">
            <v>38.301403672028044</v>
          </cell>
          <cell r="AJ242">
            <v>18.381948289969227</v>
          </cell>
        </row>
        <row r="243">
          <cell r="K243">
            <v>38.486754918934665</v>
          </cell>
          <cell r="AJ243">
            <v>18.235529678048781</v>
          </cell>
        </row>
        <row r="244">
          <cell r="K244">
            <v>38.666674398654649</v>
          </cell>
          <cell r="AJ244">
            <v>18.242145743238094</v>
          </cell>
        </row>
        <row r="245">
          <cell r="K245">
            <v>38.841620000476901</v>
          </cell>
          <cell r="AJ245">
            <v>18.248454084465116</v>
          </cell>
        </row>
        <row r="246">
          <cell r="K246">
            <v>39.011988874605422</v>
          </cell>
          <cell r="AJ246">
            <v>18.254475682909089</v>
          </cell>
        </row>
        <row r="247">
          <cell r="K247">
            <v>39.178128140536785</v>
          </cell>
          <cell r="AJ247">
            <v>18.260229654755552</v>
          </cell>
        </row>
        <row r="248">
          <cell r="K248">
            <v>39.340343284622257</v>
          </cell>
          <cell r="AJ248">
            <v>18.265733453913043</v>
          </cell>
        </row>
        <row r="249">
          <cell r="K249">
            <v>39.498904828417949</v>
          </cell>
          <cell r="AJ249">
            <v>18.394728746666669</v>
          </cell>
        </row>
        <row r="250">
          <cell r="K250">
            <v>39.654053683991407</v>
          </cell>
          <cell r="AJ250">
            <v>18.455277557551021</v>
          </cell>
        </row>
        <row r="251">
          <cell r="K251">
            <v>39.806005498941097</v>
          </cell>
          <cell r="AJ251">
            <v>18.513404416</v>
          </cell>
        </row>
        <row r="252">
          <cell r="K252">
            <v>39.95495421470153</v>
          </cell>
          <cell r="AJ252">
            <v>18.569251789803925</v>
          </cell>
        </row>
        <row r="253">
          <cell r="K253">
            <v>40.101075005495524</v>
          </cell>
          <cell r="AJ253">
            <v>19.219981093415385</v>
          </cell>
        </row>
        <row r="254">
          <cell r="K254">
            <v>40.244526724784286</v>
          </cell>
          <cell r="AJ254">
            <v>19.846154574249059</v>
          </cell>
        </row>
        <row r="255">
          <cell r="K255">
            <v>40.385453956463728</v>
          </cell>
          <cell r="AJ255">
            <v>19.846154574249059</v>
          </cell>
        </row>
        <row r="256">
          <cell r="K256">
            <v>40.523988746148</v>
          </cell>
          <cell r="AJ256">
            <v>20.449136444681479</v>
          </cell>
        </row>
        <row r="257">
          <cell r="K257">
            <v>40.66025207147753</v>
          </cell>
          <cell r="AJ257">
            <v>21.030191701643634</v>
          </cell>
        </row>
        <row r="258">
          <cell r="K258">
            <v>40.794355097972662</v>
          </cell>
          <cell r="AJ258">
            <v>21.590494985142858</v>
          </cell>
        </row>
        <row r="259">
          <cell r="K259">
            <v>40.926400257461189</v>
          </cell>
          <cell r="AJ259">
            <v>21.292913513543862</v>
          </cell>
        </row>
        <row r="260">
          <cell r="K260">
            <v>41.056482178782332</v>
          </cell>
          <cell r="AJ260">
            <v>21.005593471999997</v>
          </cell>
        </row>
        <row r="261">
          <cell r="K261">
            <v>41.184688494766803</v>
          </cell>
          <cell r="AJ261">
            <v>20.728013092881355</v>
          </cell>
        </row>
        <row r="262">
          <cell r="K262">
            <v>41.311100545017055</v>
          </cell>
          <cell r="AJ262">
            <v>20.459685393066664</v>
          </cell>
        </row>
        <row r="263">
          <cell r="K263">
            <v>41.435793990472156</v>
          </cell>
          <cell r="AJ263">
            <v>20.459685393066664</v>
          </cell>
        </row>
        <row r="264">
          <cell r="K264">
            <v>41.55883935292271</v>
          </cell>
          <cell r="AJ264">
            <v>20.200155322754096</v>
          </cell>
        </row>
        <row r="265">
          <cell r="K265">
            <v>41.680302490380491</v>
          </cell>
          <cell r="AJ265">
            <v>19.948997190193548</v>
          </cell>
        </row>
        <row r="266">
          <cell r="K266">
            <v>41.800245017383304</v>
          </cell>
          <cell r="AJ266">
            <v>19.705812331682537</v>
          </cell>
        </row>
        <row r="267">
          <cell r="K267">
            <v>41.918724677834518</v>
          </cell>
          <cell r="AJ267">
            <v>19.705812331682537</v>
          </cell>
        </row>
        <row r="268">
          <cell r="K268">
            <v>42.035795676767641</v>
          </cell>
          <cell r="AJ268">
            <v>19.470227000000001</v>
          </cell>
        </row>
        <row r="269">
          <cell r="K269">
            <v>42.151508976433917</v>
          </cell>
          <cell r="AJ269">
            <v>19.49932536123077</v>
          </cell>
        </row>
        <row r="270">
          <cell r="K270">
            <v>42.265912561292104</v>
          </cell>
          <cell r="AJ270">
            <v>19.419654981818184</v>
          </cell>
        </row>
        <row r="271">
          <cell r="K271">
            <v>42.379051675800909</v>
          </cell>
          <cell r="AJ271">
            <v>19.419654981818184</v>
          </cell>
        </row>
        <row r="272">
          <cell r="K272">
            <v>42.49096903834927</v>
          </cell>
          <cell r="AJ272">
            <v>17.854488759402983</v>
          </cell>
        </row>
        <row r="273">
          <cell r="K273">
            <v>42.601705034186963</v>
          </cell>
          <cell r="AJ273">
            <v>14.659935623529412</v>
          </cell>
        </row>
        <row r="274">
          <cell r="K274">
            <v>42.71129788982077</v>
          </cell>
          <cell r="AJ274">
            <v>13.914292245024122</v>
          </cell>
        </row>
        <row r="275">
          <cell r="K275">
            <v>42.819783831006745</v>
          </cell>
          <cell r="AJ275">
            <v>13.914292245024122</v>
          </cell>
        </row>
        <row r="276">
          <cell r="K276">
            <v>42.927197226185434</v>
          </cell>
          <cell r="AJ276">
            <v>13.189952963047652</v>
          </cell>
        </row>
        <row r="277">
          <cell r="K277">
            <v>43.033570716966352</v>
          </cell>
          <cell r="AJ277">
            <v>18.513404416</v>
          </cell>
        </row>
        <row r="278">
          <cell r="K278">
            <v>43.13881003124186</v>
          </cell>
          <cell r="AJ278">
            <v>18.513404416</v>
          </cell>
        </row>
        <row r="279">
          <cell r="K279">
            <v>43.242952407768634</v>
          </cell>
          <cell r="AJ279">
            <v>18.569251789803925</v>
          </cell>
        </row>
        <row r="280">
          <cell r="K280">
            <v>43.346033110177039</v>
          </cell>
          <cell r="AJ280">
            <v>18.569251789803925</v>
          </cell>
        </row>
        <row r="281">
          <cell r="K281">
            <v>43.448085570406235</v>
          </cell>
          <cell r="AJ281">
            <v>19.219981093415385</v>
          </cell>
        </row>
        <row r="282">
          <cell r="K282">
            <v>43.549141519024388</v>
          </cell>
          <cell r="AJ282">
            <v>19.219981093415385</v>
          </cell>
        </row>
        <row r="283">
          <cell r="K283">
            <v>43.649231103870278</v>
          </cell>
          <cell r="AJ283">
            <v>19.846154574249059</v>
          </cell>
        </row>
        <row r="284">
          <cell r="K284">
            <v>43.748382998270138</v>
          </cell>
          <cell r="AJ284">
            <v>19.846154574249059</v>
          </cell>
        </row>
        <row r="285">
          <cell r="K285">
            <v>43.846624499927721</v>
          </cell>
          <cell r="AJ285">
            <v>20.449136444681479</v>
          </cell>
        </row>
        <row r="286">
          <cell r="K286">
            <v>43.943981621451343</v>
          </cell>
          <cell r="AJ286">
            <v>20.449136444681479</v>
          </cell>
        </row>
        <row r="287">
          <cell r="K287">
            <v>44.040479173366279</v>
          </cell>
          <cell r="AJ287">
            <v>21.030191701643634</v>
          </cell>
        </row>
        <row r="288">
          <cell r="K288">
            <v>44.136140840360873</v>
          </cell>
          <cell r="AJ288">
            <v>21.030191701643634</v>
          </cell>
        </row>
        <row r="289">
          <cell r="K289">
            <v>44.230989251428412</v>
          </cell>
          <cell r="AJ289">
            <v>21.590494985142858</v>
          </cell>
        </row>
        <row r="290">
          <cell r="K290">
            <v>44.325046044491401</v>
          </cell>
          <cell r="AJ290">
            <v>21.590494985142858</v>
          </cell>
        </row>
        <row r="291">
          <cell r="K291">
            <v>44.418331926029566</v>
          </cell>
          <cell r="AJ291">
            <v>21.590494985142858</v>
          </cell>
        </row>
        <row r="292">
          <cell r="K292">
            <v>44.5108667261756</v>
          </cell>
          <cell r="AJ292">
            <v>21.292913513543862</v>
          </cell>
        </row>
        <row r="293">
          <cell r="K293">
            <v>44.602669449692605</v>
          </cell>
          <cell r="AJ293">
            <v>21.292913513543862</v>
          </cell>
        </row>
        <row r="294">
          <cell r="K294">
            <v>44.693758323203234</v>
          </cell>
          <cell r="AJ294">
            <v>21.005593471999997</v>
          </cell>
        </row>
        <row r="295">
          <cell r="K295">
            <v>44.784150839001903</v>
          </cell>
          <cell r="AJ295">
            <v>21.005593471999997</v>
          </cell>
        </row>
        <row r="296">
          <cell r="K296">
            <v>44.873863795747376</v>
          </cell>
          <cell r="AJ296">
            <v>20.728013092881355</v>
          </cell>
        </row>
        <row r="297">
          <cell r="K297">
            <v>44.96291333630289</v>
          </cell>
          <cell r="AJ297">
            <v>20.728013092881355</v>
          </cell>
        </row>
        <row r="298">
          <cell r="K298">
            <v>45.051314982964421</v>
          </cell>
          <cell r="AJ298">
            <v>20.459685393066664</v>
          </cell>
        </row>
        <row r="299">
          <cell r="K299">
            <v>45.139083670294049</v>
          </cell>
          <cell r="AJ299">
            <v>20.459685393066664</v>
          </cell>
        </row>
        <row r="300">
          <cell r="K300">
            <v>45.226233775754366</v>
          </cell>
          <cell r="AJ300">
            <v>20.459685393066664</v>
          </cell>
        </row>
        <row r="301">
          <cell r="K301">
            <v>45.31277914832129</v>
          </cell>
          <cell r="AJ301">
            <v>20.200155322754096</v>
          </cell>
        </row>
        <row r="302">
          <cell r="K302">
            <v>45.398733135235901</v>
          </cell>
          <cell r="AJ302">
            <v>20.200155322754096</v>
          </cell>
        </row>
        <row r="303">
          <cell r="K303">
            <v>45.484108607041108</v>
          </cell>
          <cell r="AJ303">
            <v>19.948997190193548</v>
          </cell>
        </row>
        <row r="304">
          <cell r="K304">
            <v>45.568917981035604</v>
          </cell>
          <cell r="AJ304">
            <v>19.948997190193548</v>
          </cell>
        </row>
        <row r="305">
          <cell r="K305">
            <v>45.65317324326567</v>
          </cell>
          <cell r="AJ305">
            <v>19.948997190193548</v>
          </cell>
        </row>
        <row r="306">
          <cell r="K306">
            <v>45.736885969164717</v>
          </cell>
          <cell r="AJ306">
            <v>19.705812331682537</v>
          </cell>
        </row>
        <row r="307">
          <cell r="K307">
            <v>45.820067342940746</v>
          </cell>
          <cell r="AJ307">
            <v>19.705812331682537</v>
          </cell>
        </row>
        <row r="308">
          <cell r="K308">
            <v>45.902728175803325</v>
          </cell>
          <cell r="AJ308">
            <v>19.470227000000001</v>
          </cell>
        </row>
        <row r="309">
          <cell r="K309">
            <v>45.984878923113847</v>
          </cell>
          <cell r="AJ309">
            <v>19.470227000000001</v>
          </cell>
        </row>
        <row r="310">
          <cell r="K310">
            <v>46.066529700535753</v>
          </cell>
          <cell r="AJ310">
            <v>19.470227000000001</v>
          </cell>
        </row>
        <row r="311">
          <cell r="K311">
            <v>46.147690299255096</v>
          </cell>
          <cell r="AJ311">
            <v>19.49932536123077</v>
          </cell>
        </row>
        <row r="312">
          <cell r="K312">
            <v>46.228370200335959</v>
          </cell>
          <cell r="AJ312">
            <v>19.49932536123077</v>
          </cell>
        </row>
        <row r="313">
          <cell r="K313">
            <v>46.308578588270095</v>
          </cell>
          <cell r="AJ313">
            <v>19.419654981818184</v>
          </cell>
        </row>
        <row r="314">
          <cell r="K314">
            <v>46.388324363775354</v>
          </cell>
          <cell r="AJ314">
            <v>19.419654981818184</v>
          </cell>
        </row>
        <row r="315">
          <cell r="K315">
            <v>46.467616155893197</v>
          </cell>
          <cell r="AJ315">
            <v>19.419654981818184</v>
          </cell>
        </row>
        <row r="316">
          <cell r="K316">
            <v>46.546462333431549</v>
          </cell>
          <cell r="AJ316">
            <v>17.854488759402983</v>
          </cell>
        </row>
        <row r="317">
          <cell r="K317">
            <v>46.62487101579589</v>
          </cell>
          <cell r="AJ317">
            <v>17.854488759402983</v>
          </cell>
        </row>
        <row r="318">
          <cell r="K318">
            <v>46.702850083247938</v>
          </cell>
          <cell r="AJ318">
            <v>17.854488759402983</v>
          </cell>
        </row>
        <row r="319">
          <cell r="K319">
            <v>46.780407186628572</v>
          </cell>
          <cell r="AJ319">
            <v>14.659935623529412</v>
          </cell>
        </row>
        <row r="320">
          <cell r="K320">
            <v>46.857549756578713</v>
          </cell>
          <cell r="AJ320">
            <v>14.659935623529412</v>
          </cell>
        </row>
        <row r="321">
          <cell r="K321">
            <v>46.9342850122895</v>
          </cell>
          <cell r="AJ321">
            <v>13.914292245024122</v>
          </cell>
        </row>
        <row r="322">
          <cell r="K322">
            <v>47.011509041500958</v>
          </cell>
          <cell r="AJ322">
            <v>14.659935623529412</v>
          </cell>
        </row>
        <row r="323">
          <cell r="K323">
            <v>47.08923226312713</v>
          </cell>
          <cell r="AJ323">
            <v>14.659935623529412</v>
          </cell>
        </row>
        <row r="324">
          <cell r="K324">
            <v>47.167465463983973</v>
          </cell>
          <cell r="AJ324">
            <v>17.854488759402983</v>
          </cell>
        </row>
        <row r="325">
          <cell r="K325">
            <v>47.246219817188177</v>
          </cell>
          <cell r="AJ325">
            <v>17.854488759402983</v>
          </cell>
        </row>
        <row r="326">
          <cell r="K326">
            <v>47.325506901755048</v>
          </cell>
          <cell r="AJ326">
            <v>19.419654981818184</v>
          </cell>
        </row>
        <row r="327">
          <cell r="K327">
            <v>47.405338723492363</v>
          </cell>
          <cell r="AJ327">
            <v>19.419654981818184</v>
          </cell>
        </row>
        <row r="328">
          <cell r="K328">
            <v>47.48572773729645</v>
          </cell>
          <cell r="AJ328">
            <v>19.49932536123077</v>
          </cell>
        </row>
        <row r="329">
          <cell r="K329">
            <v>47.566686870967231</v>
          </cell>
          <cell r="AJ329">
            <v>19.49932536123077</v>
          </cell>
        </row>
        <row r="330">
          <cell r="K330">
            <v>47.648229550670564</v>
          </cell>
          <cell r="AJ330">
            <v>19.470227000000001</v>
          </cell>
        </row>
        <row r="331">
          <cell r="K331">
            <v>47.730369728189309</v>
          </cell>
          <cell r="AJ331">
            <v>19.470227000000001</v>
          </cell>
        </row>
        <row r="332">
          <cell r="K332">
            <v>47.813121910119037</v>
          </cell>
          <cell r="AJ332">
            <v>19.470227000000001</v>
          </cell>
        </row>
        <row r="333">
          <cell r="K333">
            <v>47.896501189180668</v>
          </cell>
          <cell r="AJ333">
            <v>19.705812331682537</v>
          </cell>
        </row>
        <row r="334">
          <cell r="K334">
            <v>47.980523277840682</v>
          </cell>
          <cell r="AJ334">
            <v>19.705812331682537</v>
          </cell>
        </row>
        <row r="335">
          <cell r="K335">
            <v>48.065204544450083</v>
          </cell>
          <cell r="AJ335">
            <v>19.948997190193548</v>
          </cell>
        </row>
        <row r="336">
          <cell r="K336">
            <v>48.150562052136578</v>
          </cell>
          <cell r="AJ336">
            <v>19.948997190193548</v>
          </cell>
        </row>
        <row r="337">
          <cell r="K337">
            <v>48.23661360071069</v>
          </cell>
          <cell r="AJ337">
            <v>20.200155322754096</v>
          </cell>
        </row>
        <row r="338">
          <cell r="K338">
            <v>48.323377771876153</v>
          </cell>
          <cell r="AJ338">
            <v>20.200155322754096</v>
          </cell>
        </row>
        <row r="339">
          <cell r="K339">
            <v>48.410873978068565</v>
          </cell>
          <cell r="AJ339">
            <v>20.459685393066664</v>
          </cell>
        </row>
        <row r="340">
          <cell r="K340">
            <v>48.49912251528459</v>
          </cell>
          <cell r="AJ340">
            <v>20.459685393066664</v>
          </cell>
        </row>
        <row r="341">
          <cell r="K341">
            <v>48.588144620307403</v>
          </cell>
          <cell r="AJ341">
            <v>20.728013092881355</v>
          </cell>
        </row>
        <row r="342">
          <cell r="K342">
            <v>48.677962532783845</v>
          </cell>
          <cell r="AJ342">
            <v>20.728013092881355</v>
          </cell>
        </row>
        <row r="343">
          <cell r="K343">
            <v>48.768599562665479</v>
          </cell>
          <cell r="AJ343">
            <v>21.005593471999997</v>
          </cell>
        </row>
        <row r="344">
          <cell r="K344">
            <v>48.860080163590979</v>
          </cell>
          <cell r="AJ344">
            <v>21.005593471999997</v>
          </cell>
        </row>
        <row r="345">
          <cell r="K345">
            <v>48.952430012862102</v>
          </cell>
          <cell r="AJ345">
            <v>21.292913513543862</v>
          </cell>
        </row>
        <row r="346">
          <cell r="K346">
            <v>49.04567609875194</v>
          </cell>
          <cell r="AJ346">
            <v>21.590494985142858</v>
          </cell>
        </row>
        <row r="347">
          <cell r="K347">
            <v>49.139846815983852</v>
          </cell>
          <cell r="AJ347">
            <v>21.590494985142858</v>
          </cell>
        </row>
        <row r="348">
          <cell r="K348">
            <v>49.234972070335246</v>
          </cell>
          <cell r="AJ348">
            <v>21.030191701643634</v>
          </cell>
        </row>
        <row r="349">
          <cell r="K349">
            <v>49.331083393454904</v>
          </cell>
          <cell r="AJ349">
            <v>21.030191701643634</v>
          </cell>
        </row>
        <row r="350">
          <cell r="K350">
            <v>49.428214069139344</v>
          </cell>
          <cell r="AJ350">
            <v>20.449136444681479</v>
          </cell>
        </row>
        <row r="351">
          <cell r="K351">
            <v>49.5263992724974</v>
          </cell>
          <cell r="AJ351">
            <v>20.449136444681479</v>
          </cell>
        </row>
        <row r="352">
          <cell r="K352">
            <v>49.625676223647552</v>
          </cell>
          <cell r="AJ352">
            <v>19.846154574249059</v>
          </cell>
        </row>
        <row r="353">
          <cell r="K353">
            <v>49.726084357846538</v>
          </cell>
          <cell r="AJ353">
            <v>19.219981093415385</v>
          </cell>
        </row>
        <row r="354">
          <cell r="K354">
            <v>49.827665514247919</v>
          </cell>
          <cell r="AJ354">
            <v>19.219981093415385</v>
          </cell>
        </row>
        <row r="355">
          <cell r="K355">
            <v>49.930464145845548</v>
          </cell>
          <cell r="AJ355">
            <v>18.569251789803925</v>
          </cell>
        </row>
        <row r="356">
          <cell r="K356">
            <v>50.034527553581626</v>
          </cell>
          <cell r="AJ356">
            <v>18.569251789803925</v>
          </cell>
        </row>
        <row r="357">
          <cell r="K357">
            <v>50.139906148107237</v>
          </cell>
          <cell r="AJ357">
            <v>18.513404416</v>
          </cell>
        </row>
        <row r="358">
          <cell r="K358">
            <v>50.246653743294068</v>
          </cell>
          <cell r="AJ358">
            <v>13.189952963047652</v>
          </cell>
        </row>
        <row r="359">
          <cell r="K359">
            <v>50.354665160883251</v>
          </cell>
          <cell r="AJ359">
            <v>13.189952963047652</v>
          </cell>
        </row>
        <row r="360">
          <cell r="K360">
            <v>50.463988635465554</v>
          </cell>
          <cell r="AJ360">
            <v>13.914292245024122</v>
          </cell>
        </row>
        <row r="361">
          <cell r="K361">
            <v>50.57467551877717</v>
          </cell>
          <cell r="AJ361">
            <v>14.659935623529412</v>
          </cell>
        </row>
        <row r="362">
          <cell r="K362">
            <v>50.686780568818016</v>
          </cell>
          <cell r="AJ362">
            <v>17.854488759402983</v>
          </cell>
        </row>
        <row r="363">
          <cell r="K363">
            <v>50.80036227437089</v>
          </cell>
          <cell r="AJ363">
            <v>19.419654981818184</v>
          </cell>
        </row>
        <row r="364">
          <cell r="K364">
            <v>50.915483220366475</v>
          </cell>
          <cell r="AJ364">
            <v>19.49932536123077</v>
          </cell>
        </row>
        <row r="365">
          <cell r="K365">
            <v>51.03221050055744</v>
          </cell>
          <cell r="AJ365">
            <v>19.470227000000001</v>
          </cell>
        </row>
        <row r="366">
          <cell r="K366">
            <v>51.15061618520923</v>
          </cell>
          <cell r="AJ366">
            <v>19.470227000000001</v>
          </cell>
        </row>
        <row r="367">
          <cell r="K367">
            <v>51.270777853044315</v>
          </cell>
          <cell r="AJ367">
            <v>19.705812331682537</v>
          </cell>
        </row>
        <row r="368">
          <cell r="K368">
            <v>51.392779198567069</v>
          </cell>
          <cell r="AJ368">
            <v>19.948997190193548</v>
          </cell>
        </row>
        <row r="369">
          <cell r="K369">
            <v>51.516710728247531</v>
          </cell>
          <cell r="AJ369">
            <v>20.200155322754096</v>
          </cell>
        </row>
        <row r="370">
          <cell r="K370">
            <v>51.642670561985994</v>
          </cell>
          <cell r="AJ370">
            <v>20.459685393066664</v>
          </cell>
        </row>
        <row r="371">
          <cell r="K371">
            <v>51.770765359991714</v>
          </cell>
          <cell r="AJ371">
            <v>20.728013092881355</v>
          </cell>
        </row>
        <row r="372">
          <cell r="K372">
            <v>51.901111399922698</v>
          </cell>
          <cell r="AJ372">
            <v>21.005593471999997</v>
          </cell>
        </row>
        <row r="373">
          <cell r="K373">
            <v>52.033835835168638</v>
          </cell>
          <cell r="AJ373">
            <v>21.292913513543862</v>
          </cell>
        </row>
        <row r="374">
          <cell r="K374">
            <v>52.169078172950776</v>
          </cell>
          <cell r="AJ374">
            <v>21.590494985142858</v>
          </cell>
        </row>
        <row r="375">
          <cell r="K375">
            <v>52.306992021064296</v>
          </cell>
          <cell r="AJ375">
            <v>21.030191701643634</v>
          </cell>
        </row>
        <row r="376">
          <cell r="K376">
            <v>52.4477471654452</v>
          </cell>
          <cell r="AJ376">
            <v>20.449136444681479</v>
          </cell>
        </row>
        <row r="377">
          <cell r="K377">
            <v>52.591532058500526</v>
          </cell>
          <cell r="AJ377">
            <v>19.219981093415385</v>
          </cell>
        </row>
        <row r="378">
          <cell r="K378">
            <v>52.73855682201809</v>
          </cell>
          <cell r="AJ378">
            <v>18.569251789803925</v>
          </cell>
        </row>
        <row r="379">
          <cell r="K379">
            <v>52.889056900974978</v>
          </cell>
          <cell r="AJ379">
            <v>18.513404416</v>
          </cell>
        </row>
        <row r="380">
          <cell r="K380">
            <v>53.043297549403647</v>
          </cell>
          <cell r="AJ380">
            <v>18.455277557551021</v>
          </cell>
        </row>
        <row r="381">
          <cell r="K381">
            <v>53.201579392240809</v>
          </cell>
          <cell r="AJ381">
            <v>18.394728746666669</v>
          </cell>
        </row>
        <row r="382">
          <cell r="K382">
            <v>53.359861235077972</v>
          </cell>
          <cell r="AJ382">
            <v>18.394728746666669</v>
          </cell>
        </row>
        <row r="383">
          <cell r="K383">
            <v>53.518143077915134</v>
          </cell>
          <cell r="AJ383">
            <v>18.394728746666669</v>
          </cell>
        </row>
        <row r="384">
          <cell r="K384">
            <v>53.676424920752297</v>
          </cell>
          <cell r="AJ384">
            <v>18.394728746666669</v>
          </cell>
        </row>
        <row r="385">
          <cell r="K385">
            <v>53.834706763589459</v>
          </cell>
          <cell r="AJ385">
            <v>18.394728746666669</v>
          </cell>
        </row>
        <row r="386">
          <cell r="K386">
            <v>53.992988606426621</v>
          </cell>
          <cell r="AJ386">
            <v>18.394728746666669</v>
          </cell>
        </row>
        <row r="387">
          <cell r="K387">
            <v>54.151270449263784</v>
          </cell>
          <cell r="AJ387">
            <v>18.394728746666669</v>
          </cell>
        </row>
        <row r="388">
          <cell r="K388">
            <v>54.309552292100946</v>
          </cell>
          <cell r="AJ388">
            <v>18.394728746666669</v>
          </cell>
        </row>
        <row r="389">
          <cell r="K389">
            <v>54.467834134938109</v>
          </cell>
          <cell r="AJ389">
            <v>18.394728746666669</v>
          </cell>
        </row>
        <row r="390">
          <cell r="K390">
            <v>54.626115977775271</v>
          </cell>
          <cell r="AJ390">
            <v>18.394728746666669</v>
          </cell>
        </row>
        <row r="391">
          <cell r="K391">
            <v>54.784397820612433</v>
          </cell>
          <cell r="AJ391">
            <v>18.394728746666669</v>
          </cell>
        </row>
        <row r="392">
          <cell r="K392">
            <v>54.942679663449596</v>
          </cell>
          <cell r="AJ392">
            <v>18.394728746666669</v>
          </cell>
        </row>
        <row r="393">
          <cell r="K393">
            <v>55.100961506286758</v>
          </cell>
          <cell r="AJ393">
            <v>18.394728746666669</v>
          </cell>
        </row>
        <row r="394">
          <cell r="K394">
            <v>55.259243349123921</v>
          </cell>
          <cell r="AJ394">
            <v>18.394728746666669</v>
          </cell>
        </row>
        <row r="395">
          <cell r="K395">
            <v>55.417525191961083</v>
          </cell>
          <cell r="AJ395">
            <v>18.394728746666669</v>
          </cell>
        </row>
        <row r="396">
          <cell r="K396">
            <v>55.575807034798245</v>
          </cell>
          <cell r="AJ396">
            <v>18.394728746666669</v>
          </cell>
        </row>
        <row r="397">
          <cell r="K397">
            <v>55.734088877635408</v>
          </cell>
          <cell r="AJ397">
            <v>18.394728746666669</v>
          </cell>
        </row>
        <row r="398">
          <cell r="K398">
            <v>55.89237072047257</v>
          </cell>
          <cell r="AJ398">
            <v>18.394728746666669</v>
          </cell>
        </row>
        <row r="399">
          <cell r="K399">
            <v>56.050652563309733</v>
          </cell>
          <cell r="AJ399">
            <v>18.394728746666669</v>
          </cell>
        </row>
        <row r="400">
          <cell r="K400">
            <v>56.208934406146895</v>
          </cell>
          <cell r="AJ400">
            <v>18.394728746666669</v>
          </cell>
        </row>
        <row r="401">
          <cell r="K401">
            <v>56.367216248984057</v>
          </cell>
          <cell r="AJ401">
            <v>18.394728746666669</v>
          </cell>
        </row>
        <row r="402">
          <cell r="K402">
            <v>56.522103416512394</v>
          </cell>
          <cell r="AJ402">
            <v>18.455277557551021</v>
          </cell>
        </row>
        <row r="403">
          <cell r="K403">
            <v>56.673809710008619</v>
          </cell>
          <cell r="AJ403">
            <v>18.513404416</v>
          </cell>
        </row>
        <row r="404">
          <cell r="K404">
            <v>56.822527478942995</v>
          </cell>
          <cell r="AJ404">
            <v>18.569251789803925</v>
          </cell>
        </row>
        <row r="405">
          <cell r="K405">
            <v>56.968430516594836</v>
          </cell>
          <cell r="AJ405">
            <v>19.219981093415385</v>
          </cell>
        </row>
        <row r="406">
          <cell r="K406">
            <v>57.111676471859859</v>
          </cell>
          <cell r="AJ406">
            <v>19.846154574249059</v>
          </cell>
        </row>
        <row r="407">
          <cell r="K407">
            <v>57.252408872509221</v>
          </cell>
          <cell r="AJ407">
            <v>20.449136444681479</v>
          </cell>
        </row>
        <row r="408">
          <cell r="K408">
            <v>57.390758833759648</v>
          </cell>
          <cell r="AJ408">
            <v>20.449136444681479</v>
          </cell>
        </row>
        <row r="409">
          <cell r="K409">
            <v>57.526846509975584</v>
          </cell>
          <cell r="AJ409">
            <v>21.030191701643634</v>
          </cell>
        </row>
        <row r="410">
          <cell r="K410">
            <v>57.66078233517463</v>
          </cell>
          <cell r="AJ410">
            <v>21.590494985142858</v>
          </cell>
        </row>
        <row r="411">
          <cell r="K411">
            <v>57.792668088711352</v>
          </cell>
          <cell r="AJ411">
            <v>21.292913513543862</v>
          </cell>
        </row>
        <row r="412">
          <cell r="K412">
            <v>57.922597815335287</v>
          </cell>
          <cell r="AJ412">
            <v>21.005593471999997</v>
          </cell>
        </row>
        <row r="413">
          <cell r="K413">
            <v>58.050720506852308</v>
          </cell>
          <cell r="AJ413">
            <v>20.728013092881355</v>
          </cell>
        </row>
        <row r="414">
          <cell r="K414">
            <v>58.177111915341229</v>
          </cell>
          <cell r="AJ414">
            <v>20.459685393066664</v>
          </cell>
        </row>
        <row r="415">
          <cell r="K415">
            <v>58.301842677143803</v>
          </cell>
          <cell r="AJ415">
            <v>20.459685393066664</v>
          </cell>
        </row>
        <row r="416">
          <cell r="K416">
            <v>58.424978783415213</v>
          </cell>
          <cell r="AJ416">
            <v>20.200155322754096</v>
          </cell>
        </row>
        <row r="417">
          <cell r="K417">
            <v>58.546581996465974</v>
          </cell>
          <cell r="AJ417">
            <v>19.948997190193548</v>
          </cell>
        </row>
        <row r="418">
          <cell r="K418">
            <v>58.666710219336622</v>
          </cell>
          <cell r="AJ418">
            <v>19.705812331682537</v>
          </cell>
        </row>
        <row r="419">
          <cell r="K419">
            <v>58.785417824868865</v>
          </cell>
          <cell r="AJ419">
            <v>19.705812331682537</v>
          </cell>
        </row>
        <row r="420">
          <cell r="K420">
            <v>58.90275594956902</v>
          </cell>
          <cell r="AJ420">
            <v>19.470227000000001</v>
          </cell>
        </row>
        <row r="421">
          <cell r="K421">
            <v>59.018772756760264</v>
          </cell>
          <cell r="AJ421">
            <v>19.49932536123077</v>
          </cell>
        </row>
        <row r="422">
          <cell r="K422">
            <v>59.136378314626938</v>
          </cell>
          <cell r="AJ422">
            <v>19.470227000000001</v>
          </cell>
        </row>
        <row r="423">
          <cell r="K423">
            <v>59.255642593768826</v>
          </cell>
          <cell r="AJ423">
            <v>19.705812331682537</v>
          </cell>
        </row>
        <row r="424">
          <cell r="K424">
            <v>59.3766408106341</v>
          </cell>
          <cell r="AJ424">
            <v>19.948997190193548</v>
          </cell>
        </row>
        <row r="425">
          <cell r="K425">
            <v>59.499453994492235</v>
          </cell>
          <cell r="AJ425">
            <v>20.200155322754096</v>
          </cell>
        </row>
        <row r="426">
          <cell r="K426">
            <v>59.624169635674129</v>
          </cell>
          <cell r="AJ426">
            <v>20.459685393066664</v>
          </cell>
        </row>
        <row r="427">
          <cell r="K427">
            <v>59.75088242978282</v>
          </cell>
          <cell r="AJ427">
            <v>20.728013092881355</v>
          </cell>
        </row>
        <row r="428">
          <cell r="K428">
            <v>59.879695135828591</v>
          </cell>
          <cell r="AJ428">
            <v>21.005593471999997</v>
          </cell>
        </row>
        <row r="429">
          <cell r="K429">
            <v>60.010719570351441</v>
          </cell>
          <cell r="AJ429">
            <v>21.292913513543862</v>
          </cell>
        </row>
        <row r="430">
          <cell r="K430">
            <v>60.144077764827465</v>
          </cell>
          <cell r="AJ430">
            <v>21.590494985142858</v>
          </cell>
        </row>
        <row r="431">
          <cell r="K431">
            <v>60.279903320376221</v>
          </cell>
          <cell r="AJ431">
            <v>21.030191701643634</v>
          </cell>
        </row>
        <row r="432">
          <cell r="K432">
            <v>60.418343002490914</v>
          </cell>
          <cell r="AJ432">
            <v>20.449136444681479</v>
          </cell>
        </row>
        <row r="433">
          <cell r="K433">
            <v>60.55955862989358</v>
          </cell>
          <cell r="AJ433">
            <v>19.846154574249059</v>
          </cell>
        </row>
        <row r="434">
          <cell r="K434">
            <v>60.703729326645181</v>
          </cell>
          <cell r="AJ434">
            <v>19.219981093415385</v>
          </cell>
        </row>
        <row r="435">
          <cell r="K435">
            <v>60.851054226699972</v>
          </cell>
          <cell r="AJ435">
            <v>18.569251789803925</v>
          </cell>
        </row>
        <row r="436">
          <cell r="K436">
            <v>61.001755747182862</v>
          </cell>
          <cell r="AJ436">
            <v>18.513404416</v>
          </cell>
        </row>
        <row r="437">
          <cell r="K437">
            <v>61.156083583717702</v>
          </cell>
          <cell r="AJ437">
            <v>18.455277557551021</v>
          </cell>
        </row>
        <row r="438">
          <cell r="K438">
            <v>61.3143196325071</v>
          </cell>
          <cell r="AJ438">
            <v>18.394728746666669</v>
          </cell>
        </row>
        <row r="439">
          <cell r="K439">
            <v>61.476784116178756</v>
          </cell>
          <cell r="AJ439">
            <v>18.265733453913043</v>
          </cell>
        </row>
        <row r="440">
          <cell r="K440">
            <v>61.64384329390105</v>
          </cell>
          <cell r="AJ440">
            <v>18.260229654755552</v>
          </cell>
        </row>
        <row r="441">
          <cell r="K441">
            <v>61.815919287092832</v>
          </cell>
          <cell r="AJ441">
            <v>18.254475682909089</v>
          </cell>
        </row>
        <row r="442">
          <cell r="K442">
            <v>61.987995280284615</v>
          </cell>
          <cell r="AJ442">
            <v>18.254475682909089</v>
          </cell>
        </row>
        <row r="443">
          <cell r="K443">
            <v>62.160071273476397</v>
          </cell>
          <cell r="AJ443">
            <v>18.254475682909089</v>
          </cell>
        </row>
        <row r="444">
          <cell r="K444">
            <v>62.33214726666818</v>
          </cell>
          <cell r="AJ444">
            <v>18.254475682909089</v>
          </cell>
        </row>
        <row r="445">
          <cell r="K445">
            <v>62.504223259859963</v>
          </cell>
          <cell r="AJ445">
            <v>18.254475682909089</v>
          </cell>
        </row>
        <row r="446">
          <cell r="K446">
            <v>62.676299253051745</v>
          </cell>
          <cell r="AJ446">
            <v>18.254475682909089</v>
          </cell>
        </row>
        <row r="447">
          <cell r="K447">
            <v>62.848375246243528</v>
          </cell>
          <cell r="AJ447">
            <v>18.254475682909089</v>
          </cell>
        </row>
        <row r="448">
          <cell r="K448">
            <v>63.02045123943531</v>
          </cell>
          <cell r="AJ448">
            <v>18.254475682909089</v>
          </cell>
        </row>
        <row r="449">
          <cell r="K449">
            <v>63.192527232627093</v>
          </cell>
          <cell r="AJ449">
            <v>18.254475682909089</v>
          </cell>
        </row>
        <row r="450">
          <cell r="K450">
            <v>63.364603225818875</v>
          </cell>
          <cell r="AJ450">
            <v>18.254475682909089</v>
          </cell>
        </row>
        <row r="451">
          <cell r="K451">
            <v>63.536679219010658</v>
          </cell>
          <cell r="AJ451">
            <v>18.254475682909089</v>
          </cell>
        </row>
        <row r="452">
          <cell r="K452">
            <v>63.708755212202441</v>
          </cell>
          <cell r="AJ452">
            <v>18.254475682909089</v>
          </cell>
        </row>
        <row r="453">
          <cell r="K453">
            <v>63.880831205394223</v>
          </cell>
          <cell r="AJ453">
            <v>18.254475682909089</v>
          </cell>
        </row>
        <row r="454">
          <cell r="K454">
            <v>64.052907198586013</v>
          </cell>
          <cell r="AJ454">
            <v>18.254475682909089</v>
          </cell>
        </row>
        <row r="455">
          <cell r="K455">
            <v>64.224983191777795</v>
          </cell>
          <cell r="AJ455">
            <v>18.254475682909089</v>
          </cell>
        </row>
        <row r="456">
          <cell r="K456">
            <v>64.397059184969578</v>
          </cell>
          <cell r="AJ456">
            <v>18.254475682909089</v>
          </cell>
        </row>
        <row r="457">
          <cell r="K457">
            <v>64.56913517816136</v>
          </cell>
          <cell r="AJ457">
            <v>18.254475682909089</v>
          </cell>
        </row>
        <row r="458">
          <cell r="K458">
            <v>64.741211171353143</v>
          </cell>
          <cell r="AJ458">
            <v>18.254475682909089</v>
          </cell>
        </row>
        <row r="459">
          <cell r="K459">
            <v>64.913287164544926</v>
          </cell>
          <cell r="AJ459">
            <v>18.254475682909089</v>
          </cell>
        </row>
        <row r="460">
          <cell r="K460">
            <v>65.085363157736708</v>
          </cell>
          <cell r="AJ460">
            <v>18.254475682909089</v>
          </cell>
        </row>
        <row r="461">
          <cell r="K461">
            <v>65.257439150928491</v>
          </cell>
          <cell r="AJ461">
            <v>18.254475682909089</v>
          </cell>
        </row>
        <row r="462">
          <cell r="K462">
            <v>65.429515144120273</v>
          </cell>
          <cell r="AJ462">
            <v>18.254475682909089</v>
          </cell>
        </row>
        <row r="463">
          <cell r="K463">
            <v>65.601591137312056</v>
          </cell>
          <cell r="AJ463">
            <v>18.254475682909089</v>
          </cell>
        </row>
        <row r="464">
          <cell r="K464">
            <v>65.773667130503839</v>
          </cell>
          <cell r="AJ464">
            <v>18.254475682909089</v>
          </cell>
        </row>
        <row r="465">
          <cell r="K465">
            <v>65.945743123695621</v>
          </cell>
          <cell r="AJ465">
            <v>18.254475682909089</v>
          </cell>
        </row>
        <row r="466">
          <cell r="K466">
            <v>66.117819116887404</v>
          </cell>
          <cell r="AJ466">
            <v>18.254475682909089</v>
          </cell>
        </row>
        <row r="467">
          <cell r="K467">
            <v>66.289895110079186</v>
          </cell>
          <cell r="AJ467">
            <v>18.254475682909089</v>
          </cell>
        </row>
        <row r="468">
          <cell r="K468">
            <v>66.461971103270969</v>
          </cell>
          <cell r="AJ468">
            <v>18.254475682909089</v>
          </cell>
        </row>
        <row r="469">
          <cell r="K469">
            <v>66.634047096462751</v>
          </cell>
          <cell r="AJ469">
            <v>18.254475682909089</v>
          </cell>
        </row>
        <row r="470">
          <cell r="K470">
            <v>66.806123089654534</v>
          </cell>
          <cell r="AJ470">
            <v>18.254475682909089</v>
          </cell>
        </row>
        <row r="471">
          <cell r="K471">
            <v>66.978199082846317</v>
          </cell>
          <cell r="AJ471">
            <v>18.254475682909089</v>
          </cell>
        </row>
        <row r="472">
          <cell r="K472">
            <v>67.146057113657008</v>
          </cell>
          <cell r="AJ472">
            <v>18.260229654755552</v>
          </cell>
        </row>
        <row r="473">
          <cell r="K473">
            <v>67.309998225404016</v>
          </cell>
          <cell r="AJ473">
            <v>18.265733453913043</v>
          </cell>
        </row>
        <row r="474">
          <cell r="K474">
            <v>67.470289395737566</v>
          </cell>
          <cell r="AJ474">
            <v>18.331603390638296</v>
          </cell>
        </row>
        <row r="475">
          <cell r="K475">
            <v>67.627168697606265</v>
          </cell>
          <cell r="AJ475">
            <v>18.394728746666669</v>
          </cell>
        </row>
        <row r="476">
          <cell r="K476">
            <v>67.780849496730525</v>
          </cell>
          <cell r="AJ476">
            <v>18.455277557551021</v>
          </cell>
        </row>
        <row r="477">
          <cell r="K477">
            <v>67.931523896669958</v>
          </cell>
          <cell r="AJ477">
            <v>18.513404416</v>
          </cell>
        </row>
        <row r="478">
          <cell r="K478">
            <v>68.079365590009417</v>
          </cell>
          <cell r="AJ478">
            <v>18.569251789803925</v>
          </cell>
        </row>
        <row r="479">
          <cell r="K479">
            <v>68.224532236171598</v>
          </cell>
          <cell r="AJ479">
            <v>19.219981093415385</v>
          </cell>
        </row>
        <row r="480">
          <cell r="K480">
            <v>68.367167458493228</v>
          </cell>
          <cell r="AJ480">
            <v>19.846154574249059</v>
          </cell>
        </row>
        <row r="481">
          <cell r="K481">
            <v>68.50740253251314</v>
          </cell>
          <cell r="AJ481">
            <v>20.449136444681479</v>
          </cell>
        </row>
        <row r="482">
          <cell r="K482">
            <v>68.64535782188598</v>
          </cell>
          <cell r="AJ482">
            <v>21.030191701643634</v>
          </cell>
        </row>
        <row r="483">
          <cell r="K483">
            <v>68.781144006546626</v>
          </cell>
          <cell r="AJ483">
            <v>21.030191701643634</v>
          </cell>
        </row>
        <row r="484">
          <cell r="K484">
            <v>68.914863138715759</v>
          </cell>
          <cell r="AJ484">
            <v>21.590494985142858</v>
          </cell>
        </row>
        <row r="485">
          <cell r="K485">
            <v>69.046609555348823</v>
          </cell>
          <cell r="AJ485">
            <v>21.292913513543862</v>
          </cell>
        </row>
        <row r="486">
          <cell r="K486">
            <v>69.176470670179725</v>
          </cell>
          <cell r="AJ486">
            <v>21.005593471999997</v>
          </cell>
        </row>
        <row r="487">
          <cell r="K487">
            <v>69.304527664223741</v>
          </cell>
          <cell r="AJ487">
            <v>20.728013092881355</v>
          </cell>
        </row>
        <row r="488">
          <cell r="K488">
            <v>69.430856090208124</v>
          </cell>
          <cell r="AJ488">
            <v>20.459685393066664</v>
          </cell>
        </row>
        <row r="489">
          <cell r="K489">
            <v>69.5555264036891</v>
          </cell>
          <cell r="AJ489">
            <v>20.459685393066664</v>
          </cell>
        </row>
        <row r="490">
          <cell r="K490">
            <v>69.678604431437549</v>
          </cell>
          <cell r="AJ490">
            <v>20.200155322754096</v>
          </cell>
        </row>
        <row r="491">
          <cell r="K491">
            <v>69.800151785916768</v>
          </cell>
          <cell r="AJ491">
            <v>19.948997190193548</v>
          </cell>
        </row>
        <row r="492">
          <cell r="K492">
            <v>69.920226233245515</v>
          </cell>
          <cell r="AJ492">
            <v>19.705812331682537</v>
          </cell>
        </row>
        <row r="493">
          <cell r="K493">
            <v>70.038882020870702</v>
          </cell>
          <cell r="AJ493">
            <v>19.705812331682537</v>
          </cell>
        </row>
        <row r="494">
          <cell r="K494">
            <v>70.156170170212832</v>
          </cell>
          <cell r="AJ494">
            <v>19.470227000000001</v>
          </cell>
        </row>
        <row r="495">
          <cell r="K495">
            <v>70.272138738753981</v>
          </cell>
          <cell r="AJ495">
            <v>19.49932536123077</v>
          </cell>
        </row>
        <row r="496">
          <cell r="K496">
            <v>70.386833055379142</v>
          </cell>
          <cell r="AJ496">
            <v>19.419654981818184</v>
          </cell>
        </row>
        <row r="497">
          <cell r="K497">
            <v>70.50029593223266</v>
          </cell>
          <cell r="AJ497">
            <v>19.419654981818184</v>
          </cell>
        </row>
        <row r="498">
          <cell r="K498">
            <v>70.612567855891569</v>
          </cell>
          <cell r="AJ498">
            <v>17.854488759402983</v>
          </cell>
        </row>
        <row r="499">
          <cell r="K499">
            <v>70.723687160271169</v>
          </cell>
          <cell r="AJ499">
            <v>14.659935623529412</v>
          </cell>
        </row>
        <row r="500">
          <cell r="K500">
            <v>70.83369018335155</v>
          </cell>
          <cell r="AJ500">
            <v>14.659935623529412</v>
          </cell>
        </row>
        <row r="501">
          <cell r="K501">
            <v>70.942611409537463</v>
          </cell>
          <cell r="AJ501">
            <v>13.914292245024122</v>
          </cell>
        </row>
        <row r="502">
          <cell r="K502">
            <v>71.050483599228826</v>
          </cell>
          <cell r="AJ502">
            <v>13.189952963047652</v>
          </cell>
        </row>
        <row r="503">
          <cell r="K503">
            <v>71.157337906978398</v>
          </cell>
          <cell r="AJ503">
            <v>13.189952963047652</v>
          </cell>
        </row>
        <row r="504">
          <cell r="K504">
            <v>71.263203989441507</v>
          </cell>
          <cell r="AJ504">
            <v>18.513404416</v>
          </cell>
        </row>
        <row r="505">
          <cell r="K505">
            <v>71.367990787909179</v>
          </cell>
          <cell r="AJ505">
            <v>18.513404416</v>
          </cell>
        </row>
        <row r="506">
          <cell r="K506">
            <v>71.471732289955924</v>
          </cell>
          <cell r="AJ506">
            <v>18.569251789803925</v>
          </cell>
        </row>
        <row r="507">
          <cell r="K507">
            <v>71.574460753453025</v>
          </cell>
          <cell r="AJ507">
            <v>18.569251789803925</v>
          </cell>
        </row>
        <row r="508">
          <cell r="K508">
            <v>71.676206827189631</v>
          </cell>
          <cell r="AJ508">
            <v>19.219981093415385</v>
          </cell>
        </row>
        <row r="509">
          <cell r="K509">
            <v>71.776999660894873</v>
          </cell>
          <cell r="AJ509">
            <v>19.219981093415385</v>
          </cell>
        </row>
        <row r="510">
          <cell r="K510">
            <v>71.876867005777243</v>
          </cell>
          <cell r="AJ510">
            <v>19.846154574249059</v>
          </cell>
        </row>
        <row r="511">
          <cell r="K511">
            <v>71.975835306561279</v>
          </cell>
          <cell r="AJ511">
            <v>19.846154574249059</v>
          </cell>
        </row>
        <row r="512">
          <cell r="K512">
            <v>72.073929785884047</v>
          </cell>
          <cell r="AJ512">
            <v>20.449136444681479</v>
          </cell>
        </row>
        <row r="513">
          <cell r="K513">
            <v>72.171174521812347</v>
          </cell>
          <cell r="AJ513">
            <v>20.449136444681479</v>
          </cell>
        </row>
        <row r="514">
          <cell r="K514">
            <v>72.267592519153666</v>
          </cell>
          <cell r="AJ514">
            <v>21.030191701643634</v>
          </cell>
        </row>
        <row r="515">
          <cell r="K515">
            <v>72.363205775157525</v>
          </cell>
          <cell r="AJ515">
            <v>21.030191701643634</v>
          </cell>
        </row>
        <row r="516">
          <cell r="K516">
            <v>72.458035340137059</v>
          </cell>
          <cell r="AJ516">
            <v>21.590494985142858</v>
          </cell>
        </row>
        <row r="517">
          <cell r="K517">
            <v>72.553502981159738</v>
          </cell>
          <cell r="AJ517">
            <v>21.030191701643634</v>
          </cell>
        </row>
        <row r="518">
          <cell r="K518">
            <v>72.64962070987059</v>
          </cell>
          <cell r="AJ518">
            <v>21.030191701643634</v>
          </cell>
        </row>
        <row r="519">
          <cell r="K519">
            <v>72.746400925673399</v>
          </cell>
          <cell r="AJ519">
            <v>20.449136444681479</v>
          </cell>
        </row>
        <row r="520">
          <cell r="K520">
            <v>72.84385643353076</v>
          </cell>
          <cell r="AJ520">
            <v>20.449136444681479</v>
          </cell>
        </row>
        <row r="521">
          <cell r="K521">
            <v>72.942000462829427</v>
          </cell>
          <cell r="AJ521">
            <v>20.449136444681479</v>
          </cell>
        </row>
        <row r="522">
          <cell r="K522">
            <v>73.040846687390157</v>
          </cell>
          <cell r="AJ522">
            <v>19.846154574249059</v>
          </cell>
        </row>
        <row r="523">
          <cell r="K523">
            <v>73.140409246708046</v>
          </cell>
          <cell r="AJ523">
            <v>19.846154574249059</v>
          </cell>
        </row>
        <row r="524">
          <cell r="K524">
            <v>73.240702768517153</v>
          </cell>
          <cell r="AJ524">
            <v>19.846154574249059</v>
          </cell>
        </row>
        <row r="525">
          <cell r="K525">
            <v>73.341742392781725</v>
          </cell>
          <cell r="AJ525">
            <v>19.219981093415385</v>
          </cell>
        </row>
        <row r="526">
          <cell r="K526">
            <v>73.443543797225999</v>
          </cell>
          <cell r="AJ526">
            <v>19.219981093415385</v>
          </cell>
        </row>
        <row r="527">
          <cell r="K527">
            <v>73.546123224524891</v>
          </cell>
          <cell r="AJ527">
            <v>18.569251789803925</v>
          </cell>
        </row>
        <row r="528">
          <cell r="K528">
            <v>73.649497511289539</v>
          </cell>
          <cell r="AJ528">
            <v>18.569251789803925</v>
          </cell>
        </row>
        <row r="529">
          <cell r="K529">
            <v>73.75368411899494</v>
          </cell>
          <cell r="AJ529">
            <v>18.569251789803925</v>
          </cell>
        </row>
        <row r="530">
          <cell r="K530">
            <v>73.858701167010921</v>
          </cell>
          <cell r="AJ530">
            <v>18.513404416</v>
          </cell>
        </row>
        <row r="531">
          <cell r="K531">
            <v>73.964567467914208</v>
          </cell>
          <cell r="AJ531">
            <v>18.513404416</v>
          </cell>
        </row>
        <row r="532">
          <cell r="K532">
            <v>74.071302565277122</v>
          </cell>
          <cell r="AJ532">
            <v>13.189952963047652</v>
          </cell>
        </row>
        <row r="533">
          <cell r="K533">
            <v>74.178826023876425</v>
          </cell>
          <cell r="AJ533">
            <v>13.189952963047652</v>
          </cell>
        </row>
        <row r="534">
          <cell r="K534">
            <v>74.287154425510636</v>
          </cell>
          <cell r="AJ534">
            <v>13.914292245024122</v>
          </cell>
        </row>
        <row r="535">
          <cell r="K535">
            <v>74.396304949199006</v>
          </cell>
          <cell r="AJ535">
            <v>13.914292245024122</v>
          </cell>
        </row>
        <row r="536">
          <cell r="K536">
            <v>74.506295401798511</v>
          </cell>
          <cell r="AJ536">
            <v>14.659935623529412</v>
          </cell>
        </row>
        <row r="537">
          <cell r="K537">
            <v>74.617144250670236</v>
          </cell>
          <cell r="AJ537">
            <v>14.659935623529412</v>
          </cell>
        </row>
        <row r="538">
          <cell r="K538">
            <v>74.728870658565484</v>
          </cell>
          <cell r="AJ538">
            <v>17.854488759402983</v>
          </cell>
        </row>
        <row r="539">
          <cell r="K539">
            <v>74.841494520918815</v>
          </cell>
          <cell r="AJ539">
            <v>17.854488759402983</v>
          </cell>
        </row>
        <row r="540">
          <cell r="K540">
            <v>74.955036505754151</v>
          </cell>
          <cell r="AJ540">
            <v>19.419654981818184</v>
          </cell>
        </row>
        <row r="541">
          <cell r="K541">
            <v>75.069518096431466</v>
          </cell>
          <cell r="AJ541">
            <v>19.419654981818184</v>
          </cell>
        </row>
        <row r="542">
          <cell r="K542">
            <v>75.184961637485131</v>
          </cell>
          <cell r="AJ542">
            <v>19.49932536123077</v>
          </cell>
        </row>
        <row r="543">
          <cell r="K543">
            <v>75.301390383831773</v>
          </cell>
          <cell r="AJ543">
            <v>19.49932536123077</v>
          </cell>
        </row>
        <row r="544">
          <cell r="K544">
            <v>75.418828553655544</v>
          </cell>
          <cell r="AJ544">
            <v>19.470227000000001</v>
          </cell>
        </row>
        <row r="545">
          <cell r="K545">
            <v>75.537301385312389</v>
          </cell>
          <cell r="AJ545">
            <v>19.705812331682537</v>
          </cell>
        </row>
        <row r="546">
          <cell r="K546">
            <v>75.656835198633189</v>
          </cell>
          <cell r="AJ546">
            <v>19.705812331682537</v>
          </cell>
        </row>
        <row r="547">
          <cell r="K547">
            <v>75.777457461048726</v>
          </cell>
          <cell r="AJ547">
            <v>19.948997190193548</v>
          </cell>
        </row>
        <row r="548">
          <cell r="K548">
            <v>75.899196859008484</v>
          </cell>
          <cell r="AJ548">
            <v>19.948997190193548</v>
          </cell>
        </row>
        <row r="549">
          <cell r="K549">
            <v>76.022083375220646</v>
          </cell>
          <cell r="AJ549">
            <v>20.200155322754096</v>
          </cell>
        </row>
        <row r="550">
          <cell r="K550">
            <v>76.146148372304225</v>
          </cell>
          <cell r="AJ550">
            <v>20.200155322754096</v>
          </cell>
        </row>
        <row r="551">
          <cell r="K551">
            <v>76.271424683516202</v>
          </cell>
          <cell r="AJ551">
            <v>20.459685393066664</v>
          </cell>
        </row>
        <row r="552">
          <cell r="K552">
            <v>76.39794671129934</v>
          </cell>
          <cell r="AJ552">
            <v>20.728013092881355</v>
          </cell>
        </row>
        <row r="553">
          <cell r="K553">
            <v>76.525750534490825</v>
          </cell>
          <cell r="AJ553">
            <v>20.728013092881355</v>
          </cell>
        </row>
        <row r="554">
          <cell r="K554">
            <v>76.654874025140899</v>
          </cell>
          <cell r="AJ554">
            <v>21.005593471999997</v>
          </cell>
        </row>
        <row r="555">
          <cell r="K555">
            <v>76.785356976015905</v>
          </cell>
          <cell r="AJ555">
            <v>21.005593471999997</v>
          </cell>
        </row>
        <row r="556">
          <cell r="K556">
            <v>76.917241240005367</v>
          </cell>
          <cell r="AJ556">
            <v>21.292913513543862</v>
          </cell>
        </row>
        <row r="557">
          <cell r="K557">
            <v>77.050570882820352</v>
          </cell>
          <cell r="AJ557">
            <v>21.590494985142858</v>
          </cell>
        </row>
        <row r="558">
          <cell r="K558">
            <v>77.18539235056609</v>
          </cell>
          <cell r="AJ558">
            <v>21.590494985142858</v>
          </cell>
        </row>
        <row r="559">
          <cell r="K559">
            <v>77.321754653999122</v>
          </cell>
          <cell r="AJ559">
            <v>21.030191701643634</v>
          </cell>
        </row>
        <row r="560">
          <cell r="K560">
            <v>77.459709571545943</v>
          </cell>
          <cell r="AJ560">
            <v>21.030191701643634</v>
          </cell>
        </row>
        <row r="561">
          <cell r="K561">
            <v>77.599311873472502</v>
          </cell>
          <cell r="AJ561">
            <v>20.449136444681479</v>
          </cell>
        </row>
        <row r="562">
          <cell r="K562">
            <v>77.740619569962291</v>
          </cell>
          <cell r="AJ562">
            <v>19.846154574249059</v>
          </cell>
        </row>
        <row r="563">
          <cell r="K563">
            <v>77.883694186295969</v>
          </cell>
          <cell r="AJ563">
            <v>19.846154574249059</v>
          </cell>
        </row>
        <row r="564">
          <cell r="K564">
            <v>78.028601068842093</v>
          </cell>
          <cell r="AJ564">
            <v>19.219981093415385</v>
          </cell>
        </row>
        <row r="565">
          <cell r="K565">
            <v>78.175409726184014</v>
          </cell>
          <cell r="AJ565">
            <v>18.569251789803925</v>
          </cell>
        </row>
        <row r="566">
          <cell r="K566">
            <v>78.324194210444261</v>
          </cell>
          <cell r="AJ566">
            <v>18.569251789803925</v>
          </cell>
        </row>
        <row r="567">
          <cell r="K567">
            <v>78.47503354475279</v>
          </cell>
          <cell r="AJ567">
            <v>18.513404416</v>
          </cell>
        </row>
        <row r="568">
          <cell r="K568">
            <v>78.628012203873965</v>
          </cell>
          <cell r="AJ568">
            <v>18.455277557551021</v>
          </cell>
        </row>
        <row r="569">
          <cell r="K569">
            <v>78.783220656303271</v>
          </cell>
          <cell r="AJ569">
            <v>18.455277557551021</v>
          </cell>
        </row>
        <row r="570">
          <cell r="K570">
            <v>78.940755977725701</v>
          </cell>
          <cell r="AJ570">
            <v>18.394728746666669</v>
          </cell>
        </row>
        <row r="571">
          <cell r="K571">
            <v>79.100722547665853</v>
          </cell>
          <cell r="AJ571">
            <v>18.331603390638296</v>
          </cell>
        </row>
        <row r="572">
          <cell r="K572">
            <v>79.263232843549901</v>
          </cell>
          <cell r="AJ572">
            <v>18.265733453913043</v>
          </cell>
        </row>
        <row r="573">
          <cell r="K573">
            <v>79.428408349364744</v>
          </cell>
          <cell r="AJ573">
            <v>18.265733453913043</v>
          </cell>
        </row>
        <row r="574">
          <cell r="K574">
            <v>79.596380599802046</v>
          </cell>
          <cell r="AJ574">
            <v>18.260229654755552</v>
          </cell>
        </row>
        <row r="575">
          <cell r="K575">
            <v>79.76729238542886</v>
          </cell>
          <cell r="AJ575">
            <v>18.254475682909089</v>
          </cell>
        </row>
        <row r="576">
          <cell r="K576">
            <v>79.941299150320276</v>
          </cell>
          <cell r="AJ576">
            <v>18.248454084465116</v>
          </cell>
        </row>
        <row r="577">
          <cell r="K577">
            <v>80.11857062111001</v>
          </cell>
          <cell r="AJ577">
            <v>18.248454084465116</v>
          </cell>
        </row>
        <row r="578">
          <cell r="K578">
            <v>80.299292716090562</v>
          </cell>
          <cell r="AJ578">
            <v>18.242145743238094</v>
          </cell>
        </row>
        <row r="579">
          <cell r="K579">
            <v>80.483669795554448</v>
          </cell>
          <cell r="AJ579">
            <v>18.235529678048781</v>
          </cell>
        </row>
        <row r="580">
          <cell r="K580">
            <v>80.671927331025671</v>
          </cell>
          <cell r="AJ580">
            <v>18.306908751360002</v>
          </cell>
        </row>
        <row r="581">
          <cell r="K581">
            <v>80.864315092816256</v>
          </cell>
          <cell r="AJ581">
            <v>18.381948289969227</v>
          </cell>
        </row>
        <row r="582">
          <cell r="K582">
            <v>81.061110984501028</v>
          </cell>
          <cell r="AJ582">
            <v>18.46093727797895</v>
          </cell>
        </row>
        <row r="583">
          <cell r="K583">
            <v>81.262625692394721</v>
          </cell>
          <cell r="AJ583">
            <v>18.46093727797895</v>
          </cell>
        </row>
        <row r="584">
          <cell r="K584">
            <v>81.469208372296535</v>
          </cell>
          <cell r="AJ584">
            <v>13.914292245024122</v>
          </cell>
        </row>
        <row r="585">
          <cell r="K585">
            <v>81.680619886006454</v>
          </cell>
          <cell r="AJ585">
            <v>14.659935623529412</v>
          </cell>
        </row>
        <row r="586">
          <cell r="K586">
            <v>81.897208765766095</v>
          </cell>
          <cell r="AJ586">
            <v>19.419654981818184</v>
          </cell>
        </row>
        <row r="587">
          <cell r="K587">
            <v>82.106366766485777</v>
          </cell>
          <cell r="AJ587">
            <v>14.659935623529412</v>
          </cell>
        </row>
        <row r="588">
          <cell r="K588">
            <v>82.308817736642141</v>
          </cell>
          <cell r="AJ588">
            <v>18.544195941016216</v>
          </cell>
        </row>
        <row r="589">
          <cell r="K589">
            <v>82.504444868877428</v>
          </cell>
          <cell r="AJ589">
            <v>18.381948289969227</v>
          </cell>
        </row>
        <row r="590">
          <cell r="K590">
            <v>82.693903008735234</v>
          </cell>
          <cell r="AJ590">
            <v>18.306908751360002</v>
          </cell>
        </row>
        <row r="591">
          <cell r="K591">
            <v>82.877748793992382</v>
          </cell>
          <cell r="AJ591">
            <v>18.235529678048781</v>
          </cell>
        </row>
        <row r="592">
          <cell r="K592">
            <v>83.056460103294228</v>
          </cell>
          <cell r="AJ592">
            <v>18.242145743238094</v>
          </cell>
        </row>
        <row r="593">
          <cell r="K593">
            <v>83.230450817983993</v>
          </cell>
          <cell r="AJ593">
            <v>18.248454084465116</v>
          </cell>
        </row>
        <row r="594">
          <cell r="K594">
            <v>83.400082207465729</v>
          </cell>
          <cell r="AJ594">
            <v>18.254475682909089</v>
          </cell>
        </row>
        <row r="595">
          <cell r="K595">
            <v>83.565671836401449</v>
          </cell>
          <cell r="AJ595">
            <v>18.265733453913043</v>
          </cell>
        </row>
        <row r="596">
          <cell r="K596">
            <v>83.727500622615466</v>
          </cell>
          <cell r="AJ596">
            <v>18.331603390638296</v>
          </cell>
        </row>
        <row r="597">
          <cell r="K597">
            <v>83.885818494286184</v>
          </cell>
          <cell r="AJ597">
            <v>18.394728746666669</v>
          </cell>
        </row>
        <row r="598">
          <cell r="K598">
            <v>84.040848971836994</v>
          </cell>
          <cell r="AJ598">
            <v>18.455277557551021</v>
          </cell>
        </row>
        <row r="599">
          <cell r="K599">
            <v>84.192792914211495</v>
          </cell>
          <cell r="AJ599">
            <v>18.513404416</v>
          </cell>
        </row>
        <row r="600">
          <cell r="K600">
            <v>84.341831608536182</v>
          </cell>
          <cell r="AJ600">
            <v>18.569251789803925</v>
          </cell>
        </row>
        <row r="601">
          <cell r="K601">
            <v>84.488129338554245</v>
          </cell>
          <cell r="AJ601">
            <v>18.569251789803925</v>
          </cell>
        </row>
        <row r="602">
          <cell r="K602">
            <v>84.631835535416485</v>
          </cell>
          <cell r="AJ602">
            <v>19.219981093415385</v>
          </cell>
        </row>
        <row r="603">
          <cell r="K603">
            <v>84.773086590934412</v>
          </cell>
          <cell r="AJ603">
            <v>19.846154574249059</v>
          </cell>
        </row>
        <row r="604">
          <cell r="K604">
            <v>84.912007395854786</v>
          </cell>
          <cell r="AJ604">
            <v>20.449136444681479</v>
          </cell>
        </row>
        <row r="605">
          <cell r="K605">
            <v>85.04871265245859</v>
          </cell>
          <cell r="AJ605">
            <v>21.030191701643634</v>
          </cell>
        </row>
        <row r="606">
          <cell r="K606">
            <v>85.183308000670181</v>
          </cell>
          <cell r="AJ606">
            <v>21.590494985142858</v>
          </cell>
        </row>
        <row r="607">
          <cell r="K607">
            <v>85.315890989067384</v>
          </cell>
          <cell r="AJ607">
            <v>21.292913513543862</v>
          </cell>
        </row>
        <row r="608">
          <cell r="K608">
            <v>85.446551916124292</v>
          </cell>
          <cell r="AJ608">
            <v>21.005593471999997</v>
          </cell>
        </row>
        <row r="609">
          <cell r="K609">
            <v>85.575374562270014</v>
          </cell>
          <cell r="AJ609">
            <v>21.005593471999997</v>
          </cell>
        </row>
        <row r="610">
          <cell r="K610">
            <v>85.702436829596508</v>
          </cell>
          <cell r="AJ610">
            <v>20.728013092881355</v>
          </cell>
        </row>
        <row r="611">
          <cell r="K611">
            <v>85.827811303065175</v>
          </cell>
          <cell r="AJ611">
            <v>20.459685393066664</v>
          </cell>
        </row>
        <row r="612">
          <cell r="K612">
            <v>85.951565744672578</v>
          </cell>
          <cell r="AJ612">
            <v>20.200155322754096</v>
          </cell>
        </row>
        <row r="613">
          <cell r="K613">
            <v>86.073763530109531</v>
          </cell>
          <cell r="AJ613">
            <v>19.948997190193548</v>
          </cell>
        </row>
        <row r="614">
          <cell r="K614">
            <v>86.197120896031208</v>
          </cell>
          <cell r="AJ614">
            <v>20.200155322754096</v>
          </cell>
        </row>
        <row r="615">
          <cell r="K615">
            <v>86.32166978610806</v>
          </cell>
          <cell r="AJ615">
            <v>20.459685393066664</v>
          </cell>
        </row>
        <row r="616">
          <cell r="K616">
            <v>86.447443653358803</v>
          </cell>
          <cell r="AJ616">
            <v>20.459685393066664</v>
          </cell>
        </row>
        <row r="617">
          <cell r="K617">
            <v>86.574477562080034</v>
          </cell>
          <cell r="AJ617">
            <v>20.728013092881355</v>
          </cell>
        </row>
        <row r="618">
          <cell r="K618">
            <v>86.70280829880511</v>
          </cell>
          <cell r="AJ618">
            <v>20.728013092881355</v>
          </cell>
        </row>
        <row r="619">
          <cell r="K619">
            <v>86.832474493289567</v>
          </cell>
          <cell r="AJ619">
            <v>21.005593471999997</v>
          </cell>
        </row>
        <row r="620">
          <cell r="K620">
            <v>86.963516750653724</v>
          </cell>
          <cell r="AJ620">
            <v>21.292913513543862</v>
          </cell>
        </row>
        <row r="621">
          <cell r="K621">
            <v>87.095977795966334</v>
          </cell>
          <cell r="AJ621">
            <v>21.292913513543862</v>
          </cell>
        </row>
        <row r="622">
          <cell r="K622">
            <v>87.229902632732106</v>
          </cell>
          <cell r="AJ622">
            <v>21.590494985142858</v>
          </cell>
        </row>
        <row r="623">
          <cell r="K623">
            <v>87.36533871695319</v>
          </cell>
          <cell r="AJ623">
            <v>21.590494985142858</v>
          </cell>
        </row>
        <row r="624">
          <cell r="K624">
            <v>87.502336148677344</v>
          </cell>
          <cell r="AJ624">
            <v>21.030191701643634</v>
          </cell>
        </row>
        <row r="625">
          <cell r="K625">
            <v>87.640947883229629</v>
          </cell>
          <cell r="AJ625">
            <v>20.449136444681479</v>
          </cell>
        </row>
        <row r="626">
          <cell r="K626">
            <v>87.781229964657925</v>
          </cell>
          <cell r="AJ626">
            <v>20.449136444681479</v>
          </cell>
        </row>
        <row r="627">
          <cell r="K627">
            <v>87.923241784316716</v>
          </cell>
          <cell r="AJ627">
            <v>19.846154574249059</v>
          </cell>
        </row>
        <row r="628">
          <cell r="K628">
            <v>88.067046367979316</v>
          </cell>
          <cell r="AJ628">
            <v>19.219981093415385</v>
          </cell>
        </row>
        <row r="629">
          <cell r="K629">
            <v>88.212710695423141</v>
          </cell>
          <cell r="AJ629">
            <v>19.219981093415385</v>
          </cell>
        </row>
        <row r="630">
          <cell r="K630">
            <v>88.360306057093624</v>
          </cell>
          <cell r="AJ630">
            <v>18.569251789803925</v>
          </cell>
        </row>
        <row r="631">
          <cell r="K631">
            <v>88.509908453245004</v>
          </cell>
          <cell r="AJ631">
            <v>18.513404416</v>
          </cell>
        </row>
        <row r="632">
          <cell r="K632">
            <v>88.661599041910435</v>
          </cell>
          <cell r="AJ632">
            <v>18.513404416</v>
          </cell>
        </row>
        <row r="633">
          <cell r="K633">
            <v>88.815464643208074</v>
          </cell>
          <cell r="AJ633">
            <v>18.455277557551021</v>
          </cell>
        </row>
        <row r="634">
          <cell r="K634">
            <v>88.971598308893036</v>
          </cell>
          <cell r="AJ634">
            <v>18.394728746666669</v>
          </cell>
        </row>
        <row r="635">
          <cell r="K635">
            <v>89.130099967780197</v>
          </cell>
          <cell r="AJ635">
            <v>18.394728746666669</v>
          </cell>
        </row>
        <row r="636">
          <cell r="K636">
            <v>89.291077159769927</v>
          </cell>
          <cell r="AJ636">
            <v>18.331603390638296</v>
          </cell>
        </row>
        <row r="637">
          <cell r="K637">
            <v>89.454645873814229</v>
          </cell>
          <cell r="AJ637">
            <v>18.265733453913043</v>
          </cell>
        </row>
        <row r="638">
          <cell r="K638">
            <v>89.620931508400446</v>
          </cell>
          <cell r="AJ638">
            <v>18.260229654755552</v>
          </cell>
        </row>
        <row r="639">
          <cell r="K639">
            <v>89.790069977186036</v>
          </cell>
          <cell r="AJ639">
            <v>18.260229654755552</v>
          </cell>
        </row>
        <row r="640">
          <cell r="K640">
            <v>89.962208987532293</v>
          </cell>
          <cell r="AJ640">
            <v>18.254475682909089</v>
          </cell>
        </row>
        <row r="641">
          <cell r="K641">
            <v>90.137509526179585</v>
          </cell>
          <cell r="AJ641">
            <v>18.248454084465116</v>
          </cell>
        </row>
        <row r="642">
          <cell r="K642">
            <v>90.316147594622862</v>
          </cell>
          <cell r="AJ642">
            <v>18.242145743238094</v>
          </cell>
        </row>
        <row r="643">
          <cell r="K643">
            <v>90.49831624748191</v>
          </cell>
          <cell r="AJ643">
            <v>18.235529678048781</v>
          </cell>
        </row>
        <row r="644">
          <cell r="K644">
            <v>90.675488041082346</v>
          </cell>
          <cell r="AJ644">
            <v>18.248454084465116</v>
          </cell>
        </row>
        <row r="645">
          <cell r="K645">
            <v>90.848059067858401</v>
          </cell>
          <cell r="AJ645">
            <v>18.254475682909089</v>
          </cell>
        </row>
        <row r="646">
          <cell r="K646">
            <v>91.016375867788781</v>
          </cell>
          <cell r="AJ646">
            <v>18.260229654755552</v>
          </cell>
        </row>
        <row r="647">
          <cell r="K647">
            <v>91.180743690878231</v>
          </cell>
          <cell r="AJ647">
            <v>18.265733453913043</v>
          </cell>
        </row>
        <row r="648">
          <cell r="K648">
            <v>91.341433068948049</v>
          </cell>
          <cell r="AJ648">
            <v>18.331603390638296</v>
          </cell>
        </row>
        <row r="649">
          <cell r="K649">
            <v>91.498685101183753</v>
          </cell>
          <cell r="AJ649">
            <v>18.394728746666669</v>
          </cell>
        </row>
        <row r="650">
          <cell r="K650">
            <v>91.652715748305894</v>
          </cell>
          <cell r="AJ650">
            <v>18.455277557551021</v>
          </cell>
        </row>
        <row r="651">
          <cell r="K651">
            <v>91.803719353537204</v>
          </cell>
          <cell r="AJ651">
            <v>18.513404416</v>
          </cell>
        </row>
        <row r="652">
          <cell r="K652">
            <v>91.951871553977711</v>
          </cell>
          <cell r="AJ652">
            <v>18.569251789803925</v>
          </cell>
        </row>
        <row r="653">
          <cell r="K653">
            <v>92.097331706599249</v>
          </cell>
          <cell r="AJ653">
            <v>19.219981093415385</v>
          </cell>
        </row>
        <row r="654">
          <cell r="K654">
            <v>92.240244924227994</v>
          </cell>
          <cell r="AJ654">
            <v>19.846154574249059</v>
          </cell>
        </row>
        <row r="655">
          <cell r="K655">
            <v>92.3807437955019</v>
          </cell>
          <cell r="AJ655">
            <v>20.449136444681479</v>
          </cell>
        </row>
        <row r="656">
          <cell r="K656">
            <v>92.51894984675566</v>
          </cell>
          <cell r="AJ656">
            <v>20.449136444681479</v>
          </cell>
        </row>
        <row r="657">
          <cell r="K657">
            <v>92.654974791631403</v>
          </cell>
          <cell r="AJ657">
            <v>21.030191701643634</v>
          </cell>
        </row>
        <row r="658">
          <cell r="K658">
            <v>92.788921604908481</v>
          </cell>
          <cell r="AJ658">
            <v>21.590494985142858</v>
          </cell>
        </row>
        <row r="659">
          <cell r="K659">
            <v>92.920885449856129</v>
          </cell>
          <cell r="AJ659">
            <v>21.292913513543862</v>
          </cell>
        </row>
        <row r="660">
          <cell r="K660">
            <v>93.050954482809317</v>
          </cell>
          <cell r="AJ660">
            <v>21.005593471999997</v>
          </cell>
        </row>
        <row r="661">
          <cell r="K661">
            <v>93.179210554265765</v>
          </cell>
          <cell r="AJ661">
            <v>20.728013092881355</v>
          </cell>
        </row>
        <row r="662">
          <cell r="K662">
            <v>93.302868143305346</v>
          </cell>
          <cell r="AJ662">
            <v>20.200155322754096</v>
          </cell>
        </row>
        <row r="663">
          <cell r="K663">
            <v>93.422394404502285</v>
          </cell>
          <cell r="AJ663">
            <v>19.705812331682537</v>
          </cell>
        </row>
        <row r="664">
          <cell r="K664">
            <v>93.538182573649749</v>
          </cell>
          <cell r="AJ664">
            <v>19.49932536123077</v>
          </cell>
        </row>
        <row r="665">
          <cell r="K665">
            <v>93.65056736523492</v>
          </cell>
          <cell r="AJ665">
            <v>17.854488759402983</v>
          </cell>
        </row>
        <row r="666">
          <cell r="K666">
            <v>93.759836477732435</v>
          </cell>
          <cell r="AJ666">
            <v>13.914292245024122</v>
          </cell>
        </row>
        <row r="667">
          <cell r="K667">
            <v>93.866239345345321</v>
          </cell>
          <cell r="AJ667">
            <v>18.513404416</v>
          </cell>
        </row>
        <row r="668">
          <cell r="K668">
            <v>93.969673507950716</v>
          </cell>
          <cell r="AJ668">
            <v>18.569251789803925</v>
          </cell>
        </row>
        <row r="669">
          <cell r="K669">
            <v>94.070378515278747</v>
          </cell>
          <cell r="AJ669">
            <v>19.219981093415385</v>
          </cell>
        </row>
        <row r="670">
          <cell r="K670">
            <v>94.168563447932584</v>
          </cell>
          <cell r="AJ670">
            <v>20.449136444681479</v>
          </cell>
        </row>
        <row r="671">
          <cell r="K671">
            <v>94.264412078432301</v>
          </cell>
          <cell r="AJ671">
            <v>21.030191701643634</v>
          </cell>
        </row>
        <row r="672">
          <cell r="K672">
            <v>94.358086960232853</v>
          </cell>
          <cell r="AJ672">
            <v>21.590494985142858</v>
          </cell>
        </row>
        <row r="673">
          <cell r="K673">
            <v>94.44973270487003</v>
          </cell>
          <cell r="AJ673">
            <v>21.292913513543862</v>
          </cell>
        </row>
        <row r="674">
          <cell r="K674">
            <v>94.53947863592731</v>
          </cell>
          <cell r="AJ674">
            <v>20.728013092881355</v>
          </cell>
        </row>
        <row r="675">
          <cell r="K675">
            <v>94.627440958786963</v>
          </cell>
          <cell r="AJ675">
            <v>20.459685393066664</v>
          </cell>
        </row>
        <row r="676">
          <cell r="K676">
            <v>94.713724549933545</v>
          </cell>
          <cell r="AJ676">
            <v>20.200155322754096</v>
          </cell>
        </row>
        <row r="677">
          <cell r="K677">
            <v>94.798424444281991</v>
          </cell>
          <cell r="AJ677">
            <v>19.948997190193548</v>
          </cell>
        </row>
        <row r="678">
          <cell r="K678">
            <v>94.881627080565323</v>
          </cell>
          <cell r="AJ678">
            <v>19.705812331682537</v>
          </cell>
        </row>
        <row r="679">
          <cell r="K679">
            <v>94.963411351203206</v>
          </cell>
          <cell r="AJ679">
            <v>19.470227000000001</v>
          </cell>
        </row>
        <row r="680">
          <cell r="K680">
            <v>95.043849492901543</v>
          </cell>
          <cell r="AJ680">
            <v>19.49932536123077</v>
          </cell>
        </row>
        <row r="681">
          <cell r="K681">
            <v>95.123007846549072</v>
          </cell>
          <cell r="AJ681">
            <v>19.419654981818184</v>
          </cell>
        </row>
        <row r="682">
          <cell r="K682">
            <v>95.200947509113476</v>
          </cell>
          <cell r="AJ682">
            <v>17.854488759402983</v>
          </cell>
        </row>
        <row r="683">
          <cell r="K683">
            <v>95.277724895721846</v>
          </cell>
          <cell r="AJ683">
            <v>14.659935623529412</v>
          </cell>
        </row>
        <row r="684">
          <cell r="K684">
            <v>95.353392226599254</v>
          </cell>
          <cell r="AJ684">
            <v>13.914292245024122</v>
          </cell>
        </row>
        <row r="685">
          <cell r="K685">
            <v>95.427997950787955</v>
          </cell>
          <cell r="AJ685">
            <v>13.189952963047652</v>
          </cell>
        </row>
        <row r="686">
          <cell r="K686">
            <v>95.502562493856431</v>
          </cell>
          <cell r="AJ686">
            <v>13.189952963047652</v>
          </cell>
        </row>
        <row r="687">
          <cell r="K687">
            <v>95.577127036924907</v>
          </cell>
          <cell r="AJ687">
            <v>13.189952963047652</v>
          </cell>
        </row>
        <row r="688">
          <cell r="K688">
            <v>95.651691579993383</v>
          </cell>
          <cell r="AJ688">
            <v>13.189952963047652</v>
          </cell>
        </row>
        <row r="689">
          <cell r="K689">
            <v>95.726256123061859</v>
          </cell>
          <cell r="AJ689">
            <v>13.189952963047652</v>
          </cell>
        </row>
        <row r="690">
          <cell r="K690">
            <v>95.800820666130335</v>
          </cell>
          <cell r="AJ690">
            <v>13.189952963047652</v>
          </cell>
        </row>
        <row r="691">
          <cell r="K691">
            <v>95.875385209198811</v>
          </cell>
          <cell r="AJ691">
            <v>13.189952963047652</v>
          </cell>
        </row>
        <row r="692">
          <cell r="K692">
            <v>95.949949752267287</v>
          </cell>
          <cell r="AJ692">
            <v>13.189952963047652</v>
          </cell>
        </row>
        <row r="693">
          <cell r="K693">
            <v>96.024514295335763</v>
          </cell>
          <cell r="AJ693">
            <v>13.189952963047652</v>
          </cell>
        </row>
        <row r="694">
          <cell r="K694">
            <v>96.099078838404239</v>
          </cell>
          <cell r="AJ694">
            <v>13.189952963047652</v>
          </cell>
        </row>
        <row r="695">
          <cell r="K695">
            <v>96.173643381472715</v>
          </cell>
          <cell r="AJ695">
            <v>13.189952963047652</v>
          </cell>
        </row>
        <row r="696">
          <cell r="K696">
            <v>96.248207924541191</v>
          </cell>
          <cell r="AJ696">
            <v>13.189952963047652</v>
          </cell>
        </row>
        <row r="697">
          <cell r="K697">
            <v>96.322772467609667</v>
          </cell>
          <cell r="AJ697">
            <v>13.189952963047652</v>
          </cell>
        </row>
        <row r="698">
          <cell r="K698">
            <v>96.397337010678143</v>
          </cell>
          <cell r="AJ698">
            <v>13.189952963047652</v>
          </cell>
        </row>
        <row r="699">
          <cell r="K699">
            <v>96.471901553746619</v>
          </cell>
          <cell r="AJ699">
            <v>13.189952963047652</v>
          </cell>
        </row>
        <row r="700">
          <cell r="K700">
            <v>96.546466096815095</v>
          </cell>
          <cell r="AJ700">
            <v>13.189952963047652</v>
          </cell>
        </row>
        <row r="701">
          <cell r="K701">
            <v>96.621030639883571</v>
          </cell>
          <cell r="AJ701">
            <v>13.189952963047652</v>
          </cell>
        </row>
        <row r="702">
          <cell r="K702">
            <v>96.695595182952047</v>
          </cell>
          <cell r="AJ702">
            <v>13.189952963047652</v>
          </cell>
        </row>
        <row r="703">
          <cell r="K703">
            <v>96.770159726020523</v>
          </cell>
          <cell r="AJ703">
            <v>13.189952963047652</v>
          </cell>
        </row>
        <row r="704">
          <cell r="K704">
            <v>96.844724269088999</v>
          </cell>
          <cell r="AJ704">
            <v>13.189952963047652</v>
          </cell>
        </row>
        <row r="705">
          <cell r="K705">
            <v>96.919288812157475</v>
          </cell>
          <cell r="AJ705">
            <v>13.189952963047652</v>
          </cell>
        </row>
        <row r="706">
          <cell r="K706">
            <v>96.993853355225951</v>
          </cell>
          <cell r="AJ706">
            <v>13.189952963047652</v>
          </cell>
        </row>
        <row r="707">
          <cell r="K707">
            <v>97.068845293487058</v>
          </cell>
          <cell r="AJ707">
            <v>13.189952963047652</v>
          </cell>
        </row>
        <row r="708">
          <cell r="K708">
            <v>97.144272897204601</v>
          </cell>
          <cell r="AJ708">
            <v>13.189952963047652</v>
          </cell>
        </row>
        <row r="709">
          <cell r="K709">
            <v>97.220144700802777</v>
          </cell>
          <cell r="AJ709">
            <v>13.914292245024122</v>
          </cell>
        </row>
        <row r="710">
          <cell r="K710">
            <v>97.296469514796541</v>
          </cell>
          <cell r="AJ710">
            <v>13.914292245024122</v>
          </cell>
        </row>
        <row r="711">
          <cell r="K711">
            <v>97.373256438423098</v>
          </cell>
          <cell r="AJ711">
            <v>14.659935623529412</v>
          </cell>
        </row>
        <row r="712">
          <cell r="K712">
            <v>97.45051487302554</v>
          </cell>
          <cell r="AJ712">
            <v>14.659935623529412</v>
          </cell>
        </row>
        <row r="713">
          <cell r="K713">
            <v>97.528254536244049</v>
          </cell>
          <cell r="AJ713">
            <v>14.659935623529412</v>
          </cell>
        </row>
        <row r="714">
          <cell r="K714">
            <v>97.606485477075054</v>
          </cell>
          <cell r="AJ714">
            <v>17.854488759402983</v>
          </cell>
        </row>
        <row r="715">
          <cell r="K715">
            <v>97.685218091863987</v>
          </cell>
          <cell r="AJ715">
            <v>17.854488759402983</v>
          </cell>
        </row>
        <row r="716">
          <cell r="K716">
            <v>97.764463141303509</v>
          </cell>
          <cell r="AJ716">
            <v>19.419654981818184</v>
          </cell>
        </row>
        <row r="717">
          <cell r="K717">
            <v>97.8442317685153</v>
          </cell>
          <cell r="AJ717">
            <v>19.419654981818184</v>
          </cell>
        </row>
        <row r="718">
          <cell r="K718">
            <v>97.924535518301226</v>
          </cell>
          <cell r="AJ718">
            <v>19.49932536123077</v>
          </cell>
        </row>
        <row r="719">
          <cell r="K719">
            <v>98.0053863576575</v>
          </cell>
          <cell r="AJ719">
            <v>19.49932536123077</v>
          </cell>
        </row>
        <row r="720">
          <cell r="K720">
            <v>98.086796697654634</v>
          </cell>
          <cell r="AJ720">
            <v>19.49932536123077</v>
          </cell>
        </row>
        <row r="721">
          <cell r="K721">
            <v>98.168779416795843</v>
          </cell>
          <cell r="AJ721">
            <v>19.470227000000001</v>
          </cell>
        </row>
        <row r="722">
          <cell r="K722">
            <v>98.251347885977964</v>
          </cell>
          <cell r="AJ722">
            <v>19.470227000000001</v>
          </cell>
        </row>
        <row r="723">
          <cell r="K723">
            <v>98.334538896750672</v>
          </cell>
          <cell r="AJ723">
            <v>19.705812331682537</v>
          </cell>
        </row>
        <row r="724">
          <cell r="K724">
            <v>98.418367973454707</v>
          </cell>
          <cell r="AJ724">
            <v>19.705812331682537</v>
          </cell>
        </row>
        <row r="725">
          <cell r="K725">
            <v>98.502851285281906</v>
          </cell>
          <cell r="AJ725">
            <v>19.948997190193548</v>
          </cell>
        </row>
        <row r="726">
          <cell r="K726">
            <v>98.588005684321899</v>
          </cell>
          <cell r="AJ726">
            <v>19.948997190193548</v>
          </cell>
        </row>
        <row r="727">
          <cell r="K727">
            <v>98.673848746542191</v>
          </cell>
          <cell r="AJ727">
            <v>20.200155322754096</v>
          </cell>
        </row>
        <row r="728">
          <cell r="K728">
            <v>98.760398815982768</v>
          </cell>
          <cell r="AJ728">
            <v>20.200155322754096</v>
          </cell>
        </row>
        <row r="729">
          <cell r="K729">
            <v>98.847675052478778</v>
          </cell>
          <cell r="AJ729">
            <v>20.459685393066664</v>
          </cell>
        </row>
        <row r="730">
          <cell r="K730">
            <v>98.935697483261592</v>
          </cell>
          <cell r="AJ730">
            <v>20.459685393066664</v>
          </cell>
        </row>
        <row r="731">
          <cell r="K731">
            <v>99.024487058830516</v>
          </cell>
          <cell r="AJ731">
            <v>20.728013092881355</v>
          </cell>
        </row>
        <row r="732">
          <cell r="K732">
            <v>99.114065713534998</v>
          </cell>
          <cell r="AJ732">
            <v>20.728013092881355</v>
          </cell>
        </row>
        <row r="733">
          <cell r="K733">
            <v>99.204456431361891</v>
          </cell>
          <cell r="AJ733">
            <v>21.005593471999997</v>
          </cell>
        </row>
        <row r="734">
          <cell r="K734">
            <v>99.295683317484844</v>
          </cell>
          <cell r="AJ734">
            <v>21.005593471999997</v>
          </cell>
        </row>
        <row r="735">
          <cell r="K735">
            <v>99.387771676204594</v>
          </cell>
          <cell r="AJ735">
            <v>21.292913513543862</v>
          </cell>
        </row>
        <row r="736">
          <cell r="K736">
            <v>99.480748095991984</v>
          </cell>
          <cell r="AJ736">
            <v>21.292913513543862</v>
          </cell>
        </row>
        <row r="737">
          <cell r="K737">
            <v>99.57464054244069</v>
          </cell>
          <cell r="AJ737">
            <v>21.590494985142858</v>
          </cell>
        </row>
        <row r="738">
          <cell r="K738">
            <v>99.669478460047713</v>
          </cell>
          <cell r="AJ738">
            <v>21.590494985142858</v>
          </cell>
        </row>
        <row r="739">
          <cell r="K739">
            <v>99.765292883868</v>
          </cell>
          <cell r="AJ739">
            <v>21.030191701643634</v>
          </cell>
        </row>
        <row r="740">
          <cell r="K740">
            <v>99.862116562239564</v>
          </cell>
          <cell r="AJ740">
            <v>20.449136444681479</v>
          </cell>
        </row>
        <row r="741">
          <cell r="K741">
            <v>99.959984091950389</v>
          </cell>
          <cell r="AJ741">
            <v>20.449136444681479</v>
          </cell>
        </row>
        <row r="742">
          <cell r="K742">
            <v>100.05893206742394</v>
          </cell>
          <cell r="AJ742">
            <v>19.846154574249059</v>
          </cell>
        </row>
        <row r="743">
          <cell r="K743">
            <v>100.15899924574181</v>
          </cell>
          <cell r="AJ743">
            <v>19.846154574249059</v>
          </cell>
        </row>
        <row r="744">
          <cell r="K744">
            <v>100.26022672960731</v>
          </cell>
          <cell r="AJ744">
            <v>19.219981093415385</v>
          </cell>
        </row>
        <row r="745">
          <cell r="K745">
            <v>100.3626581706925</v>
          </cell>
          <cell r="AJ745">
            <v>18.569251789803925</v>
          </cell>
        </row>
        <row r="746">
          <cell r="K746">
            <v>100.46508961177769</v>
          </cell>
          <cell r="AJ746">
            <v>18.569251789803925</v>
          </cell>
        </row>
        <row r="747">
          <cell r="K747">
            <v>100.56752105286287</v>
          </cell>
          <cell r="AJ747">
            <v>18.569251789803925</v>
          </cell>
        </row>
        <row r="748">
          <cell r="K748">
            <v>100.66995249394806</v>
          </cell>
          <cell r="AJ748">
            <v>18.569251789803925</v>
          </cell>
        </row>
        <row r="749">
          <cell r="K749">
            <v>100.77238393503325</v>
          </cell>
          <cell r="AJ749">
            <v>18.569251789803925</v>
          </cell>
        </row>
        <row r="750">
          <cell r="K750">
            <v>100.87481537611843</v>
          </cell>
          <cell r="AJ750">
            <v>18.569251789803925</v>
          </cell>
        </row>
        <row r="751">
          <cell r="K751">
            <v>100.97724681720362</v>
          </cell>
          <cell r="AJ751">
            <v>18.569251789803925</v>
          </cell>
        </row>
        <row r="752">
          <cell r="K752">
            <v>101.07967825828881</v>
          </cell>
          <cell r="AJ752">
            <v>18.569251789803925</v>
          </cell>
        </row>
        <row r="753">
          <cell r="K753">
            <v>101.182109699374</v>
          </cell>
          <cell r="AJ753">
            <v>18.569251789803925</v>
          </cell>
        </row>
        <row r="754">
          <cell r="K754">
            <v>101.28454114045918</v>
          </cell>
          <cell r="AJ754">
            <v>18.569251789803925</v>
          </cell>
        </row>
        <row r="755">
          <cell r="K755">
            <v>101.38697258154437</v>
          </cell>
          <cell r="AJ755">
            <v>18.569251789803925</v>
          </cell>
        </row>
        <row r="756">
          <cell r="K756">
            <v>101.48940402262956</v>
          </cell>
          <cell r="AJ756">
            <v>18.569251789803925</v>
          </cell>
        </row>
        <row r="757">
          <cell r="K757">
            <v>101.59183546371474</v>
          </cell>
          <cell r="AJ757">
            <v>18.569251789803925</v>
          </cell>
        </row>
        <row r="758">
          <cell r="K758">
            <v>101.69426690479993</v>
          </cell>
          <cell r="AJ758">
            <v>18.569251789803925</v>
          </cell>
        </row>
        <row r="759">
          <cell r="K759">
            <v>101.79669834588512</v>
          </cell>
          <cell r="AJ759">
            <v>18.569251789803925</v>
          </cell>
        </row>
        <row r="760">
          <cell r="K760">
            <v>101.89912978697031</v>
          </cell>
          <cell r="AJ760">
            <v>18.569251789803925</v>
          </cell>
        </row>
        <row r="761">
          <cell r="K761">
            <v>102.00156122805549</v>
          </cell>
          <cell r="AJ761">
            <v>18.569251789803925</v>
          </cell>
        </row>
        <row r="762">
          <cell r="K762">
            <v>102.10399266914068</v>
          </cell>
          <cell r="AJ762">
            <v>18.569251789803925</v>
          </cell>
        </row>
        <row r="763">
          <cell r="K763">
            <v>102.20642411022587</v>
          </cell>
          <cell r="AJ763">
            <v>18.569251789803925</v>
          </cell>
        </row>
        <row r="764">
          <cell r="K764">
            <v>102.30885555131105</v>
          </cell>
          <cell r="AJ764">
            <v>18.569251789803925</v>
          </cell>
        </row>
        <row r="765">
          <cell r="K765">
            <v>102.41128699239624</v>
          </cell>
          <cell r="AJ765">
            <v>18.569251789803925</v>
          </cell>
        </row>
        <row r="766">
          <cell r="K766">
            <v>102.51371843348143</v>
          </cell>
          <cell r="AJ766">
            <v>18.569251789803925</v>
          </cell>
        </row>
        <row r="767">
          <cell r="K767">
            <v>102.61614987456662</v>
          </cell>
          <cell r="AJ767">
            <v>18.569251789803925</v>
          </cell>
        </row>
        <row r="768">
          <cell r="K768">
            <v>102.7185813156518</v>
          </cell>
          <cell r="AJ768">
            <v>18.569251789803925</v>
          </cell>
        </row>
        <row r="769">
          <cell r="K769">
            <v>102.82101275673699</v>
          </cell>
          <cell r="AJ769">
            <v>18.569251789803925</v>
          </cell>
        </row>
        <row r="770">
          <cell r="K770">
            <v>102.92344419782218</v>
          </cell>
          <cell r="AJ770">
            <v>18.569251789803925</v>
          </cell>
        </row>
        <row r="771">
          <cell r="K771">
            <v>103.02587563890737</v>
          </cell>
          <cell r="AJ771">
            <v>18.569251789803925</v>
          </cell>
        </row>
        <row r="772">
          <cell r="K772">
            <v>103.12830707999255</v>
          </cell>
          <cell r="AJ772">
            <v>18.569251789803925</v>
          </cell>
        </row>
        <row r="773">
          <cell r="K773">
            <v>103.23073852107774</v>
          </cell>
          <cell r="AJ773">
            <v>18.569251789803925</v>
          </cell>
        </row>
        <row r="774">
          <cell r="K774">
            <v>103.33316996216293</v>
          </cell>
          <cell r="AJ774">
            <v>18.569251789803925</v>
          </cell>
        </row>
        <row r="775">
          <cell r="K775">
            <v>103.43560140324811</v>
          </cell>
          <cell r="AJ775">
            <v>18.569251789803925</v>
          </cell>
        </row>
        <row r="776">
          <cell r="K776">
            <v>103.5380328443333</v>
          </cell>
          <cell r="AJ776">
            <v>18.569251789803925</v>
          </cell>
        </row>
        <row r="777">
          <cell r="K777">
            <v>103.64046428541849</v>
          </cell>
          <cell r="AJ777">
            <v>18.569251789803925</v>
          </cell>
        </row>
        <row r="778">
          <cell r="K778">
            <v>103.74289572650368</v>
          </cell>
          <cell r="AJ778">
            <v>18.569251789803925</v>
          </cell>
        </row>
        <row r="779">
          <cell r="K779">
            <v>103.84532716758886</v>
          </cell>
          <cell r="AJ779">
            <v>18.569251789803925</v>
          </cell>
        </row>
        <row r="780">
          <cell r="K780">
            <v>103.9467504759764</v>
          </cell>
          <cell r="AJ780">
            <v>19.219981093415385</v>
          </cell>
        </row>
        <row r="781">
          <cell r="K781">
            <v>104.04719637552068</v>
          </cell>
          <cell r="AJ781">
            <v>19.219981093415385</v>
          </cell>
        </row>
        <row r="782">
          <cell r="K782">
            <v>104.14669407642376</v>
          </cell>
          <cell r="AJ782">
            <v>19.846154574249059</v>
          </cell>
        </row>
        <row r="783">
          <cell r="K783">
            <v>104.24527137747802</v>
          </cell>
          <cell r="AJ783">
            <v>19.846154574249059</v>
          </cell>
        </row>
        <row r="784">
          <cell r="K784">
            <v>104.34295475960161</v>
          </cell>
          <cell r="AJ784">
            <v>20.449136444681479</v>
          </cell>
        </row>
        <row r="785">
          <cell r="K785">
            <v>104.43976947155576</v>
          </cell>
          <cell r="AJ785">
            <v>20.449136444681479</v>
          </cell>
        </row>
        <row r="786">
          <cell r="K786">
            <v>104.53573960862805</v>
          </cell>
          <cell r="AJ786">
            <v>21.030191701643634</v>
          </cell>
        </row>
        <row r="787">
          <cell r="K787">
            <v>104.63088818497424</v>
          </cell>
          <cell r="AJ787">
            <v>21.030191701643634</v>
          </cell>
        </row>
        <row r="788">
          <cell r="K788">
            <v>104.72523720023244</v>
          </cell>
          <cell r="AJ788">
            <v>21.590494985142858</v>
          </cell>
        </row>
        <row r="789">
          <cell r="K789">
            <v>104.81880770095388</v>
          </cell>
          <cell r="AJ789">
            <v>21.590494985142858</v>
          </cell>
        </row>
        <row r="790">
          <cell r="K790">
            <v>104.91161983733492</v>
          </cell>
          <cell r="AJ790">
            <v>21.292913513543862</v>
          </cell>
        </row>
        <row r="791">
          <cell r="K791">
            <v>105.00369291568217</v>
          </cell>
          <cell r="AJ791">
            <v>21.292913513543862</v>
          </cell>
        </row>
        <row r="792">
          <cell r="K792">
            <v>105.09504544699627</v>
          </cell>
          <cell r="AJ792">
            <v>21.005593471999997</v>
          </cell>
        </row>
        <row r="793">
          <cell r="K793">
            <v>105.18569519201968</v>
          </cell>
          <cell r="AJ793">
            <v>21.005593471999997</v>
          </cell>
        </row>
        <row r="794">
          <cell r="K794">
            <v>105.27565920305783</v>
          </cell>
          <cell r="AJ794">
            <v>20.728013092881355</v>
          </cell>
        </row>
        <row r="795">
          <cell r="K795">
            <v>105.36495386285158</v>
          </cell>
          <cell r="AJ795">
            <v>20.728013092881355</v>
          </cell>
        </row>
        <row r="796">
          <cell r="K796">
            <v>105.45359492075134</v>
          </cell>
          <cell r="AJ796">
            <v>20.728013092881355</v>
          </cell>
        </row>
        <row r="797">
          <cell r="K797">
            <v>105.54159752641793</v>
          </cell>
          <cell r="AJ797">
            <v>20.459685393066664</v>
          </cell>
        </row>
        <row r="798">
          <cell r="K798">
            <v>105.62897626125391</v>
          </cell>
          <cell r="AJ798">
            <v>20.459685393066664</v>
          </cell>
        </row>
        <row r="799">
          <cell r="K799">
            <v>105.71574516774938</v>
          </cell>
          <cell r="AJ799">
            <v>20.200155322754096</v>
          </cell>
        </row>
        <row r="800">
          <cell r="K800">
            <v>105.80191777690877</v>
          </cell>
          <cell r="AJ800">
            <v>20.200155322754096</v>
          </cell>
        </row>
        <row r="801">
          <cell r="K801">
            <v>105.88750713390984</v>
          </cell>
          <cell r="AJ801">
            <v>20.200155322754096</v>
          </cell>
        </row>
        <row r="802">
          <cell r="K802">
            <v>105.9730964909109</v>
          </cell>
          <cell r="AJ802">
            <v>20.200155322754096</v>
          </cell>
        </row>
        <row r="803">
          <cell r="K803">
            <v>106.05868584791197</v>
          </cell>
          <cell r="AJ803">
            <v>20.200155322754096</v>
          </cell>
        </row>
        <row r="804">
          <cell r="K804">
            <v>106.14427520491304</v>
          </cell>
          <cell r="AJ804">
            <v>20.200155322754096</v>
          </cell>
        </row>
        <row r="805">
          <cell r="K805">
            <v>106.22986456191411</v>
          </cell>
          <cell r="AJ805">
            <v>20.200155322754096</v>
          </cell>
        </row>
        <row r="806">
          <cell r="K806">
            <v>106.31545391891518</v>
          </cell>
          <cell r="AJ806">
            <v>20.200155322754096</v>
          </cell>
        </row>
        <row r="807">
          <cell r="K807">
            <v>106.40104327591625</v>
          </cell>
          <cell r="AJ807">
            <v>20.200155322754096</v>
          </cell>
        </row>
        <row r="808">
          <cell r="K808">
            <v>106.48663263291732</v>
          </cell>
          <cell r="AJ808">
            <v>20.200155322754096</v>
          </cell>
        </row>
        <row r="809">
          <cell r="K809">
            <v>106.57222198991839</v>
          </cell>
          <cell r="AJ809">
            <v>20.200155322754096</v>
          </cell>
        </row>
        <row r="810">
          <cell r="K810">
            <v>106.65781134691946</v>
          </cell>
          <cell r="AJ810">
            <v>20.200155322754096</v>
          </cell>
        </row>
        <row r="811">
          <cell r="K811">
            <v>106.74340070392053</v>
          </cell>
          <cell r="AJ811">
            <v>20.200155322754096</v>
          </cell>
        </row>
        <row r="812">
          <cell r="K812">
            <v>106.8289900609216</v>
          </cell>
          <cell r="AJ812">
            <v>20.200155322754096</v>
          </cell>
        </row>
        <row r="813">
          <cell r="K813">
            <v>106.91457941792267</v>
          </cell>
          <cell r="AJ813">
            <v>20.200155322754096</v>
          </cell>
        </row>
        <row r="814">
          <cell r="K814">
            <v>107.00016877492374</v>
          </cell>
          <cell r="AJ814">
            <v>20.200155322754096</v>
          </cell>
        </row>
        <row r="815">
          <cell r="K815">
            <v>107.08575813192481</v>
          </cell>
          <cell r="AJ815">
            <v>20.200155322754096</v>
          </cell>
        </row>
        <row r="816">
          <cell r="K816">
            <v>107.17134748892587</v>
          </cell>
          <cell r="AJ816">
            <v>20.200155322754096</v>
          </cell>
        </row>
        <row r="817">
          <cell r="K817">
            <v>107.25693684592694</v>
          </cell>
          <cell r="AJ817">
            <v>20.200155322754096</v>
          </cell>
        </row>
        <row r="818">
          <cell r="K818">
            <v>107.34252620292801</v>
          </cell>
          <cell r="AJ818">
            <v>20.200155322754096</v>
          </cell>
        </row>
        <row r="819">
          <cell r="K819">
            <v>107.42811555992908</v>
          </cell>
          <cell r="AJ819">
            <v>20.200155322754096</v>
          </cell>
        </row>
        <row r="820">
          <cell r="K820">
            <v>107.51370491693015</v>
          </cell>
          <cell r="AJ820">
            <v>20.200155322754096</v>
          </cell>
        </row>
        <row r="821">
          <cell r="K821">
            <v>107.59929427393122</v>
          </cell>
          <cell r="AJ821">
            <v>20.200155322754096</v>
          </cell>
        </row>
        <row r="822">
          <cell r="K822">
            <v>107.68488363093229</v>
          </cell>
          <cell r="AJ822">
            <v>20.200155322754096</v>
          </cell>
        </row>
        <row r="823">
          <cell r="K823">
            <v>107.77047298793336</v>
          </cell>
          <cell r="AJ823">
            <v>20.200155322754096</v>
          </cell>
        </row>
        <row r="824">
          <cell r="K824">
            <v>107.85606234493443</v>
          </cell>
          <cell r="AJ824">
            <v>20.200155322754096</v>
          </cell>
        </row>
        <row r="825">
          <cell r="K825">
            <v>107.9416517019355</v>
          </cell>
          <cell r="AJ825">
            <v>20.200155322754096</v>
          </cell>
        </row>
        <row r="826">
          <cell r="K826">
            <v>108.02724105893657</v>
          </cell>
          <cell r="AJ826">
            <v>20.200155322754096</v>
          </cell>
        </row>
        <row r="827">
          <cell r="K827">
            <v>108.11283041593764</v>
          </cell>
          <cell r="AJ827">
            <v>20.200155322754096</v>
          </cell>
        </row>
        <row r="828">
          <cell r="K828">
            <v>108.19841977293871</v>
          </cell>
          <cell r="AJ828">
            <v>20.200155322754096</v>
          </cell>
        </row>
        <row r="829">
          <cell r="K829">
            <v>108.28400912993978</v>
          </cell>
          <cell r="AJ829">
            <v>20.200155322754096</v>
          </cell>
        </row>
        <row r="830">
          <cell r="K830">
            <v>108.36959848694084</v>
          </cell>
          <cell r="AJ830">
            <v>20.200155322754096</v>
          </cell>
        </row>
        <row r="831">
          <cell r="K831">
            <v>108.45518784394191</v>
          </cell>
          <cell r="AJ831">
            <v>20.200155322754096</v>
          </cell>
        </row>
        <row r="832">
          <cell r="K832">
            <v>108.54077720094298</v>
          </cell>
          <cell r="AJ832">
            <v>20.200155322754096</v>
          </cell>
        </row>
        <row r="833">
          <cell r="K833">
            <v>108.62636655794405</v>
          </cell>
          <cell r="AJ833">
            <v>20.200155322754096</v>
          </cell>
        </row>
        <row r="834">
          <cell r="K834">
            <v>108.71195591494512</v>
          </cell>
          <cell r="AJ834">
            <v>20.200155322754096</v>
          </cell>
        </row>
        <row r="835">
          <cell r="K835">
            <v>108.79754527194619</v>
          </cell>
          <cell r="AJ835">
            <v>20.200155322754096</v>
          </cell>
        </row>
        <row r="836">
          <cell r="K836">
            <v>108.88313462894726</v>
          </cell>
          <cell r="AJ836">
            <v>20.200155322754096</v>
          </cell>
        </row>
        <row r="837">
          <cell r="K837">
            <v>108.96872398594833</v>
          </cell>
          <cell r="AJ837">
            <v>20.200155322754096</v>
          </cell>
        </row>
        <row r="838">
          <cell r="K838">
            <v>109.0543133429494</v>
          </cell>
          <cell r="AJ838">
            <v>20.200155322754096</v>
          </cell>
        </row>
        <row r="839">
          <cell r="K839">
            <v>109.13990269995047</v>
          </cell>
          <cell r="AJ839">
            <v>20.200155322754096</v>
          </cell>
        </row>
        <row r="840">
          <cell r="K840">
            <v>109.22549205695154</v>
          </cell>
          <cell r="AJ840">
            <v>20.200155322754096</v>
          </cell>
        </row>
        <row r="841">
          <cell r="K841">
            <v>109.31108141395261</v>
          </cell>
          <cell r="AJ841">
            <v>20.200155322754096</v>
          </cell>
        </row>
        <row r="842">
          <cell r="K842">
            <v>109.39612048823756</v>
          </cell>
          <cell r="AJ842">
            <v>19.948997190193548</v>
          </cell>
        </row>
        <row r="843">
          <cell r="K843">
            <v>109.48062060787026</v>
          </cell>
          <cell r="AJ843">
            <v>19.948997190193548</v>
          </cell>
        </row>
        <row r="844">
          <cell r="K844">
            <v>109.56459272364822</v>
          </cell>
          <cell r="AJ844">
            <v>19.705812331682537</v>
          </cell>
        </row>
        <row r="845">
          <cell r="K845">
            <v>109.64804742642491</v>
          </cell>
          <cell r="AJ845">
            <v>19.705812331682537</v>
          </cell>
        </row>
        <row r="846">
          <cell r="K846">
            <v>109.73099496342365</v>
          </cell>
          <cell r="AJ846">
            <v>19.705812331682537</v>
          </cell>
        </row>
        <row r="847">
          <cell r="K847">
            <v>109.81344525361347</v>
          </cell>
          <cell r="AJ847">
            <v>19.470227000000001</v>
          </cell>
        </row>
        <row r="848">
          <cell r="K848">
            <v>109.89540790221226</v>
          </cell>
          <cell r="AJ848">
            <v>19.470227000000001</v>
          </cell>
        </row>
        <row r="849">
          <cell r="K849">
            <v>109.97689221437695</v>
          </cell>
          <cell r="AJ849">
            <v>19.49932536123077</v>
          </cell>
        </row>
        <row r="850">
          <cell r="K850">
            <v>110.05790720813559</v>
          </cell>
          <cell r="AJ850">
            <v>19.49932536123077</v>
          </cell>
        </row>
        <row r="851">
          <cell r="K851">
            <v>110.13846162661218</v>
          </cell>
          <cell r="AJ851">
            <v>19.49932536123077</v>
          </cell>
        </row>
        <row r="852">
          <cell r="K852">
            <v>110.21856394959077</v>
          </cell>
          <cell r="AJ852">
            <v>19.419654981818184</v>
          </cell>
        </row>
        <row r="853">
          <cell r="K853">
            <v>110.29822240446205</v>
          </cell>
          <cell r="AJ853">
            <v>19.419654981818184</v>
          </cell>
        </row>
        <row r="854">
          <cell r="K854">
            <v>110.37744497659223</v>
          </cell>
          <cell r="AJ854">
            <v>19.419654981818184</v>
          </cell>
        </row>
        <row r="855">
          <cell r="K855">
            <v>110.45623941915098</v>
          </cell>
          <cell r="AJ855">
            <v>17.854488759402983</v>
          </cell>
        </row>
        <row r="856">
          <cell r="K856">
            <v>110.53461326243257</v>
          </cell>
          <cell r="AJ856">
            <v>17.854488759402983</v>
          </cell>
        </row>
        <row r="857">
          <cell r="K857">
            <v>110.61257382270182</v>
          </cell>
          <cell r="AJ857">
            <v>17.854488759402983</v>
          </cell>
        </row>
        <row r="858">
          <cell r="K858">
            <v>110.69012821059388</v>
          </cell>
          <cell r="AJ858">
            <v>14.659935623529412</v>
          </cell>
        </row>
        <row r="859">
          <cell r="K859">
            <v>110.76728333909546</v>
          </cell>
          <cell r="AJ859">
            <v>14.659935623529412</v>
          </cell>
        </row>
        <row r="860">
          <cell r="K860">
            <v>110.84404593113224</v>
          </cell>
          <cell r="AJ860">
            <v>14.659935623529412</v>
          </cell>
        </row>
        <row r="861">
          <cell r="K861">
            <v>110.92042252678637</v>
          </cell>
          <cell r="AJ861">
            <v>13.914292245024122</v>
          </cell>
        </row>
        <row r="862">
          <cell r="K862">
            <v>110.99641949016545</v>
          </cell>
          <cell r="AJ862">
            <v>13.914292245024122</v>
          </cell>
        </row>
        <row r="863">
          <cell r="K863">
            <v>111.07204301594375</v>
          </cell>
          <cell r="AJ863">
            <v>13.189952963047652</v>
          </cell>
        </row>
        <row r="864">
          <cell r="K864">
            <v>111.1472991355942</v>
          </cell>
          <cell r="AJ864">
            <v>13.189952963047652</v>
          </cell>
        </row>
        <row r="865">
          <cell r="K865">
            <v>111.22219372332907</v>
          </cell>
          <cell r="AJ865">
            <v>13.189952963047652</v>
          </cell>
        </row>
        <row r="866">
          <cell r="K866">
            <v>111.29675826639755</v>
          </cell>
          <cell r="AJ866">
            <v>13.189952963047652</v>
          </cell>
        </row>
        <row r="867">
          <cell r="K867">
            <v>111.37132280946602</v>
          </cell>
          <cell r="AJ867">
            <v>13.189952963047652</v>
          </cell>
        </row>
        <row r="868">
          <cell r="K868">
            <v>111.4458873525345</v>
          </cell>
          <cell r="AJ868">
            <v>13.189952963047652</v>
          </cell>
        </row>
        <row r="869">
          <cell r="K869">
            <v>111.52045189560297</v>
          </cell>
          <cell r="AJ869">
            <v>13.189952963047652</v>
          </cell>
        </row>
        <row r="870">
          <cell r="K870">
            <v>111.59501643867145</v>
          </cell>
          <cell r="AJ870">
            <v>13.189952963047652</v>
          </cell>
        </row>
        <row r="871">
          <cell r="K871">
            <v>111.66958098173993</v>
          </cell>
          <cell r="AJ871">
            <v>13.189952963047652</v>
          </cell>
        </row>
        <row r="872">
          <cell r="K872">
            <v>111.7441455248084</v>
          </cell>
          <cell r="AJ872">
            <v>13.189952963047652</v>
          </cell>
        </row>
        <row r="873">
          <cell r="K873">
            <v>111.81871006787688</v>
          </cell>
          <cell r="AJ873">
            <v>13.189952963047652</v>
          </cell>
        </row>
        <row r="874">
          <cell r="K874">
            <v>111.89327461094535</v>
          </cell>
          <cell r="AJ874">
            <v>13.189952963047652</v>
          </cell>
        </row>
        <row r="875">
          <cell r="K875">
            <v>111.96783915401383</v>
          </cell>
          <cell r="AJ875">
            <v>13.189952963047652</v>
          </cell>
        </row>
        <row r="876">
          <cell r="K876">
            <v>112.04240369708231</v>
          </cell>
          <cell r="AJ876">
            <v>13.189952963047652</v>
          </cell>
        </row>
        <row r="877">
          <cell r="K877">
            <v>112.11696824015078</v>
          </cell>
          <cell r="AJ877">
            <v>13.189952963047652</v>
          </cell>
        </row>
        <row r="878">
          <cell r="K878">
            <v>112.19153278321926</v>
          </cell>
          <cell r="AJ878">
            <v>13.189952963047652</v>
          </cell>
        </row>
        <row r="879">
          <cell r="K879">
            <v>112.26609732628773</v>
          </cell>
          <cell r="AJ879">
            <v>13.189952963047652</v>
          </cell>
        </row>
        <row r="880">
          <cell r="K880">
            <v>112.34066186935621</v>
          </cell>
          <cell r="AJ880">
            <v>13.189952963047652</v>
          </cell>
        </row>
        <row r="881">
          <cell r="K881">
            <v>112.41522641242469</v>
          </cell>
          <cell r="AJ881">
            <v>13.189952963047652</v>
          </cell>
        </row>
        <row r="882">
          <cell r="K882">
            <v>112.48979095549316</v>
          </cell>
          <cell r="AJ882">
            <v>13.189952963047652</v>
          </cell>
        </row>
        <row r="883">
          <cell r="K883">
            <v>112.56435549856164</v>
          </cell>
          <cell r="AJ883">
            <v>13.189952963047652</v>
          </cell>
        </row>
        <row r="884">
          <cell r="K884">
            <v>112.63892004163012</v>
          </cell>
          <cell r="AJ884">
            <v>13.189952963047652</v>
          </cell>
        </row>
        <row r="885">
          <cell r="K885">
            <v>112.71348458469859</v>
          </cell>
          <cell r="AJ885">
            <v>13.189952963047652</v>
          </cell>
        </row>
        <row r="886">
          <cell r="K886">
            <v>112.78804912776707</v>
          </cell>
          <cell r="AJ886">
            <v>13.189952963047652</v>
          </cell>
        </row>
        <row r="887">
          <cell r="K887">
            <v>112.86261367083554</v>
          </cell>
          <cell r="AJ887">
            <v>13.189952963047652</v>
          </cell>
        </row>
        <row r="888">
          <cell r="K888">
            <v>112.93717821390402</v>
          </cell>
          <cell r="AJ888">
            <v>13.189952963047652</v>
          </cell>
        </row>
        <row r="889">
          <cell r="K889">
            <v>113.0117427569725</v>
          </cell>
          <cell r="AJ889">
            <v>13.189952963047652</v>
          </cell>
        </row>
        <row r="890">
          <cell r="K890">
            <v>113.08630730004097</v>
          </cell>
          <cell r="AJ890">
            <v>13.189952963047652</v>
          </cell>
        </row>
        <row r="891">
          <cell r="K891">
            <v>113.16087184310945</v>
          </cell>
          <cell r="AJ891">
            <v>13.189952963047652</v>
          </cell>
        </row>
        <row r="892">
          <cell r="K892">
            <v>113.23543638617792</v>
          </cell>
          <cell r="AJ892">
            <v>13.189952963047652</v>
          </cell>
        </row>
        <row r="893">
          <cell r="K893">
            <v>113.3100009292464</v>
          </cell>
          <cell r="AJ893">
            <v>13.189952963047652</v>
          </cell>
        </row>
        <row r="894">
          <cell r="K894">
            <v>113.38456547231488</v>
          </cell>
          <cell r="AJ894">
            <v>13.189952963047652</v>
          </cell>
        </row>
        <row r="895">
          <cell r="K895">
            <v>113.45913001538335</v>
          </cell>
          <cell r="AJ895">
            <v>13.189952963047652</v>
          </cell>
        </row>
        <row r="896">
          <cell r="K896">
            <v>113.53369455845183</v>
          </cell>
          <cell r="AJ896">
            <v>13.189952963047652</v>
          </cell>
        </row>
        <row r="897">
          <cell r="K897">
            <v>113.6082591015203</v>
          </cell>
          <cell r="AJ897">
            <v>13.189952963047652</v>
          </cell>
        </row>
        <row r="898">
          <cell r="K898">
            <v>113.68282364458878</v>
          </cell>
          <cell r="AJ898">
            <v>13.189952963047652</v>
          </cell>
        </row>
        <row r="899">
          <cell r="K899">
            <v>113.75738818765726</v>
          </cell>
          <cell r="AJ899">
            <v>13.189952963047652</v>
          </cell>
        </row>
        <row r="900">
          <cell r="K900">
            <v>113.83195273072573</v>
          </cell>
          <cell r="AJ900">
            <v>13.189952963047652</v>
          </cell>
        </row>
        <row r="901">
          <cell r="K901">
            <v>113.90651727379421</v>
          </cell>
          <cell r="AJ901">
            <v>13.189952963047652</v>
          </cell>
        </row>
        <row r="902">
          <cell r="K902">
            <v>113.98108181686268</v>
          </cell>
          <cell r="AJ902">
            <v>13.189952963047652</v>
          </cell>
        </row>
        <row r="903">
          <cell r="K903">
            <v>114.05564635993116</v>
          </cell>
          <cell r="AJ903">
            <v>13.189952963047652</v>
          </cell>
        </row>
        <row r="904">
          <cell r="K904">
            <v>114.13021090299964</v>
          </cell>
          <cell r="AJ904">
            <v>13.189952963047652</v>
          </cell>
        </row>
        <row r="905">
          <cell r="K905">
            <v>114.20477544606811</v>
          </cell>
          <cell r="AJ905">
            <v>13.189952963047652</v>
          </cell>
        </row>
        <row r="906">
          <cell r="K906">
            <v>114.27933998913659</v>
          </cell>
          <cell r="AJ906">
            <v>13.189952963047652</v>
          </cell>
        </row>
        <row r="907">
          <cell r="K907">
            <v>114.35390453220506</v>
          </cell>
          <cell r="AJ907">
            <v>13.189952963047652</v>
          </cell>
        </row>
        <row r="908">
          <cell r="K908">
            <v>114.42846907527354</v>
          </cell>
          <cell r="AJ908">
            <v>13.189952963047652</v>
          </cell>
        </row>
        <row r="909">
          <cell r="K909">
            <v>114.50303361834202</v>
          </cell>
          <cell r="AJ909">
            <v>13.189952963047652</v>
          </cell>
        </row>
        <row r="910">
          <cell r="K910">
            <v>114.57759816141049</v>
          </cell>
          <cell r="AJ910">
            <v>13.189952963047652</v>
          </cell>
        </row>
        <row r="911">
          <cell r="K911">
            <v>114.65216270447897</v>
          </cell>
          <cell r="AJ911">
            <v>13.189952963047652</v>
          </cell>
        </row>
        <row r="912">
          <cell r="K912">
            <v>114.72672724754744</v>
          </cell>
          <cell r="AJ912">
            <v>13.189952963047652</v>
          </cell>
        </row>
        <row r="913">
          <cell r="K913">
            <v>114.80129179061592</v>
          </cell>
          <cell r="AJ913">
            <v>13.189952963047652</v>
          </cell>
        </row>
        <row r="914">
          <cell r="K914">
            <v>114.8758563336844</v>
          </cell>
          <cell r="AJ914">
            <v>13.189952963047652</v>
          </cell>
        </row>
        <row r="915">
          <cell r="K915">
            <v>114.95042087675287</v>
          </cell>
          <cell r="AJ915">
            <v>13.189952963047652</v>
          </cell>
        </row>
        <row r="916">
          <cell r="K916">
            <v>115.02498541982135</v>
          </cell>
          <cell r="AJ916">
            <v>13.189952963047652</v>
          </cell>
        </row>
        <row r="917">
          <cell r="K917">
            <v>115.09954996288982</v>
          </cell>
          <cell r="AJ917">
            <v>13.189952963047652</v>
          </cell>
        </row>
        <row r="918">
          <cell r="K918">
            <v>115.1741145059583</v>
          </cell>
          <cell r="AJ918">
            <v>13.189952963047652</v>
          </cell>
        </row>
        <row r="919">
          <cell r="K919">
            <v>115.24867904902678</v>
          </cell>
          <cell r="AJ919">
            <v>13.189952963047652</v>
          </cell>
        </row>
        <row r="920">
          <cell r="K920">
            <v>115.32324359209525</v>
          </cell>
          <cell r="AJ920">
            <v>13.189952963047652</v>
          </cell>
        </row>
        <row r="921">
          <cell r="K921">
            <v>115.39780813516373</v>
          </cell>
          <cell r="AJ921">
            <v>13.189952963047652</v>
          </cell>
        </row>
        <row r="922">
          <cell r="K922">
            <v>115.4723726782322</v>
          </cell>
          <cell r="AJ922">
            <v>13.189952963047652</v>
          </cell>
        </row>
        <row r="923">
          <cell r="K923">
            <v>115.54693722130068</v>
          </cell>
          <cell r="AJ923">
            <v>13.189952963047652</v>
          </cell>
        </row>
        <row r="924">
          <cell r="K924">
            <v>115.62150176436916</v>
          </cell>
          <cell r="AJ924">
            <v>13.189952963047652</v>
          </cell>
        </row>
        <row r="925">
          <cell r="K925">
            <v>115.69606630743763</v>
          </cell>
          <cell r="AJ925">
            <v>13.189952963047652</v>
          </cell>
        </row>
        <row r="926">
          <cell r="K926">
            <v>115.77063085050611</v>
          </cell>
          <cell r="AJ926">
            <v>13.189952963047652</v>
          </cell>
        </row>
        <row r="927">
          <cell r="K927">
            <v>115.84519539357458</v>
          </cell>
          <cell r="AJ927">
            <v>13.189952963047652</v>
          </cell>
        </row>
        <row r="928">
          <cell r="K928">
            <v>115.91975993664306</v>
          </cell>
          <cell r="AJ928">
            <v>13.189952963047652</v>
          </cell>
        </row>
        <row r="929">
          <cell r="K929">
            <v>115.99432447971154</v>
          </cell>
          <cell r="AJ929">
            <v>13.189952963047652</v>
          </cell>
        </row>
        <row r="930">
          <cell r="K930">
            <v>116.06888902278001</v>
          </cell>
          <cell r="AJ930">
            <v>13.189952963047652</v>
          </cell>
        </row>
        <row r="931">
          <cell r="K931">
            <v>116.14388096104112</v>
          </cell>
          <cell r="AJ931">
            <v>13.189952963047652</v>
          </cell>
        </row>
        <row r="932">
          <cell r="K932">
            <v>116.21930856475866</v>
          </cell>
          <cell r="AJ932">
            <v>13.189952963047652</v>
          </cell>
        </row>
        <row r="933">
          <cell r="K933">
            <v>116.29518036835684</v>
          </cell>
          <cell r="AJ933">
            <v>13.914292245024122</v>
          </cell>
        </row>
        <row r="934">
          <cell r="K934">
            <v>116.3715051823506</v>
          </cell>
          <cell r="AJ934">
            <v>13.914292245024122</v>
          </cell>
        </row>
        <row r="935">
          <cell r="K935">
            <v>116.44829210597716</v>
          </cell>
          <cell r="AJ935">
            <v>14.659935623529412</v>
          </cell>
        </row>
        <row r="936">
          <cell r="K936">
            <v>116.5255505405796</v>
          </cell>
          <cell r="AJ936">
            <v>14.659935623529412</v>
          </cell>
        </row>
        <row r="937">
          <cell r="K937">
            <v>116.60329020379811</v>
          </cell>
          <cell r="AJ937">
            <v>14.659935623529412</v>
          </cell>
        </row>
        <row r="938">
          <cell r="K938">
            <v>116.68152114462912</v>
          </cell>
          <cell r="AJ938">
            <v>17.854488759402983</v>
          </cell>
        </row>
        <row r="939">
          <cell r="K939">
            <v>116.76025375941805</v>
          </cell>
          <cell r="AJ939">
            <v>17.854488759402983</v>
          </cell>
        </row>
        <row r="940">
          <cell r="K940">
            <v>116.83949880885757</v>
          </cell>
          <cell r="AJ940">
            <v>19.419654981818184</v>
          </cell>
        </row>
        <row r="941">
          <cell r="K941">
            <v>116.91926743606936</v>
          </cell>
          <cell r="AJ941">
            <v>19.419654981818184</v>
          </cell>
        </row>
        <row r="942">
          <cell r="K942">
            <v>116.99957118585529</v>
          </cell>
          <cell r="AJ942">
            <v>19.49932536123077</v>
          </cell>
        </row>
        <row r="943">
          <cell r="K943">
            <v>117.08042202521156</v>
          </cell>
          <cell r="AJ943">
            <v>19.49932536123077</v>
          </cell>
        </row>
        <row r="944">
          <cell r="K944">
            <v>117.1618323652087</v>
          </cell>
          <cell r="AJ944">
            <v>19.49932536123077</v>
          </cell>
        </row>
        <row r="945">
          <cell r="K945">
            <v>117.2438150843499</v>
          </cell>
          <cell r="AJ945">
            <v>19.470227000000001</v>
          </cell>
        </row>
        <row r="946">
          <cell r="K946">
            <v>117.32638355353203</v>
          </cell>
          <cell r="AJ946">
            <v>19.470227000000001</v>
          </cell>
        </row>
        <row r="947">
          <cell r="K947">
            <v>117.40955166274519</v>
          </cell>
          <cell r="AJ947">
            <v>19.705812331682537</v>
          </cell>
        </row>
        <row r="948">
          <cell r="K948">
            <v>117.4933338496617</v>
          </cell>
          <cell r="AJ948">
            <v>19.705812331682537</v>
          </cell>
        </row>
        <row r="949">
          <cell r="K949">
            <v>117.57774513027994</v>
          </cell>
          <cell r="AJ949">
            <v>19.948997190193548</v>
          </cell>
        </row>
        <row r="950">
          <cell r="K950">
            <v>117.66280113180677</v>
          </cell>
          <cell r="AJ950">
            <v>19.948997190193548</v>
          </cell>
        </row>
        <row r="951">
          <cell r="K951">
            <v>117.74851812798151</v>
          </cell>
          <cell r="AJ951">
            <v>20.200155322754096</v>
          </cell>
        </row>
        <row r="952">
          <cell r="K952">
            <v>117.83491307706659</v>
          </cell>
          <cell r="AJ952">
            <v>20.200155322754096</v>
          </cell>
        </row>
        <row r="953">
          <cell r="K953">
            <v>117.92200366275523</v>
          </cell>
          <cell r="AJ953">
            <v>20.459685393066664</v>
          </cell>
        </row>
        <row r="954">
          <cell r="K954">
            <v>118.00980833827444</v>
          </cell>
          <cell r="AJ954">
            <v>20.459685393066664</v>
          </cell>
        </row>
        <row r="955">
          <cell r="K955">
            <v>118.09834637399366</v>
          </cell>
          <cell r="AJ955">
            <v>20.728013092881355</v>
          </cell>
        </row>
        <row r="956">
          <cell r="K956">
            <v>118.18763790888565</v>
          </cell>
          <cell r="AJ956">
            <v>20.728013092881355</v>
          </cell>
        </row>
        <row r="957">
          <cell r="K957">
            <v>118.27770400622744</v>
          </cell>
          <cell r="AJ957">
            <v>21.005593471999997</v>
          </cell>
        </row>
        <row r="958">
          <cell r="K958">
            <v>118.36856671397622</v>
          </cell>
          <cell r="AJ958">
            <v>21.005593471999997</v>
          </cell>
        </row>
        <row r="959">
          <cell r="K959">
            <v>118.4602491303086</v>
          </cell>
          <cell r="AJ959">
            <v>21.292913513543862</v>
          </cell>
        </row>
        <row r="960">
          <cell r="K960">
            <v>118.55277547487319</v>
          </cell>
          <cell r="AJ960">
            <v>21.292913513543862</v>
          </cell>
        </row>
        <row r="961">
          <cell r="K961">
            <v>118.64617116637721</v>
          </cell>
          <cell r="AJ961">
            <v>21.590494985142858</v>
          </cell>
        </row>
        <row r="962">
          <cell r="K962">
            <v>118.74046290720889</v>
          </cell>
          <cell r="AJ962">
            <v>21.590494985142858</v>
          </cell>
        </row>
        <row r="963">
          <cell r="K963">
            <v>118.83567877589121</v>
          </cell>
          <cell r="AJ963">
            <v>21.030191701643634</v>
          </cell>
        </row>
        <row r="964">
          <cell r="K964">
            <v>118.93184832827123</v>
          </cell>
          <cell r="AJ964">
            <v>21.030191701643634</v>
          </cell>
        </row>
        <row r="965">
          <cell r="K965">
            <v>119.02900270847515</v>
          </cell>
          <cell r="AJ965">
            <v>20.449136444681479</v>
          </cell>
        </row>
        <row r="966">
          <cell r="K966">
            <v>119.12717477080592</v>
          </cell>
          <cell r="AJ966">
            <v>20.449136444681479</v>
          </cell>
        </row>
        <row r="967">
          <cell r="K967">
            <v>119.22639921393151</v>
          </cell>
          <cell r="AJ967">
            <v>19.846154574249059</v>
          </cell>
        </row>
        <row r="968">
          <cell r="K968">
            <v>119.32671272891294</v>
          </cell>
          <cell r="AJ968">
            <v>19.846154574249059</v>
          </cell>
        </row>
        <row r="969">
          <cell r="K969">
            <v>119.42815416285691</v>
          </cell>
          <cell r="AJ969">
            <v>19.219981093415385</v>
          </cell>
        </row>
        <row r="970">
          <cell r="K970">
            <v>119.53076470025682</v>
          </cell>
          <cell r="AJ970">
            <v>18.569251789803925</v>
          </cell>
        </row>
        <row r="971">
          <cell r="K971">
            <v>119.63458806441568</v>
          </cell>
          <cell r="AJ971">
            <v>18.569251789803925</v>
          </cell>
        </row>
        <row r="972">
          <cell r="K972">
            <v>119.73967074173692</v>
          </cell>
          <cell r="AJ972">
            <v>18.513404416</v>
          </cell>
        </row>
        <row r="973">
          <cell r="K973">
            <v>119.84606223213768</v>
          </cell>
          <cell r="AJ973">
            <v>18.513404416</v>
          </cell>
        </row>
        <row r="974">
          <cell r="K974">
            <v>119.95381532940108</v>
          </cell>
          <cell r="AJ974">
            <v>13.189952963047652</v>
          </cell>
        </row>
        <row r="975">
          <cell r="K975">
            <v>120.0628247278307</v>
          </cell>
          <cell r="AJ975">
            <v>13.914292245024122</v>
          </cell>
        </row>
        <row r="976">
          <cell r="K976">
            <v>120.17313766050279</v>
          </cell>
          <cell r="AJ976">
            <v>14.659935623529412</v>
          </cell>
        </row>
        <row r="977">
          <cell r="K977">
            <v>120.28480436581724</v>
          </cell>
          <cell r="AJ977">
            <v>17.854488759402983</v>
          </cell>
        </row>
        <row r="978">
          <cell r="K978">
            <v>120.39787836182549</v>
          </cell>
          <cell r="AJ978">
            <v>19.419654981818184</v>
          </cell>
        </row>
        <row r="979">
          <cell r="K979">
            <v>120.51241675360122</v>
          </cell>
          <cell r="AJ979">
            <v>19.419654981818184</v>
          </cell>
        </row>
        <row r="980">
          <cell r="K980">
            <v>120.62848057865111</v>
          </cell>
          <cell r="AJ980">
            <v>19.49932536123077</v>
          </cell>
        </row>
        <row r="981">
          <cell r="K981">
            <v>120.74613519628157</v>
          </cell>
          <cell r="AJ981">
            <v>19.470227000000001</v>
          </cell>
        </row>
        <row r="982">
          <cell r="K982">
            <v>120.86545072795549</v>
          </cell>
          <cell r="AJ982">
            <v>19.705812331682537</v>
          </cell>
        </row>
        <row r="983">
          <cell r="K983">
            <v>120.98650255704405</v>
          </cell>
          <cell r="AJ983">
            <v>19.948997190193548</v>
          </cell>
        </row>
        <row r="984">
          <cell r="K984">
            <v>121.10937189806553</v>
          </cell>
          <cell r="AJ984">
            <v>20.200155322754096</v>
          </cell>
        </row>
        <row r="985">
          <cell r="K985">
            <v>121.23414644759488</v>
          </cell>
          <cell r="AJ985">
            <v>20.459685393066664</v>
          </cell>
        </row>
        <row r="986">
          <cell r="K986">
            <v>121.3609211316347</v>
          </cell>
          <cell r="AJ986">
            <v>20.728013092881355</v>
          </cell>
        </row>
        <row r="987">
          <cell r="K987">
            <v>121.4897989675121</v>
          </cell>
          <cell r="AJ987">
            <v>21.005593471999997</v>
          </cell>
        </row>
        <row r="988">
          <cell r="K988">
            <v>121.62089206250442</v>
          </cell>
          <cell r="AJ988">
            <v>21.292913513543862</v>
          </cell>
        </row>
        <row r="989">
          <cell r="K989">
            <v>121.75432277666945</v>
          </cell>
          <cell r="AJ989">
            <v>21.590494985142858</v>
          </cell>
        </row>
        <row r="990">
          <cell r="K990">
            <v>121.89022508412823</v>
          </cell>
          <cell r="AJ990">
            <v>21.030191701643634</v>
          </cell>
        </row>
        <row r="991">
          <cell r="K991">
            <v>122.02874617582285</v>
          </cell>
          <cell r="AJ991">
            <v>20.449136444681479</v>
          </cell>
        </row>
        <row r="992">
          <cell r="K992">
            <v>122.17004835824601</v>
          </cell>
          <cell r="AJ992">
            <v>19.846154574249059</v>
          </cell>
        </row>
        <row r="993">
          <cell r="K993">
            <v>122.31431131779651</v>
          </cell>
          <cell r="AJ993">
            <v>19.219981093415385</v>
          </cell>
        </row>
        <row r="994">
          <cell r="K994">
            <v>122.46173484065319</v>
          </cell>
          <cell r="AJ994">
            <v>18.569251789803925</v>
          </cell>
        </row>
        <row r="995">
          <cell r="K995">
            <v>122.61254210540173</v>
          </cell>
          <cell r="AJ995">
            <v>18.513404416</v>
          </cell>
        </row>
        <row r="996">
          <cell r="K996">
            <v>122.76698370305765</v>
          </cell>
          <cell r="AJ996">
            <v>18.455277557551021</v>
          </cell>
        </row>
        <row r="997">
          <cell r="K997">
            <v>122.9253425910232</v>
          </cell>
          <cell r="AJ997">
            <v>18.394728746666669</v>
          </cell>
        </row>
        <row r="998">
          <cell r="K998">
            <v>123.08794026059928</v>
          </cell>
          <cell r="AJ998">
            <v>18.265733453913043</v>
          </cell>
        </row>
        <row r="999">
          <cell r="K999">
            <v>123.25514450231651</v>
          </cell>
          <cell r="AJ999">
            <v>18.260229654755552</v>
          </cell>
        </row>
        <row r="1000">
          <cell r="K1000">
            <v>123.427379305944</v>
          </cell>
          <cell r="AJ1000">
            <v>18.254475682909089</v>
          </cell>
        </row>
        <row r="1001">
          <cell r="K1001">
            <v>123.60513765910707</v>
          </cell>
          <cell r="AJ1001">
            <v>18.242145743238094</v>
          </cell>
        </row>
        <row r="1002">
          <cell r="K1002">
            <v>123.78289601227014</v>
          </cell>
          <cell r="AJ1002">
            <v>18.242145743238094</v>
          </cell>
        </row>
        <row r="1003">
          <cell r="K1003">
            <v>123.96065436543321</v>
          </cell>
          <cell r="AJ1003">
            <v>18.242145743238094</v>
          </cell>
        </row>
        <row r="1004">
          <cell r="K1004">
            <v>124.13841271859629</v>
          </cell>
          <cell r="AJ1004">
            <v>18.242145743238094</v>
          </cell>
        </row>
        <row r="1005">
          <cell r="K1005">
            <v>124.31617107175936</v>
          </cell>
          <cell r="AJ1005">
            <v>18.242145743238094</v>
          </cell>
        </row>
        <row r="1006">
          <cell r="K1006">
            <v>124.49392942492243</v>
          </cell>
          <cell r="AJ1006">
            <v>18.242145743238094</v>
          </cell>
        </row>
        <row r="1007">
          <cell r="K1007">
            <v>124.6716877780855</v>
          </cell>
          <cell r="AJ1007">
            <v>18.242145743238094</v>
          </cell>
        </row>
        <row r="1008">
          <cell r="K1008">
            <v>124.84944613124857</v>
          </cell>
          <cell r="AJ1008">
            <v>18.242145743238094</v>
          </cell>
        </row>
        <row r="1009">
          <cell r="K1009">
            <v>125.02720448441164</v>
          </cell>
          <cell r="AJ1009">
            <v>18.242145743238094</v>
          </cell>
        </row>
        <row r="1010">
          <cell r="K1010">
            <v>125.20496283757471</v>
          </cell>
          <cell r="AJ1010">
            <v>18.242145743238094</v>
          </cell>
        </row>
        <row r="1011">
          <cell r="K1011">
            <v>125.38272119073778</v>
          </cell>
          <cell r="AJ1011">
            <v>18.242145743238094</v>
          </cell>
        </row>
        <row r="1012">
          <cell r="K1012">
            <v>125.56047954390085</v>
          </cell>
          <cell r="AJ1012">
            <v>18.242145743238094</v>
          </cell>
        </row>
        <row r="1013">
          <cell r="K1013">
            <v>125.73823789706393</v>
          </cell>
          <cell r="AJ1013">
            <v>18.242145743238094</v>
          </cell>
        </row>
        <row r="1014">
          <cell r="K1014">
            <v>125.915996250227</v>
          </cell>
          <cell r="AJ1014">
            <v>18.242145743238094</v>
          </cell>
        </row>
        <row r="1015">
          <cell r="K1015">
            <v>126.09375460339007</v>
          </cell>
          <cell r="AJ1015">
            <v>18.242145743238094</v>
          </cell>
        </row>
        <row r="1016">
          <cell r="K1016">
            <v>126.27151295655314</v>
          </cell>
          <cell r="AJ1016">
            <v>18.242145743238094</v>
          </cell>
        </row>
        <row r="1017">
          <cell r="K1017">
            <v>126.44927130971621</v>
          </cell>
          <cell r="AJ1017">
            <v>18.242145743238094</v>
          </cell>
        </row>
        <row r="1018">
          <cell r="K1018">
            <v>126.62702966287928</v>
          </cell>
          <cell r="AJ1018">
            <v>18.242145743238094</v>
          </cell>
        </row>
        <row r="1019">
          <cell r="K1019">
            <v>126.80478801604235</v>
          </cell>
          <cell r="AJ1019">
            <v>18.242145743238094</v>
          </cell>
        </row>
        <row r="1020">
          <cell r="K1020">
            <v>126.98254636920542</v>
          </cell>
          <cell r="AJ1020">
            <v>18.242145743238094</v>
          </cell>
        </row>
        <row r="1021">
          <cell r="K1021">
            <v>127.16030472236849</v>
          </cell>
          <cell r="AJ1021">
            <v>18.242145743238094</v>
          </cell>
        </row>
        <row r="1022">
          <cell r="K1022">
            <v>127.33806307553157</v>
          </cell>
          <cell r="AJ1022">
            <v>18.242145743238094</v>
          </cell>
        </row>
        <row r="1023">
          <cell r="K1023">
            <v>127.51582142869464</v>
          </cell>
          <cell r="AJ1023">
            <v>18.242145743238094</v>
          </cell>
        </row>
        <row r="1024">
          <cell r="K1024">
            <v>127.69357978185771</v>
          </cell>
          <cell r="AJ1024">
            <v>18.242145743238094</v>
          </cell>
        </row>
        <row r="1025">
          <cell r="K1025">
            <v>127.87133813502078</v>
          </cell>
          <cell r="AJ1025">
            <v>18.242145743238094</v>
          </cell>
        </row>
        <row r="1026">
          <cell r="K1026">
            <v>128.04909648818386</v>
          </cell>
          <cell r="AJ1026">
            <v>18.242145743238094</v>
          </cell>
        </row>
        <row r="1027">
          <cell r="K1027">
            <v>128.22685484134695</v>
          </cell>
          <cell r="AJ1027">
            <v>18.242145743238094</v>
          </cell>
        </row>
        <row r="1028">
          <cell r="K1028">
            <v>128.40461319451003</v>
          </cell>
          <cell r="AJ1028">
            <v>18.242145743238094</v>
          </cell>
        </row>
        <row r="1029">
          <cell r="K1029">
            <v>128.58237154767312</v>
          </cell>
          <cell r="AJ1029">
            <v>18.242145743238094</v>
          </cell>
        </row>
        <row r="1030">
          <cell r="K1030">
            <v>128.7601299008362</v>
          </cell>
          <cell r="AJ1030">
            <v>18.242145743238094</v>
          </cell>
        </row>
        <row r="1031">
          <cell r="K1031">
            <v>128.93788825399929</v>
          </cell>
          <cell r="AJ1031">
            <v>18.242145743238094</v>
          </cell>
        </row>
        <row r="1032">
          <cell r="K1032">
            <v>129.11100041601082</v>
          </cell>
          <cell r="AJ1032">
            <v>18.254475682909089</v>
          </cell>
        </row>
        <row r="1033">
          <cell r="K1033">
            <v>129.27981848349381</v>
          </cell>
          <cell r="AJ1033">
            <v>18.260229654755552</v>
          </cell>
        </row>
        <row r="1034">
          <cell r="K1034">
            <v>129.44465235634451</v>
          </cell>
          <cell r="AJ1034">
            <v>18.265733453913043</v>
          </cell>
        </row>
        <row r="1035">
          <cell r="K1035">
            <v>129.60577649125099</v>
          </cell>
          <cell r="AJ1035">
            <v>18.331603390638296</v>
          </cell>
        </row>
        <row r="1036">
          <cell r="K1036">
            <v>129.76343532635772</v>
          </cell>
          <cell r="AJ1036">
            <v>18.394728746666669</v>
          </cell>
        </row>
        <row r="1037">
          <cell r="K1037">
            <v>129.91784768326627</v>
          </cell>
          <cell r="AJ1037">
            <v>18.455277557551021</v>
          </cell>
        </row>
        <row r="1038">
          <cell r="K1038">
            <v>130.06921037253375</v>
          </cell>
          <cell r="AJ1038">
            <v>18.513404416</v>
          </cell>
        </row>
        <row r="1039">
          <cell r="K1039">
            <v>130.21770117200415</v>
          </cell>
          <cell r="AJ1039">
            <v>18.569251789803925</v>
          </cell>
        </row>
        <row r="1040">
          <cell r="K1040">
            <v>130.36348130634531</v>
          </cell>
          <cell r="AJ1040">
            <v>19.219981093415385</v>
          </cell>
        </row>
        <row r="1041">
          <cell r="K1041">
            <v>130.50669752622346</v>
          </cell>
          <cell r="AJ1041">
            <v>19.846154574249059</v>
          </cell>
        </row>
        <row r="1042">
          <cell r="K1042">
            <v>130.64748386338707</v>
          </cell>
          <cell r="AJ1042">
            <v>19.846154574249059</v>
          </cell>
        </row>
        <row r="1043">
          <cell r="K1043">
            <v>130.7859631213334</v>
          </cell>
          <cell r="AJ1043">
            <v>20.449136444681479</v>
          </cell>
        </row>
        <row r="1044">
          <cell r="K1044">
            <v>130.92224814866768</v>
          </cell>
          <cell r="AJ1044">
            <v>21.030191701643634</v>
          </cell>
        </row>
        <row r="1045">
          <cell r="K1045">
            <v>131.05644293265604</v>
          </cell>
          <cell r="AJ1045">
            <v>21.590494985142858</v>
          </cell>
        </row>
        <row r="1046">
          <cell r="K1046">
            <v>131.18864354305825</v>
          </cell>
          <cell r="AJ1046">
            <v>21.292913513543862</v>
          </cell>
        </row>
        <row r="1047">
          <cell r="K1047">
            <v>131.31893895055231</v>
          </cell>
          <cell r="AJ1047">
            <v>21.005593471999997</v>
          </cell>
        </row>
        <row r="1048">
          <cell r="K1048">
            <v>131.44741173953165</v>
          </cell>
          <cell r="AJ1048">
            <v>20.728013092881355</v>
          </cell>
        </row>
        <row r="1049">
          <cell r="K1049">
            <v>131.57413873147055</v>
          </cell>
          <cell r="AJ1049">
            <v>20.728013092881355</v>
          </cell>
        </row>
        <row r="1050">
          <cell r="K1050">
            <v>131.69919153219911</v>
          </cell>
          <cell r="AJ1050">
            <v>20.459685393066664</v>
          </cell>
        </row>
        <row r="1051">
          <cell r="K1051">
            <v>131.82263701413856</v>
          </cell>
          <cell r="AJ1051">
            <v>20.200155322754096</v>
          </cell>
        </row>
        <row r="1052">
          <cell r="K1052">
            <v>131.94453774270033</v>
          </cell>
          <cell r="AJ1052">
            <v>19.948997190193548</v>
          </cell>
        </row>
        <row r="1053">
          <cell r="K1053">
            <v>132.06495235455134</v>
          </cell>
          <cell r="AJ1053">
            <v>19.948997190193548</v>
          </cell>
        </row>
        <row r="1054">
          <cell r="K1054">
            <v>132.18393589422351</v>
          </cell>
          <cell r="AJ1054">
            <v>19.705812331682537</v>
          </cell>
        </row>
        <row r="1055">
          <cell r="K1055">
            <v>132.30154011453962</v>
          </cell>
          <cell r="AJ1055">
            <v>19.470227000000001</v>
          </cell>
        </row>
        <row r="1056">
          <cell r="K1056">
            <v>132.41781374549765</v>
          </cell>
          <cell r="AJ1056">
            <v>19.49932536123077</v>
          </cell>
        </row>
        <row r="1057">
          <cell r="K1057">
            <v>132.53280273556859</v>
          </cell>
          <cell r="AJ1057">
            <v>19.49932536123077</v>
          </cell>
        </row>
        <row r="1058">
          <cell r="K1058">
            <v>132.64655046878926</v>
          </cell>
          <cell r="AJ1058">
            <v>19.419654981818184</v>
          </cell>
        </row>
        <row r="1059">
          <cell r="K1059">
            <v>132.75909796055245</v>
          </cell>
          <cell r="AJ1059">
            <v>17.854488759402983</v>
          </cell>
        </row>
        <row r="1060">
          <cell r="K1060">
            <v>132.87048403459488</v>
          </cell>
          <cell r="AJ1060">
            <v>17.854488759402983</v>
          </cell>
        </row>
        <row r="1061">
          <cell r="K1061">
            <v>132.98074548334293</v>
          </cell>
          <cell r="AJ1061">
            <v>14.659935623529412</v>
          </cell>
        </row>
        <row r="1062">
          <cell r="K1062">
            <v>133.0899172134896</v>
          </cell>
          <cell r="AJ1062">
            <v>13.914292245024122</v>
          </cell>
        </row>
        <row r="1063">
          <cell r="K1063">
            <v>133.19803237843161</v>
          </cell>
          <cell r="AJ1063">
            <v>13.189952963047652</v>
          </cell>
        </row>
        <row r="1064">
          <cell r="K1064">
            <v>133.30512249898754</v>
          </cell>
          <cell r="AJ1064">
            <v>13.189952963047652</v>
          </cell>
        </row>
        <row r="1065">
          <cell r="K1065">
            <v>133.41121757363973</v>
          </cell>
          <cell r="AJ1065">
            <v>18.513404416</v>
          </cell>
        </row>
        <row r="1066">
          <cell r="K1066">
            <v>133.5162260635901</v>
          </cell>
          <cell r="AJ1066">
            <v>18.513404416</v>
          </cell>
        </row>
        <row r="1067">
          <cell r="K1067">
            <v>133.62018233251933</v>
          </cell>
          <cell r="AJ1067">
            <v>18.569251789803925</v>
          </cell>
        </row>
        <row r="1068">
          <cell r="K1068">
            <v>133.72311898786231</v>
          </cell>
          <cell r="AJ1068">
            <v>18.569251789803925</v>
          </cell>
        </row>
        <row r="1069">
          <cell r="K1069">
            <v>133.82506700378886</v>
          </cell>
          <cell r="AJ1069">
            <v>19.219981093415385</v>
          </cell>
        </row>
        <row r="1070">
          <cell r="K1070">
            <v>133.92605583333412</v>
          </cell>
          <cell r="AJ1070">
            <v>19.219981093415385</v>
          </cell>
        </row>
        <row r="1071">
          <cell r="K1071">
            <v>134.02611351082592</v>
          </cell>
          <cell r="AJ1071">
            <v>19.846154574249059</v>
          </cell>
        </row>
        <row r="1072">
          <cell r="K1072">
            <v>134.12728990086336</v>
          </cell>
          <cell r="AJ1072">
            <v>19.219981093415385</v>
          </cell>
        </row>
        <row r="1073">
          <cell r="K1073">
            <v>134.22962562894676</v>
          </cell>
          <cell r="AJ1073">
            <v>18.569251789803925</v>
          </cell>
        </row>
        <row r="1074">
          <cell r="K1074">
            <v>134.33316381076648</v>
          </cell>
          <cell r="AJ1074">
            <v>18.569251789803925</v>
          </cell>
        </row>
        <row r="1075">
          <cell r="K1075">
            <v>134.43795027092136</v>
          </cell>
          <cell r="AJ1075">
            <v>18.513404416</v>
          </cell>
        </row>
        <row r="1076">
          <cell r="K1076">
            <v>134.54403378695895</v>
          </cell>
          <cell r="AJ1076">
            <v>18.513404416</v>
          </cell>
        </row>
        <row r="1077">
          <cell r="K1077">
            <v>134.65146636241423</v>
          </cell>
          <cell r="AJ1077">
            <v>13.189952963047652</v>
          </cell>
        </row>
        <row r="1078">
          <cell r="K1078">
            <v>134.76014337277257</v>
          </cell>
          <cell r="AJ1078">
            <v>13.914292245024122</v>
          </cell>
        </row>
        <row r="1079">
          <cell r="K1079">
            <v>134.87011130808406</v>
          </cell>
          <cell r="AJ1079">
            <v>14.659935623529412</v>
          </cell>
        </row>
        <row r="1080">
          <cell r="K1080">
            <v>134.98141959700848</v>
          </cell>
          <cell r="AJ1080">
            <v>14.659935623529412</v>
          </cell>
        </row>
        <row r="1081">
          <cell r="K1081">
            <v>135.09412087324299</v>
          </cell>
          <cell r="AJ1081">
            <v>17.854488759402983</v>
          </cell>
        </row>
        <row r="1082">
          <cell r="K1082">
            <v>135.20827127381838</v>
          </cell>
          <cell r="AJ1082">
            <v>19.419654981818184</v>
          </cell>
        </row>
        <row r="1083">
          <cell r="K1083">
            <v>135.32393077404984</v>
          </cell>
          <cell r="AJ1083">
            <v>19.49932536123077</v>
          </cell>
        </row>
        <row r="1084">
          <cell r="K1084">
            <v>135.44116356479989</v>
          </cell>
          <cell r="AJ1084">
            <v>19.470227000000001</v>
          </cell>
        </row>
        <row r="1085">
          <cell r="K1085">
            <v>135.56003847877469</v>
          </cell>
          <cell r="AJ1085">
            <v>19.705812331682537</v>
          </cell>
        </row>
        <row r="1086">
          <cell r="K1086">
            <v>135.68062947387241</v>
          </cell>
          <cell r="AJ1086">
            <v>19.948997190193548</v>
          </cell>
        </row>
        <row r="1087">
          <cell r="K1087">
            <v>135.80301618320087</v>
          </cell>
          <cell r="AJ1087">
            <v>20.200155322754096</v>
          </cell>
        </row>
        <row r="1088">
          <cell r="K1088">
            <v>135.9272845433569</v>
          </cell>
          <cell r="AJ1088">
            <v>20.200155322754096</v>
          </cell>
        </row>
        <row r="1089">
          <cell r="K1089">
            <v>136.05352751502079</v>
          </cell>
          <cell r="AJ1089">
            <v>20.459685393066664</v>
          </cell>
        </row>
        <row r="1090">
          <cell r="K1090">
            <v>136.18184591300073</v>
          </cell>
          <cell r="AJ1090">
            <v>20.728013092881355</v>
          </cell>
        </row>
        <row r="1091">
          <cell r="K1091">
            <v>136.31234936675332</v>
          </cell>
          <cell r="AJ1091">
            <v>21.005593471999997</v>
          </cell>
        </row>
        <row r="1092">
          <cell r="K1092">
            <v>136.44515743735141</v>
          </cell>
          <cell r="AJ1092">
            <v>21.292913513543862</v>
          </cell>
        </row>
        <row r="1093">
          <cell r="K1093">
            <v>136.58040092320974</v>
          </cell>
          <cell r="AJ1093">
            <v>21.590494985142858</v>
          </cell>
        </row>
        <row r="1094">
          <cell r="K1094">
            <v>136.7182233950721</v>
          </cell>
          <cell r="AJ1094">
            <v>21.030191701643634</v>
          </cell>
        </row>
        <row r="1095">
          <cell r="K1095">
            <v>136.85878301145269</v>
          </cell>
          <cell r="AJ1095">
            <v>20.449136444681479</v>
          </cell>
        </row>
        <row r="1096">
          <cell r="K1096">
            <v>137.00225467980417</v>
          </cell>
          <cell r="AJ1096">
            <v>19.846154574249059</v>
          </cell>
        </row>
        <row r="1097">
          <cell r="K1097">
            <v>137.14883264743267</v>
          </cell>
          <cell r="AJ1097">
            <v>18.569251789803925</v>
          </cell>
        </row>
        <row r="1098">
          <cell r="K1098">
            <v>137.29873363142639</v>
          </cell>
          <cell r="AJ1098">
            <v>18.513404416</v>
          </cell>
        </row>
        <row r="1099">
          <cell r="K1099">
            <v>137.45220063129</v>
          </cell>
          <cell r="AJ1099">
            <v>18.455277557551021</v>
          </cell>
        </row>
        <row r="1100">
          <cell r="K1100">
            <v>137.60950761555509</v>
          </cell>
          <cell r="AJ1100">
            <v>18.394728746666669</v>
          </cell>
        </row>
        <row r="1101">
          <cell r="K1101">
            <v>137.77096534036892</v>
          </cell>
          <cell r="AJ1101">
            <v>18.331603390638296</v>
          </cell>
        </row>
        <row r="1102">
          <cell r="K1102">
            <v>137.93242306518275</v>
          </cell>
          <cell r="AJ1102">
            <v>18.331603390638296</v>
          </cell>
        </row>
        <row r="1103">
          <cell r="K1103">
            <v>138.09388078999658</v>
          </cell>
          <cell r="AJ1103">
            <v>18.331603390638296</v>
          </cell>
        </row>
        <row r="1104">
          <cell r="K1104">
            <v>138.2553385148104</v>
          </cell>
          <cell r="AJ1104">
            <v>18.331603390638296</v>
          </cell>
        </row>
        <row r="1105">
          <cell r="K1105">
            <v>138.41679623962423</v>
          </cell>
          <cell r="AJ1105">
            <v>18.331603390638296</v>
          </cell>
        </row>
        <row r="1106">
          <cell r="K1106">
            <v>138.57825396443806</v>
          </cell>
          <cell r="AJ1106">
            <v>18.331603390638296</v>
          </cell>
        </row>
        <row r="1107">
          <cell r="K1107">
            <v>138.73971168925189</v>
          </cell>
          <cell r="AJ1107">
            <v>18.331603390638296</v>
          </cell>
        </row>
        <row r="1108">
          <cell r="K1108">
            <v>138.90116941406572</v>
          </cell>
          <cell r="AJ1108">
            <v>18.331603390638296</v>
          </cell>
        </row>
        <row r="1109">
          <cell r="K1109">
            <v>139.06262713887955</v>
          </cell>
          <cell r="AJ1109">
            <v>18.331603390638296</v>
          </cell>
        </row>
        <row r="1110">
          <cell r="K1110">
            <v>139.22408486369338</v>
          </cell>
          <cell r="AJ1110">
            <v>18.331603390638296</v>
          </cell>
        </row>
        <row r="1111">
          <cell r="K1111">
            <v>139.38554258850721</v>
          </cell>
          <cell r="AJ1111">
            <v>18.331603390638296</v>
          </cell>
        </row>
        <row r="1112">
          <cell r="K1112">
            <v>139.54700031332104</v>
          </cell>
          <cell r="AJ1112">
            <v>18.331603390638296</v>
          </cell>
        </row>
        <row r="1113">
          <cell r="K1113">
            <v>139.70845803813486</v>
          </cell>
          <cell r="AJ1113">
            <v>18.331603390638296</v>
          </cell>
        </row>
        <row r="1114">
          <cell r="K1114">
            <v>139.86991576294869</v>
          </cell>
          <cell r="AJ1114">
            <v>18.331603390638296</v>
          </cell>
        </row>
        <row r="1115">
          <cell r="K1115">
            <v>140.03137348776252</v>
          </cell>
          <cell r="AJ1115">
            <v>18.331603390638296</v>
          </cell>
        </row>
        <row r="1116">
          <cell r="K1116">
            <v>140.19283121257635</v>
          </cell>
          <cell r="AJ1116">
            <v>18.331603390638296</v>
          </cell>
        </row>
        <row r="1117">
          <cell r="K1117">
            <v>140.35428893739018</v>
          </cell>
          <cell r="AJ1117">
            <v>18.331603390638296</v>
          </cell>
        </row>
        <row r="1118">
          <cell r="K1118">
            <v>140.51574666220401</v>
          </cell>
          <cell r="AJ1118">
            <v>18.331603390638296</v>
          </cell>
        </row>
        <row r="1119">
          <cell r="K1119">
            <v>140.67720438701784</v>
          </cell>
          <cell r="AJ1119">
            <v>18.331603390638296</v>
          </cell>
        </row>
        <row r="1120">
          <cell r="K1120">
            <v>140.83866211183167</v>
          </cell>
          <cell r="AJ1120">
            <v>18.331603390638296</v>
          </cell>
        </row>
        <row r="1121">
          <cell r="K1121">
            <v>141.0001198366455</v>
          </cell>
          <cell r="AJ1121">
            <v>18.331603390638296</v>
          </cell>
        </row>
        <row r="1122">
          <cell r="K1122">
            <v>141.16157756145932</v>
          </cell>
          <cell r="AJ1122">
            <v>18.331603390638296</v>
          </cell>
        </row>
        <row r="1123">
          <cell r="K1123">
            <v>141.32303528627315</v>
          </cell>
          <cell r="AJ1123">
            <v>18.331603390638296</v>
          </cell>
        </row>
        <row r="1124">
          <cell r="K1124">
            <v>141.48449301108698</v>
          </cell>
          <cell r="AJ1124">
            <v>18.331603390638296</v>
          </cell>
        </row>
        <row r="1125">
          <cell r="K1125">
            <v>141.64595073590081</v>
          </cell>
          <cell r="AJ1125">
            <v>18.331603390638296</v>
          </cell>
        </row>
        <row r="1126">
          <cell r="K1126">
            <v>141.80740846071464</v>
          </cell>
          <cell r="AJ1126">
            <v>18.331603390638296</v>
          </cell>
        </row>
        <row r="1127">
          <cell r="K1127">
            <v>141.96886618552847</v>
          </cell>
          <cell r="AJ1127">
            <v>18.331603390638296</v>
          </cell>
        </row>
        <row r="1128">
          <cell r="K1128">
            <v>142.1303239103423</v>
          </cell>
          <cell r="AJ1128">
            <v>18.331603390638296</v>
          </cell>
        </row>
        <row r="1129">
          <cell r="K1129">
            <v>142.29178163515613</v>
          </cell>
          <cell r="AJ1129">
            <v>18.331603390638296</v>
          </cell>
        </row>
        <row r="1130">
          <cell r="K1130">
            <v>142.45323935996996</v>
          </cell>
          <cell r="AJ1130">
            <v>18.331603390638296</v>
          </cell>
        </row>
        <row r="1131">
          <cell r="K1131">
            <v>142.61469708478378</v>
          </cell>
          <cell r="AJ1131">
            <v>18.331603390638296</v>
          </cell>
        </row>
        <row r="1132">
          <cell r="K1132">
            <v>142.77266796266994</v>
          </cell>
          <cell r="AJ1132">
            <v>18.394728746666669</v>
          </cell>
        </row>
        <row r="1133">
          <cell r="K1133">
            <v>142.92737303011964</v>
          </cell>
          <cell r="AJ1133">
            <v>18.455277557551021</v>
          </cell>
        </row>
        <row r="1134">
          <cell r="K1134">
            <v>143.07901100660843</v>
          </cell>
          <cell r="AJ1134">
            <v>18.513404416</v>
          </cell>
        </row>
        <row r="1135">
          <cell r="K1135">
            <v>143.22776132519601</v>
          </cell>
          <cell r="AJ1135">
            <v>18.569251789803925</v>
          </cell>
        </row>
        <row r="1136">
          <cell r="K1136">
            <v>143.37378665381891</v>
          </cell>
          <cell r="AJ1136">
            <v>19.219981093415385</v>
          </cell>
        </row>
        <row r="1137">
          <cell r="K1137">
            <v>143.51723500811877</v>
          </cell>
          <cell r="AJ1137">
            <v>19.846154574249059</v>
          </cell>
        </row>
        <row r="1138">
          <cell r="K1138">
            <v>143.658241533872</v>
          </cell>
          <cell r="AJ1138">
            <v>19.846154574249059</v>
          </cell>
        </row>
        <row r="1139">
          <cell r="K1139">
            <v>143.79693002004592</v>
          </cell>
          <cell r="AJ1139">
            <v>20.449136444681479</v>
          </cell>
        </row>
        <row r="1140">
          <cell r="K1140">
            <v>143.93341419061827</v>
          </cell>
          <cell r="AJ1140">
            <v>21.030191701643634</v>
          </cell>
        </row>
        <row r="1141">
          <cell r="K1141">
            <v>144.06779881345133</v>
          </cell>
          <cell r="AJ1141">
            <v>21.590494985142858</v>
          </cell>
        </row>
        <row r="1142">
          <cell r="K1142">
            <v>144.20018065691863</v>
          </cell>
          <cell r="AJ1142">
            <v>21.292913513543862</v>
          </cell>
        </row>
        <row r="1143">
          <cell r="K1143">
            <v>144.33064931907415</v>
          </cell>
          <cell r="AJ1143">
            <v>21.005593471999997</v>
          </cell>
        </row>
        <row r="1144">
          <cell r="K1144">
            <v>144.45928794952212</v>
          </cell>
          <cell r="AJ1144">
            <v>20.728013092881355</v>
          </cell>
        </row>
        <row r="1145">
          <cell r="K1145">
            <v>144.58617388048188</v>
          </cell>
          <cell r="AJ1145">
            <v>20.728013092881355</v>
          </cell>
        </row>
        <row r="1146">
          <cell r="K1146">
            <v>144.71137918062806</v>
          </cell>
          <cell r="AJ1146">
            <v>20.459685393066664</v>
          </cell>
        </row>
        <row r="1147">
          <cell r="K1147">
            <v>144.83497114294937</v>
          </cell>
          <cell r="AJ1147">
            <v>20.200155322754096</v>
          </cell>
        </row>
        <row r="1148">
          <cell r="K1148">
            <v>144.95701271598483</v>
          </cell>
          <cell r="AJ1148">
            <v>19.948997190193548</v>
          </cell>
        </row>
        <row r="1149">
          <cell r="K1149">
            <v>145.07756288626669</v>
          </cell>
          <cell r="AJ1149">
            <v>19.948997190193548</v>
          </cell>
        </row>
        <row r="1150">
          <cell r="K1150">
            <v>145.19667701855167</v>
          </cell>
          <cell r="AJ1150">
            <v>19.705812331682537</v>
          </cell>
        </row>
        <row r="1151">
          <cell r="K1151">
            <v>145.31440715939797</v>
          </cell>
          <cell r="AJ1151">
            <v>19.470227000000001</v>
          </cell>
        </row>
        <row r="1152">
          <cell r="K1152">
            <v>145.43080230880105</v>
          </cell>
          <cell r="AJ1152">
            <v>19.49932536123077</v>
          </cell>
        </row>
        <row r="1153">
          <cell r="K1153">
            <v>145.54590866390129</v>
          </cell>
          <cell r="AJ1153">
            <v>19.49932536123077</v>
          </cell>
        </row>
        <row r="1154">
          <cell r="K1154">
            <v>145.65976983819428</v>
          </cell>
          <cell r="AJ1154">
            <v>19.419654981818184</v>
          </cell>
        </row>
        <row r="1155">
          <cell r="K1155">
            <v>145.77242705918744</v>
          </cell>
          <cell r="AJ1155">
            <v>17.854488759402983</v>
          </cell>
        </row>
        <row r="1156">
          <cell r="K1156">
            <v>145.88391934703697</v>
          </cell>
          <cell r="AJ1156">
            <v>17.854488759402983</v>
          </cell>
        </row>
        <row r="1157">
          <cell r="K1157">
            <v>145.99428367635548</v>
          </cell>
          <cell r="AJ1157">
            <v>14.659935623529412</v>
          </cell>
        </row>
        <row r="1158">
          <cell r="K1158">
            <v>146.10355512308746</v>
          </cell>
          <cell r="AJ1158">
            <v>13.914292245024122</v>
          </cell>
        </row>
        <row r="1159">
          <cell r="K1159">
            <v>146.21176699810331</v>
          </cell>
          <cell r="AJ1159">
            <v>13.914292245024122</v>
          </cell>
        </row>
        <row r="1160">
          <cell r="K1160">
            <v>146.31895096895011</v>
          </cell>
          <cell r="AJ1160">
            <v>13.189952963047652</v>
          </cell>
        </row>
        <row r="1161">
          <cell r="K1161">
            <v>146.42513717101784</v>
          </cell>
          <cell r="AJ1161">
            <v>18.513404416</v>
          </cell>
        </row>
        <row r="1162">
          <cell r="K1162">
            <v>146.5302338743146</v>
          </cell>
          <cell r="AJ1162">
            <v>18.513404416</v>
          </cell>
        </row>
        <row r="1163">
          <cell r="K1163">
            <v>146.63427559309119</v>
          </cell>
          <cell r="AJ1163">
            <v>18.569251789803925</v>
          </cell>
        </row>
        <row r="1164">
          <cell r="K1164">
            <v>146.73729507469542</v>
          </cell>
          <cell r="AJ1164">
            <v>18.569251789803925</v>
          </cell>
        </row>
        <row r="1165">
          <cell r="K1165">
            <v>146.83932342350306</v>
          </cell>
          <cell r="AJ1165">
            <v>19.219981093415385</v>
          </cell>
        </row>
        <row r="1166">
          <cell r="K1166">
            <v>146.94039021389685</v>
          </cell>
          <cell r="AJ1166">
            <v>19.219981093415385</v>
          </cell>
        </row>
        <row r="1167">
          <cell r="K1167">
            <v>147.04052359345363</v>
          </cell>
          <cell r="AJ1167">
            <v>19.846154574249059</v>
          </cell>
        </row>
        <row r="1168">
          <cell r="K1168">
            <v>147.13975037735699</v>
          </cell>
          <cell r="AJ1168">
            <v>19.846154574249059</v>
          </cell>
        </row>
        <row r="1169">
          <cell r="K1169">
            <v>147.23809613493017</v>
          </cell>
          <cell r="AJ1169">
            <v>20.449136444681479</v>
          </cell>
        </row>
        <row r="1170">
          <cell r="K1170">
            <v>147.33558526907845</v>
          </cell>
          <cell r="AJ1170">
            <v>20.449136444681479</v>
          </cell>
        </row>
        <row r="1171">
          <cell r="K1171">
            <v>147.43224108933811</v>
          </cell>
          <cell r="AJ1171">
            <v>20.449136444681479</v>
          </cell>
        </row>
        <row r="1172">
          <cell r="K1172">
            <v>147.52808587914973</v>
          </cell>
          <cell r="AJ1172">
            <v>21.030191701643634</v>
          </cell>
        </row>
        <row r="1173">
          <cell r="K1173">
            <v>147.62314095790416</v>
          </cell>
          <cell r="AJ1173">
            <v>21.030191701643634</v>
          </cell>
        </row>
        <row r="1174">
          <cell r="K1174">
            <v>147.71742673824912</v>
          </cell>
          <cell r="AJ1174">
            <v>21.590494985142858</v>
          </cell>
        </row>
        <row r="1175">
          <cell r="K1175">
            <v>147.81096277909145</v>
          </cell>
          <cell r="AJ1175">
            <v>21.590494985142858</v>
          </cell>
        </row>
        <row r="1176">
          <cell r="K1176">
            <v>147.90376783468344</v>
          </cell>
          <cell r="AJ1176">
            <v>21.292913513543862</v>
          </cell>
        </row>
        <row r="1177">
          <cell r="K1177">
            <v>147.99585990014114</v>
          </cell>
          <cell r="AJ1177">
            <v>21.292913513543862</v>
          </cell>
        </row>
        <row r="1178">
          <cell r="K1178">
            <v>148.08725625370661</v>
          </cell>
          <cell r="AJ1178">
            <v>21.005593471999997</v>
          </cell>
        </row>
        <row r="1179">
          <cell r="K1179">
            <v>148.1779734960341</v>
          </cell>
          <cell r="AJ1179">
            <v>21.005593471999997</v>
          </cell>
        </row>
        <row r="1180">
          <cell r="K1180">
            <v>148.26802758675231</v>
          </cell>
          <cell r="AJ1180">
            <v>21.005593471999997</v>
          </cell>
        </row>
        <row r="1181">
          <cell r="K1181">
            <v>148.35743387853029</v>
          </cell>
          <cell r="AJ1181">
            <v>20.728013092881355</v>
          </cell>
        </row>
        <row r="1182">
          <cell r="K1182">
            <v>148.44761797390271</v>
          </cell>
          <cell r="AJ1182">
            <v>21.005593471999997</v>
          </cell>
        </row>
        <row r="1183">
          <cell r="K1183">
            <v>148.53860207396639</v>
          </cell>
          <cell r="AJ1183">
            <v>21.005593471999997</v>
          </cell>
        </row>
        <row r="1184">
          <cell r="K1184">
            <v>148.63040944034134</v>
          </cell>
          <cell r="AJ1184">
            <v>21.292913513543862</v>
          </cell>
        </row>
        <row r="1185">
          <cell r="K1185">
            <v>148.72306446733162</v>
          </cell>
          <cell r="AJ1185">
            <v>21.292913513543862</v>
          </cell>
        </row>
        <row r="1186">
          <cell r="K1186">
            <v>148.81659276051985</v>
          </cell>
          <cell r="AJ1186">
            <v>21.590494985142858</v>
          </cell>
        </row>
        <row r="1187">
          <cell r="K1187">
            <v>148.9110212225105</v>
          </cell>
          <cell r="AJ1187">
            <v>21.590494985142858</v>
          </cell>
        </row>
        <row r="1188">
          <cell r="K1188">
            <v>149.00637814663276</v>
          </cell>
          <cell r="AJ1188">
            <v>21.030191701643634</v>
          </cell>
        </row>
        <row r="1189">
          <cell r="K1189">
            <v>149.10269331952509</v>
          </cell>
          <cell r="AJ1189">
            <v>21.030191701643634</v>
          </cell>
        </row>
        <row r="1190">
          <cell r="K1190">
            <v>149.1999981336518</v>
          </cell>
          <cell r="AJ1190">
            <v>20.449136444681479</v>
          </cell>
        </row>
        <row r="1191">
          <cell r="K1191">
            <v>149.29832571095289</v>
          </cell>
          <cell r="AJ1191">
            <v>20.449136444681479</v>
          </cell>
        </row>
        <row r="1192">
          <cell r="K1192">
            <v>149.3977110390031</v>
          </cell>
          <cell r="AJ1192">
            <v>19.846154574249059</v>
          </cell>
        </row>
        <row r="1193">
          <cell r="K1193">
            <v>149.49819112126232</v>
          </cell>
          <cell r="AJ1193">
            <v>19.219981093415385</v>
          </cell>
        </row>
        <row r="1194">
          <cell r="K1194">
            <v>149.59980514324121</v>
          </cell>
          <cell r="AJ1194">
            <v>19.219981093415385</v>
          </cell>
        </row>
        <row r="1195">
          <cell r="K1195">
            <v>149.70259465669153</v>
          </cell>
          <cell r="AJ1195">
            <v>18.569251789803925</v>
          </cell>
        </row>
        <row r="1196">
          <cell r="K1196">
            <v>149.80660378426936</v>
          </cell>
          <cell r="AJ1196">
            <v>18.569251789803925</v>
          </cell>
        </row>
        <row r="1197">
          <cell r="K1197">
            <v>149.91187944752215</v>
          </cell>
          <cell r="AJ1197">
            <v>18.513404416</v>
          </cell>
        </row>
        <row r="1198">
          <cell r="K1198">
            <v>150.01847162153237</v>
          </cell>
          <cell r="AJ1198">
            <v>13.189952963047652</v>
          </cell>
        </row>
        <row r="1199">
          <cell r="K1199">
            <v>150.12627747028657</v>
          </cell>
          <cell r="AJ1199">
            <v>13.189952963047652</v>
          </cell>
        </row>
        <row r="1200">
          <cell r="K1200">
            <v>150.23534158031026</v>
          </cell>
          <cell r="AJ1200">
            <v>13.914292245024122</v>
          </cell>
        </row>
        <row r="1201">
          <cell r="K1201">
            <v>150.34571130787992</v>
          </cell>
          <cell r="AJ1201">
            <v>14.659935623529412</v>
          </cell>
        </row>
        <row r="1202">
          <cell r="K1202">
            <v>150.4574370257005</v>
          </cell>
          <cell r="AJ1202">
            <v>17.854488759402983</v>
          </cell>
        </row>
        <row r="1203">
          <cell r="K1203">
            <v>150.57057239855342</v>
          </cell>
          <cell r="AJ1203">
            <v>19.419654981818184</v>
          </cell>
        </row>
        <row r="1204">
          <cell r="K1204">
            <v>150.68517469218475</v>
          </cell>
          <cell r="AJ1204">
            <v>19.419654981818184</v>
          </cell>
        </row>
        <row r="1205">
          <cell r="K1205">
            <v>150.80130512046577</v>
          </cell>
          <cell r="AJ1205">
            <v>19.49932536123077</v>
          </cell>
        </row>
        <row r="1206">
          <cell r="K1206">
            <v>150.91902923678595</v>
          </cell>
          <cell r="AJ1206">
            <v>19.470227000000001</v>
          </cell>
        </row>
        <row r="1207">
          <cell r="K1207">
            <v>151.03841737676473</v>
          </cell>
          <cell r="AJ1207">
            <v>19.705812331682537</v>
          </cell>
        </row>
        <row r="1208">
          <cell r="K1208">
            <v>151.15954516075283</v>
          </cell>
          <cell r="AJ1208">
            <v>19.948997190193548</v>
          </cell>
        </row>
        <row r="1209">
          <cell r="K1209">
            <v>151.28249406629487</v>
          </cell>
          <cell r="AJ1209">
            <v>20.200155322754096</v>
          </cell>
        </row>
        <row r="1210">
          <cell r="K1210">
            <v>151.40735208283752</v>
          </cell>
          <cell r="AJ1210">
            <v>20.459685393066664</v>
          </cell>
        </row>
        <row r="1211">
          <cell r="K1211">
            <v>151.53421446359832</v>
          </cell>
          <cell r="AJ1211">
            <v>20.728013092881355</v>
          </cell>
        </row>
        <row r="1212">
          <cell r="K1212">
            <v>151.66107684435912</v>
          </cell>
          <cell r="AJ1212">
            <v>20.728013092881355</v>
          </cell>
        </row>
        <row r="1213">
          <cell r="K1213">
            <v>151.78793922511991</v>
          </cell>
          <cell r="AJ1213">
            <v>20.728013092881355</v>
          </cell>
        </row>
        <row r="1214">
          <cell r="K1214">
            <v>151.91480160588071</v>
          </cell>
          <cell r="AJ1214">
            <v>20.728013092881355</v>
          </cell>
        </row>
        <row r="1215">
          <cell r="K1215">
            <v>152.04166398664151</v>
          </cell>
          <cell r="AJ1215">
            <v>20.728013092881355</v>
          </cell>
        </row>
        <row r="1216">
          <cell r="K1216">
            <v>152.16852636740231</v>
          </cell>
          <cell r="AJ1216">
            <v>20.728013092881355</v>
          </cell>
        </row>
        <row r="1217">
          <cell r="K1217">
            <v>152.29538874816311</v>
          </cell>
          <cell r="AJ1217">
            <v>20.728013092881355</v>
          </cell>
        </row>
        <row r="1218">
          <cell r="K1218">
            <v>152.4222511289239</v>
          </cell>
          <cell r="AJ1218">
            <v>20.728013092881355</v>
          </cell>
        </row>
        <row r="1219">
          <cell r="K1219">
            <v>152.5491135096847</v>
          </cell>
          <cell r="AJ1219">
            <v>20.728013092881355</v>
          </cell>
        </row>
        <row r="1220">
          <cell r="K1220">
            <v>152.6759758904455</v>
          </cell>
          <cell r="AJ1220">
            <v>20.728013092881355</v>
          </cell>
        </row>
        <row r="1221">
          <cell r="K1221">
            <v>152.8028382712063</v>
          </cell>
          <cell r="AJ1221">
            <v>20.728013092881355</v>
          </cell>
        </row>
        <row r="1222">
          <cell r="K1222">
            <v>152.9297006519671</v>
          </cell>
          <cell r="AJ1222">
            <v>20.728013092881355</v>
          </cell>
        </row>
        <row r="1223">
          <cell r="K1223">
            <v>153.05656303272789</v>
          </cell>
          <cell r="AJ1223">
            <v>20.728013092881355</v>
          </cell>
        </row>
        <row r="1224">
          <cell r="K1224">
            <v>153.18342541348869</v>
          </cell>
          <cell r="AJ1224">
            <v>20.728013092881355</v>
          </cell>
        </row>
        <row r="1225">
          <cell r="K1225">
            <v>153.31028779424949</v>
          </cell>
          <cell r="AJ1225">
            <v>20.728013092881355</v>
          </cell>
        </row>
        <row r="1226">
          <cell r="K1226">
            <v>153.43715017501029</v>
          </cell>
          <cell r="AJ1226">
            <v>20.728013092881355</v>
          </cell>
        </row>
        <row r="1227">
          <cell r="K1227">
            <v>153.56401255577109</v>
          </cell>
          <cell r="AJ1227">
            <v>20.728013092881355</v>
          </cell>
        </row>
        <row r="1228">
          <cell r="K1228">
            <v>153.69087493653188</v>
          </cell>
          <cell r="AJ1228">
            <v>20.728013092881355</v>
          </cell>
        </row>
        <row r="1229">
          <cell r="K1229">
            <v>153.81773731729268</v>
          </cell>
          <cell r="AJ1229">
            <v>20.728013092881355</v>
          </cell>
        </row>
        <row r="1230">
          <cell r="K1230">
            <v>153.94459969805348</v>
          </cell>
          <cell r="AJ1230">
            <v>20.728013092881355</v>
          </cell>
        </row>
        <row r="1231">
          <cell r="K1231">
            <v>154.07146207881428</v>
          </cell>
          <cell r="AJ1231">
            <v>20.728013092881355</v>
          </cell>
        </row>
        <row r="1232">
          <cell r="K1232">
            <v>154.19832445957508</v>
          </cell>
          <cell r="AJ1232">
            <v>20.728013092881355</v>
          </cell>
        </row>
        <row r="1233">
          <cell r="K1233">
            <v>154.32518684033587</v>
          </cell>
          <cell r="AJ1233">
            <v>20.728013092881355</v>
          </cell>
        </row>
        <row r="1234">
          <cell r="K1234">
            <v>154.45204922109667</v>
          </cell>
          <cell r="AJ1234">
            <v>20.728013092881355</v>
          </cell>
        </row>
        <row r="1235">
          <cell r="K1235">
            <v>154.57891160185747</v>
          </cell>
          <cell r="AJ1235">
            <v>20.728013092881355</v>
          </cell>
        </row>
        <row r="1236">
          <cell r="K1236">
            <v>154.70577398261827</v>
          </cell>
          <cell r="AJ1236">
            <v>20.728013092881355</v>
          </cell>
        </row>
        <row r="1237">
          <cell r="K1237">
            <v>154.83263636337907</v>
          </cell>
          <cell r="AJ1237">
            <v>20.728013092881355</v>
          </cell>
        </row>
        <row r="1238">
          <cell r="K1238">
            <v>154.95949874413986</v>
          </cell>
          <cell r="AJ1238">
            <v>20.728013092881355</v>
          </cell>
        </row>
        <row r="1239">
          <cell r="K1239">
            <v>155.08636112490066</v>
          </cell>
          <cell r="AJ1239">
            <v>20.728013092881355</v>
          </cell>
        </row>
        <row r="1240">
          <cell r="K1240">
            <v>155.21322350566146</v>
          </cell>
          <cell r="AJ1240">
            <v>20.728013092881355</v>
          </cell>
        </row>
        <row r="1241">
          <cell r="K1241">
            <v>155.34008588642226</v>
          </cell>
          <cell r="AJ1241">
            <v>20.728013092881355</v>
          </cell>
        </row>
        <row r="1242">
          <cell r="K1242">
            <v>155.46694826718306</v>
          </cell>
          <cell r="AJ1242">
            <v>20.728013092881355</v>
          </cell>
        </row>
        <row r="1243">
          <cell r="K1243">
            <v>155.59381064794385</v>
          </cell>
          <cell r="AJ1243">
            <v>20.728013092881355</v>
          </cell>
        </row>
        <row r="1244">
          <cell r="K1244">
            <v>155.72067302870465</v>
          </cell>
          <cell r="AJ1244">
            <v>20.728013092881355</v>
          </cell>
        </row>
        <row r="1245">
          <cell r="K1245">
            <v>155.84753540946545</v>
          </cell>
          <cell r="AJ1245">
            <v>20.728013092881355</v>
          </cell>
        </row>
        <row r="1246">
          <cell r="K1246">
            <v>155.97439779022625</v>
          </cell>
          <cell r="AJ1246">
            <v>20.728013092881355</v>
          </cell>
        </row>
        <row r="1247">
          <cell r="K1247">
            <v>156.10126017098705</v>
          </cell>
          <cell r="AJ1247">
            <v>20.728013092881355</v>
          </cell>
        </row>
        <row r="1248">
          <cell r="K1248">
            <v>156.22812255174784</v>
          </cell>
          <cell r="AJ1248">
            <v>20.728013092881355</v>
          </cell>
        </row>
        <row r="1249">
          <cell r="K1249">
            <v>156.35498493250864</v>
          </cell>
          <cell r="AJ1249">
            <v>20.728013092881355</v>
          </cell>
        </row>
        <row r="1250">
          <cell r="K1250">
            <v>156.48184731326944</v>
          </cell>
          <cell r="AJ1250">
            <v>20.728013092881355</v>
          </cell>
        </row>
        <row r="1251">
          <cell r="K1251">
            <v>156.60870969403024</v>
          </cell>
          <cell r="AJ1251">
            <v>20.728013092881355</v>
          </cell>
        </row>
        <row r="1252">
          <cell r="K1252">
            <v>156.7338923991426</v>
          </cell>
          <cell r="AJ1252">
            <v>20.459685393066664</v>
          </cell>
        </row>
        <row r="1253">
          <cell r="K1253">
            <v>156.85746265914972</v>
          </cell>
          <cell r="AJ1253">
            <v>20.200155322754096</v>
          </cell>
        </row>
        <row r="1254">
          <cell r="K1254">
            <v>156.97948336570965</v>
          </cell>
          <cell r="AJ1254">
            <v>19.948997190193548</v>
          </cell>
        </row>
        <row r="1255">
          <cell r="K1255">
            <v>157.10001345341681</v>
          </cell>
          <cell r="AJ1255">
            <v>19.948997190193548</v>
          </cell>
        </row>
        <row r="1256">
          <cell r="K1256">
            <v>157.21910823949443</v>
          </cell>
          <cell r="AJ1256">
            <v>19.705812331682537</v>
          </cell>
        </row>
        <row r="1257">
          <cell r="K1257">
            <v>157.33681972690297</v>
          </cell>
          <cell r="AJ1257">
            <v>19.470227000000001</v>
          </cell>
        </row>
        <row r="1258">
          <cell r="K1258">
            <v>157.45319687556662</v>
          </cell>
          <cell r="AJ1258">
            <v>19.49932536123077</v>
          </cell>
        </row>
        <row r="1259">
          <cell r="K1259">
            <v>157.56828584572267</v>
          </cell>
          <cell r="AJ1259">
            <v>19.49932536123077</v>
          </cell>
        </row>
        <row r="1260">
          <cell r="K1260">
            <v>157.68213021681706</v>
          </cell>
          <cell r="AJ1260">
            <v>19.419654981818184</v>
          </cell>
        </row>
        <row r="1261">
          <cell r="K1261">
            <v>157.79477118488342</v>
          </cell>
          <cell r="AJ1261">
            <v>17.854488759402983</v>
          </cell>
        </row>
        <row r="1262">
          <cell r="K1262">
            <v>157.90624774093499</v>
          </cell>
          <cell r="AJ1262">
            <v>17.854488759402983</v>
          </cell>
        </row>
        <row r="1263">
          <cell r="K1263">
            <v>158.01659683255488</v>
          </cell>
          <cell r="AJ1263">
            <v>14.659935623529412</v>
          </cell>
        </row>
        <row r="1264">
          <cell r="K1264">
            <v>158.12585351057876</v>
          </cell>
          <cell r="AJ1264">
            <v>13.914292245024122</v>
          </cell>
        </row>
        <row r="1265">
          <cell r="K1265">
            <v>158.23405106251673</v>
          </cell>
          <cell r="AJ1265">
            <v>13.914292245024122</v>
          </cell>
        </row>
        <row r="1266">
          <cell r="K1266">
            <v>158.34122113415083</v>
          </cell>
          <cell r="AJ1266">
            <v>13.189952963047652</v>
          </cell>
        </row>
        <row r="1267">
          <cell r="K1267">
            <v>158.44739384056385</v>
          </cell>
          <cell r="AJ1267">
            <v>18.513404416</v>
          </cell>
        </row>
        <row r="1268">
          <cell r="K1268">
            <v>158.55247748008412</v>
          </cell>
          <cell r="AJ1268">
            <v>18.513404416</v>
          </cell>
        </row>
        <row r="1269">
          <cell r="K1269">
            <v>158.65650654463118</v>
          </cell>
          <cell r="AJ1269">
            <v>18.569251789803925</v>
          </cell>
        </row>
        <row r="1270">
          <cell r="K1270">
            <v>158.75951376080323</v>
          </cell>
          <cell r="AJ1270">
            <v>18.569251789803925</v>
          </cell>
        </row>
        <row r="1271">
          <cell r="K1271">
            <v>158.86153021366704</v>
          </cell>
          <cell r="AJ1271">
            <v>19.219981093415385</v>
          </cell>
        </row>
        <row r="1272">
          <cell r="K1272">
            <v>158.96258545961092</v>
          </cell>
          <cell r="AJ1272">
            <v>19.219981093415385</v>
          </cell>
        </row>
        <row r="1273">
          <cell r="K1273">
            <v>159.06270762941901</v>
          </cell>
          <cell r="AJ1273">
            <v>19.846154574249059</v>
          </cell>
        </row>
        <row r="1274">
          <cell r="K1274">
            <v>159.1619235225827</v>
          </cell>
          <cell r="AJ1274">
            <v>19.846154574249059</v>
          </cell>
        </row>
        <row r="1275">
          <cell r="K1275">
            <v>159.26025869374257</v>
          </cell>
          <cell r="AJ1275">
            <v>20.449136444681479</v>
          </cell>
        </row>
        <row r="1276">
          <cell r="K1276">
            <v>159.35773753204887</v>
          </cell>
          <cell r="AJ1276">
            <v>20.449136444681479</v>
          </cell>
        </row>
        <row r="1277">
          <cell r="K1277">
            <v>159.45438333413642</v>
          </cell>
          <cell r="AJ1277">
            <v>20.449136444681479</v>
          </cell>
        </row>
        <row r="1278">
          <cell r="K1278">
            <v>159.55021837133111</v>
          </cell>
          <cell r="AJ1278">
            <v>21.030191701643634</v>
          </cell>
        </row>
        <row r="1279">
          <cell r="K1279">
            <v>159.6452639516352</v>
          </cell>
          <cell r="AJ1279">
            <v>21.030191701643634</v>
          </cell>
        </row>
        <row r="1280">
          <cell r="K1280">
            <v>159.73954047697902</v>
          </cell>
          <cell r="AJ1280">
            <v>21.590494985142858</v>
          </cell>
        </row>
        <row r="1281">
          <cell r="K1281">
            <v>159.83306749617313</v>
          </cell>
          <cell r="AJ1281">
            <v>21.590494985142858</v>
          </cell>
        </row>
        <row r="1282">
          <cell r="K1282">
            <v>159.92586375394922</v>
          </cell>
          <cell r="AJ1282">
            <v>21.292913513543862</v>
          </cell>
        </row>
        <row r="1283">
          <cell r="K1283">
            <v>160.0179472364369</v>
          </cell>
          <cell r="AJ1283">
            <v>21.292913513543862</v>
          </cell>
        </row>
        <row r="1284">
          <cell r="K1284">
            <v>160.10933521338808</v>
          </cell>
          <cell r="AJ1284">
            <v>21.005593471999997</v>
          </cell>
        </row>
        <row r="1285">
          <cell r="K1285">
            <v>160.20004427742836</v>
          </cell>
          <cell r="AJ1285">
            <v>21.005593471999997</v>
          </cell>
        </row>
        <row r="1286">
          <cell r="K1286">
            <v>160.29009038058774</v>
          </cell>
          <cell r="AJ1286">
            <v>21.005593471999997</v>
          </cell>
        </row>
        <row r="1287">
          <cell r="K1287">
            <v>160.37948886833718</v>
          </cell>
          <cell r="AJ1287">
            <v>20.728013092881355</v>
          </cell>
        </row>
        <row r="1288">
          <cell r="K1288">
            <v>160.46825451133617</v>
          </cell>
          <cell r="AJ1288">
            <v>20.728013092881355</v>
          </cell>
        </row>
        <row r="1289">
          <cell r="K1289">
            <v>160.55640153507662</v>
          </cell>
          <cell r="AJ1289">
            <v>20.459685393066664</v>
          </cell>
        </row>
        <row r="1290">
          <cell r="K1290">
            <v>160.64394364759093</v>
          </cell>
          <cell r="AJ1290">
            <v>20.459685393066664</v>
          </cell>
        </row>
        <row r="1291">
          <cell r="K1291">
            <v>160.73089406537636</v>
          </cell>
          <cell r="AJ1291">
            <v>20.200155322754096</v>
          </cell>
        </row>
        <row r="1292">
          <cell r="K1292">
            <v>160.8172655376743</v>
          </cell>
          <cell r="AJ1292">
            <v>20.200155322754096</v>
          </cell>
        </row>
        <row r="1293">
          <cell r="K1293">
            <v>160.90307036922988</v>
          </cell>
          <cell r="AJ1293">
            <v>20.200155322754096</v>
          </cell>
        </row>
        <row r="1294">
          <cell r="K1294">
            <v>160.98832044164686</v>
          </cell>
          <cell r="AJ1294">
            <v>19.948997190193548</v>
          </cell>
        </row>
        <row r="1295">
          <cell r="K1295">
            <v>161.07302723344208</v>
          </cell>
          <cell r="AJ1295">
            <v>19.948997190193548</v>
          </cell>
        </row>
        <row r="1296">
          <cell r="K1296">
            <v>161.15720183889505</v>
          </cell>
          <cell r="AJ1296">
            <v>19.948997190193548</v>
          </cell>
        </row>
        <row r="1297">
          <cell r="K1297">
            <v>161.24085498577998</v>
          </cell>
          <cell r="AJ1297">
            <v>19.705812331682537</v>
          </cell>
        </row>
        <row r="1298">
          <cell r="K1298">
            <v>161.32399705206001</v>
          </cell>
          <cell r="AJ1298">
            <v>19.705812331682537</v>
          </cell>
        </row>
        <row r="1299">
          <cell r="K1299">
            <v>161.4066380816171</v>
          </cell>
          <cell r="AJ1299">
            <v>19.470227000000001</v>
          </cell>
        </row>
        <row r="1300">
          <cell r="K1300">
            <v>161.48878779908461</v>
          </cell>
          <cell r="AJ1300">
            <v>19.470227000000001</v>
          </cell>
        </row>
        <row r="1301">
          <cell r="K1301">
            <v>161.5704556238444</v>
          </cell>
          <cell r="AJ1301">
            <v>19.470227000000001</v>
          </cell>
        </row>
        <row r="1302">
          <cell r="K1302">
            <v>161.65165068324532</v>
          </cell>
          <cell r="AJ1302">
            <v>19.49932536123077</v>
          </cell>
        </row>
        <row r="1303">
          <cell r="K1303">
            <v>161.73238182509522</v>
          </cell>
          <cell r="AJ1303">
            <v>19.49932536123077</v>
          </cell>
        </row>
        <row r="1304">
          <cell r="K1304">
            <v>161.81265762947464</v>
          </cell>
          <cell r="AJ1304">
            <v>19.419654981818184</v>
          </cell>
        </row>
        <row r="1305">
          <cell r="K1305">
            <v>161.89248641991693</v>
          </cell>
          <cell r="AJ1305">
            <v>19.419654981818184</v>
          </cell>
        </row>
        <row r="1306">
          <cell r="K1306">
            <v>161.97187627399552</v>
          </cell>
          <cell r="AJ1306">
            <v>19.419654981818184</v>
          </cell>
        </row>
        <row r="1307">
          <cell r="K1307">
            <v>162.05083503335641</v>
          </cell>
          <cell r="AJ1307">
            <v>17.854488759402983</v>
          </cell>
        </row>
        <row r="1308">
          <cell r="K1308">
            <v>162.12937031323102</v>
          </cell>
          <cell r="AJ1308">
            <v>17.854488759402983</v>
          </cell>
        </row>
        <row r="1309">
          <cell r="K1309">
            <v>162.20748951146197</v>
          </cell>
          <cell r="AJ1309">
            <v>17.854488759402983</v>
          </cell>
        </row>
        <row r="1310">
          <cell r="K1310">
            <v>162.28519981707169</v>
          </cell>
          <cell r="AJ1310">
            <v>14.659935623529412</v>
          </cell>
        </row>
        <row r="1311">
          <cell r="K1311">
            <v>162.36250821840204</v>
          </cell>
          <cell r="AJ1311">
            <v>14.659935623529412</v>
          </cell>
        </row>
        <row r="1312">
          <cell r="K1312">
            <v>162.43942151085091</v>
          </cell>
          <cell r="AJ1312">
            <v>14.659935623529412</v>
          </cell>
        </row>
        <row r="1313">
          <cell r="K1313">
            <v>162.51594630422974</v>
          </cell>
          <cell r="AJ1313">
            <v>13.914292245024122</v>
          </cell>
        </row>
        <row r="1314">
          <cell r="K1314">
            <v>162.59208902976457</v>
          </cell>
          <cell r="AJ1314">
            <v>13.914292245024122</v>
          </cell>
        </row>
        <row r="1315">
          <cell r="K1315">
            <v>162.66785594676131</v>
          </cell>
          <cell r="AJ1315">
            <v>13.914292245024122</v>
          </cell>
        </row>
        <row r="1316">
          <cell r="K1316">
            <v>162.74325314895503</v>
          </cell>
          <cell r="AJ1316">
            <v>13.189952963047652</v>
          </cell>
        </row>
        <row r="1317">
          <cell r="K1317">
            <v>162.81828657056104</v>
          </cell>
          <cell r="AJ1317">
            <v>13.189952963047652</v>
          </cell>
        </row>
        <row r="1318">
          <cell r="K1318">
            <v>162.89296199204475</v>
          </cell>
          <cell r="AJ1318">
            <v>13.189952963047652</v>
          </cell>
        </row>
        <row r="1319">
          <cell r="K1319">
            <v>162.96752653511322</v>
          </cell>
          <cell r="AJ1319">
            <v>13.189952963047652</v>
          </cell>
        </row>
        <row r="1320">
          <cell r="K1320">
            <v>163.0420910781817</v>
          </cell>
          <cell r="AJ1320">
            <v>13.189952963047652</v>
          </cell>
        </row>
        <row r="1321">
          <cell r="K1321">
            <v>163.11665562125017</v>
          </cell>
          <cell r="AJ1321">
            <v>13.189952963047652</v>
          </cell>
        </row>
        <row r="1322">
          <cell r="K1322">
            <v>163.19164755951127</v>
          </cell>
          <cell r="AJ1322">
            <v>13.189952963047652</v>
          </cell>
        </row>
        <row r="1323">
          <cell r="K1323">
            <v>163.26709224581683</v>
          </cell>
          <cell r="AJ1323">
            <v>13.189952963047652</v>
          </cell>
        </row>
        <row r="1324">
          <cell r="K1324">
            <v>163.34299886701328</v>
          </cell>
          <cell r="AJ1324">
            <v>13.914292245024122</v>
          </cell>
        </row>
        <row r="1325">
          <cell r="K1325">
            <v>163.41937691819155</v>
          </cell>
          <cell r="AJ1325">
            <v>13.914292245024122</v>
          </cell>
        </row>
        <row r="1326">
          <cell r="K1326">
            <v>163.49623621732238</v>
          </cell>
          <cell r="AJ1326">
            <v>14.659935623529412</v>
          </cell>
        </row>
        <row r="1327">
          <cell r="K1327">
            <v>163.57358692079669</v>
          </cell>
          <cell r="AJ1327">
            <v>14.659935623529412</v>
          </cell>
        </row>
        <row r="1328">
          <cell r="K1328">
            <v>163.65143953993987</v>
          </cell>
          <cell r="AJ1328">
            <v>14.659935623529412</v>
          </cell>
        </row>
        <row r="1329">
          <cell r="K1329">
            <v>163.72980495857615</v>
          </cell>
          <cell r="AJ1329">
            <v>17.854488759402983</v>
          </cell>
        </row>
        <row r="1330">
          <cell r="K1330">
            <v>163.80869445172522</v>
          </cell>
          <cell r="AJ1330">
            <v>17.854488759402983</v>
          </cell>
        </row>
        <row r="1331">
          <cell r="K1331">
            <v>163.88811970552206</v>
          </cell>
          <cell r="AJ1331">
            <v>19.419654981818184</v>
          </cell>
        </row>
        <row r="1332">
          <cell r="K1332">
            <v>163.968092838459</v>
          </cell>
          <cell r="AJ1332">
            <v>19.419654981818184</v>
          </cell>
        </row>
        <row r="1333">
          <cell r="K1333">
            <v>164.04862642405871</v>
          </cell>
          <cell r="AJ1333">
            <v>19.49932536123077</v>
          </cell>
        </row>
        <row r="1334">
          <cell r="K1334">
            <v>164.12973351509783</v>
          </cell>
          <cell r="AJ1334">
            <v>19.49932536123077</v>
          </cell>
        </row>
        <row r="1335">
          <cell r="K1335">
            <v>164.21142766951286</v>
          </cell>
          <cell r="AJ1335">
            <v>19.470227000000001</v>
          </cell>
        </row>
        <row r="1336">
          <cell r="K1336">
            <v>164.29372297813316</v>
          </cell>
          <cell r="AJ1336">
            <v>19.470227000000001</v>
          </cell>
        </row>
        <row r="1337">
          <cell r="K1337">
            <v>164.376634094401</v>
          </cell>
          <cell r="AJ1337">
            <v>19.705812331682537</v>
          </cell>
        </row>
        <row r="1338">
          <cell r="K1338">
            <v>164.4601762662555</v>
          </cell>
          <cell r="AJ1338">
            <v>19.705812331682537</v>
          </cell>
        </row>
        <row r="1339">
          <cell r="K1339">
            <v>164.54436537037608</v>
          </cell>
          <cell r="AJ1339">
            <v>19.948997190193548</v>
          </cell>
        </row>
        <row r="1340">
          <cell r="K1340">
            <v>164.62921794900234</v>
          </cell>
          <cell r="AJ1340">
            <v>19.948997190193548</v>
          </cell>
        </row>
        <row r="1341">
          <cell r="K1341">
            <v>164.71475124957118</v>
          </cell>
          <cell r="AJ1341">
            <v>19.948997190193548</v>
          </cell>
        </row>
        <row r="1342">
          <cell r="K1342">
            <v>164.79971508160259</v>
          </cell>
          <cell r="AJ1342">
            <v>19.948997190193548</v>
          </cell>
        </row>
        <row r="1343">
          <cell r="K1343">
            <v>164.88412154761971</v>
          </cell>
          <cell r="AJ1343">
            <v>19.948997190193548</v>
          </cell>
        </row>
        <row r="1344">
          <cell r="K1344">
            <v>164.96798233398613</v>
          </cell>
          <cell r="AJ1344">
            <v>19.705812331682537</v>
          </cell>
        </row>
        <row r="1345">
          <cell r="K1345">
            <v>165.05130873062805</v>
          </cell>
          <cell r="AJ1345">
            <v>19.705812331682537</v>
          </cell>
        </row>
        <row r="1346">
          <cell r="K1346">
            <v>165.13411164957176</v>
          </cell>
          <cell r="AJ1346">
            <v>19.470227000000001</v>
          </cell>
        </row>
        <row r="1347">
          <cell r="K1347">
            <v>165.21640164238207</v>
          </cell>
          <cell r="AJ1347">
            <v>19.470227000000001</v>
          </cell>
        </row>
        <row r="1348">
          <cell r="K1348">
            <v>165.29818891658024</v>
          </cell>
          <cell r="AJ1348">
            <v>19.470227000000001</v>
          </cell>
        </row>
        <row r="1349">
          <cell r="K1349">
            <v>165.37948335111355</v>
          </cell>
          <cell r="AJ1349">
            <v>19.49932536123077</v>
          </cell>
        </row>
        <row r="1350">
          <cell r="K1350">
            <v>165.46029451094245</v>
          </cell>
          <cell r="AJ1350">
            <v>19.49932536123077</v>
          </cell>
        </row>
        <row r="1351">
          <cell r="K1351">
            <v>165.54063166080618</v>
          </cell>
          <cell r="AJ1351">
            <v>19.49932536123077</v>
          </cell>
        </row>
        <row r="1352">
          <cell r="K1352">
            <v>165.62050377822257</v>
          </cell>
          <cell r="AJ1352">
            <v>19.419654981818184</v>
          </cell>
        </row>
        <row r="1353">
          <cell r="K1353">
            <v>165.69991956577354</v>
          </cell>
          <cell r="AJ1353">
            <v>19.419654981818184</v>
          </cell>
        </row>
        <row r="1354">
          <cell r="K1354">
            <v>165.77888746272353</v>
          </cell>
          <cell r="AJ1354">
            <v>17.854488759402983</v>
          </cell>
        </row>
        <row r="1355">
          <cell r="K1355">
            <v>165.85741565601478</v>
          </cell>
          <cell r="AJ1355">
            <v>17.854488759402983</v>
          </cell>
        </row>
        <row r="1356">
          <cell r="K1356">
            <v>165.93551209067968</v>
          </cell>
          <cell r="AJ1356">
            <v>17.854488759402983</v>
          </cell>
        </row>
        <row r="1357">
          <cell r="K1357">
            <v>166.01318447970746</v>
          </cell>
          <cell r="AJ1357">
            <v>14.659935623529412</v>
          </cell>
        </row>
        <row r="1358">
          <cell r="K1358">
            <v>166.09044031339999</v>
          </cell>
          <cell r="AJ1358">
            <v>14.659935623529412</v>
          </cell>
        </row>
        <row r="1359">
          <cell r="K1359">
            <v>166.16728686824837</v>
          </cell>
          <cell r="AJ1359">
            <v>14.659935623529412</v>
          </cell>
        </row>
        <row r="1360">
          <cell r="K1360">
            <v>166.2437312153601</v>
          </cell>
          <cell r="AJ1360">
            <v>13.914292245024122</v>
          </cell>
        </row>
        <row r="1361">
          <cell r="K1361">
            <v>166.3197802284644</v>
          </cell>
          <cell r="AJ1361">
            <v>13.914292245024122</v>
          </cell>
        </row>
        <row r="1362">
          <cell r="K1362">
            <v>166.39544059152092</v>
          </cell>
          <cell r="AJ1362">
            <v>13.914292245024122</v>
          </cell>
        </row>
        <row r="1363">
          <cell r="K1363">
            <v>166.47071880595598</v>
          </cell>
          <cell r="AJ1363">
            <v>13.189952963047652</v>
          </cell>
        </row>
        <row r="1364">
          <cell r="K1364">
            <v>166.54562119754797</v>
          </cell>
          <cell r="AJ1364">
            <v>13.189952963047652</v>
          </cell>
        </row>
        <row r="1365">
          <cell r="K1365">
            <v>166.62018574061645</v>
          </cell>
          <cell r="AJ1365">
            <v>13.189952963047652</v>
          </cell>
        </row>
        <row r="1366">
          <cell r="K1366">
            <v>166.69475028368493</v>
          </cell>
          <cell r="AJ1366">
            <v>13.189952963047652</v>
          </cell>
        </row>
        <row r="1367">
          <cell r="K1367">
            <v>166.7693148267534</v>
          </cell>
          <cell r="AJ1367">
            <v>13.189952963047652</v>
          </cell>
        </row>
        <row r="1368">
          <cell r="K1368">
            <v>166.84387936982188</v>
          </cell>
          <cell r="AJ1368">
            <v>13.189952963047652</v>
          </cell>
        </row>
        <row r="1369">
          <cell r="K1369">
            <v>166.91844391289035</v>
          </cell>
          <cell r="AJ1369">
            <v>13.189952963047652</v>
          </cell>
        </row>
        <row r="1370">
          <cell r="K1370">
            <v>166.99300845595883</v>
          </cell>
          <cell r="AJ1370">
            <v>13.189952963047652</v>
          </cell>
        </row>
        <row r="1371">
          <cell r="K1371">
            <v>167.06757299902731</v>
          </cell>
          <cell r="AJ1371">
            <v>13.189952963047652</v>
          </cell>
        </row>
        <row r="1372">
          <cell r="K1372">
            <v>167.14213754209578</v>
          </cell>
          <cell r="AJ1372">
            <v>13.189952963047652</v>
          </cell>
        </row>
        <row r="1373">
          <cell r="K1373">
            <v>167.21670208516426</v>
          </cell>
          <cell r="AJ1373">
            <v>13.189952963047652</v>
          </cell>
        </row>
        <row r="1374">
          <cell r="K1374">
            <v>167.29126662823273</v>
          </cell>
          <cell r="AJ1374">
            <v>13.189952963047652</v>
          </cell>
        </row>
        <row r="1375">
          <cell r="K1375">
            <v>167.36583117130121</v>
          </cell>
          <cell r="AJ1375">
            <v>13.189952963047652</v>
          </cell>
        </row>
        <row r="1376">
          <cell r="K1376">
            <v>167.44039571436969</v>
          </cell>
          <cell r="AJ1376">
            <v>13.189952963047652</v>
          </cell>
        </row>
        <row r="1377">
          <cell r="K1377">
            <v>167.51496025743816</v>
          </cell>
          <cell r="AJ1377">
            <v>13.189952963047652</v>
          </cell>
        </row>
        <row r="1378">
          <cell r="K1378">
            <v>167.58952480050664</v>
          </cell>
          <cell r="AJ1378">
            <v>13.189952963047652</v>
          </cell>
        </row>
        <row r="1379">
          <cell r="K1379">
            <v>167.66408934357511</v>
          </cell>
          <cell r="AJ1379">
            <v>13.189952963047652</v>
          </cell>
        </row>
        <row r="1380">
          <cell r="K1380">
            <v>167.73865388664359</v>
          </cell>
          <cell r="AJ1380">
            <v>13.189952963047652</v>
          </cell>
        </row>
        <row r="1381">
          <cell r="K1381">
            <v>167.81321842971207</v>
          </cell>
          <cell r="AJ1381">
            <v>13.189952963047652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5E48-F2EB-4F31-ACEF-A0F41BFB4026}">
  <dimension ref="A1:I95"/>
  <sheetViews>
    <sheetView zoomScale="70" zoomScaleNormal="70" workbookViewId="0">
      <selection activeCell="U45" sqref="U45"/>
    </sheetView>
  </sheetViews>
  <sheetFormatPr defaultRowHeight="15" x14ac:dyDescent="0.25"/>
  <cols>
    <col min="1" max="1" width="9.140625" style="1"/>
    <col min="2" max="9" width="12.7109375" style="1" customWidth="1"/>
    <col min="10" max="16384" width="9.140625" style="1"/>
  </cols>
  <sheetData>
    <row r="1" spans="1:9" ht="24.95" customHeight="1" x14ac:dyDescent="0.25"/>
    <row r="2" spans="1:9" ht="24.95" customHeight="1" x14ac:dyDescent="0.25">
      <c r="B2" s="16" t="s">
        <v>0</v>
      </c>
      <c r="C2" s="16"/>
      <c r="D2" s="16"/>
      <c r="E2" s="16"/>
      <c r="F2" s="16"/>
      <c r="G2" s="16"/>
      <c r="H2" s="16"/>
      <c r="I2" s="16"/>
    </row>
    <row r="3" spans="1:9" ht="24.95" customHeight="1" x14ac:dyDescent="0.25">
      <c r="B3" s="16"/>
      <c r="C3" s="16"/>
      <c r="D3" s="16"/>
      <c r="E3" s="16"/>
      <c r="F3" s="16"/>
      <c r="G3" s="16"/>
      <c r="H3" s="16"/>
      <c r="I3" s="16"/>
    </row>
    <row r="4" spans="1:9" ht="24.95" customHeight="1" x14ac:dyDescent="0.25">
      <c r="A4" s="48" t="s">
        <v>46</v>
      </c>
      <c r="B4" s="15" t="s">
        <v>6</v>
      </c>
      <c r="C4" s="15"/>
      <c r="D4" s="15"/>
      <c r="E4" s="15"/>
      <c r="F4" s="15"/>
      <c r="G4" s="15"/>
      <c r="H4" s="15"/>
      <c r="I4" s="15"/>
    </row>
    <row r="5" spans="1:9" ht="24.95" customHeight="1" x14ac:dyDescent="0.25">
      <c r="A5" s="48" t="s">
        <v>47</v>
      </c>
      <c r="B5" s="15"/>
      <c r="C5" s="15"/>
      <c r="D5" s="15"/>
      <c r="E5" s="15"/>
      <c r="F5" s="15"/>
      <c r="G5" s="15"/>
      <c r="H5" s="15"/>
      <c r="I5" s="15"/>
    </row>
    <row r="6" spans="1:9" ht="24.95" customHeight="1" x14ac:dyDescent="0.25">
      <c r="B6" s="14" t="s">
        <v>1</v>
      </c>
      <c r="C6" s="14"/>
      <c r="D6" s="14"/>
      <c r="E6" s="14"/>
      <c r="F6" s="14" t="s">
        <v>39</v>
      </c>
      <c r="G6" s="14"/>
      <c r="H6" s="14"/>
      <c r="I6" s="14"/>
    </row>
    <row r="7" spans="1:9" ht="24.95" customHeight="1" x14ac:dyDescent="0.25">
      <c r="B7" s="14"/>
      <c r="C7" s="14"/>
      <c r="D7" s="14"/>
      <c r="E7" s="14"/>
      <c r="F7" s="14"/>
      <c r="G7" s="14"/>
      <c r="H7" s="14"/>
      <c r="I7" s="14"/>
    </row>
    <row r="8" spans="1:9" ht="24.95" customHeight="1" x14ac:dyDescent="0.25">
      <c r="B8" s="14" t="s">
        <v>40</v>
      </c>
      <c r="C8" s="14"/>
      <c r="D8" s="14"/>
      <c r="E8" s="14"/>
      <c r="F8" s="14">
        <v>18</v>
      </c>
      <c r="G8" s="14"/>
      <c r="H8" s="14"/>
      <c r="I8" s="14"/>
    </row>
    <row r="9" spans="1:9" ht="24.95" customHeight="1" x14ac:dyDescent="0.25">
      <c r="B9" s="14" t="s">
        <v>2</v>
      </c>
      <c r="C9" s="14"/>
      <c r="D9" s="14"/>
      <c r="E9" s="14"/>
      <c r="F9" s="14">
        <f>F8/1.341</f>
        <v>13.422818791946309</v>
      </c>
      <c r="G9" s="14"/>
      <c r="H9" s="14"/>
      <c r="I9" s="14"/>
    </row>
    <row r="10" spans="1:9" ht="24.95" customHeight="1" x14ac:dyDescent="0.25">
      <c r="B10" s="14" t="s">
        <v>41</v>
      </c>
      <c r="C10" s="14"/>
      <c r="D10" s="14"/>
      <c r="E10" s="14"/>
      <c r="F10" s="14">
        <v>22</v>
      </c>
      <c r="G10" s="14"/>
      <c r="H10" s="14"/>
      <c r="I10" s="14"/>
    </row>
    <row r="11" spans="1:9" ht="24.95" customHeight="1" x14ac:dyDescent="0.25">
      <c r="B11" s="14" t="s">
        <v>4</v>
      </c>
      <c r="C11" s="14"/>
      <c r="D11" s="14"/>
      <c r="E11" s="14"/>
      <c r="F11" s="14">
        <v>30</v>
      </c>
      <c r="G11" s="14"/>
      <c r="H11" s="14"/>
      <c r="I11" s="14"/>
    </row>
    <row r="12" spans="1:9" ht="24.95" customHeight="1" x14ac:dyDescent="0.25">
      <c r="B12" s="14" t="s">
        <v>5</v>
      </c>
      <c r="C12" s="14"/>
      <c r="D12" s="14"/>
      <c r="E12" s="14"/>
      <c r="F12" s="14">
        <f>F11/2.237</f>
        <v>13.410818059901654</v>
      </c>
      <c r="G12" s="14"/>
      <c r="H12" s="14"/>
      <c r="I12" s="14"/>
    </row>
    <row r="13" spans="1:9" ht="24.95" customHeight="1" x14ac:dyDescent="0.25">
      <c r="B13" s="15" t="s">
        <v>7</v>
      </c>
      <c r="C13" s="15"/>
      <c r="D13" s="15"/>
      <c r="E13" s="15"/>
      <c r="F13" s="15"/>
      <c r="G13" s="15"/>
      <c r="H13" s="15"/>
      <c r="I13" s="15"/>
    </row>
    <row r="14" spans="1:9" ht="24.95" customHeight="1" x14ac:dyDescent="0.25">
      <c r="B14" s="15"/>
      <c r="C14" s="15"/>
      <c r="D14" s="15"/>
      <c r="E14" s="15"/>
      <c r="F14" s="15"/>
      <c r="G14" s="15"/>
      <c r="H14" s="15"/>
      <c r="I14" s="15"/>
    </row>
    <row r="15" spans="1:9" ht="24.95" customHeight="1" x14ac:dyDescent="0.25">
      <c r="B15" s="14" t="s">
        <v>8</v>
      </c>
      <c r="C15" s="14"/>
      <c r="D15" s="14"/>
      <c r="E15" s="14"/>
      <c r="F15" s="14" t="s">
        <v>42</v>
      </c>
      <c r="G15" s="14"/>
      <c r="H15" s="14"/>
      <c r="I15" s="14"/>
    </row>
    <row r="16" spans="1:9" ht="24.95" customHeight="1" x14ac:dyDescent="0.25">
      <c r="B16" s="14" t="s">
        <v>9</v>
      </c>
      <c r="C16" s="14"/>
      <c r="D16" s="14"/>
      <c r="E16" s="14"/>
      <c r="F16" s="14" t="s">
        <v>43</v>
      </c>
      <c r="G16" s="14"/>
      <c r="H16" s="14"/>
      <c r="I16" s="14"/>
    </row>
    <row r="17" spans="2:9" ht="24.95" customHeight="1" x14ac:dyDescent="0.25">
      <c r="B17" s="14" t="s">
        <v>10</v>
      </c>
      <c r="C17" s="14"/>
      <c r="D17" s="14"/>
      <c r="E17" s="14"/>
      <c r="F17" s="14" t="s">
        <v>44</v>
      </c>
      <c r="G17" s="14"/>
      <c r="H17" s="14"/>
      <c r="I17" s="14"/>
    </row>
    <row r="18" spans="2:9" ht="24.95" customHeight="1" x14ac:dyDescent="0.25">
      <c r="B18" s="14" t="s">
        <v>19</v>
      </c>
      <c r="C18" s="14"/>
      <c r="D18" s="14"/>
      <c r="E18" s="14"/>
      <c r="F18" s="14">
        <v>29</v>
      </c>
      <c r="G18" s="14"/>
      <c r="H18" s="14"/>
      <c r="I18" s="14"/>
    </row>
    <row r="19" spans="2:9" ht="24.95" customHeight="1" x14ac:dyDescent="0.25">
      <c r="B19" s="15" t="s">
        <v>11</v>
      </c>
      <c r="C19" s="15"/>
      <c r="D19" s="15"/>
      <c r="E19" s="15"/>
      <c r="F19" s="15"/>
      <c r="G19" s="15"/>
      <c r="H19" s="15"/>
      <c r="I19" s="15"/>
    </row>
    <row r="20" spans="2:9" ht="24.95" customHeight="1" x14ac:dyDescent="0.25">
      <c r="B20" s="15"/>
      <c r="C20" s="15"/>
      <c r="D20" s="15"/>
      <c r="E20" s="15"/>
      <c r="F20" s="15"/>
      <c r="G20" s="15"/>
      <c r="H20" s="15"/>
      <c r="I20" s="15"/>
    </row>
    <row r="21" spans="2:9" ht="24.95" customHeight="1" x14ac:dyDescent="0.25">
      <c r="B21" s="14" t="s">
        <v>20</v>
      </c>
      <c r="C21" s="14"/>
      <c r="D21" s="14"/>
      <c r="E21" s="14"/>
      <c r="F21" s="14">
        <v>2.62</v>
      </c>
      <c r="G21" s="14"/>
      <c r="H21" s="14"/>
      <c r="I21" s="14"/>
    </row>
    <row r="22" spans="2:9" ht="24.95" customHeight="1" x14ac:dyDescent="0.25">
      <c r="B22" s="14" t="s">
        <v>21</v>
      </c>
      <c r="C22" s="14"/>
      <c r="D22" s="14"/>
      <c r="E22" s="14"/>
      <c r="F22" s="14">
        <v>1.65</v>
      </c>
      <c r="G22" s="14"/>
      <c r="H22" s="14"/>
      <c r="I22" s="14"/>
    </row>
    <row r="23" spans="2:9" ht="24.95" customHeight="1" x14ac:dyDescent="0.25">
      <c r="B23" s="14" t="s">
        <v>22</v>
      </c>
      <c r="C23" s="14"/>
      <c r="D23" s="14"/>
      <c r="E23" s="14"/>
      <c r="F23" s="14">
        <v>1.62</v>
      </c>
      <c r="G23" s="14"/>
      <c r="H23" s="14"/>
      <c r="I23" s="14"/>
    </row>
    <row r="24" spans="2:9" ht="24.95" customHeight="1" x14ac:dyDescent="0.25">
      <c r="B24" s="14" t="s">
        <v>23</v>
      </c>
      <c r="C24" s="14"/>
      <c r="D24" s="14"/>
      <c r="E24" s="14"/>
      <c r="F24" s="14">
        <v>0.3</v>
      </c>
      <c r="G24" s="14"/>
      <c r="H24" s="14"/>
      <c r="I24" s="14"/>
    </row>
    <row r="25" spans="2:9" ht="24.95" customHeight="1" x14ac:dyDescent="0.25">
      <c r="B25" s="14" t="s">
        <v>24</v>
      </c>
      <c r="C25" s="14"/>
      <c r="D25" s="14"/>
      <c r="E25" s="14"/>
      <c r="F25" s="14">
        <f>0.7*F22*F23</f>
        <v>1.8710999999999998</v>
      </c>
      <c r="G25" s="14"/>
      <c r="H25" s="14"/>
      <c r="I25" s="14"/>
    </row>
    <row r="26" spans="2:9" ht="24.95" customHeight="1" x14ac:dyDescent="0.25">
      <c r="B26" s="14" t="s">
        <v>25</v>
      </c>
      <c r="C26" s="14"/>
      <c r="D26" s="14"/>
      <c r="E26" s="14"/>
      <c r="F26" s="14">
        <f>(F23-F24)*F22</f>
        <v>2.1779999999999999</v>
      </c>
      <c r="G26" s="14"/>
      <c r="H26" s="14"/>
      <c r="I26" s="14"/>
    </row>
    <row r="27" spans="2:9" ht="24.95" customHeight="1" x14ac:dyDescent="0.25">
      <c r="B27" s="14" t="s">
        <v>12</v>
      </c>
      <c r="C27" s="14"/>
      <c r="D27" s="14"/>
      <c r="E27" s="14"/>
      <c r="F27" s="14" t="s">
        <v>45</v>
      </c>
      <c r="G27" s="14"/>
      <c r="H27" s="14"/>
      <c r="I27" s="14"/>
    </row>
    <row r="28" spans="2:9" ht="24.95" customHeight="1" x14ac:dyDescent="0.25">
      <c r="B28" s="15" t="s">
        <v>13</v>
      </c>
      <c r="C28" s="15"/>
      <c r="D28" s="15"/>
      <c r="E28" s="15"/>
      <c r="F28" s="15"/>
      <c r="G28" s="15"/>
      <c r="H28" s="15"/>
      <c r="I28" s="15"/>
    </row>
    <row r="29" spans="2:9" ht="24.95" customHeight="1" x14ac:dyDescent="0.25">
      <c r="B29" s="15"/>
      <c r="C29" s="15"/>
      <c r="D29" s="15"/>
      <c r="E29" s="15"/>
      <c r="F29" s="15"/>
      <c r="G29" s="15"/>
      <c r="H29" s="15"/>
      <c r="I29" s="15"/>
    </row>
    <row r="30" spans="2:9" ht="24.95" customHeight="1" x14ac:dyDescent="0.25">
      <c r="B30" s="14" t="s">
        <v>26</v>
      </c>
      <c r="C30" s="14"/>
      <c r="D30" s="14"/>
      <c r="E30" s="14"/>
      <c r="F30" s="14">
        <v>365</v>
      </c>
      <c r="G30" s="14"/>
      <c r="H30" s="14"/>
      <c r="I30" s="14"/>
    </row>
    <row r="31" spans="2:9" ht="24.95" customHeight="1" x14ac:dyDescent="0.25">
      <c r="B31" s="14" t="s">
        <v>27</v>
      </c>
      <c r="C31" s="14"/>
      <c r="D31" s="14"/>
      <c r="E31" s="14"/>
      <c r="F31" s="14">
        <v>75</v>
      </c>
      <c r="G31" s="14"/>
      <c r="H31" s="14"/>
      <c r="I31" s="14"/>
    </row>
    <row r="32" spans="2:9" ht="24.95" customHeight="1" x14ac:dyDescent="0.25">
      <c r="B32" s="14" t="s">
        <v>28</v>
      </c>
      <c r="C32" s="14"/>
      <c r="D32" s="14"/>
      <c r="E32" s="14"/>
      <c r="F32" s="14">
        <v>10</v>
      </c>
      <c r="G32" s="14"/>
      <c r="H32" s="14"/>
      <c r="I32" s="14"/>
    </row>
    <row r="33" spans="2:9" ht="24.95" customHeight="1" x14ac:dyDescent="0.25">
      <c r="B33" s="14" t="s">
        <v>14</v>
      </c>
      <c r="C33" s="14"/>
      <c r="D33" s="14"/>
      <c r="E33" s="14"/>
      <c r="F33" s="14" t="s">
        <v>46</v>
      </c>
      <c r="G33" s="14"/>
      <c r="H33" s="14"/>
      <c r="I33" s="14"/>
    </row>
    <row r="34" spans="2:9" ht="24.95" customHeight="1" x14ac:dyDescent="0.25">
      <c r="B34" s="14" t="s">
        <v>29</v>
      </c>
      <c r="C34" s="14"/>
      <c r="D34" s="14"/>
      <c r="E34" s="14"/>
      <c r="F34" s="14">
        <f>IF(F33=A4, 75, 0)</f>
        <v>75</v>
      </c>
      <c r="G34" s="14"/>
      <c r="H34" s="14"/>
      <c r="I34" s="14"/>
    </row>
    <row r="35" spans="2:9" ht="24.95" customHeight="1" x14ac:dyDescent="0.25">
      <c r="B35" s="14" t="s">
        <v>30</v>
      </c>
      <c r="C35" s="14"/>
      <c r="D35" s="14"/>
      <c r="E35" s="14"/>
      <c r="F35" s="14">
        <f>IF(F33=A4, 10, 0)</f>
        <v>10</v>
      </c>
      <c r="G35" s="14"/>
      <c r="H35" s="14"/>
      <c r="I35" s="14"/>
    </row>
    <row r="36" spans="2:9" ht="24.95" customHeight="1" x14ac:dyDescent="0.25">
      <c r="B36" s="14" t="s">
        <v>15</v>
      </c>
      <c r="C36" s="14"/>
      <c r="D36" s="14"/>
      <c r="E36" s="14"/>
      <c r="F36" s="14">
        <v>29</v>
      </c>
      <c r="G36" s="14"/>
      <c r="H36" s="14"/>
      <c r="I36" s="14"/>
    </row>
    <row r="37" spans="2:9" ht="24.95" customHeight="1" x14ac:dyDescent="0.25">
      <c r="B37" s="14" t="s">
        <v>16</v>
      </c>
      <c r="C37" s="14"/>
      <c r="D37" s="14"/>
      <c r="E37" s="14"/>
      <c r="F37" s="14">
        <f>F36*0.7</f>
        <v>20.299999999999997</v>
      </c>
      <c r="G37" s="14"/>
      <c r="H37" s="14"/>
      <c r="I37" s="14"/>
    </row>
    <row r="38" spans="2:9" ht="24.95" customHeight="1" x14ac:dyDescent="0.25">
      <c r="B38" s="14" t="s">
        <v>17</v>
      </c>
      <c r="C38" s="14"/>
      <c r="D38" s="14"/>
      <c r="E38" s="14"/>
      <c r="F38" s="14">
        <f>SUM(F30:I37)</f>
        <v>584.29999999999995</v>
      </c>
      <c r="G38" s="14"/>
      <c r="H38" s="14"/>
      <c r="I38" s="14"/>
    </row>
    <row r="39" spans="2:9" ht="24.95" customHeight="1" x14ac:dyDescent="0.25">
      <c r="B39" s="15" t="s">
        <v>18</v>
      </c>
      <c r="C39" s="15"/>
      <c r="D39" s="15"/>
      <c r="E39" s="15"/>
      <c r="F39" s="15"/>
      <c r="G39" s="15"/>
      <c r="H39" s="15"/>
      <c r="I39" s="15"/>
    </row>
    <row r="40" spans="2:9" ht="24.95" customHeight="1" x14ac:dyDescent="0.25">
      <c r="B40" s="15"/>
      <c r="C40" s="15"/>
      <c r="D40" s="15"/>
      <c r="E40" s="15"/>
      <c r="F40" s="15"/>
      <c r="G40" s="15"/>
      <c r="H40" s="15"/>
      <c r="I40" s="15"/>
    </row>
    <row r="41" spans="2:9" ht="24.95" customHeight="1" x14ac:dyDescent="0.25">
      <c r="B41" s="14" t="s">
        <v>31</v>
      </c>
      <c r="C41" s="14"/>
      <c r="D41" s="14"/>
      <c r="E41" s="14"/>
      <c r="F41" s="14">
        <v>12</v>
      </c>
      <c r="G41" s="14"/>
      <c r="H41" s="14"/>
      <c r="I41" s="14"/>
    </row>
    <row r="42" spans="2:9" ht="24.95" customHeight="1" x14ac:dyDescent="0.25">
      <c r="B42" s="14" t="s">
        <v>32</v>
      </c>
      <c r="C42" s="14"/>
      <c r="D42" s="14"/>
      <c r="E42" s="14"/>
      <c r="F42" s="14">
        <f>F41/39.37</f>
        <v>0.30480060960121924</v>
      </c>
      <c r="G42" s="14"/>
      <c r="H42" s="14"/>
      <c r="I42" s="14"/>
    </row>
    <row r="43" spans="2:9" ht="24.95" customHeight="1" x14ac:dyDescent="0.25">
      <c r="B43" s="14" t="s">
        <v>33</v>
      </c>
      <c r="C43" s="14"/>
      <c r="D43" s="14"/>
      <c r="E43" s="14"/>
      <c r="F43" s="14">
        <v>0.15240000000000001</v>
      </c>
      <c r="G43" s="14"/>
      <c r="H43" s="14"/>
      <c r="I43" s="14"/>
    </row>
    <row r="44" spans="2:9" ht="24.95" customHeight="1" x14ac:dyDescent="0.25">
      <c r="B44" s="14" t="s">
        <v>34</v>
      </c>
      <c r="C44" s="14"/>
      <c r="D44" s="14"/>
      <c r="E44" s="14"/>
      <c r="F44" s="14">
        <v>10</v>
      </c>
      <c r="G44" s="14"/>
      <c r="H44" s="14"/>
      <c r="I44" s="14"/>
    </row>
    <row r="45" spans="2:9" ht="24.95" customHeight="1" x14ac:dyDescent="0.25">
      <c r="B45" s="14" t="s">
        <v>35</v>
      </c>
      <c r="C45" s="14"/>
      <c r="D45" s="14"/>
      <c r="E45" s="14"/>
      <c r="F45" s="14">
        <f>F44/39.37</f>
        <v>0.25400050800101603</v>
      </c>
      <c r="G45" s="14"/>
      <c r="H45" s="14"/>
      <c r="I45" s="14"/>
    </row>
    <row r="46" spans="2:9" ht="24.95" customHeight="1" x14ac:dyDescent="0.25">
      <c r="B46" s="14" t="s">
        <v>36</v>
      </c>
      <c r="C46" s="14"/>
      <c r="D46" s="14"/>
      <c r="E46" s="14"/>
      <c r="F46" s="14">
        <v>0.13969999999999999</v>
      </c>
      <c r="G46" s="14"/>
      <c r="H46" s="14"/>
      <c r="I46" s="14"/>
    </row>
    <row r="47" spans="2:9" ht="24.95" customHeight="1" x14ac:dyDescent="0.25">
      <c r="B47" s="14" t="s">
        <v>37</v>
      </c>
      <c r="C47" s="14"/>
      <c r="D47" s="14"/>
      <c r="E47" s="14"/>
      <c r="F47" s="14">
        <f>F45/2+F46</f>
        <v>0.26670025400050801</v>
      </c>
      <c r="G47" s="14"/>
      <c r="H47" s="14"/>
      <c r="I47" s="14"/>
    </row>
    <row r="48" spans="2:9" ht="24.95" customHeight="1" x14ac:dyDescent="0.25">
      <c r="B48" s="14" t="s">
        <v>38</v>
      </c>
      <c r="C48" s="14"/>
      <c r="D48" s="14"/>
      <c r="E48" s="14"/>
      <c r="F48" s="14">
        <f>F47*2*PI()</f>
        <v>1.6757271173570556</v>
      </c>
      <c r="G48" s="14"/>
      <c r="H48" s="14"/>
      <c r="I48" s="14"/>
    </row>
    <row r="49" spans="2:9" ht="24.95" customHeight="1" x14ac:dyDescent="0.25">
      <c r="B49" s="15" t="s">
        <v>48</v>
      </c>
      <c r="C49" s="15"/>
      <c r="D49" s="15"/>
      <c r="E49" s="15"/>
      <c r="F49" s="15"/>
      <c r="G49" s="15"/>
      <c r="H49" s="15"/>
      <c r="I49" s="15"/>
    </row>
    <row r="50" spans="2:9" ht="24.95" customHeight="1" x14ac:dyDescent="0.25">
      <c r="B50" s="15"/>
      <c r="C50" s="15"/>
      <c r="D50" s="15"/>
      <c r="E50" s="15"/>
      <c r="F50" s="15"/>
      <c r="G50" s="15"/>
      <c r="H50" s="15"/>
      <c r="I50" s="15"/>
    </row>
    <row r="51" spans="2:9" ht="24.95" customHeight="1" x14ac:dyDescent="0.25">
      <c r="B51" s="14" t="s">
        <v>49</v>
      </c>
      <c r="C51" s="14"/>
      <c r="D51" s="14"/>
      <c r="E51" s="14"/>
      <c r="F51" s="14">
        <v>0.35</v>
      </c>
      <c r="G51" s="14"/>
      <c r="H51" s="14"/>
      <c r="I51" s="14"/>
    </row>
    <row r="52" spans="2:9" ht="24.95" customHeight="1" x14ac:dyDescent="0.25">
      <c r="B52" s="14" t="s">
        <v>62</v>
      </c>
      <c r="C52" s="14"/>
      <c r="D52" s="14"/>
      <c r="E52" s="14"/>
      <c r="F52" s="14">
        <v>0.95</v>
      </c>
      <c r="G52" s="14"/>
      <c r="H52" s="14"/>
      <c r="I52" s="14"/>
    </row>
    <row r="53" spans="2:9" ht="24.95" customHeight="1" x14ac:dyDescent="0.25">
      <c r="B53" s="14" t="s">
        <v>63</v>
      </c>
      <c r="C53" s="14"/>
      <c r="D53" s="14"/>
      <c r="E53" s="14"/>
      <c r="F53" s="14">
        <v>0.17</v>
      </c>
      <c r="G53" s="14"/>
      <c r="H53" s="14"/>
      <c r="I53" s="14"/>
    </row>
    <row r="54" spans="2:9" ht="24.95" customHeight="1" x14ac:dyDescent="0.25"/>
    <row r="55" spans="2:9" ht="24.95" customHeight="1" x14ac:dyDescent="0.25"/>
    <row r="56" spans="2:9" ht="24.95" customHeight="1" x14ac:dyDescent="0.25"/>
    <row r="57" spans="2:9" ht="24.95" customHeight="1" x14ac:dyDescent="0.25"/>
    <row r="58" spans="2:9" ht="24.95" customHeight="1" x14ac:dyDescent="0.25"/>
    <row r="59" spans="2:9" ht="24.95" customHeight="1" x14ac:dyDescent="0.25"/>
    <row r="60" spans="2:9" ht="24.95" customHeight="1" x14ac:dyDescent="0.25"/>
    <row r="61" spans="2:9" ht="24.95" customHeight="1" x14ac:dyDescent="0.25"/>
    <row r="62" spans="2:9" ht="24.95" customHeight="1" x14ac:dyDescent="0.25"/>
    <row r="63" spans="2:9" ht="24.95" customHeight="1" x14ac:dyDescent="0.25"/>
    <row r="64" spans="2:9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</sheetData>
  <mergeCells count="81">
    <mergeCell ref="B2:I3"/>
    <mergeCell ref="F6:I7"/>
    <mergeCell ref="B4:I5"/>
    <mergeCell ref="B13:I14"/>
    <mergeCell ref="B15:E15"/>
    <mergeCell ref="B16:E16"/>
    <mergeCell ref="F16:I16"/>
    <mergeCell ref="B9:E9"/>
    <mergeCell ref="B10:E10"/>
    <mergeCell ref="B8:E8"/>
    <mergeCell ref="B6:E7"/>
    <mergeCell ref="B17:E17"/>
    <mergeCell ref="B25:E25"/>
    <mergeCell ref="B26:E26"/>
    <mergeCell ref="B11:E11"/>
    <mergeCell ref="B12:E12"/>
    <mergeCell ref="B21:E21"/>
    <mergeCell ref="B22:E22"/>
    <mergeCell ref="B23:E23"/>
    <mergeCell ref="B24:E24"/>
    <mergeCell ref="B27:E27"/>
    <mergeCell ref="F15:I15"/>
    <mergeCell ref="B38:E38"/>
    <mergeCell ref="B39:I40"/>
    <mergeCell ref="B41:E41"/>
    <mergeCell ref="B42:E42"/>
    <mergeCell ref="B33:E33"/>
    <mergeCell ref="B34:E34"/>
    <mergeCell ref="B35:E35"/>
    <mergeCell ref="B36:E36"/>
    <mergeCell ref="B37:E37"/>
    <mergeCell ref="B19:I20"/>
    <mergeCell ref="B18:E18"/>
    <mergeCell ref="B28:I29"/>
    <mergeCell ref="B30:E30"/>
    <mergeCell ref="B31:E31"/>
    <mergeCell ref="B32:E32"/>
    <mergeCell ref="F8:I8"/>
    <mergeCell ref="F9:I9"/>
    <mergeCell ref="F10:I10"/>
    <mergeCell ref="F11:I11"/>
    <mergeCell ref="F12:I12"/>
    <mergeCell ref="F36:I36"/>
    <mergeCell ref="F17:I17"/>
    <mergeCell ref="F18:I18"/>
    <mergeCell ref="F21:I21"/>
    <mergeCell ref="F22:I22"/>
    <mergeCell ref="F23:I23"/>
    <mergeCell ref="F24:I24"/>
    <mergeCell ref="F25:I25"/>
    <mergeCell ref="F26:I26"/>
    <mergeCell ref="F27:I27"/>
    <mergeCell ref="F30:I30"/>
    <mergeCell ref="F31:I31"/>
    <mergeCell ref="F32:I32"/>
    <mergeCell ref="F33:I33"/>
    <mergeCell ref="F34:I34"/>
    <mergeCell ref="F35:I35"/>
    <mergeCell ref="B53:E53"/>
    <mergeCell ref="F53:I53"/>
    <mergeCell ref="F37:I37"/>
    <mergeCell ref="F38:I38"/>
    <mergeCell ref="F41:I41"/>
    <mergeCell ref="F42:I42"/>
    <mergeCell ref="F43:I43"/>
    <mergeCell ref="F44:I44"/>
    <mergeCell ref="B45:E45"/>
    <mergeCell ref="B46:E46"/>
    <mergeCell ref="B47:E47"/>
    <mergeCell ref="B48:E48"/>
    <mergeCell ref="B43:E43"/>
    <mergeCell ref="B44:E44"/>
    <mergeCell ref="B51:E51"/>
    <mergeCell ref="F51:I51"/>
    <mergeCell ref="B52:E52"/>
    <mergeCell ref="F52:I52"/>
    <mergeCell ref="F45:I45"/>
    <mergeCell ref="F46:I46"/>
    <mergeCell ref="F47:I47"/>
    <mergeCell ref="F48:I48"/>
    <mergeCell ref="B49:I50"/>
  </mergeCells>
  <dataValidations count="1">
    <dataValidation type="list" allowBlank="1" showInputMessage="1" showErrorMessage="1" sqref="F33:I33" xr:uid="{6EA8E6A0-4C49-46C1-880D-5CA516804B1B}">
      <formula1>$A$4:$A$5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B309F-4290-4AFC-8363-B606BAA28227}">
  <dimension ref="B1:U32"/>
  <sheetViews>
    <sheetView zoomScale="70" zoomScaleNormal="70" workbookViewId="0">
      <selection activeCell="M56" sqref="M56"/>
    </sheetView>
  </sheetViews>
  <sheetFormatPr defaultColWidth="15.7109375" defaultRowHeight="24.95" customHeight="1" x14ac:dyDescent="0.25"/>
  <cols>
    <col min="1" max="1" width="15.7109375" style="5"/>
    <col min="2" max="4" width="20.7109375" style="5" customWidth="1"/>
    <col min="5" max="12" width="15.7109375" style="5"/>
    <col min="13" max="21" width="28.7109375" style="5" customWidth="1"/>
    <col min="22" max="16384" width="15.7109375" style="5"/>
  </cols>
  <sheetData>
    <row r="1" spans="2:21" ht="24.95" customHeight="1" thickBot="1" x14ac:dyDescent="0.3"/>
    <row r="2" spans="2:21" ht="24.95" customHeight="1" x14ac:dyDescent="0.25">
      <c r="B2" s="17" t="s">
        <v>53</v>
      </c>
      <c r="C2" s="17"/>
      <c r="D2" s="17"/>
      <c r="H2" s="19" t="s">
        <v>51</v>
      </c>
      <c r="I2" s="19"/>
      <c r="J2" s="4" t="s">
        <v>52</v>
      </c>
      <c r="K2" s="12" t="s">
        <v>3</v>
      </c>
      <c r="L2" s="3" t="s">
        <v>50</v>
      </c>
      <c r="M2" s="11" t="s">
        <v>59</v>
      </c>
      <c r="N2" s="11" t="s">
        <v>60</v>
      </c>
      <c r="O2" s="11" t="s">
        <v>61</v>
      </c>
      <c r="P2" s="11" t="s">
        <v>73</v>
      </c>
      <c r="Q2" s="11" t="s">
        <v>74</v>
      </c>
      <c r="R2" s="11" t="s">
        <v>75</v>
      </c>
      <c r="S2" s="11" t="s">
        <v>76</v>
      </c>
      <c r="T2" s="11" t="s">
        <v>77</v>
      </c>
      <c r="U2" s="11" t="s">
        <v>78</v>
      </c>
    </row>
    <row r="3" spans="2:21" ht="24.95" customHeight="1" x14ac:dyDescent="0.25">
      <c r="B3" s="17"/>
      <c r="C3" s="17"/>
      <c r="D3" s="17"/>
      <c r="H3" s="18">
        <v>0.75</v>
      </c>
      <c r="I3" s="18"/>
      <c r="J3" s="6">
        <f>H3*0.7457*1000</f>
        <v>559.27499999999998</v>
      </c>
      <c r="K3" s="13">
        <f>(J3)/((2*PI()*L3)/60)</f>
        <v>7.1209104638175811</v>
      </c>
      <c r="L3" s="8">
        <v>750</v>
      </c>
      <c r="M3" s="2">
        <f>(((L3/($D$5*$D$7*$D$13)*$B$32)) /(60))*2.24*0.44704</f>
        <v>0.80373645286874096</v>
      </c>
      <c r="N3" s="2">
        <f>(((L3/($D$5*$D$9*$D$13)*$B$32)) /(60))*2.24*0.44704</f>
        <v>1.1776756133733097</v>
      </c>
      <c r="O3" s="2">
        <f>(((L3/($D$5*$D$11*$D$13)*$B$32)) /(60))*2.24*0.44704</f>
        <v>1.5360986261390994</v>
      </c>
      <c r="P3" s="2">
        <f>M3*2.237</f>
        <v>1.7979584450673736</v>
      </c>
      <c r="Q3" s="2">
        <f t="shared" ref="Q3:R18" si="0">N3*2.237</f>
        <v>2.6344603471160939</v>
      </c>
      <c r="R3" s="2">
        <f t="shared" si="0"/>
        <v>3.4362526266731654</v>
      </c>
      <c r="S3" s="2">
        <f>(($H3*0.746)*1000)/M3</f>
        <v>696.12370821679349</v>
      </c>
      <c r="T3" s="2">
        <f>(($H3*0.746)*1000)/N3</f>
        <v>475.08838057483399</v>
      </c>
      <c r="U3" s="2">
        <f>(($H3*0.746)*1000)/O3</f>
        <v>364.23442510737277</v>
      </c>
    </row>
    <row r="4" spans="2:21" ht="24.95" customHeight="1" x14ac:dyDescent="0.25">
      <c r="B4" s="17" t="s">
        <v>54</v>
      </c>
      <c r="C4" s="17"/>
      <c r="D4" s="11" t="s">
        <v>64</v>
      </c>
      <c r="H4" s="18">
        <f>H3+0.75</f>
        <v>1.5</v>
      </c>
      <c r="I4" s="18"/>
      <c r="J4" s="6">
        <f t="shared" ref="J4:J26" si="1">H4*0.7457*1000</f>
        <v>1118.55</v>
      </c>
      <c r="K4" s="13">
        <f>(J4)/((2*PI()*L4)/60)</f>
        <v>10.681365695726372</v>
      </c>
      <c r="L4" s="8">
        <f>L3+250</f>
        <v>1000</v>
      </c>
      <c r="M4" s="2">
        <f>(((L4/($D$5*$D$7*$D$13)*$B$32)) /(60))*2.24*0.44704</f>
        <v>1.0716486038249879</v>
      </c>
      <c r="N4" s="2">
        <f>(((L4/($D$5*$D$9*$D$13)*$B$32)) /(60))*2.24*0.44704</f>
        <v>1.5702341511644131</v>
      </c>
      <c r="O4" s="2">
        <f>(((L4/($D$5*$D$11*$D$13)*$B$32)) /(60))*2.24*0.44704</f>
        <v>2.0481315015187991</v>
      </c>
      <c r="P4" s="2">
        <f t="shared" ref="P4:P28" si="2">M4*2.237</f>
        <v>2.3972779267564981</v>
      </c>
      <c r="Q4" s="2">
        <f t="shared" si="0"/>
        <v>3.5126137961547923</v>
      </c>
      <c r="R4" s="2">
        <f t="shared" si="0"/>
        <v>4.5816701688975536</v>
      </c>
      <c r="S4" s="2">
        <f>(($H4*0.746)*1000)/M4</f>
        <v>1044.1855623251902</v>
      </c>
      <c r="T4" s="2">
        <f>(($H4*0.746)*1000)/N4</f>
        <v>712.63257086225087</v>
      </c>
      <c r="U4" s="2">
        <f>(($H4*0.746)*1000)/O4</f>
        <v>546.35163766105916</v>
      </c>
    </row>
    <row r="5" spans="2:21" ht="24.95" customHeight="1" x14ac:dyDescent="0.25">
      <c r="B5" s="2">
        <v>28</v>
      </c>
      <c r="C5" s="2">
        <v>94</v>
      </c>
      <c r="D5" s="2">
        <f>C5/B5</f>
        <v>3.3571428571428572</v>
      </c>
      <c r="H5" s="18">
        <f t="shared" ref="H5:H26" si="3">H4+0.75</f>
        <v>2.25</v>
      </c>
      <c r="I5" s="18"/>
      <c r="J5" s="6">
        <f t="shared" si="1"/>
        <v>1677.825</v>
      </c>
      <c r="K5" s="13">
        <f>(J5)/((2*PI()*L5)/60)</f>
        <v>12.817638834871646</v>
      </c>
      <c r="L5" s="8">
        <f t="shared" ref="L5:L28" si="4">L4+250</f>
        <v>1250</v>
      </c>
      <c r="M5" s="2">
        <f>(((L5/($D$5*$D$7*$D$13)*$B$32)) /(60))*2.24*0.44704</f>
        <v>1.3395607547812349</v>
      </c>
      <c r="N5" s="2">
        <f>(((L5/($D$5*$D$9*$D$13)*$B$32)) /(60))*2.24*0.44704</f>
        <v>1.9627926889555163</v>
      </c>
      <c r="O5" s="2">
        <f>(((L5/($D$5*$D$11*$D$13)*$B$32)) /(60))*2.24*0.44704</f>
        <v>2.5601643768984994</v>
      </c>
      <c r="P5" s="2">
        <f t="shared" si="2"/>
        <v>2.9965974084456226</v>
      </c>
      <c r="Q5" s="2">
        <f t="shared" si="0"/>
        <v>4.3907672451934898</v>
      </c>
      <c r="R5" s="2">
        <f t="shared" si="0"/>
        <v>5.7270877111219436</v>
      </c>
      <c r="S5" s="2">
        <f>(($H5*0.746)*1000)/M5</f>
        <v>1253.0226747902282</v>
      </c>
      <c r="T5" s="2">
        <f>(($H5*0.746)*1000)/N5</f>
        <v>855.15908503470109</v>
      </c>
      <c r="U5" s="2">
        <f>(($H5*0.746)*1000)/O5</f>
        <v>655.62196519327085</v>
      </c>
    </row>
    <row r="6" spans="2:21" ht="24.95" customHeight="1" x14ac:dyDescent="0.25">
      <c r="B6" s="17" t="s">
        <v>55</v>
      </c>
      <c r="C6" s="17"/>
      <c r="D6" s="10"/>
      <c r="H6" s="18">
        <f t="shared" si="3"/>
        <v>3</v>
      </c>
      <c r="I6" s="18"/>
      <c r="J6" s="6">
        <f t="shared" si="1"/>
        <v>2237.1</v>
      </c>
      <c r="K6" s="13">
        <f>(J6)/((2*PI()*L6)/60)</f>
        <v>14.241820927635162</v>
      </c>
      <c r="L6" s="8">
        <f t="shared" si="4"/>
        <v>1500</v>
      </c>
      <c r="M6" s="2">
        <f>(((L6/($D$5*$D$7*$D$13)*$B$32)) /(60))*2.24*0.44704</f>
        <v>1.6074729057374819</v>
      </c>
      <c r="N6" s="2">
        <f>(((L6/($D$5*$D$9*$D$13)*$B$32)) /(60))*2.24*0.44704</f>
        <v>2.3553512267466195</v>
      </c>
      <c r="O6" s="2">
        <f>(((L6/($D$5*$D$11*$D$13)*$B$32)) /(60))*2.24*0.44704</f>
        <v>3.0721972522781988</v>
      </c>
      <c r="P6" s="2">
        <f t="shared" si="2"/>
        <v>3.5959168901347471</v>
      </c>
      <c r="Q6" s="2">
        <f t="shared" si="0"/>
        <v>5.2689206942321878</v>
      </c>
      <c r="R6" s="2">
        <f t="shared" si="0"/>
        <v>6.8725052533463309</v>
      </c>
      <c r="S6" s="2">
        <f>(($H6*0.746)*1000)/M6</f>
        <v>1392.247416433587</v>
      </c>
      <c r="T6" s="2">
        <f>(($H6*0.746)*1000)/N6</f>
        <v>950.17676114966798</v>
      </c>
      <c r="U6" s="2">
        <f>(($H6*0.746)*1000)/O6</f>
        <v>728.46885021474554</v>
      </c>
    </row>
    <row r="7" spans="2:21" ht="24.95" customHeight="1" x14ac:dyDescent="0.25">
      <c r="B7" s="2">
        <v>33</v>
      </c>
      <c r="C7" s="2">
        <v>14</v>
      </c>
      <c r="D7" s="2">
        <f>B7/C7</f>
        <v>2.3571428571428572</v>
      </c>
      <c r="H7" s="18">
        <f t="shared" si="3"/>
        <v>3.75</v>
      </c>
      <c r="I7" s="18"/>
      <c r="J7" s="6">
        <f>H7*0.7457*1000</f>
        <v>2796.3750000000005</v>
      </c>
      <c r="K7" s="13">
        <f>(J7)/((2*PI()*L7)/60)</f>
        <v>15.259093851037678</v>
      </c>
      <c r="L7" s="8">
        <f t="shared" si="4"/>
        <v>1750</v>
      </c>
      <c r="M7" s="2">
        <f>(((L7/($D$5*$D$7*$D$13)*$B$32)) /(60))*2.24*0.44704</f>
        <v>1.8753850566937287</v>
      </c>
      <c r="N7" s="2">
        <f>(((L7/($D$5*$D$9*$D$13)*$B$32)) /(60))*2.24*0.44704</f>
        <v>2.7479097645377228</v>
      </c>
      <c r="O7" s="2">
        <f>(((L7/($D$5*$D$11*$D$13)*$B$32)) /(60))*2.24*0.44704</f>
        <v>3.5842301276578987</v>
      </c>
      <c r="P7" s="2">
        <f t="shared" si="2"/>
        <v>4.1952363718238717</v>
      </c>
      <c r="Q7" s="2">
        <f t="shared" si="0"/>
        <v>6.1470741432708866</v>
      </c>
      <c r="R7" s="2">
        <f t="shared" si="0"/>
        <v>8.0179227955707191</v>
      </c>
      <c r="S7" s="2">
        <f>(($H7*0.746)*1000)/M7</f>
        <v>1491.6936604645575</v>
      </c>
      <c r="T7" s="2">
        <f>(($H7*0.746)*1000)/N7</f>
        <v>1018.0465298032155</v>
      </c>
      <c r="U7" s="2">
        <f>(($H7*0.746)*1000)/O7</f>
        <v>780.50233951579878</v>
      </c>
    </row>
    <row r="8" spans="2:21" ht="24.95" customHeight="1" x14ac:dyDescent="0.25">
      <c r="B8" s="17" t="s">
        <v>56</v>
      </c>
      <c r="C8" s="17"/>
      <c r="D8" s="10"/>
      <c r="H8" s="18">
        <f t="shared" si="3"/>
        <v>4.5</v>
      </c>
      <c r="I8" s="18"/>
      <c r="J8" s="6">
        <f t="shared" si="1"/>
        <v>3355.65</v>
      </c>
      <c r="K8" s="13">
        <f>(J8)/((2*PI()*L8)/60)</f>
        <v>16.022048543589559</v>
      </c>
      <c r="L8" s="8">
        <f t="shared" si="4"/>
        <v>2000</v>
      </c>
      <c r="M8" s="2">
        <f>(((L8/($D$5*$D$7*$D$13)*$B$32)) /(60))*2.24*0.44704</f>
        <v>2.1432972076499759</v>
      </c>
      <c r="N8" s="2">
        <f>(((L8/($D$5*$D$9*$D$13)*$B$32)) /(60))*2.24*0.44704</f>
        <v>3.1404683023288262</v>
      </c>
      <c r="O8" s="2">
        <f>(((L8/($D$5*$D$11*$D$13)*$B$32)) /(60))*2.24*0.44704</f>
        <v>4.0962630030375982</v>
      </c>
      <c r="P8" s="2">
        <f t="shared" si="2"/>
        <v>4.7945558535129962</v>
      </c>
      <c r="Q8" s="2">
        <f t="shared" si="0"/>
        <v>7.0252275923095846</v>
      </c>
      <c r="R8" s="2">
        <f t="shared" si="0"/>
        <v>9.1633403377951073</v>
      </c>
      <c r="S8" s="2">
        <f>(($H8*0.746)*1000)/M8</f>
        <v>1566.2783434877854</v>
      </c>
      <c r="T8" s="2">
        <f>(($H8*0.746)*1000)/N8</f>
        <v>1068.9488562933764</v>
      </c>
      <c r="U8" s="2">
        <f>(($H8*0.746)*1000)/O8</f>
        <v>819.52745649158874</v>
      </c>
    </row>
    <row r="9" spans="2:21" ht="24.95" customHeight="1" x14ac:dyDescent="0.25">
      <c r="B9" s="2">
        <v>37</v>
      </c>
      <c r="C9" s="2">
        <v>23</v>
      </c>
      <c r="D9" s="2">
        <f>B9/C9</f>
        <v>1.6086956521739131</v>
      </c>
      <c r="H9" s="18">
        <f t="shared" si="3"/>
        <v>5.25</v>
      </c>
      <c r="I9" s="18"/>
      <c r="J9" s="6">
        <f t="shared" si="1"/>
        <v>3914.9250000000002</v>
      </c>
      <c r="K9" s="13">
        <f>(J9)/((2*PI()*L9)/60)</f>
        <v>16.615457748907691</v>
      </c>
      <c r="L9" s="8">
        <f t="shared" si="4"/>
        <v>2250</v>
      </c>
      <c r="M9" s="2">
        <f>(((L9/($D$5*$D$7*$D$13)*$B$32)) /(60))*2.24*0.44704</f>
        <v>2.4112093586062224</v>
      </c>
      <c r="N9" s="2">
        <f>(((L9/($D$5*$D$9*$D$13)*$B$32)) /(60))*2.24*0.44704</f>
        <v>3.5330268401199287</v>
      </c>
      <c r="O9" s="2">
        <f>(((L9/($D$5*$D$11*$D$13)*$B$32)) /(60))*2.24*0.44704</f>
        <v>4.6082958784172989</v>
      </c>
      <c r="P9" s="2">
        <f t="shared" si="2"/>
        <v>5.3938753352021198</v>
      </c>
      <c r="Q9" s="2">
        <f t="shared" si="0"/>
        <v>7.9033810413482808</v>
      </c>
      <c r="R9" s="2">
        <f t="shared" si="0"/>
        <v>10.308757880019499</v>
      </c>
      <c r="S9" s="2">
        <f>(($H9*0.746)*1000)/M9</f>
        <v>1624.2886525058518</v>
      </c>
      <c r="T9" s="2">
        <f>(($H9*0.746)*1000)/N9</f>
        <v>1108.5395546746126</v>
      </c>
      <c r="U9" s="2">
        <f>(($H9*0.746)*1000)/O9</f>
        <v>849.88032525053632</v>
      </c>
    </row>
    <row r="10" spans="2:21" ht="24.95" customHeight="1" x14ac:dyDescent="0.25">
      <c r="B10" s="17" t="s">
        <v>57</v>
      </c>
      <c r="C10" s="17"/>
      <c r="D10" s="10"/>
      <c r="H10" s="18">
        <f t="shared" si="3"/>
        <v>6</v>
      </c>
      <c r="I10" s="18"/>
      <c r="J10" s="6">
        <f t="shared" si="1"/>
        <v>4474.2</v>
      </c>
      <c r="K10" s="13">
        <f>(J10)/((2*PI()*L10)/60)</f>
        <v>17.090185113162196</v>
      </c>
      <c r="L10" s="8">
        <f t="shared" si="4"/>
        <v>2500</v>
      </c>
      <c r="M10" s="2">
        <f>(((L10/($D$5*$D$7*$D$13)*$B$32)) /(60))*2.24*0.44704</f>
        <v>2.6791215095624699</v>
      </c>
      <c r="N10" s="2">
        <f>(((L10/($D$5*$D$9*$D$13)*$B$32)) /(60))*2.24*0.44704</f>
        <v>3.9255853779110326</v>
      </c>
      <c r="O10" s="2">
        <f>(((L10/($D$5*$D$11*$D$13)*$B$32)) /(60))*2.24*0.44704</f>
        <v>5.1203287537969988</v>
      </c>
      <c r="P10" s="2">
        <f t="shared" si="2"/>
        <v>5.9931948168912452</v>
      </c>
      <c r="Q10" s="2">
        <f t="shared" si="0"/>
        <v>8.7815344903869796</v>
      </c>
      <c r="R10" s="2">
        <f t="shared" si="0"/>
        <v>11.454175422243887</v>
      </c>
      <c r="S10" s="2">
        <f>(($H10*0.746)*1000)/M10</f>
        <v>1670.6968997203044</v>
      </c>
      <c r="T10" s="2">
        <f>(($H10*0.746)*1000)/N10</f>
        <v>1140.2121133796015</v>
      </c>
      <c r="U10" s="2">
        <f>(($H10*0.746)*1000)/O10</f>
        <v>874.16262025769447</v>
      </c>
    </row>
    <row r="11" spans="2:21" ht="24.95" customHeight="1" x14ac:dyDescent="0.25">
      <c r="B11" s="2">
        <v>37</v>
      </c>
      <c r="C11" s="2">
        <v>30</v>
      </c>
      <c r="D11" s="2">
        <f>B11/C11</f>
        <v>1.2333333333333334</v>
      </c>
      <c r="H11" s="18">
        <f t="shared" si="3"/>
        <v>6.75</v>
      </c>
      <c r="I11" s="18"/>
      <c r="J11" s="6">
        <f t="shared" si="1"/>
        <v>5033.4750000000004</v>
      </c>
      <c r="K11" s="13">
        <f>(($K$22-K10)/10)+K10</f>
        <v>17.581166601845975</v>
      </c>
      <c r="L11" s="8">
        <f t="shared" si="4"/>
        <v>2750</v>
      </c>
      <c r="M11" s="2">
        <f>(((L11/($D$5*$D$7*$D$13)*$B$32)) /(60))*2.24*0.44704</f>
        <v>2.9470336605187168</v>
      </c>
      <c r="N11" s="2">
        <f>(((L11/($D$5*$D$9*$D$13)*$B$32)) /(60))*2.24*0.44704</f>
        <v>4.3181439157021346</v>
      </c>
      <c r="O11" s="2">
        <f>(((L11/($D$5*$D$11*$D$13)*$B$32)) /(60))*2.24*0.44704</f>
        <v>5.6323616291766978</v>
      </c>
      <c r="P11" s="2">
        <f t="shared" si="2"/>
        <v>6.5925142985803697</v>
      </c>
      <c r="Q11" s="2">
        <f t="shared" si="0"/>
        <v>9.6596879394256749</v>
      </c>
      <c r="R11" s="2">
        <f t="shared" si="0"/>
        <v>12.599592964468274</v>
      </c>
      <c r="S11" s="2">
        <f>(($H11*0.746)*1000)/M11</f>
        <v>1708.6672838048567</v>
      </c>
      <c r="T11" s="2">
        <f>(($H11*0.746)*1000)/N11</f>
        <v>1166.1260250473201</v>
      </c>
      <c r="U11" s="2">
        <f>(($H11*0.746)*1000)/O11</f>
        <v>894.02995253627864</v>
      </c>
    </row>
    <row r="12" spans="2:21" ht="24.95" customHeight="1" x14ac:dyDescent="0.25">
      <c r="B12" s="17" t="s">
        <v>58</v>
      </c>
      <c r="C12" s="17"/>
      <c r="D12" s="10"/>
      <c r="H12" s="18">
        <f t="shared" si="3"/>
        <v>7.5</v>
      </c>
      <c r="I12" s="18"/>
      <c r="J12" s="6">
        <f t="shared" si="1"/>
        <v>5592.7500000000009</v>
      </c>
      <c r="K12" s="13">
        <f>(($K$22-$K$11)/10)+K11</f>
        <v>18.023049941661377</v>
      </c>
      <c r="L12" s="8">
        <f t="shared" si="4"/>
        <v>3000</v>
      </c>
      <c r="M12" s="2">
        <f>(((L12/($D$5*$D$7*$D$13)*$B$32)) /(60))*2.24*0.44704</f>
        <v>3.2149458114749638</v>
      </c>
      <c r="N12" s="2">
        <f>(((L12/($D$5*$D$9*$D$13)*$B$32)) /(60))*2.24*0.44704</f>
        <v>4.7107024534932389</v>
      </c>
      <c r="O12" s="2">
        <f>(((L12/($D$5*$D$11*$D$13)*$B$32)) /(60))*2.24*0.44704</f>
        <v>6.1443945045563977</v>
      </c>
      <c r="P12" s="2">
        <f t="shared" si="2"/>
        <v>7.1918337802694943</v>
      </c>
      <c r="Q12" s="2">
        <f t="shared" si="0"/>
        <v>10.537841388464376</v>
      </c>
      <c r="R12" s="2">
        <f t="shared" si="0"/>
        <v>13.745010506692662</v>
      </c>
      <c r="S12" s="2">
        <f>(($H12*0.746)*1000)/M12</f>
        <v>1740.3092705419836</v>
      </c>
      <c r="T12" s="2">
        <f>(($H12*0.746)*1000)/N12</f>
        <v>1187.720951437085</v>
      </c>
      <c r="U12" s="2">
        <f>(($H12*0.746)*1000)/O12</f>
        <v>910.58606276843193</v>
      </c>
    </row>
    <row r="13" spans="2:21" ht="24.95" customHeight="1" x14ac:dyDescent="0.25">
      <c r="B13" s="2">
        <v>12</v>
      </c>
      <c r="C13" s="2">
        <v>46</v>
      </c>
      <c r="D13" s="2">
        <f>C13/B13</f>
        <v>3.8333333333333335</v>
      </c>
      <c r="H13" s="18">
        <f t="shared" si="3"/>
        <v>8.25</v>
      </c>
      <c r="I13" s="18"/>
      <c r="J13" s="6">
        <f t="shared" si="1"/>
        <v>6152.0249999999996</v>
      </c>
      <c r="K13" s="13">
        <f>(($K$22-$K$12)/10)+K12</f>
        <v>18.42074494749524</v>
      </c>
      <c r="L13" s="8">
        <f t="shared" si="4"/>
        <v>3250</v>
      </c>
      <c r="M13" s="2">
        <f>(((L13/($D$5*$D$7*$D$13)*$B$32)) /(60))*2.24*0.44704</f>
        <v>3.4828579624312108</v>
      </c>
      <c r="N13" s="2">
        <f>(((L13/($D$5*$D$9*$D$13)*$B$32)) /(60))*2.24*0.44704</f>
        <v>5.1032609912843432</v>
      </c>
      <c r="O13" s="2">
        <f>(((L13/($D$5*$D$11*$D$13)*$B$32)) /(60))*2.24*0.44704</f>
        <v>6.6564273799360976</v>
      </c>
      <c r="P13" s="2">
        <f t="shared" si="2"/>
        <v>7.7911532619586188</v>
      </c>
      <c r="Q13" s="2">
        <f t="shared" si="0"/>
        <v>11.415994837503076</v>
      </c>
      <c r="R13" s="2">
        <f t="shared" si="0"/>
        <v>14.890428048917052</v>
      </c>
      <c r="S13" s="2">
        <f>(($H13*0.746)*1000)/M13</f>
        <v>1767.0832593195526</v>
      </c>
      <c r="T13" s="2">
        <f>(($H13*0.746)*1000)/N13</f>
        <v>1205.9935814591936</v>
      </c>
      <c r="U13" s="2">
        <f>(($H13*0.746)*1000)/O13</f>
        <v>924.59507911871549</v>
      </c>
    </row>
    <row r="14" spans="2:21" ht="24.95" customHeight="1" x14ac:dyDescent="0.25">
      <c r="B14" s="17" t="s">
        <v>65</v>
      </c>
      <c r="C14" s="17"/>
      <c r="D14" s="17"/>
      <c r="H14" s="18">
        <f t="shared" si="3"/>
        <v>9</v>
      </c>
      <c r="I14" s="18"/>
      <c r="J14" s="6">
        <f t="shared" si="1"/>
        <v>6711.3</v>
      </c>
      <c r="K14" s="13">
        <f>(($K$22-$K$12)/10)+K13</f>
        <v>18.818439953329104</v>
      </c>
      <c r="L14" s="8">
        <f t="shared" si="4"/>
        <v>3500</v>
      </c>
      <c r="M14" s="2">
        <f>(((L14/($D$5*$D$7*$D$13)*$B$32)) /(60))*2.24*0.44704</f>
        <v>3.7507701133874574</v>
      </c>
      <c r="N14" s="2">
        <f>(((L14/($D$5*$D$9*$D$13)*$B$32)) /(60))*2.24*0.44704</f>
        <v>5.4958195290754457</v>
      </c>
      <c r="O14" s="2">
        <f>(((L14/($D$5*$D$11*$D$13)*$B$32)) /(60))*2.24*0.44704</f>
        <v>7.1684602553157974</v>
      </c>
      <c r="P14" s="2">
        <f t="shared" si="2"/>
        <v>8.3904727436477433</v>
      </c>
      <c r="Q14" s="2">
        <f t="shared" si="0"/>
        <v>12.294148286541773</v>
      </c>
      <c r="R14" s="2">
        <f t="shared" si="0"/>
        <v>16.035845591141438</v>
      </c>
      <c r="S14" s="2">
        <f>(($H14*0.746)*1000)/M14</f>
        <v>1790.0323925574692</v>
      </c>
      <c r="T14" s="2">
        <f>(($H14*0.746)*1000)/N14</f>
        <v>1221.6558357638587</v>
      </c>
      <c r="U14" s="2">
        <f>(($H14*0.746)*1000)/O14</f>
        <v>936.60280741895849</v>
      </c>
    </row>
    <row r="15" spans="2:21" ht="24.95" customHeight="1" x14ac:dyDescent="0.25">
      <c r="B15" s="17"/>
      <c r="C15" s="17"/>
      <c r="D15" s="17"/>
      <c r="H15" s="18">
        <f t="shared" si="3"/>
        <v>9.75</v>
      </c>
      <c r="I15" s="18"/>
      <c r="J15" s="6">
        <f t="shared" si="1"/>
        <v>7270.5749999999998</v>
      </c>
      <c r="K15" s="13">
        <f>(($K$22-$K$12)/10)+K14</f>
        <v>19.216134959162968</v>
      </c>
      <c r="L15" s="8">
        <f t="shared" si="4"/>
        <v>3750</v>
      </c>
      <c r="M15" s="2">
        <f>(((L15/($D$5*$D$7*$D$13)*$B$32)) /(60))*2.24*0.44704</f>
        <v>4.0186822643437043</v>
      </c>
      <c r="N15" s="2">
        <f>(((L15/($D$5*$D$9*$D$13)*$B$32)) /(60))*2.24*0.44704</f>
        <v>5.88837806686655</v>
      </c>
      <c r="O15" s="2">
        <f>(((L15/($D$5*$D$11*$D$13)*$B$32)) /(60))*2.24*0.44704</f>
        <v>7.6804931306954973</v>
      </c>
      <c r="P15" s="2">
        <f t="shared" si="2"/>
        <v>8.9897922253368669</v>
      </c>
      <c r="Q15" s="2">
        <f t="shared" si="0"/>
        <v>13.172301735580472</v>
      </c>
      <c r="R15" s="2">
        <f t="shared" si="0"/>
        <v>17.181263133365828</v>
      </c>
      <c r="S15" s="2">
        <f>(($H15*0.746)*1000)/M15</f>
        <v>1809.9216413636632</v>
      </c>
      <c r="T15" s="2">
        <f>(($H15*0.746)*1000)/N15</f>
        <v>1235.229789494568</v>
      </c>
      <c r="U15" s="2">
        <f>(($H15*0.746)*1000)/O15</f>
        <v>947.00950527916916</v>
      </c>
    </row>
    <row r="16" spans="2:21" ht="24.95" customHeight="1" x14ac:dyDescent="0.25">
      <c r="B16" s="11" t="s">
        <v>66</v>
      </c>
      <c r="C16" s="17" t="s">
        <v>67</v>
      </c>
      <c r="D16" s="17"/>
      <c r="H16" s="18">
        <f t="shared" si="3"/>
        <v>10.5</v>
      </c>
      <c r="I16" s="18"/>
      <c r="J16" s="6">
        <f t="shared" si="1"/>
        <v>7829.85</v>
      </c>
      <c r="K16" s="13">
        <f>(($K$22-$K$12)/10)+K15</f>
        <v>19.613829964996832</v>
      </c>
      <c r="L16" s="8">
        <f t="shared" si="4"/>
        <v>4000</v>
      </c>
      <c r="M16" s="2">
        <f>(((L16/($D$5*$D$7*$D$13)*$B$32)) /(60))*2.24*0.44704</f>
        <v>4.2865944152999518</v>
      </c>
      <c r="N16" s="2">
        <f>(((L16/($D$5*$D$9*$D$13)*$B$32)) /(60))*2.24*0.44704</f>
        <v>6.2809366046576525</v>
      </c>
      <c r="O16" s="2">
        <f>(((L16/($D$5*$D$11*$D$13)*$B$32)) /(60))*2.24*0.44704</f>
        <v>8.1925260060751963</v>
      </c>
      <c r="P16" s="2">
        <f t="shared" si="2"/>
        <v>9.5891117070259924</v>
      </c>
      <c r="Q16" s="2">
        <f t="shared" si="0"/>
        <v>14.050455184619169</v>
      </c>
      <c r="R16" s="2">
        <f t="shared" si="0"/>
        <v>18.326680675590215</v>
      </c>
      <c r="S16" s="2">
        <f>(($H16*0.746)*1000)/M16</f>
        <v>1827.3247340690828</v>
      </c>
      <c r="T16" s="2">
        <f>(($H16*0.746)*1000)/N16</f>
        <v>1247.1069990089391</v>
      </c>
      <c r="U16" s="2">
        <f>(($H16*0.746)*1000)/O16</f>
        <v>956.11536590685353</v>
      </c>
    </row>
    <row r="17" spans="2:21" ht="24.95" customHeight="1" x14ac:dyDescent="0.25">
      <c r="B17" s="2">
        <v>1</v>
      </c>
      <c r="C17" s="14">
        <f>'Vehicle '!$F$38+4*('Vehicle '!$F$52/'Vehicle '!$F$47)+'Vehicle '!$F$53*('Gearing '!$D$7^2/'Vehicle '!$F$47^2)</f>
        <v>611.82746530979352</v>
      </c>
      <c r="D17" s="14"/>
      <c r="H17" s="18">
        <f t="shared" si="3"/>
        <v>11.25</v>
      </c>
      <c r="I17" s="18"/>
      <c r="J17" s="6">
        <f t="shared" si="1"/>
        <v>8389.125</v>
      </c>
      <c r="K17" s="13">
        <f>(($K$22-$K$12)/10)+K16</f>
        <v>20.011524970830695</v>
      </c>
      <c r="L17" s="8">
        <f t="shared" si="4"/>
        <v>4250</v>
      </c>
      <c r="M17" s="2">
        <f>(((L17/($D$5*$D$7*$D$13)*$B$32)) /(60))*2.24*0.44704</f>
        <v>4.5545065662561992</v>
      </c>
      <c r="N17" s="2">
        <f>(((L17/($D$5*$D$9*$D$13)*$B$32)) /(60))*2.24*0.44704</f>
        <v>6.673495142448755</v>
      </c>
      <c r="O17" s="2">
        <f>(((L17/($D$5*$D$11*$D$13)*$B$32)) /(60))*2.24*0.44704</f>
        <v>8.7045588814548971</v>
      </c>
      <c r="P17" s="2">
        <f t="shared" si="2"/>
        <v>10.188431188715118</v>
      </c>
      <c r="Q17" s="2">
        <f t="shared" si="0"/>
        <v>14.928608633657866</v>
      </c>
      <c r="R17" s="2">
        <f t="shared" si="0"/>
        <v>19.472098217814604</v>
      </c>
      <c r="S17" s="2">
        <f>(($H17*0.746)*1000)/M17</f>
        <v>1842.6804041032767</v>
      </c>
      <c r="T17" s="2">
        <f>(($H17*0.746)*1000)/N17</f>
        <v>1257.5868897569135</v>
      </c>
      <c r="U17" s="2">
        <f>(($H17*0.746)*1000)/O17</f>
        <v>964.14994881363373</v>
      </c>
    </row>
    <row r="18" spans="2:21" ht="24.95" customHeight="1" x14ac:dyDescent="0.25">
      <c r="B18" s="2">
        <v>2</v>
      </c>
      <c r="C18" s="46">
        <f>'Vehicle '!$F$38+4*('Vehicle '!$F$52/'Vehicle '!$F$47)+'Vehicle '!$F$53*('Gearing '!$D$9^2/'Vehicle '!$F$47^2)</f>
        <v>604.73334974067836</v>
      </c>
      <c r="D18" s="47"/>
      <c r="H18" s="18">
        <f t="shared" si="3"/>
        <v>12</v>
      </c>
      <c r="I18" s="18"/>
      <c r="J18" s="6">
        <f t="shared" si="1"/>
        <v>8948.4</v>
      </c>
      <c r="K18" s="13">
        <f>(($K$22-$K$12)/10)+K17</f>
        <v>20.409219976664559</v>
      </c>
      <c r="L18" s="8">
        <f t="shared" si="4"/>
        <v>4500</v>
      </c>
      <c r="M18" s="2">
        <f>(((L18/($D$5*$D$7*$D$13)*$B$32)) /(60))*2.24*0.44704</f>
        <v>4.8224187172124449</v>
      </c>
      <c r="N18" s="2">
        <f>(((L18/($D$5*$D$9*$D$13)*$B$32)) /(60))*2.24*0.44704</f>
        <v>7.0660536802398575</v>
      </c>
      <c r="O18" s="2">
        <f>(((L18/($D$5*$D$11*$D$13)*$B$32)) /(60))*2.24*0.44704</f>
        <v>9.2165917568345979</v>
      </c>
      <c r="P18" s="2">
        <f t="shared" si="2"/>
        <v>10.78775067040424</v>
      </c>
      <c r="Q18" s="2">
        <f t="shared" si="0"/>
        <v>15.806762082696562</v>
      </c>
      <c r="R18" s="2">
        <f t="shared" si="0"/>
        <v>20.617515760038998</v>
      </c>
      <c r="S18" s="2">
        <f>(($H18*0.746)*1000)/M18</f>
        <v>1856.3298885781162</v>
      </c>
      <c r="T18" s="2">
        <f>(($H18*0.746)*1000)/N18</f>
        <v>1266.9023481995573</v>
      </c>
      <c r="U18" s="2">
        <f>(($H18*0.746)*1000)/O18</f>
        <v>971.2918002863272</v>
      </c>
    </row>
    <row r="19" spans="2:21" ht="24.95" customHeight="1" x14ac:dyDescent="0.25">
      <c r="B19" s="2">
        <v>3</v>
      </c>
      <c r="C19" s="46">
        <f>'Vehicle '!$F$38+4*('Vehicle '!$F$52/'Vehicle '!$F$47)+'Vehicle '!$F$53*('Gearing '!$D$11^2/'Vehicle '!$F$47^2)</f>
        <v>602.18369579698663</v>
      </c>
      <c r="D19" s="47"/>
      <c r="H19" s="18">
        <f t="shared" si="3"/>
        <v>12.75</v>
      </c>
      <c r="I19" s="18"/>
      <c r="J19" s="6">
        <f t="shared" si="1"/>
        <v>9507.6750000000011</v>
      </c>
      <c r="K19" s="13">
        <f>(($K$22-$K$12)/10)+K18</f>
        <v>20.806914982498423</v>
      </c>
      <c r="L19" s="8">
        <f t="shared" si="4"/>
        <v>4750</v>
      </c>
      <c r="M19" s="2">
        <f>(((L19/($D$5*$D$7*$D$13)*$B$32)) /(60))*2.24*0.44704</f>
        <v>5.0903308681686932</v>
      </c>
      <c r="N19" s="2">
        <f>(((L19/($D$5*$D$9*$D$13)*$B$32)) /(60))*2.24*0.44704</f>
        <v>7.4586122180309609</v>
      </c>
      <c r="O19" s="2">
        <f>(((L19/($D$5*$D$11*$D$13)*$B$32)) /(60))*2.24*0.44704</f>
        <v>9.7286246322142969</v>
      </c>
      <c r="P19" s="2">
        <f t="shared" si="2"/>
        <v>11.387070152093367</v>
      </c>
      <c r="Q19" s="2">
        <f t="shared" ref="Q19:Q28" si="5">N19*2.237</f>
        <v>16.68491553173526</v>
      </c>
      <c r="R19" s="2">
        <f t="shared" ref="R19:R28" si="6">O19*2.237</f>
        <v>21.762933302263384</v>
      </c>
      <c r="S19" s="2">
        <f>(($H19*0.746)*1000)/M19</f>
        <v>1868.5425852134981</v>
      </c>
      <c r="T19" s="2">
        <f>(($H19*0.746)*1000)/N19</f>
        <v>1275.2372320692914</v>
      </c>
      <c r="U19" s="2">
        <f>(($H19*0.746)*1000)/O19</f>
        <v>977.68187791978994</v>
      </c>
    </row>
    <row r="20" spans="2:21" ht="24.95" customHeight="1" x14ac:dyDescent="0.25">
      <c r="B20" s="17" t="s">
        <v>68</v>
      </c>
      <c r="C20" s="17"/>
      <c r="D20" s="17"/>
      <c r="H20" s="18">
        <f t="shared" si="3"/>
        <v>13.5</v>
      </c>
      <c r="I20" s="18"/>
      <c r="J20" s="6">
        <f t="shared" si="1"/>
        <v>10066.950000000001</v>
      </c>
      <c r="K20" s="13">
        <f>(($K$22-$K$12)/10)+K19</f>
        <v>21.204609988332287</v>
      </c>
      <c r="L20" s="8">
        <f>L19+250</f>
        <v>5000</v>
      </c>
      <c r="M20" s="2">
        <f>(((L20/($D$5*$D$7*$D$13)*$B$32)) /(60))*2.24*0.44704</f>
        <v>5.3582430191249397</v>
      </c>
      <c r="N20" s="2">
        <f>(((L20/($D$5*$D$9*$D$13)*$B$32)) /(60))*2.24*0.44704</f>
        <v>7.8511707558220651</v>
      </c>
      <c r="O20" s="2">
        <f>(((L20/($D$5*$D$11*$D$13)*$B$32)) /(60))*2.24*0.44704</f>
        <v>10.240657507593998</v>
      </c>
      <c r="P20" s="2">
        <f t="shared" si="2"/>
        <v>11.98638963378249</v>
      </c>
      <c r="Q20" s="2">
        <f t="shared" si="5"/>
        <v>17.563068980773959</v>
      </c>
      <c r="R20" s="2">
        <f t="shared" si="6"/>
        <v>22.908350844487774</v>
      </c>
      <c r="S20" s="2">
        <f>(($H20*0.746)*1000)/M20</f>
        <v>1879.5340121853424</v>
      </c>
      <c r="T20" s="2">
        <f>(($H20*0.746)*1000)/N20</f>
        <v>1282.7386275520516</v>
      </c>
      <c r="U20" s="2">
        <f>(($H20*0.746)*1000)/O20</f>
        <v>983.43294778990628</v>
      </c>
    </row>
    <row r="21" spans="2:21" ht="24.95" customHeight="1" x14ac:dyDescent="0.25">
      <c r="B21" s="17"/>
      <c r="C21" s="17"/>
      <c r="D21" s="17"/>
      <c r="H21" s="18">
        <f t="shared" si="3"/>
        <v>14.25</v>
      </c>
      <c r="I21" s="18"/>
      <c r="J21" s="6">
        <f t="shared" si="1"/>
        <v>10626.225</v>
      </c>
      <c r="K21" s="13">
        <f>(($K$22-$K$12)/10)+K20</f>
        <v>21.60230499416615</v>
      </c>
      <c r="L21" s="8">
        <f t="shared" si="4"/>
        <v>5250</v>
      </c>
      <c r="M21" s="2">
        <f>(((L21/($D$5*$D$7*$D$13)*$B$32)) /(60))*2.24*0.44704</f>
        <v>5.626155170081188</v>
      </c>
      <c r="N21" s="2">
        <f>(((L21/($D$5*$D$9*$D$13)*$B$32)) /(60))*2.24*0.44704</f>
        <v>8.2437292936131676</v>
      </c>
      <c r="O21" s="2">
        <f>(((L21/($D$5*$D$11*$D$13)*$B$32)) /(60))*2.24*0.44704</f>
        <v>10.752690382973697</v>
      </c>
      <c r="P21" s="2">
        <f t="shared" si="2"/>
        <v>12.585709115471618</v>
      </c>
      <c r="Q21" s="2">
        <f t="shared" si="5"/>
        <v>18.441222429812658</v>
      </c>
      <c r="R21" s="2">
        <f t="shared" si="6"/>
        <v>24.053768386712161</v>
      </c>
      <c r="S21" s="2">
        <f>(($H21*0.746)*1000)/M21</f>
        <v>1889.478636588439</v>
      </c>
      <c r="T21" s="2">
        <f>(($H21*0.746)*1000)/N21</f>
        <v>1289.5256044174066</v>
      </c>
      <c r="U21" s="2">
        <f>(($H21*0.746)*1000)/O21</f>
        <v>988.63629672001173</v>
      </c>
    </row>
    <row r="22" spans="2:21" ht="24.95" customHeight="1" x14ac:dyDescent="0.25">
      <c r="B22" s="14">
        <f>B13/C13*0.607*PI()</f>
        <v>0.49746436714669678</v>
      </c>
      <c r="C22" s="14"/>
      <c r="D22" s="14"/>
      <c r="H22" s="18">
        <f t="shared" si="3"/>
        <v>15</v>
      </c>
      <c r="I22" s="18"/>
      <c r="J22" s="6">
        <f t="shared" si="1"/>
        <v>11185.500000000002</v>
      </c>
      <c r="K22" s="13">
        <v>22</v>
      </c>
      <c r="L22" s="8">
        <f t="shared" si="4"/>
        <v>5500</v>
      </c>
      <c r="M22" s="2">
        <f>(((L22/($D$5*$D$7*$D$13)*$B$32)) /(60))*2.24*0.44704</f>
        <v>5.8940673210374337</v>
      </c>
      <c r="N22" s="2">
        <f>(((L22/($D$5*$D$9*$D$13)*$B$32)) /(60))*2.24*0.44704</f>
        <v>8.6362878314042693</v>
      </c>
      <c r="O22" s="2">
        <f>(((L22/($D$5*$D$11*$D$13)*$B$32)) /(60))*2.24*0.44704</f>
        <v>11.264723258353396</v>
      </c>
      <c r="P22" s="2">
        <f t="shared" si="2"/>
        <v>13.185028597160739</v>
      </c>
      <c r="Q22" s="2">
        <f t="shared" si="5"/>
        <v>19.31937587885135</v>
      </c>
      <c r="R22" s="2">
        <f t="shared" si="6"/>
        <v>25.199185928936547</v>
      </c>
      <c r="S22" s="2">
        <f>(($H22*0.746)*1000)/M22</f>
        <v>1898.5192042276185</v>
      </c>
      <c r="T22" s="2">
        <f>(($H22*0.746)*1000)/N22</f>
        <v>1295.695583385911</v>
      </c>
      <c r="U22" s="2">
        <f>(($H22*0.746)*1000)/O22</f>
        <v>993.36661392919848</v>
      </c>
    </row>
    <row r="23" spans="2:21" ht="24.95" customHeight="1" x14ac:dyDescent="0.25">
      <c r="B23" s="17" t="s">
        <v>69</v>
      </c>
      <c r="C23" s="17"/>
      <c r="D23" s="17"/>
      <c r="H23" s="18">
        <f t="shared" si="3"/>
        <v>15.75</v>
      </c>
      <c r="I23" s="18"/>
      <c r="J23" s="6">
        <f t="shared" si="1"/>
        <v>11744.775000000001</v>
      </c>
      <c r="K23" s="13">
        <f>K22-(($K$22-$K$18)/7)</f>
        <v>21.77274571095208</v>
      </c>
      <c r="L23" s="8">
        <f t="shared" si="4"/>
        <v>5750</v>
      </c>
      <c r="M23" s="2">
        <f>(((L23/($D$5*$D$7*$D$13)*$B$32)) /(60))*2.24*0.44704</f>
        <v>6.161979471993682</v>
      </c>
      <c r="N23" s="2">
        <f>(((L23/($D$5*$D$9*$D$13)*$B$32)) /(60))*2.24*0.44704</f>
        <v>9.0288463691953762</v>
      </c>
      <c r="O23" s="2">
        <f>(((L23/($D$5*$D$11*$D$13)*$B$32)) /(60))*2.24*0.44704</f>
        <v>11.776756133733098</v>
      </c>
      <c r="P23" s="2">
        <f t="shared" si="2"/>
        <v>13.784348078849867</v>
      </c>
      <c r="Q23" s="2">
        <f t="shared" si="5"/>
        <v>20.197529327890056</v>
      </c>
      <c r="R23" s="2">
        <f t="shared" si="6"/>
        <v>26.344603471160941</v>
      </c>
      <c r="S23" s="2">
        <f>(($H23*0.746)*1000)/M23</f>
        <v>1906.7736355503469</v>
      </c>
      <c r="T23" s="2">
        <f>(($H23*0.746)*1000)/N23</f>
        <v>1301.3290424441102</v>
      </c>
      <c r="U23" s="2">
        <f>(($H23*0.746)*1000)/O23</f>
        <v>997.68559920715131</v>
      </c>
    </row>
    <row r="24" spans="2:21" ht="24.95" customHeight="1" x14ac:dyDescent="0.25">
      <c r="B24" s="17"/>
      <c r="C24" s="17"/>
      <c r="D24" s="17"/>
      <c r="H24" s="18">
        <f t="shared" si="3"/>
        <v>16.5</v>
      </c>
      <c r="I24" s="18"/>
      <c r="J24" s="6">
        <f t="shared" si="1"/>
        <v>12304.05</v>
      </c>
      <c r="K24" s="13">
        <f>K23-(($K$22-$K$18)/7)</f>
        <v>21.54549142190416</v>
      </c>
      <c r="L24" s="8">
        <f t="shared" si="4"/>
        <v>6000</v>
      </c>
      <c r="M24" s="2">
        <f>(((L24/($D$5*$D$7*$D$13)*$B$32)) /(60))*2.24*0.44704</f>
        <v>6.4298916229499277</v>
      </c>
      <c r="N24" s="2">
        <f>(((L24/($D$5*$D$9*$D$13)*$B$32)) /(60))*2.24*0.44704</f>
        <v>9.4214049069864778</v>
      </c>
      <c r="O24" s="2">
        <f>(((L24/($D$5*$D$11*$D$13)*$B$32)) /(60))*2.24*0.44704</f>
        <v>12.288789009112795</v>
      </c>
      <c r="P24" s="2">
        <f t="shared" si="2"/>
        <v>14.383667560538989</v>
      </c>
      <c r="Q24" s="2">
        <f t="shared" si="5"/>
        <v>21.075682776928751</v>
      </c>
      <c r="R24" s="2">
        <f t="shared" si="6"/>
        <v>27.490021013385324</v>
      </c>
      <c r="S24" s="2">
        <f>(($H24*0.746)*1000)/M24</f>
        <v>1914.340197596182</v>
      </c>
      <c r="T24" s="2">
        <f>(($H24*0.746)*1000)/N24</f>
        <v>1306.4930465807934</v>
      </c>
      <c r="U24" s="2">
        <f>(($H24*0.746)*1000)/O24</f>
        <v>1001.6446690452751</v>
      </c>
    </row>
    <row r="25" spans="2:21" ht="24.95" customHeight="1" x14ac:dyDescent="0.25">
      <c r="B25" s="17" t="s">
        <v>66</v>
      </c>
      <c r="C25" s="17" t="s">
        <v>70</v>
      </c>
      <c r="D25" s="17" t="s">
        <v>71</v>
      </c>
      <c r="H25" s="18">
        <f t="shared" si="3"/>
        <v>17.25</v>
      </c>
      <c r="I25" s="18"/>
      <c r="J25" s="6">
        <f t="shared" si="1"/>
        <v>12863.324999999999</v>
      </c>
      <c r="K25" s="13">
        <f>K24-(($K$22-$K$18)/7)</f>
        <v>21.31823713285624</v>
      </c>
      <c r="L25" s="8">
        <f t="shared" si="4"/>
        <v>6250</v>
      </c>
      <c r="M25" s="2">
        <f>(((L25/($D$5*$D$7*$D$13)*$B$32)) /(60))*2.24*0.44704</f>
        <v>6.697803773906176</v>
      </c>
      <c r="N25" s="2">
        <f>(((L25/($D$5*$D$9*$D$13)*$B$32)) /(60))*2.24*0.44704</f>
        <v>9.8139634447775812</v>
      </c>
      <c r="O25" s="2">
        <f>(((L25/($D$5*$D$11*$D$13)*$B$32)) /(60))*2.24*0.44704</f>
        <v>12.800821884492496</v>
      </c>
      <c r="P25" s="2">
        <f t="shared" si="2"/>
        <v>14.982987042228116</v>
      </c>
      <c r="Q25" s="2">
        <f t="shared" si="5"/>
        <v>21.95383622596745</v>
      </c>
      <c r="R25" s="2">
        <f t="shared" si="6"/>
        <v>28.635438555609714</v>
      </c>
      <c r="S25" s="2">
        <f>(($H25*0.746)*1000)/M25</f>
        <v>1921.3014346783496</v>
      </c>
      <c r="T25" s="2">
        <f>(($H25*0.746)*1000)/N25</f>
        <v>1311.2439303865417</v>
      </c>
      <c r="U25" s="2">
        <f>(($H25*0.746)*1000)/O25</f>
        <v>1005.2870132963487</v>
      </c>
    </row>
    <row r="26" spans="2:21" ht="24.95" customHeight="1" thickBot="1" x14ac:dyDescent="0.3">
      <c r="B26" s="17"/>
      <c r="C26" s="17"/>
      <c r="D26" s="17"/>
      <c r="H26" s="18">
        <f t="shared" si="3"/>
        <v>18</v>
      </c>
      <c r="I26" s="18"/>
      <c r="J26" s="7">
        <f t="shared" si="1"/>
        <v>13422.6</v>
      </c>
      <c r="K26" s="13">
        <f>K25-(($K$22-$K$18)/7)</f>
        <v>21.09098284380832</v>
      </c>
      <c r="L26" s="9">
        <f t="shared" si="4"/>
        <v>6500</v>
      </c>
      <c r="M26" s="2">
        <f>(((L26/($D$5*$D$7*$D$13)*$B$32)) /(60))*2.24*0.44704</f>
        <v>6.9657159248624216</v>
      </c>
      <c r="N26" s="2">
        <f>(((L26/($D$5*$D$9*$D$13)*$B$32)) /(60))*2.24*0.44704</f>
        <v>10.206521982568686</v>
      </c>
      <c r="O26" s="2">
        <f>(((L26/($D$5*$D$11*$D$13)*$B$32)) /(60))*2.24*0.44704</f>
        <v>13.312854759872195</v>
      </c>
      <c r="P26" s="2">
        <f t="shared" si="2"/>
        <v>15.582306523917238</v>
      </c>
      <c r="Q26" s="2">
        <f t="shared" si="5"/>
        <v>22.831989675006152</v>
      </c>
      <c r="R26" s="2">
        <f t="shared" si="6"/>
        <v>29.780856097834103</v>
      </c>
      <c r="S26" s="2">
        <f>(($H26*0.746)*1000)/M26</f>
        <v>1927.7271919849666</v>
      </c>
      <c r="T26" s="2">
        <f>(($H26*0.746)*1000)/N26</f>
        <v>1315.6293615918476</v>
      </c>
      <c r="U26" s="2">
        <f>(($H26*0.746)*1000)/O26</f>
        <v>1008.6491772204168</v>
      </c>
    </row>
    <row r="27" spans="2:21" ht="24.95" customHeight="1" thickBot="1" x14ac:dyDescent="0.3">
      <c r="B27" s="2">
        <v>1</v>
      </c>
      <c r="C27" s="2">
        <v>1</v>
      </c>
      <c r="D27" s="2">
        <f>B22/D7</f>
        <v>0.21104548909253804</v>
      </c>
      <c r="H27" s="18">
        <f>H26-0.25</f>
        <v>17.75</v>
      </c>
      <c r="I27" s="18"/>
      <c r="J27" s="7">
        <f t="shared" ref="J27:J28" si="7">H27*0.7457*1000</f>
        <v>13236.175000000001</v>
      </c>
      <c r="K27" s="13">
        <f>K26-(($K$22-$K$18)/7)</f>
        <v>20.863728554760399</v>
      </c>
      <c r="L27" s="9">
        <f t="shared" si="4"/>
        <v>6750</v>
      </c>
      <c r="M27" s="2">
        <f>(((L27/($D$5*$D$7*$D$13)*$B$32)) /(60))*2.24*0.44704</f>
        <v>7.2336280758186691</v>
      </c>
      <c r="N27" s="2">
        <f>(((L27/($D$5*$D$9*$D$13)*$B$32)) /(60))*2.24*0.44704</f>
        <v>10.599080520359788</v>
      </c>
      <c r="O27" s="2">
        <f>(((L27/($D$5*$D$11*$D$13)*$B$32)) /(60))*2.24*0.44704</f>
        <v>13.824887635251896</v>
      </c>
      <c r="P27" s="2">
        <f t="shared" si="2"/>
        <v>16.181626005606365</v>
      </c>
      <c r="Q27" s="2">
        <f t="shared" si="5"/>
        <v>23.710143124044848</v>
      </c>
      <c r="R27" s="2">
        <f t="shared" si="6"/>
        <v>30.926273640058493</v>
      </c>
      <c r="S27" s="2">
        <f>(($H27*0.746)*1000)/M27</f>
        <v>1830.5475290145309</v>
      </c>
      <c r="T27" s="2">
        <f>(($H27*0.746)*1000)/N27</f>
        <v>1249.3064822523411</v>
      </c>
      <c r="U27" s="2">
        <f>(($H27*0.746)*1000)/O27</f>
        <v>957.80163639346165</v>
      </c>
    </row>
    <row r="28" spans="2:21" ht="24.95" customHeight="1" thickBot="1" x14ac:dyDescent="0.3">
      <c r="B28" s="2">
        <v>2</v>
      </c>
      <c r="C28" s="2">
        <v>1</v>
      </c>
      <c r="D28" s="2">
        <f>B22/D9</f>
        <v>0.30923460660470342</v>
      </c>
      <c r="H28" s="18">
        <f t="shared" ref="H28" si="8">H27-0.25</f>
        <v>17.5</v>
      </c>
      <c r="I28" s="18"/>
      <c r="J28" s="7">
        <f t="shared" si="7"/>
        <v>13049.750000000002</v>
      </c>
      <c r="K28" s="13">
        <f>K27-(($K$22-$K$18)/7)</f>
        <v>20.636474265712479</v>
      </c>
      <c r="L28" s="9">
        <f t="shared" si="4"/>
        <v>7000</v>
      </c>
      <c r="M28" s="2">
        <f>(((L28/($D$5*$D$7*$D$13)*$B$32)) /(60))*2.24*0.44704</f>
        <v>7.5015402267749147</v>
      </c>
      <c r="N28" s="2">
        <f>(((L28/($D$5*$D$9*$D$13)*$B$32)) /(60))*2.24*0.44704</f>
        <v>10.991639058150891</v>
      </c>
      <c r="O28" s="2">
        <f>(((L28/($D$5*$D$11*$D$13)*$B$32)) /(60))*2.24*0.44704</f>
        <v>14.336920510631595</v>
      </c>
      <c r="P28" s="2">
        <f t="shared" si="2"/>
        <v>16.780945487295487</v>
      </c>
      <c r="Q28" s="2">
        <f t="shared" si="5"/>
        <v>24.588296573083547</v>
      </c>
      <c r="R28" s="2">
        <f t="shared" si="6"/>
        <v>32.071691182282876</v>
      </c>
      <c r="S28" s="2">
        <f>(($H28*0.746)*1000)/M28</f>
        <v>1740.3092705419838</v>
      </c>
      <c r="T28" s="2">
        <f>(($H28*0.746)*1000)/N28</f>
        <v>1187.7209514370848</v>
      </c>
      <c r="U28" s="2">
        <f>(($H28*0.746)*1000)/O28</f>
        <v>910.58606276843193</v>
      </c>
    </row>
    <row r="29" spans="2:21" ht="24.95" customHeight="1" x14ac:dyDescent="0.25">
      <c r="B29" s="2">
        <v>3</v>
      </c>
      <c r="C29" s="2">
        <v>1</v>
      </c>
      <c r="D29" s="2">
        <f>B22/D11</f>
        <v>0.4033494868757001</v>
      </c>
    </row>
    <row r="30" spans="2:21" ht="24.95" customHeight="1" x14ac:dyDescent="0.25">
      <c r="B30" s="17" t="s">
        <v>72</v>
      </c>
      <c r="C30" s="17"/>
      <c r="D30" s="17"/>
    </row>
    <row r="31" spans="2:21" ht="24.95" customHeight="1" x14ac:dyDescent="0.25">
      <c r="B31" s="17"/>
      <c r="C31" s="17"/>
      <c r="D31" s="17"/>
    </row>
    <row r="32" spans="2:21" ht="24.95" customHeight="1" x14ac:dyDescent="0.25">
      <c r="B32" s="14">
        <f>2*PI()*0.31</f>
        <v>1.9477874452256718</v>
      </c>
      <c r="C32" s="14"/>
      <c r="D32" s="14"/>
    </row>
  </sheetData>
  <mergeCells count="46">
    <mergeCell ref="H13:I13"/>
    <mergeCell ref="H2:I2"/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5:I15"/>
    <mergeCell ref="H16:I16"/>
    <mergeCell ref="H17:I17"/>
    <mergeCell ref="H18:I18"/>
    <mergeCell ref="H19:I19"/>
    <mergeCell ref="C19:D19"/>
    <mergeCell ref="H26:I26"/>
    <mergeCell ref="B4:C4"/>
    <mergeCell ref="B6:C6"/>
    <mergeCell ref="B8:C8"/>
    <mergeCell ref="B10:C10"/>
    <mergeCell ref="B12:C12"/>
    <mergeCell ref="C25:C26"/>
    <mergeCell ref="D25:D26"/>
    <mergeCell ref="H20:I20"/>
    <mergeCell ref="H21:I21"/>
    <mergeCell ref="H22:I22"/>
    <mergeCell ref="H23:I23"/>
    <mergeCell ref="H24:I24"/>
    <mergeCell ref="H25:I25"/>
    <mergeCell ref="H14:I14"/>
    <mergeCell ref="B2:D3"/>
    <mergeCell ref="B14:D15"/>
    <mergeCell ref="C16:D16"/>
    <mergeCell ref="C17:D17"/>
    <mergeCell ref="C18:D18"/>
    <mergeCell ref="B30:D31"/>
    <mergeCell ref="B32:D32"/>
    <mergeCell ref="H27:I27"/>
    <mergeCell ref="H28:I28"/>
    <mergeCell ref="B20:D21"/>
    <mergeCell ref="B22:D22"/>
    <mergeCell ref="B23:D24"/>
    <mergeCell ref="B25:B26"/>
  </mergeCells>
  <conditionalFormatting sqref="H3:J28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I2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0">
      <colorScale>
        <cfvo type="min"/>
        <cfvo type="max"/>
        <color rgb="FFFCFCFF"/>
        <color rgb="FF63BE7B"/>
      </colorScale>
    </cfRule>
  </conditionalFormatting>
  <conditionalFormatting sqref="J3:J28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22">
      <colorScale>
        <cfvo type="min"/>
        <cfvo type="max"/>
        <color rgb="FFFCFCFF"/>
        <color rgb="FF63BE7B"/>
      </colorScale>
    </cfRule>
  </conditionalFormatting>
  <conditionalFormatting sqref="K3:K28">
    <cfRule type="colorScale" priority="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3:O28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P3:R28">
    <cfRule type="colorScale" priority="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S3:U28">
    <cfRule type="colorScale" priority="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BB4A-885F-429A-82B5-FE547DD67D9F}">
  <dimension ref="B2:AE52"/>
  <sheetViews>
    <sheetView topLeftCell="B1" zoomScale="55" zoomScaleNormal="55" workbookViewId="0">
      <selection activeCell="X9" sqref="X9"/>
    </sheetView>
  </sheetViews>
  <sheetFormatPr defaultRowHeight="15" x14ac:dyDescent="0.25"/>
  <cols>
    <col min="1" max="3" width="9.140625" style="20"/>
    <col min="4" max="30" width="12.7109375" style="20" customWidth="1"/>
    <col min="31" max="31" width="17.5703125" style="20" customWidth="1"/>
    <col min="32" max="16384" width="9.140625" style="20"/>
  </cols>
  <sheetData>
    <row r="2" spans="2:31" ht="15" customHeight="1" x14ac:dyDescent="0.25">
      <c r="B2" s="22" t="s">
        <v>80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</row>
    <row r="3" spans="2:31" ht="15" customHeight="1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2:31" ht="18.75" x14ac:dyDescent="0.25">
      <c r="B4" s="17" t="s">
        <v>3</v>
      </c>
      <c r="C4" s="17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1"/>
      <c r="Y4" s="29"/>
      <c r="Z4" s="29"/>
      <c r="AA4" s="29"/>
      <c r="AB4" s="29"/>
      <c r="AC4" s="29"/>
      <c r="AD4" s="29"/>
      <c r="AE4" s="23"/>
    </row>
    <row r="5" spans="2:31" ht="18.75" x14ac:dyDescent="0.25">
      <c r="B5" s="17">
        <v>22</v>
      </c>
      <c r="C5" s="17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1">
        <v>496.03879424580009</v>
      </c>
      <c r="Y5" s="29"/>
      <c r="Z5" s="29"/>
      <c r="AA5" s="29"/>
      <c r="AB5" s="29"/>
      <c r="AC5" s="29"/>
      <c r="AD5" s="29"/>
      <c r="AE5" s="23"/>
    </row>
    <row r="6" spans="2:31" ht="18.75" x14ac:dyDescent="0.25">
      <c r="B6" s="17">
        <v>21</v>
      </c>
      <c r="C6" s="17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1">
        <v>509.99896928580006</v>
      </c>
      <c r="W6" s="21">
        <v>502.51704928580006</v>
      </c>
      <c r="X6" s="21">
        <v>472.37704508580003</v>
      </c>
      <c r="Y6" s="21">
        <v>498.27742508580008</v>
      </c>
      <c r="Z6" s="29"/>
      <c r="AA6" s="29"/>
      <c r="AB6" s="29"/>
      <c r="AC6" s="29"/>
      <c r="AD6" s="29"/>
      <c r="AE6" s="23"/>
    </row>
    <row r="7" spans="2:31" ht="18.75" x14ac:dyDescent="0.25">
      <c r="B7" s="17">
        <v>20</v>
      </c>
      <c r="C7" s="17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1">
        <v>522.08096816579996</v>
      </c>
      <c r="U7" s="21">
        <v>514.46308816579995</v>
      </c>
      <c r="V7" s="21">
        <v>500.44923776579998</v>
      </c>
      <c r="W7" s="21">
        <v>492.96731776579998</v>
      </c>
      <c r="X7" s="21">
        <v>448.71529592580009</v>
      </c>
      <c r="Y7" s="21">
        <v>474.61567592580013</v>
      </c>
      <c r="Z7" s="21">
        <v>508.57865696580006</v>
      </c>
      <c r="AA7" s="29"/>
      <c r="AB7" s="29"/>
      <c r="AC7" s="29"/>
      <c r="AD7" s="29"/>
      <c r="AE7" s="23"/>
    </row>
    <row r="8" spans="2:31" ht="18.75" x14ac:dyDescent="0.25">
      <c r="B8" s="17">
        <v>19</v>
      </c>
      <c r="C8" s="17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1">
        <v>529.92053712580002</v>
      </c>
      <c r="T8" s="21">
        <v>516.53053712580004</v>
      </c>
      <c r="U8" s="21">
        <v>508.91265712580002</v>
      </c>
      <c r="V8" s="21">
        <v>480.16306640580012</v>
      </c>
      <c r="W8" s="21">
        <v>472.68114640580006</v>
      </c>
      <c r="X8" s="21">
        <v>425.05354676580004</v>
      </c>
      <c r="Y8" s="21">
        <v>450.95392676580002</v>
      </c>
      <c r="Z8" s="21">
        <v>495.50617712580004</v>
      </c>
      <c r="AA8" s="21">
        <v>525.75212712580003</v>
      </c>
      <c r="AB8" s="21">
        <v>546.90840128579998</v>
      </c>
      <c r="AC8" s="29"/>
      <c r="AD8" s="29"/>
      <c r="AE8" s="23"/>
    </row>
    <row r="9" spans="2:31" ht="18.75" x14ac:dyDescent="0.25">
      <c r="B9" s="17">
        <v>18</v>
      </c>
      <c r="C9" s="17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1">
        <v>534.16371457859987</v>
      </c>
      <c r="Q9" s="21">
        <v>533.79035094979997</v>
      </c>
      <c r="R9" s="21">
        <v>532.62718760579992</v>
      </c>
      <c r="S9" s="21">
        <v>520.13720160579999</v>
      </c>
      <c r="T9" s="21">
        <v>506.74720160579994</v>
      </c>
      <c r="U9" s="21">
        <v>499.12932160579993</v>
      </c>
      <c r="V9" s="21">
        <v>463.08194192579998</v>
      </c>
      <c r="W9" s="21">
        <v>455.60002192579998</v>
      </c>
      <c r="X9" s="21">
        <v>401.39179760580015</v>
      </c>
      <c r="Y9" s="21">
        <v>427.29217760580013</v>
      </c>
      <c r="Z9" s="21">
        <v>477.05146112579996</v>
      </c>
      <c r="AA9" s="21">
        <v>507.29741112579995</v>
      </c>
      <c r="AB9" s="21">
        <v>533.40609008579997</v>
      </c>
      <c r="AC9" s="21">
        <v>552.97609008580002</v>
      </c>
      <c r="AD9" s="29"/>
      <c r="AE9" s="23"/>
    </row>
    <row r="10" spans="2:31" ht="18.75" x14ac:dyDescent="0.25">
      <c r="B10" s="17">
        <v>17</v>
      </c>
      <c r="C10" s="17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1">
        <v>547.86457121539991</v>
      </c>
      <c r="P10" s="21">
        <v>537.98996121539994</v>
      </c>
      <c r="Q10" s="21">
        <v>536.7730068218001</v>
      </c>
      <c r="R10" s="21">
        <v>527.23520682180003</v>
      </c>
      <c r="S10" s="21">
        <v>504.39229200579996</v>
      </c>
      <c r="T10" s="21">
        <v>491.00229200579992</v>
      </c>
      <c r="U10" s="21">
        <v>483.3844120057999</v>
      </c>
      <c r="V10" s="21">
        <v>429.55353848580006</v>
      </c>
      <c r="W10" s="21">
        <v>422.07161848580006</v>
      </c>
      <c r="X10" s="21">
        <v>389.56092302580015</v>
      </c>
      <c r="Y10" s="21">
        <v>415.46130302580013</v>
      </c>
      <c r="Z10" s="21">
        <v>437.82467744580009</v>
      </c>
      <c r="AA10" s="21">
        <v>468.07062744580008</v>
      </c>
      <c r="AB10" s="21">
        <v>525.45420992579989</v>
      </c>
      <c r="AC10" s="21">
        <v>545.02420992579994</v>
      </c>
      <c r="AD10" s="21">
        <v>586.83989036579999</v>
      </c>
      <c r="AE10" s="23"/>
    </row>
    <row r="11" spans="2:31" ht="18.75" x14ac:dyDescent="0.25">
      <c r="B11" s="17">
        <v>16</v>
      </c>
      <c r="C11" s="17"/>
      <c r="D11" s="29"/>
      <c r="E11" s="29"/>
      <c r="F11" s="29"/>
      <c r="G11" s="29"/>
      <c r="H11" s="29"/>
      <c r="I11" s="29"/>
      <c r="J11" s="29"/>
      <c r="K11" s="29"/>
      <c r="L11" s="29"/>
      <c r="M11" s="21">
        <v>549.63107856580018</v>
      </c>
      <c r="N11" s="21">
        <v>549.78649320580007</v>
      </c>
      <c r="O11" s="21">
        <v>551.6908178522001</v>
      </c>
      <c r="P11" s="21">
        <v>541.81620785220014</v>
      </c>
      <c r="Q11" s="21">
        <v>539.75566269379999</v>
      </c>
      <c r="R11" s="21">
        <v>530.21786269379993</v>
      </c>
      <c r="S11" s="21">
        <v>494.76702852580007</v>
      </c>
      <c r="T11" s="21">
        <v>481.37702852580003</v>
      </c>
      <c r="U11" s="21">
        <v>473.75914852580001</v>
      </c>
      <c r="V11" s="21">
        <v>399.62575136579994</v>
      </c>
      <c r="W11" s="21">
        <v>392.14383136579994</v>
      </c>
      <c r="X11" s="21">
        <v>377.73004844580009</v>
      </c>
      <c r="Y11" s="21">
        <v>403.63042844580013</v>
      </c>
      <c r="Z11" s="21">
        <v>398.59789376580005</v>
      </c>
      <c r="AA11" s="21">
        <v>428.84384376580005</v>
      </c>
      <c r="AB11" s="21">
        <v>520.59524672580005</v>
      </c>
      <c r="AC11" s="21">
        <v>540.1652467258001</v>
      </c>
      <c r="AD11" s="21">
        <v>575.17292792579997</v>
      </c>
      <c r="AE11" s="23"/>
    </row>
    <row r="12" spans="2:31" ht="18.75" x14ac:dyDescent="0.25">
      <c r="B12" s="17">
        <v>15</v>
      </c>
      <c r="C12" s="17"/>
      <c r="D12" s="29"/>
      <c r="E12" s="29"/>
      <c r="F12" s="29"/>
      <c r="G12" s="29"/>
      <c r="H12" s="29"/>
      <c r="I12" s="29"/>
      <c r="J12" s="29"/>
      <c r="K12" s="29"/>
      <c r="L12" s="21">
        <v>559.46561744580004</v>
      </c>
      <c r="M12" s="21">
        <v>553.87065744580002</v>
      </c>
      <c r="N12" s="21">
        <v>549.01924702979989</v>
      </c>
      <c r="O12" s="21">
        <v>542.00391406339986</v>
      </c>
      <c r="P12" s="21">
        <v>532.1293040633999</v>
      </c>
      <c r="Q12" s="21">
        <v>542.7383185658</v>
      </c>
      <c r="R12" s="21">
        <v>533.20051856580005</v>
      </c>
      <c r="S12" s="21">
        <v>489.64074448180003</v>
      </c>
      <c r="T12" s="21">
        <v>476.25074448180004</v>
      </c>
      <c r="U12" s="21">
        <v>468.63286448180003</v>
      </c>
      <c r="V12" s="21">
        <v>378.56401472579995</v>
      </c>
      <c r="W12" s="21">
        <v>371.08209472579995</v>
      </c>
      <c r="X12" s="21">
        <v>352.04528864579999</v>
      </c>
      <c r="Y12" s="21">
        <v>377.94566864580003</v>
      </c>
      <c r="Z12" s="21">
        <v>363.14745501479996</v>
      </c>
      <c r="AA12" s="21">
        <v>393.39340501480001</v>
      </c>
      <c r="AB12" s="21">
        <v>477.50932496580009</v>
      </c>
      <c r="AC12" s="21">
        <v>497.07932496580008</v>
      </c>
      <c r="AD12" s="21">
        <v>523.03139252879998</v>
      </c>
      <c r="AE12" s="23"/>
    </row>
    <row r="13" spans="2:31" ht="18.75" x14ac:dyDescent="0.25">
      <c r="B13" s="17">
        <v>14</v>
      </c>
      <c r="C13" s="17"/>
      <c r="D13" s="29"/>
      <c r="E13" s="29"/>
      <c r="F13" s="29"/>
      <c r="G13" s="29"/>
      <c r="H13" s="29"/>
      <c r="I13" s="29"/>
      <c r="J13" s="29"/>
      <c r="K13" s="21">
        <v>586.92963632580006</v>
      </c>
      <c r="L13" s="21">
        <v>563.7051963258001</v>
      </c>
      <c r="M13" s="21">
        <v>558.11023632580009</v>
      </c>
      <c r="N13" s="21">
        <v>553.21820106179996</v>
      </c>
      <c r="O13" s="21">
        <v>532.31701027459997</v>
      </c>
      <c r="P13" s="21">
        <v>522.44240027459989</v>
      </c>
      <c r="Q13" s="21">
        <v>523.4896409708</v>
      </c>
      <c r="R13" s="21">
        <v>513.95184097080005</v>
      </c>
      <c r="S13" s="21">
        <v>453.32762562580001</v>
      </c>
      <c r="T13" s="21">
        <v>439.93762562580002</v>
      </c>
      <c r="U13" s="21">
        <v>432.31974562580001</v>
      </c>
      <c r="V13" s="21">
        <v>357.50227808580001</v>
      </c>
      <c r="W13" s="21">
        <v>350.02035808580001</v>
      </c>
      <c r="X13" s="21">
        <v>330.40655012580004</v>
      </c>
      <c r="Y13" s="21">
        <v>356.30693012580002</v>
      </c>
      <c r="Z13" s="21">
        <v>356.11311296580016</v>
      </c>
      <c r="AA13" s="21">
        <v>386.35906296580015</v>
      </c>
      <c r="AB13" s="21">
        <v>462.6988313658</v>
      </c>
      <c r="AC13" s="21">
        <v>482.2688313658</v>
      </c>
      <c r="AD13" s="21">
        <v>515.36511272580003</v>
      </c>
      <c r="AE13" s="23"/>
    </row>
    <row r="14" spans="2:31" ht="18.75" x14ac:dyDescent="0.25">
      <c r="B14" s="17">
        <v>13</v>
      </c>
      <c r="C14" s="17"/>
      <c r="D14" s="29"/>
      <c r="E14" s="29"/>
      <c r="F14" s="29"/>
      <c r="G14" s="29"/>
      <c r="H14" s="29"/>
      <c r="I14" s="29"/>
      <c r="J14" s="21">
        <v>624.12853952579997</v>
      </c>
      <c r="K14" s="21">
        <v>606.37917164580006</v>
      </c>
      <c r="L14" s="21">
        <v>583.15473164579998</v>
      </c>
      <c r="M14" s="21">
        <v>577.55977164579997</v>
      </c>
      <c r="N14" s="21">
        <v>557.41715509380003</v>
      </c>
      <c r="O14" s="21">
        <v>522.63010648579996</v>
      </c>
      <c r="P14" s="21">
        <v>512.75549648579999</v>
      </c>
      <c r="Q14" s="21">
        <v>504.24096337580005</v>
      </c>
      <c r="R14" s="21">
        <v>494.70316337580005</v>
      </c>
      <c r="S14" s="21">
        <v>428.81672592580009</v>
      </c>
      <c r="T14" s="21">
        <v>415.4267259258001</v>
      </c>
      <c r="U14" s="21">
        <v>407.80884592580009</v>
      </c>
      <c r="V14" s="21">
        <v>336.44054144579997</v>
      </c>
      <c r="W14" s="21">
        <v>328.95862144579996</v>
      </c>
      <c r="X14" s="21">
        <v>306.74480096579998</v>
      </c>
      <c r="Y14" s="21">
        <v>332.64518096579997</v>
      </c>
      <c r="Z14" s="21">
        <v>350.8025153658001</v>
      </c>
      <c r="AA14" s="21">
        <v>381.04846536580015</v>
      </c>
      <c r="AB14" s="21">
        <v>488.57748248579992</v>
      </c>
      <c r="AC14" s="21">
        <v>508.14748248579991</v>
      </c>
      <c r="AD14" s="21">
        <v>563.87428112580005</v>
      </c>
      <c r="AE14" s="23"/>
    </row>
    <row r="15" spans="2:31" ht="18.75" x14ac:dyDescent="0.25">
      <c r="B15" s="17">
        <v>12</v>
      </c>
      <c r="C15" s="17"/>
      <c r="D15" s="29"/>
      <c r="E15" s="29"/>
      <c r="F15" s="29"/>
      <c r="G15" s="29"/>
      <c r="H15" s="29"/>
      <c r="I15" s="21">
        <v>625.16099504580018</v>
      </c>
      <c r="J15" s="21">
        <v>640.91999504580008</v>
      </c>
      <c r="K15" s="21">
        <v>625.82870696580017</v>
      </c>
      <c r="L15" s="21">
        <v>602.60426696580021</v>
      </c>
      <c r="M15" s="21">
        <v>597.00930696580019</v>
      </c>
      <c r="N15" s="21">
        <v>564.28853888579999</v>
      </c>
      <c r="O15" s="21">
        <v>541.29973816579991</v>
      </c>
      <c r="P15" s="21">
        <v>531.42512816579995</v>
      </c>
      <c r="Q15" s="21">
        <v>507.59960488579992</v>
      </c>
      <c r="R15" s="21">
        <v>498.06180488579992</v>
      </c>
      <c r="S15" s="21">
        <v>478.08848160579998</v>
      </c>
      <c r="T15" s="21">
        <v>464.6984816058</v>
      </c>
      <c r="U15" s="21">
        <v>457.08060160579998</v>
      </c>
      <c r="V15" s="21">
        <v>317.08878608580005</v>
      </c>
      <c r="W15" s="21">
        <v>309.60686608579999</v>
      </c>
      <c r="X15" s="21">
        <v>331.29035192580005</v>
      </c>
      <c r="Y15" s="21">
        <v>357.19073192580009</v>
      </c>
      <c r="Z15" s="21">
        <v>345.49191776580017</v>
      </c>
      <c r="AA15" s="21">
        <v>375.73786776580022</v>
      </c>
      <c r="AB15" s="21">
        <v>514.45613360579978</v>
      </c>
      <c r="AC15" s="21">
        <v>534.02613360579983</v>
      </c>
      <c r="AD15" s="21">
        <v>580.24524944580003</v>
      </c>
      <c r="AE15" s="23"/>
    </row>
    <row r="16" spans="2:31" ht="18.75" x14ac:dyDescent="0.25">
      <c r="B16" s="17">
        <v>11</v>
      </c>
      <c r="C16" s="17"/>
      <c r="D16" s="29"/>
      <c r="E16" s="29"/>
      <c r="F16" s="29"/>
      <c r="G16" s="29"/>
      <c r="H16" s="29"/>
      <c r="I16" s="21">
        <v>636.49359229380013</v>
      </c>
      <c r="J16" s="21">
        <v>652.25259229380015</v>
      </c>
      <c r="K16" s="21">
        <v>646.56495536580007</v>
      </c>
      <c r="L16" s="21">
        <v>623.34051536580012</v>
      </c>
      <c r="M16" s="21">
        <v>617.7455553658001</v>
      </c>
      <c r="N16" s="21">
        <v>594.28173512579997</v>
      </c>
      <c r="O16" s="21">
        <v>561.39902632580004</v>
      </c>
      <c r="P16" s="21">
        <v>551.52441632580008</v>
      </c>
      <c r="Q16" s="21">
        <v>520.89517654580004</v>
      </c>
      <c r="R16" s="21">
        <v>511.35737654579998</v>
      </c>
      <c r="S16" s="21">
        <v>484.58033676580004</v>
      </c>
      <c r="T16" s="21">
        <v>471.19033676580005</v>
      </c>
      <c r="U16" s="21">
        <v>463.57245676580004</v>
      </c>
      <c r="V16" s="21">
        <v>380.75522024579999</v>
      </c>
      <c r="W16" s="21">
        <v>373.27330024579999</v>
      </c>
      <c r="X16" s="21">
        <v>372.15392096580001</v>
      </c>
      <c r="Y16" s="21">
        <v>398.05430096580005</v>
      </c>
      <c r="Z16" s="21">
        <v>340.18132016580017</v>
      </c>
      <c r="AA16" s="21">
        <v>370.42727016580017</v>
      </c>
      <c r="AB16" s="21">
        <v>540.33478472579975</v>
      </c>
      <c r="AC16" s="21">
        <v>559.9047847257998</v>
      </c>
      <c r="AD16" s="21">
        <v>585.73753904580008</v>
      </c>
      <c r="AE16" s="23"/>
    </row>
    <row r="17" spans="2:31" ht="18.75" x14ac:dyDescent="0.25">
      <c r="B17" s="17">
        <v>10</v>
      </c>
      <c r="C17" s="17"/>
      <c r="D17" s="29"/>
      <c r="E17" s="29"/>
      <c r="F17" s="29"/>
      <c r="G17" s="29"/>
      <c r="H17" s="21">
        <v>650.46972656579987</v>
      </c>
      <c r="I17" s="21">
        <v>645.4471664058002</v>
      </c>
      <c r="J17" s="21">
        <v>661.2061664058001</v>
      </c>
      <c r="K17" s="21">
        <v>667.30120376580021</v>
      </c>
      <c r="L17" s="21">
        <v>644.07676376580025</v>
      </c>
      <c r="M17" s="21">
        <v>638.48180376580024</v>
      </c>
      <c r="N17" s="21">
        <v>626.94736112579994</v>
      </c>
      <c r="O17" s="21">
        <v>575.3592013658</v>
      </c>
      <c r="P17" s="21">
        <v>565.48459136579993</v>
      </c>
      <c r="Q17" s="21">
        <v>547.17679456580004</v>
      </c>
      <c r="R17" s="21">
        <v>537.63899456580009</v>
      </c>
      <c r="S17" s="21">
        <v>523.18339776580001</v>
      </c>
      <c r="T17" s="21">
        <v>509.79339776580002</v>
      </c>
      <c r="U17" s="21">
        <v>502.17551776580001</v>
      </c>
      <c r="V17" s="21">
        <v>404.28537248580005</v>
      </c>
      <c r="W17" s="21">
        <v>396.80345248580005</v>
      </c>
      <c r="X17" s="21">
        <v>389.64618848580011</v>
      </c>
      <c r="Y17" s="21">
        <v>415.54656848580015</v>
      </c>
      <c r="Z17" s="21">
        <v>334.87072256580029</v>
      </c>
      <c r="AA17" s="21">
        <v>365.11667256580029</v>
      </c>
      <c r="AB17" s="21">
        <v>546.94344188579976</v>
      </c>
      <c r="AC17" s="21">
        <v>566.51344188579969</v>
      </c>
      <c r="AD17" s="21">
        <v>581.11737104579902</v>
      </c>
      <c r="AE17" s="23"/>
    </row>
    <row r="18" spans="2:31" ht="18.75" x14ac:dyDescent="0.25">
      <c r="B18" s="17">
        <v>9</v>
      </c>
      <c r="C18" s="17"/>
      <c r="D18" s="29"/>
      <c r="E18" s="29"/>
      <c r="F18" s="29"/>
      <c r="G18" s="29"/>
      <c r="H18" s="21">
        <v>664.66662032579984</v>
      </c>
      <c r="I18" s="21">
        <v>656.34245696580001</v>
      </c>
      <c r="J18" s="21">
        <v>672.10145696580003</v>
      </c>
      <c r="K18" s="21">
        <v>679.28752234080002</v>
      </c>
      <c r="L18" s="21">
        <v>656.06308234080007</v>
      </c>
      <c r="M18" s="21">
        <v>650.46812234080005</v>
      </c>
      <c r="N18" s="21">
        <v>640.0247077158001</v>
      </c>
      <c r="O18" s="21">
        <v>633.86094309079999</v>
      </c>
      <c r="P18" s="21">
        <v>623.98633309079992</v>
      </c>
      <c r="Q18" s="21">
        <v>587.94434262830009</v>
      </c>
      <c r="R18" s="21">
        <v>578.40654262830014</v>
      </c>
      <c r="S18" s="21">
        <v>546.21675216580013</v>
      </c>
      <c r="T18" s="21">
        <v>532.82675216580014</v>
      </c>
      <c r="U18" s="21">
        <v>525.20887216580013</v>
      </c>
      <c r="V18" s="21">
        <v>427.81552472580012</v>
      </c>
      <c r="W18" s="21">
        <v>420.33360472580006</v>
      </c>
      <c r="X18" s="21">
        <v>434.85323456580005</v>
      </c>
      <c r="Y18" s="21">
        <v>460.75361456580009</v>
      </c>
      <c r="Z18" s="21">
        <v>454.36384064579994</v>
      </c>
      <c r="AA18" s="21">
        <v>484.60979064579999</v>
      </c>
      <c r="AB18" s="21">
        <v>553.55209904579965</v>
      </c>
      <c r="AC18" s="21">
        <v>573.1220990457997</v>
      </c>
      <c r="AD18" s="21">
        <v>599.62192256579897</v>
      </c>
      <c r="AE18" s="23"/>
    </row>
    <row r="19" spans="2:31" ht="18.75" x14ac:dyDescent="0.25">
      <c r="B19" s="17">
        <v>8</v>
      </c>
      <c r="C19" s="17"/>
      <c r="D19" s="29"/>
      <c r="E19" s="29"/>
      <c r="F19" s="29"/>
      <c r="G19" s="21">
        <v>703.27451408579998</v>
      </c>
      <c r="H19" s="21">
        <v>678.86351408579992</v>
      </c>
      <c r="I19" s="21">
        <v>687.6360488058001</v>
      </c>
      <c r="J19" s="21">
        <v>703.39504880580012</v>
      </c>
      <c r="K19" s="21">
        <v>703.23466988767507</v>
      </c>
      <c r="L19" s="21">
        <v>680.01022988767511</v>
      </c>
      <c r="M19" s="21">
        <v>674.41526988767509</v>
      </c>
      <c r="N19" s="21">
        <v>656.62541096954999</v>
      </c>
      <c r="O19" s="21">
        <v>643.11520205142506</v>
      </c>
      <c r="P19" s="21">
        <v>633.2405920514251</v>
      </c>
      <c r="Q19" s="21">
        <v>591.45845855048765</v>
      </c>
      <c r="R19" s="21">
        <v>581.9206585504877</v>
      </c>
      <c r="S19" s="21">
        <v>543.99072504955018</v>
      </c>
      <c r="T19" s="21">
        <v>530.60072504955019</v>
      </c>
      <c r="U19" s="21">
        <v>522.98284504955018</v>
      </c>
      <c r="V19" s="21">
        <v>451.34567696580018</v>
      </c>
      <c r="W19" s="21">
        <v>443.86375696580012</v>
      </c>
      <c r="X19" s="21">
        <v>466.20289136579999</v>
      </c>
      <c r="Y19" s="21">
        <v>492.10327136580003</v>
      </c>
      <c r="Z19" s="21">
        <v>535.68139304579961</v>
      </c>
      <c r="AA19" s="21">
        <v>565.9273430457996</v>
      </c>
      <c r="AB19" s="21">
        <v>610.54213088580013</v>
      </c>
      <c r="AC19" s="21">
        <v>630.11213088580007</v>
      </c>
      <c r="AD19" s="21">
        <v>681.81471128579994</v>
      </c>
      <c r="AE19" s="23"/>
    </row>
    <row r="20" spans="2:31" ht="18.75" x14ac:dyDescent="0.25">
      <c r="B20" s="17">
        <v>7</v>
      </c>
      <c r="C20" s="17"/>
      <c r="D20" s="29"/>
      <c r="E20" s="29"/>
      <c r="F20" s="29"/>
      <c r="G20" s="21">
        <v>717.47140784580006</v>
      </c>
      <c r="H20" s="21">
        <v>693.0604078458</v>
      </c>
      <c r="I20" s="21">
        <v>730.10525600580013</v>
      </c>
      <c r="J20" s="21">
        <v>745.86425600580014</v>
      </c>
      <c r="K20" s="21">
        <v>740.94875816579997</v>
      </c>
      <c r="L20" s="21">
        <v>717.72431816580001</v>
      </c>
      <c r="M20" s="21">
        <v>712.1293581658</v>
      </c>
      <c r="N20" s="21">
        <v>679.85710976580003</v>
      </c>
      <c r="O20" s="21">
        <v>677.49862654861249</v>
      </c>
      <c r="P20" s="21">
        <v>667.62401654861253</v>
      </c>
      <c r="Q20" s="21">
        <v>641.98519696954997</v>
      </c>
      <c r="R20" s="21">
        <v>632.44739696954991</v>
      </c>
      <c r="S20" s="21">
        <v>582.72566280767501</v>
      </c>
      <c r="T20" s="21">
        <v>569.33566280767502</v>
      </c>
      <c r="U20" s="21">
        <v>561.71778280767512</v>
      </c>
      <c r="V20" s="21">
        <v>497.72074304580002</v>
      </c>
      <c r="W20" s="21">
        <v>490.23882304580002</v>
      </c>
      <c r="X20" s="21">
        <v>503.79911912579979</v>
      </c>
      <c r="Y20" s="21">
        <v>529.69949912579978</v>
      </c>
      <c r="Z20" s="21">
        <v>584.57471024580013</v>
      </c>
      <c r="AA20" s="21">
        <v>614.82066024580013</v>
      </c>
      <c r="AB20" s="21">
        <v>646.12469216580007</v>
      </c>
      <c r="AC20" s="21">
        <v>665.69469216580001</v>
      </c>
      <c r="AD20" s="21">
        <v>720.49174688580001</v>
      </c>
      <c r="AE20" s="23"/>
    </row>
    <row r="21" spans="2:31" ht="18.75" x14ac:dyDescent="0.25">
      <c r="B21" s="17">
        <v>6</v>
      </c>
      <c r="C21" s="17"/>
      <c r="D21" s="29"/>
      <c r="E21" s="29"/>
      <c r="F21" s="21">
        <v>664.33646000579995</v>
      </c>
      <c r="G21" s="21">
        <v>723.20955020580004</v>
      </c>
      <c r="H21" s="21">
        <v>735.65108912580001</v>
      </c>
      <c r="I21" s="21">
        <v>773.42478176580005</v>
      </c>
      <c r="J21" s="21">
        <v>789.18378176579995</v>
      </c>
      <c r="K21" s="21">
        <v>765.17349296580005</v>
      </c>
      <c r="L21" s="21">
        <v>741.94905296580009</v>
      </c>
      <c r="M21" s="21">
        <v>736.35409296580008</v>
      </c>
      <c r="N21" s="21">
        <v>689.65923094080006</v>
      </c>
      <c r="O21" s="21">
        <v>711.88205104579993</v>
      </c>
      <c r="P21" s="21">
        <v>702.00744104579985</v>
      </c>
      <c r="Q21" s="21">
        <v>664.57682080580003</v>
      </c>
      <c r="R21" s="21">
        <v>655.03902080579996</v>
      </c>
      <c r="S21" s="21">
        <v>621.46060056579995</v>
      </c>
      <c r="T21" s="21">
        <v>608.07060056579996</v>
      </c>
      <c r="U21" s="21">
        <v>600.45272056580006</v>
      </c>
      <c r="V21" s="21">
        <v>544.09580912580009</v>
      </c>
      <c r="W21" s="21">
        <v>536.61388912580014</v>
      </c>
      <c r="X21" s="21">
        <v>529.73383520580001</v>
      </c>
      <c r="Y21" s="21">
        <v>555.63421520579993</v>
      </c>
      <c r="Z21" s="21">
        <v>637.48134416580001</v>
      </c>
      <c r="AA21" s="21">
        <v>667.7272941658</v>
      </c>
      <c r="AB21" s="21">
        <v>656.24441744579997</v>
      </c>
      <c r="AC21" s="21">
        <v>675.8144174457999</v>
      </c>
      <c r="AD21" s="21">
        <v>734.33044784579999</v>
      </c>
      <c r="AE21" s="23"/>
    </row>
    <row r="22" spans="2:31" ht="18.75" x14ac:dyDescent="0.25">
      <c r="B22" s="17">
        <v>5</v>
      </c>
      <c r="C22" s="17"/>
      <c r="D22" s="29"/>
      <c r="E22" s="21">
        <v>751.52792112580005</v>
      </c>
      <c r="F22" s="21">
        <v>737.51992112580001</v>
      </c>
      <c r="G22" s="21">
        <v>773.46161456580012</v>
      </c>
      <c r="H22" s="21">
        <v>749.05061456580006</v>
      </c>
      <c r="I22" s="21">
        <v>792.87932288580009</v>
      </c>
      <c r="J22" s="21">
        <v>808.63832288579999</v>
      </c>
      <c r="K22" s="21">
        <v>811.37724944579998</v>
      </c>
      <c r="L22" s="21">
        <v>788.15280944580002</v>
      </c>
      <c r="M22" s="21">
        <v>782.5578494458</v>
      </c>
      <c r="N22" s="21">
        <v>767.66729600580015</v>
      </c>
      <c r="O22" s="21">
        <v>757.05639256580025</v>
      </c>
      <c r="P22" s="21">
        <v>747.18178256580018</v>
      </c>
      <c r="Q22" s="21">
        <v>716.35904080579996</v>
      </c>
      <c r="R22" s="21">
        <v>706.82124080580002</v>
      </c>
      <c r="S22" s="21">
        <v>686.13931872580008</v>
      </c>
      <c r="T22" s="21">
        <v>672.74931872580009</v>
      </c>
      <c r="U22" s="21">
        <v>665.13143872580008</v>
      </c>
      <c r="V22" s="21">
        <v>638.67739664579983</v>
      </c>
      <c r="W22" s="21">
        <v>631.19547664579989</v>
      </c>
      <c r="X22" s="21">
        <v>619.87227464579996</v>
      </c>
      <c r="Y22" s="21">
        <v>645.7726546458</v>
      </c>
      <c r="Z22" s="21">
        <v>679.12826528580001</v>
      </c>
      <c r="AA22" s="21">
        <v>709.37421528580001</v>
      </c>
      <c r="AB22" s="21">
        <v>736.32698336579983</v>
      </c>
      <c r="AC22" s="21">
        <v>755.89698336579988</v>
      </c>
      <c r="AD22" s="21">
        <v>794.89721648579996</v>
      </c>
      <c r="AE22" s="23"/>
    </row>
    <row r="23" spans="2:31" ht="18.75" x14ac:dyDescent="0.25">
      <c r="B23" s="17">
        <v>4</v>
      </c>
      <c r="C23" s="17"/>
      <c r="D23" s="21">
        <v>726.48135344579998</v>
      </c>
      <c r="E23" s="21">
        <v>786.31155672580007</v>
      </c>
      <c r="F23" s="21">
        <v>772.30355672580004</v>
      </c>
      <c r="G23" s="21">
        <v>794.69154608580016</v>
      </c>
      <c r="H23" s="21">
        <v>770.2805460858001</v>
      </c>
      <c r="I23" s="21">
        <v>824.26635632580007</v>
      </c>
      <c r="J23" s="21">
        <v>840.02535632579998</v>
      </c>
      <c r="K23" s="21">
        <v>865.85024144580018</v>
      </c>
      <c r="L23" s="21">
        <v>842.62580144580022</v>
      </c>
      <c r="M23" s="21">
        <v>837.03084144580021</v>
      </c>
      <c r="N23" s="21">
        <v>821.12039024580008</v>
      </c>
      <c r="O23" s="21">
        <v>788.04162712579989</v>
      </c>
      <c r="P23" s="21">
        <v>778.16701712579993</v>
      </c>
      <c r="Q23" s="21">
        <v>768.14126080580002</v>
      </c>
      <c r="R23" s="21">
        <v>758.60346080579995</v>
      </c>
      <c r="S23" s="21">
        <v>750.8180368858001</v>
      </c>
      <c r="T23" s="21">
        <v>737.42803688580011</v>
      </c>
      <c r="U23" s="21">
        <v>729.8101568858001</v>
      </c>
      <c r="V23" s="21">
        <v>716.25261296579993</v>
      </c>
      <c r="W23" s="21">
        <v>708.77069296579998</v>
      </c>
      <c r="X23" s="21">
        <v>710.01071408579992</v>
      </c>
      <c r="Y23" s="21">
        <v>735.91109408579985</v>
      </c>
      <c r="Z23" s="21">
        <v>753.64326920579992</v>
      </c>
      <c r="AA23" s="21">
        <v>783.88921920579992</v>
      </c>
      <c r="AB23" s="21">
        <v>799.26301568579993</v>
      </c>
      <c r="AC23" s="21">
        <v>818.83301568579998</v>
      </c>
      <c r="AD23" s="21">
        <v>843.55796792579997</v>
      </c>
      <c r="AE23" s="23"/>
    </row>
    <row r="24" spans="2:31" ht="18.75" x14ac:dyDescent="0.25">
      <c r="B24" s="17">
        <v>3</v>
      </c>
      <c r="C24" s="17"/>
      <c r="D24" s="21">
        <v>942.16883491567626</v>
      </c>
      <c r="E24" s="21">
        <v>940.39208304580006</v>
      </c>
      <c r="F24" s="21">
        <v>926.38408304580003</v>
      </c>
      <c r="G24" s="21">
        <v>935.27443328580011</v>
      </c>
      <c r="H24" s="21">
        <v>910.86343328580006</v>
      </c>
      <c r="I24" s="21">
        <v>854.67848240580042</v>
      </c>
      <c r="J24" s="21">
        <v>870.43748240580044</v>
      </c>
      <c r="K24" s="21">
        <v>920.32323344580027</v>
      </c>
      <c r="L24" s="21">
        <v>897.09879344580031</v>
      </c>
      <c r="M24" s="21">
        <v>891.5038334458003</v>
      </c>
      <c r="N24" s="21">
        <v>874.57348448580001</v>
      </c>
      <c r="O24" s="21">
        <v>828.53921656580007</v>
      </c>
      <c r="P24" s="21">
        <v>818.66460656580011</v>
      </c>
      <c r="Q24" s="21">
        <v>819.92348080579995</v>
      </c>
      <c r="R24" s="21">
        <v>810.38568080580001</v>
      </c>
      <c r="S24" s="21">
        <v>815.4967550458</v>
      </c>
      <c r="T24" s="21">
        <v>802.10675504580001</v>
      </c>
      <c r="U24" s="21">
        <v>794.48887504580011</v>
      </c>
      <c r="V24" s="21">
        <v>793.82782928579991</v>
      </c>
      <c r="W24" s="21">
        <v>786.34590928579996</v>
      </c>
      <c r="X24" s="21">
        <v>785.54890352580003</v>
      </c>
      <c r="Y24" s="21">
        <v>811.44928352579996</v>
      </c>
      <c r="Z24" s="21">
        <v>828.15827312580006</v>
      </c>
      <c r="AA24" s="21">
        <v>858.40422312580006</v>
      </c>
      <c r="AB24" s="21">
        <v>846.27984386579999</v>
      </c>
      <c r="AC24" s="21">
        <v>865.84984386580004</v>
      </c>
      <c r="AD24" s="21">
        <v>880.7266138458001</v>
      </c>
      <c r="AE24" s="23"/>
    </row>
    <row r="25" spans="2:31" ht="18.75" x14ac:dyDescent="0.25">
      <c r="B25" s="17">
        <v>2</v>
      </c>
      <c r="C25" s="17"/>
      <c r="D25" s="21">
        <v>1177.5763024506016</v>
      </c>
      <c r="E25" s="21">
        <v>1094.4726093658003</v>
      </c>
      <c r="F25" s="21">
        <v>1080.4646093658002</v>
      </c>
      <c r="G25" s="21">
        <v>1015.7639892858002</v>
      </c>
      <c r="H25" s="21">
        <v>991.35298928580016</v>
      </c>
      <c r="I25" s="21">
        <v>959.35799216580074</v>
      </c>
      <c r="J25" s="21">
        <v>975.11699216580075</v>
      </c>
      <c r="K25" s="21">
        <v>974.79622544580047</v>
      </c>
      <c r="L25" s="21">
        <v>951.57178544580051</v>
      </c>
      <c r="M25" s="21">
        <v>945.9768254458005</v>
      </c>
      <c r="N25" s="21">
        <v>928.02657872580016</v>
      </c>
      <c r="O25" s="21">
        <v>914.35598200579989</v>
      </c>
      <c r="P25" s="21">
        <v>904.48137200579993</v>
      </c>
      <c r="Q25" s="21">
        <v>927.16951984579975</v>
      </c>
      <c r="R25" s="21">
        <v>917.63171984579969</v>
      </c>
      <c r="S25" s="21">
        <v>912.17351088579983</v>
      </c>
      <c r="T25" s="21">
        <v>898.78351088579984</v>
      </c>
      <c r="U25" s="21">
        <v>891.16563088579994</v>
      </c>
      <c r="V25" s="21">
        <v>879.93530192579999</v>
      </c>
      <c r="W25" s="21">
        <v>872.45338192580004</v>
      </c>
      <c r="X25" s="21">
        <v>861.08709296580003</v>
      </c>
      <c r="Y25" s="21">
        <v>886.98747296580007</v>
      </c>
      <c r="Z25" s="21">
        <v>880.4051055258002</v>
      </c>
      <c r="AA25" s="21">
        <v>910.65105552580019</v>
      </c>
      <c r="AB25" s="21">
        <v>893.29667204579994</v>
      </c>
      <c r="AC25" s="21">
        <v>912.86667204579999</v>
      </c>
      <c r="AD25" s="21">
        <v>910.47253592579989</v>
      </c>
      <c r="AE25" s="23"/>
    </row>
    <row r="26" spans="2:31" ht="18.75" x14ac:dyDescent="0.25">
      <c r="B26" s="17">
        <v>1</v>
      </c>
      <c r="C26" s="17"/>
      <c r="D26" s="21">
        <v>1315.8203260743194</v>
      </c>
      <c r="E26" s="21">
        <v>1248.5531356858003</v>
      </c>
      <c r="F26" s="21">
        <v>1234.5451356858005</v>
      </c>
      <c r="G26" s="21">
        <v>1182.6963694458004</v>
      </c>
      <c r="H26" s="21">
        <v>1158.2853694458004</v>
      </c>
      <c r="I26" s="21">
        <v>1064.0375019258011</v>
      </c>
      <c r="J26" s="21">
        <v>1079.7965019258008</v>
      </c>
      <c r="K26" s="21">
        <v>1087.4097345658006</v>
      </c>
      <c r="L26" s="21">
        <v>1064.1852945658006</v>
      </c>
      <c r="M26" s="21">
        <v>1058.5903345658007</v>
      </c>
      <c r="N26" s="21">
        <v>1048.5740872058002</v>
      </c>
      <c r="O26" s="21">
        <v>1042.8374898457996</v>
      </c>
      <c r="P26" s="21">
        <v>1032.9628798457995</v>
      </c>
      <c r="Q26" s="21">
        <v>1034.4155588857996</v>
      </c>
      <c r="R26" s="21">
        <v>1024.8777588857997</v>
      </c>
      <c r="S26" s="21">
        <v>1008.8502667257997</v>
      </c>
      <c r="T26" s="21">
        <v>995.46026672579967</v>
      </c>
      <c r="U26" s="21">
        <v>987.84238672579977</v>
      </c>
      <c r="V26" s="21">
        <v>966.04277456579973</v>
      </c>
      <c r="W26" s="21">
        <v>958.56085456579979</v>
      </c>
      <c r="X26" s="21">
        <v>936.62528240580002</v>
      </c>
      <c r="Y26" s="21">
        <v>962.52566240579995</v>
      </c>
      <c r="Z26" s="21">
        <v>932.65193792580044</v>
      </c>
      <c r="AA26" s="21">
        <v>962.89788792580055</v>
      </c>
      <c r="AB26" s="21">
        <v>924.39429608580019</v>
      </c>
      <c r="AC26" s="21">
        <v>943.96429608580013</v>
      </c>
      <c r="AD26" s="21">
        <v>918.99285248579997</v>
      </c>
      <c r="AE26" s="23"/>
    </row>
    <row r="27" spans="2:31" ht="18.75" x14ac:dyDescent="0.25">
      <c r="B27" s="17">
        <v>0.5</v>
      </c>
      <c r="C27" s="17"/>
      <c r="D27" s="21">
        <v>1607.8370600057999</v>
      </c>
      <c r="E27" s="21">
        <v>1533.6050424057998</v>
      </c>
      <c r="F27" s="21">
        <v>1519.5970424058</v>
      </c>
      <c r="G27" s="21">
        <v>1455.7680248058</v>
      </c>
      <c r="H27" s="21">
        <v>1431.3570248057999</v>
      </c>
      <c r="I27" s="21">
        <v>1327.3580072058</v>
      </c>
      <c r="J27" s="21">
        <v>1343.1170072057998</v>
      </c>
      <c r="K27" s="21">
        <v>1278.1014296057999</v>
      </c>
      <c r="L27" s="21">
        <v>1254.8769896058</v>
      </c>
      <c r="M27" s="21">
        <v>1249.2820296057998</v>
      </c>
      <c r="N27" s="21">
        <v>1207.1283320057998</v>
      </c>
      <c r="O27" s="21">
        <v>1169.2542844058</v>
      </c>
      <c r="P27" s="21">
        <v>1159.3796744058</v>
      </c>
      <c r="Q27" s="21">
        <v>1121.1688168058004</v>
      </c>
      <c r="R27" s="21">
        <v>1111.6310168058003</v>
      </c>
      <c r="S27" s="21">
        <v>1084.7622225657997</v>
      </c>
      <c r="T27" s="21">
        <v>1071.3722225657996</v>
      </c>
      <c r="U27" s="21">
        <v>1063.7543425657998</v>
      </c>
      <c r="V27" s="21">
        <v>1031.3854472057997</v>
      </c>
      <c r="W27" s="21">
        <v>1023.9035272057997</v>
      </c>
      <c r="X27" s="21">
        <v>991.39867184579998</v>
      </c>
      <c r="Y27" s="21">
        <v>1017.2990518458</v>
      </c>
      <c r="Z27" s="21">
        <v>984.89877032580057</v>
      </c>
      <c r="AA27" s="21">
        <v>1015.1447203258006</v>
      </c>
      <c r="AB27" s="21">
        <v>955.49192012580045</v>
      </c>
      <c r="AC27" s="21">
        <v>975.06192012580038</v>
      </c>
      <c r="AD27" s="21">
        <v>941.35636904580099</v>
      </c>
      <c r="AE27" s="23"/>
    </row>
    <row r="28" spans="2:31" ht="18.75" x14ac:dyDescent="0.25">
      <c r="B28" s="17"/>
      <c r="C28" s="17"/>
      <c r="D28" s="11">
        <v>500</v>
      </c>
      <c r="E28" s="11">
        <v>750</v>
      </c>
      <c r="F28" s="11">
        <v>1000</v>
      </c>
      <c r="G28" s="11">
        <v>1250</v>
      </c>
      <c r="H28" s="11">
        <v>1500</v>
      </c>
      <c r="I28" s="11">
        <v>1750</v>
      </c>
      <c r="J28" s="11">
        <v>2000</v>
      </c>
      <c r="K28" s="11">
        <v>2250</v>
      </c>
      <c r="L28" s="11">
        <v>2500</v>
      </c>
      <c r="M28" s="11">
        <v>2750</v>
      </c>
      <c r="N28" s="11">
        <v>3000</v>
      </c>
      <c r="O28" s="11">
        <v>3250</v>
      </c>
      <c r="P28" s="11">
        <v>3500</v>
      </c>
      <c r="Q28" s="11">
        <v>3750</v>
      </c>
      <c r="R28" s="11">
        <v>4000</v>
      </c>
      <c r="S28" s="11">
        <v>4250</v>
      </c>
      <c r="T28" s="11">
        <v>4500</v>
      </c>
      <c r="U28" s="11">
        <v>4750</v>
      </c>
      <c r="V28" s="11">
        <v>5000</v>
      </c>
      <c r="W28" s="11">
        <v>5250</v>
      </c>
      <c r="X28" s="11">
        <v>5500</v>
      </c>
      <c r="Y28" s="11">
        <v>5750</v>
      </c>
      <c r="Z28" s="11">
        <v>6000</v>
      </c>
      <c r="AA28" s="11">
        <v>6250</v>
      </c>
      <c r="AB28" s="11">
        <v>6500</v>
      </c>
      <c r="AC28" s="11">
        <v>6750</v>
      </c>
      <c r="AD28" s="11">
        <v>7000</v>
      </c>
      <c r="AE28" s="11" t="s">
        <v>79</v>
      </c>
    </row>
    <row r="30" spans="2:31" x14ac:dyDescent="0.25">
      <c r="B30" s="20">
        <v>0.5</v>
      </c>
    </row>
    <row r="31" spans="2:31" x14ac:dyDescent="0.25">
      <c r="B31" s="20">
        <v>1</v>
      </c>
    </row>
    <row r="32" spans="2:31" x14ac:dyDescent="0.25">
      <c r="B32" s="20">
        <f>B31+1</f>
        <v>2</v>
      </c>
    </row>
    <row r="33" spans="2:2" x14ac:dyDescent="0.25">
      <c r="B33" s="20">
        <f t="shared" ref="B33:B52" si="0">B32+1</f>
        <v>3</v>
      </c>
    </row>
    <row r="34" spans="2:2" x14ac:dyDescent="0.25">
      <c r="B34" s="20">
        <f t="shared" si="0"/>
        <v>4</v>
      </c>
    </row>
    <row r="35" spans="2:2" x14ac:dyDescent="0.25">
      <c r="B35" s="20">
        <f t="shared" si="0"/>
        <v>5</v>
      </c>
    </row>
    <row r="36" spans="2:2" x14ac:dyDescent="0.25">
      <c r="B36" s="20">
        <f t="shared" si="0"/>
        <v>6</v>
      </c>
    </row>
    <row r="37" spans="2:2" x14ac:dyDescent="0.25">
      <c r="B37" s="20">
        <f t="shared" si="0"/>
        <v>7</v>
      </c>
    </row>
    <row r="38" spans="2:2" x14ac:dyDescent="0.25">
      <c r="B38" s="20">
        <f t="shared" si="0"/>
        <v>8</v>
      </c>
    </row>
    <row r="39" spans="2:2" x14ac:dyDescent="0.25">
      <c r="B39" s="20">
        <f t="shared" si="0"/>
        <v>9</v>
      </c>
    </row>
    <row r="40" spans="2:2" x14ac:dyDescent="0.25">
      <c r="B40" s="20">
        <f t="shared" si="0"/>
        <v>10</v>
      </c>
    </row>
    <row r="41" spans="2:2" x14ac:dyDescent="0.25">
      <c r="B41" s="20">
        <f t="shared" si="0"/>
        <v>11</v>
      </c>
    </row>
    <row r="42" spans="2:2" x14ac:dyDescent="0.25">
      <c r="B42" s="20">
        <f t="shared" si="0"/>
        <v>12</v>
      </c>
    </row>
    <row r="43" spans="2:2" x14ac:dyDescent="0.25">
      <c r="B43" s="20">
        <f t="shared" si="0"/>
        <v>13</v>
      </c>
    </row>
    <row r="44" spans="2:2" x14ac:dyDescent="0.25">
      <c r="B44" s="20">
        <f t="shared" si="0"/>
        <v>14</v>
      </c>
    </row>
    <row r="45" spans="2:2" x14ac:dyDescent="0.25">
      <c r="B45" s="20">
        <f t="shared" si="0"/>
        <v>15</v>
      </c>
    </row>
    <row r="46" spans="2:2" x14ac:dyDescent="0.25">
      <c r="B46" s="20">
        <f t="shared" si="0"/>
        <v>16</v>
      </c>
    </row>
    <row r="47" spans="2:2" x14ac:dyDescent="0.25">
      <c r="B47" s="20">
        <f t="shared" si="0"/>
        <v>17</v>
      </c>
    </row>
    <row r="48" spans="2:2" x14ac:dyDescent="0.25">
      <c r="B48" s="20">
        <f t="shared" si="0"/>
        <v>18</v>
      </c>
    </row>
    <row r="49" spans="2:2" x14ac:dyDescent="0.25">
      <c r="B49" s="20">
        <f t="shared" si="0"/>
        <v>19</v>
      </c>
    </row>
    <row r="50" spans="2:2" x14ac:dyDescent="0.25">
      <c r="B50" s="20">
        <f t="shared" si="0"/>
        <v>20</v>
      </c>
    </row>
    <row r="51" spans="2:2" x14ac:dyDescent="0.25">
      <c r="B51" s="20">
        <f t="shared" si="0"/>
        <v>21</v>
      </c>
    </row>
    <row r="52" spans="2:2" x14ac:dyDescent="0.25">
      <c r="B52" s="20">
        <f t="shared" si="0"/>
        <v>22</v>
      </c>
    </row>
  </sheetData>
  <mergeCells count="27">
    <mergeCell ref="B27:C27"/>
    <mergeCell ref="B28:C28"/>
    <mergeCell ref="B2:AE3"/>
    <mergeCell ref="AE4:AE27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4:C4"/>
    <mergeCell ref="B5:C5"/>
    <mergeCell ref="B6:C6"/>
    <mergeCell ref="B7:C7"/>
    <mergeCell ref="B8:C8"/>
  </mergeCells>
  <conditionalFormatting sqref="B2 B4 D4:AB4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3:AD27 E22:AD22 F21:AD21 G19:AD20 H17:AD18 I15:AD16 J14:AD14 K13:AD13 L12:AD12 M11:AD11 O10:AD10 P9:AC9 S8:AB8 T7:Z7 V6:Y6 X5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E2F0-43C3-4217-AA99-273B725F6F52}">
  <dimension ref="B2:H62"/>
  <sheetViews>
    <sheetView tabSelected="1" workbookViewId="0">
      <selection activeCell="AM33" sqref="AM33"/>
    </sheetView>
  </sheetViews>
  <sheetFormatPr defaultRowHeight="15" x14ac:dyDescent="0.25"/>
  <cols>
    <col min="1" max="16384" width="9.140625" style="20"/>
  </cols>
  <sheetData>
    <row r="2" spans="2:8" x14ac:dyDescent="0.25">
      <c r="B2" s="25" t="s">
        <v>81</v>
      </c>
      <c r="C2" s="25"/>
      <c r="D2" s="25"/>
      <c r="E2" s="25"/>
      <c r="F2" s="25"/>
      <c r="G2" s="25"/>
    </row>
    <row r="3" spans="2:8" x14ac:dyDescent="0.25">
      <c r="B3" s="25"/>
      <c r="C3" s="25"/>
      <c r="D3" s="25"/>
      <c r="E3" s="25"/>
      <c r="F3" s="25"/>
      <c r="G3" s="25"/>
    </row>
    <row r="4" spans="2:8" x14ac:dyDescent="0.25">
      <c r="B4" s="24" t="s">
        <v>82</v>
      </c>
      <c r="C4" s="24"/>
      <c r="D4" s="24"/>
      <c r="E4" s="24" t="s">
        <v>88</v>
      </c>
      <c r="F4" s="24"/>
      <c r="G4" s="24"/>
    </row>
    <row r="5" spans="2:8" x14ac:dyDescent="0.25">
      <c r="B5" s="24" t="s">
        <v>83</v>
      </c>
      <c r="C5" s="24"/>
      <c r="D5" s="24"/>
      <c r="E5" s="24" t="s">
        <v>163</v>
      </c>
      <c r="F5" s="24"/>
      <c r="G5" s="24"/>
    </row>
    <row r="6" spans="2:8" x14ac:dyDescent="0.25">
      <c r="B6" s="26" t="s">
        <v>162</v>
      </c>
      <c r="C6" s="27"/>
      <c r="D6" s="28"/>
      <c r="E6" s="26">
        <f>ROUND(SUM(F11:G33),0)</f>
        <v>1633</v>
      </c>
      <c r="F6" s="27"/>
      <c r="G6" s="28"/>
    </row>
    <row r="7" spans="2:8" x14ac:dyDescent="0.25">
      <c r="B7" s="25" t="s">
        <v>84</v>
      </c>
      <c r="C7" s="25"/>
      <c r="D7" s="25"/>
      <c r="E7" s="25"/>
      <c r="F7" s="25"/>
      <c r="G7" s="25"/>
    </row>
    <row r="8" spans="2:8" x14ac:dyDescent="0.25">
      <c r="B8" s="25"/>
      <c r="C8" s="25"/>
      <c r="D8" s="25"/>
      <c r="E8" s="25"/>
      <c r="F8" s="25"/>
      <c r="G8" s="25"/>
    </row>
    <row r="9" spans="2:8" x14ac:dyDescent="0.25">
      <c r="B9" s="25" t="s">
        <v>85</v>
      </c>
      <c r="C9" s="25"/>
      <c r="D9" s="25" t="s">
        <v>86</v>
      </c>
      <c r="E9" s="25"/>
      <c r="F9" s="25" t="s">
        <v>87</v>
      </c>
      <c r="G9" s="25"/>
    </row>
    <row r="10" spans="2:8" x14ac:dyDescent="0.25">
      <c r="B10" s="25"/>
      <c r="C10" s="25"/>
      <c r="D10" s="25"/>
      <c r="E10" s="25"/>
      <c r="F10" s="25"/>
      <c r="G10" s="25"/>
    </row>
    <row r="11" spans="2:8" x14ac:dyDescent="0.25">
      <c r="B11" s="24" t="s">
        <v>89</v>
      </c>
      <c r="C11" s="24"/>
      <c r="D11" s="24" t="s">
        <v>90</v>
      </c>
      <c r="E11" s="24"/>
      <c r="F11" s="24">
        <v>129.47</v>
      </c>
      <c r="G11" s="24"/>
    </row>
    <row r="12" spans="2:8" x14ac:dyDescent="0.25">
      <c r="B12" s="24" t="s">
        <v>91</v>
      </c>
      <c r="C12" s="24"/>
      <c r="D12" s="24" t="s">
        <v>90</v>
      </c>
      <c r="E12" s="24"/>
      <c r="F12" s="24">
        <v>71.34</v>
      </c>
      <c r="G12" s="24"/>
    </row>
    <row r="13" spans="2:8" x14ac:dyDescent="0.25">
      <c r="B13" s="24" t="s">
        <v>92</v>
      </c>
      <c r="C13" s="24"/>
      <c r="D13" s="24" t="s">
        <v>90</v>
      </c>
      <c r="E13" s="24"/>
      <c r="F13" s="24">
        <v>66.5</v>
      </c>
      <c r="G13" s="24"/>
      <c r="H13" s="43">
        <f>F11</f>
        <v>129.47</v>
      </c>
    </row>
    <row r="14" spans="2:8" x14ac:dyDescent="0.25">
      <c r="B14" s="24" t="s">
        <v>93</v>
      </c>
      <c r="C14" s="24"/>
      <c r="D14" s="24" t="s">
        <v>90</v>
      </c>
      <c r="E14" s="24"/>
      <c r="F14" s="24">
        <v>115.84</v>
      </c>
      <c r="G14" s="24"/>
      <c r="H14" s="43">
        <f>F12+H13</f>
        <v>200.81</v>
      </c>
    </row>
    <row r="15" spans="2:8" x14ac:dyDescent="0.25">
      <c r="B15" s="24" t="s">
        <v>94</v>
      </c>
      <c r="C15" s="24"/>
      <c r="D15" s="24" t="s">
        <v>95</v>
      </c>
      <c r="E15" s="24"/>
      <c r="F15" s="24">
        <v>60.89</v>
      </c>
      <c r="G15" s="24"/>
      <c r="H15" s="43">
        <f>F13+H14</f>
        <v>267.31</v>
      </c>
    </row>
    <row r="16" spans="2:8" x14ac:dyDescent="0.25">
      <c r="B16" s="24" t="s">
        <v>103</v>
      </c>
      <c r="C16" s="24"/>
      <c r="D16" s="24" t="s">
        <v>95</v>
      </c>
      <c r="E16" s="24"/>
      <c r="F16" s="24">
        <v>96.26</v>
      </c>
      <c r="G16" s="24"/>
      <c r="H16" s="43">
        <f>F14+H15</f>
        <v>383.15</v>
      </c>
    </row>
    <row r="17" spans="2:8" x14ac:dyDescent="0.25">
      <c r="B17" s="24" t="s">
        <v>96</v>
      </c>
      <c r="C17" s="24"/>
      <c r="D17" s="24" t="s">
        <v>95</v>
      </c>
      <c r="E17" s="24"/>
      <c r="F17" s="24">
        <v>96.12</v>
      </c>
      <c r="G17" s="24"/>
      <c r="H17" s="43">
        <f>F15+H16</f>
        <v>444.03999999999996</v>
      </c>
    </row>
    <row r="18" spans="2:8" x14ac:dyDescent="0.25">
      <c r="B18" s="24" t="s">
        <v>104</v>
      </c>
      <c r="C18" s="24"/>
      <c r="D18" s="24" t="s">
        <v>95</v>
      </c>
      <c r="E18" s="24"/>
      <c r="F18" s="24">
        <v>80.11</v>
      </c>
      <c r="G18" s="24"/>
      <c r="H18" s="43">
        <f>F16+H17</f>
        <v>540.29999999999995</v>
      </c>
    </row>
    <row r="19" spans="2:8" x14ac:dyDescent="0.25">
      <c r="B19" s="24" t="s">
        <v>97</v>
      </c>
      <c r="C19" s="24"/>
      <c r="D19" s="24" t="s">
        <v>105</v>
      </c>
      <c r="E19" s="24"/>
      <c r="F19" s="24">
        <v>77.400000000000006</v>
      </c>
      <c r="G19" s="24"/>
      <c r="H19" s="43">
        <f>F17+H18</f>
        <v>636.41999999999996</v>
      </c>
    </row>
    <row r="20" spans="2:8" x14ac:dyDescent="0.25">
      <c r="B20" s="24" t="s">
        <v>106</v>
      </c>
      <c r="C20" s="24"/>
      <c r="D20" s="24" t="s">
        <v>105</v>
      </c>
      <c r="E20" s="24"/>
      <c r="F20" s="24">
        <v>89.47</v>
      </c>
      <c r="G20" s="24"/>
      <c r="H20" s="43">
        <f>F18+H19</f>
        <v>716.53</v>
      </c>
    </row>
    <row r="21" spans="2:8" x14ac:dyDescent="0.25">
      <c r="B21" s="24" t="s">
        <v>98</v>
      </c>
      <c r="C21" s="24"/>
      <c r="D21" s="24" t="s">
        <v>105</v>
      </c>
      <c r="E21" s="24"/>
      <c r="F21" s="24">
        <v>37.409999999999997</v>
      </c>
      <c r="G21" s="24"/>
      <c r="H21" s="43">
        <f>F19+H20</f>
        <v>793.93</v>
      </c>
    </row>
    <row r="22" spans="2:8" x14ac:dyDescent="0.25">
      <c r="B22" s="24" t="s">
        <v>107</v>
      </c>
      <c r="C22" s="24"/>
      <c r="D22" s="24" t="s">
        <v>105</v>
      </c>
      <c r="E22" s="24"/>
      <c r="F22" s="24">
        <v>56.86</v>
      </c>
      <c r="G22" s="24"/>
      <c r="H22" s="43">
        <f>F20+H21</f>
        <v>883.4</v>
      </c>
    </row>
    <row r="23" spans="2:8" x14ac:dyDescent="0.25">
      <c r="B23" s="24" t="s">
        <v>99</v>
      </c>
      <c r="C23" s="24"/>
      <c r="D23" s="24" t="s">
        <v>90</v>
      </c>
      <c r="E23" s="24"/>
      <c r="F23" s="24">
        <v>73.52</v>
      </c>
      <c r="G23" s="24"/>
      <c r="H23" s="43">
        <f>F21+H22</f>
        <v>920.81</v>
      </c>
    </row>
    <row r="24" spans="2:8" x14ac:dyDescent="0.25">
      <c r="B24" s="24" t="s">
        <v>108</v>
      </c>
      <c r="C24" s="24"/>
      <c r="D24" s="24" t="s">
        <v>90</v>
      </c>
      <c r="E24" s="24"/>
      <c r="F24" s="24">
        <v>77.14</v>
      </c>
      <c r="G24" s="24"/>
      <c r="H24" s="43">
        <f>F22+H23</f>
        <v>977.67</v>
      </c>
    </row>
    <row r="25" spans="2:8" x14ac:dyDescent="0.25">
      <c r="B25" s="24" t="s">
        <v>100</v>
      </c>
      <c r="C25" s="24"/>
      <c r="D25" s="24" t="s">
        <v>90</v>
      </c>
      <c r="E25" s="24"/>
      <c r="F25" s="24">
        <v>61.27</v>
      </c>
      <c r="G25" s="24"/>
      <c r="H25" s="43">
        <f>F23+H24</f>
        <v>1051.19</v>
      </c>
    </row>
    <row r="26" spans="2:8" x14ac:dyDescent="0.25">
      <c r="B26" s="24" t="s">
        <v>112</v>
      </c>
      <c r="C26" s="24"/>
      <c r="D26" s="24" t="s">
        <v>90</v>
      </c>
      <c r="E26" s="24"/>
      <c r="F26" s="24">
        <v>18.100000000000001</v>
      </c>
      <c r="G26" s="24"/>
      <c r="H26" s="43">
        <f>F24+H25</f>
        <v>1128.3300000000002</v>
      </c>
    </row>
    <row r="27" spans="2:8" x14ac:dyDescent="0.25">
      <c r="B27" s="24" t="s">
        <v>113</v>
      </c>
      <c r="C27" s="24"/>
      <c r="D27" s="24" t="s">
        <v>90</v>
      </c>
      <c r="E27" s="24"/>
      <c r="F27" s="24">
        <v>39.64</v>
      </c>
      <c r="G27" s="24"/>
      <c r="H27" s="43">
        <f>F25+H26</f>
        <v>1189.6000000000001</v>
      </c>
    </row>
    <row r="28" spans="2:8" x14ac:dyDescent="0.25">
      <c r="B28" s="24" t="s">
        <v>101</v>
      </c>
      <c r="C28" s="24"/>
      <c r="D28" s="24" t="s">
        <v>95</v>
      </c>
      <c r="E28" s="24"/>
      <c r="F28" s="24">
        <v>26.3</v>
      </c>
      <c r="G28" s="24"/>
      <c r="H28" s="43">
        <f>F26+H27</f>
        <v>1207.7</v>
      </c>
    </row>
    <row r="29" spans="2:8" x14ac:dyDescent="0.25">
      <c r="B29" s="24" t="s">
        <v>110</v>
      </c>
      <c r="C29" s="24"/>
      <c r="D29" s="24" t="s">
        <v>95</v>
      </c>
      <c r="E29" s="24"/>
      <c r="F29" s="24">
        <v>129.88</v>
      </c>
      <c r="G29" s="24"/>
      <c r="H29" s="43">
        <f>F27+H28</f>
        <v>1247.3400000000001</v>
      </c>
    </row>
    <row r="30" spans="2:8" x14ac:dyDescent="0.25">
      <c r="B30" s="24" t="s">
        <v>102</v>
      </c>
      <c r="C30" s="24"/>
      <c r="D30" s="24" t="s">
        <v>95</v>
      </c>
      <c r="E30" s="24"/>
      <c r="F30" s="24">
        <v>65.98</v>
      </c>
      <c r="G30" s="24"/>
      <c r="H30" s="43">
        <f>F28+H29</f>
        <v>1273.6400000000001</v>
      </c>
    </row>
    <row r="31" spans="2:8" x14ac:dyDescent="0.25">
      <c r="B31" s="24" t="s">
        <v>114</v>
      </c>
      <c r="C31" s="24"/>
      <c r="D31" s="24" t="s">
        <v>105</v>
      </c>
      <c r="E31" s="24"/>
      <c r="F31" s="24">
        <v>62.64</v>
      </c>
      <c r="G31" s="24"/>
      <c r="H31" s="43">
        <f>F29+H30</f>
        <v>1403.52</v>
      </c>
    </row>
    <row r="32" spans="2:8" x14ac:dyDescent="0.25">
      <c r="B32" s="24" t="s">
        <v>115</v>
      </c>
      <c r="C32" s="24"/>
      <c r="D32" s="24" t="s">
        <v>105</v>
      </c>
      <c r="E32" s="24"/>
      <c r="F32" s="24">
        <v>58.34</v>
      </c>
      <c r="G32" s="24"/>
      <c r="H32" s="43">
        <f>F30+H31</f>
        <v>1469.5</v>
      </c>
    </row>
    <row r="33" spans="2:8" x14ac:dyDescent="0.25">
      <c r="B33" s="24" t="s">
        <v>116</v>
      </c>
      <c r="C33" s="24"/>
      <c r="D33" s="24" t="s">
        <v>105</v>
      </c>
      <c r="E33" s="24"/>
      <c r="F33" s="24">
        <v>42.77</v>
      </c>
      <c r="G33" s="24"/>
      <c r="H33" s="43">
        <f>F31+H32</f>
        <v>1532.14</v>
      </c>
    </row>
    <row r="34" spans="2:8" x14ac:dyDescent="0.25">
      <c r="B34" s="25" t="s">
        <v>118</v>
      </c>
      <c r="C34" s="25"/>
      <c r="D34" s="25"/>
      <c r="E34" s="25"/>
      <c r="F34" s="25"/>
      <c r="G34" s="25"/>
      <c r="H34" s="43">
        <f>F32+H33</f>
        <v>1590.48</v>
      </c>
    </row>
    <row r="35" spans="2:8" x14ac:dyDescent="0.25">
      <c r="B35" s="25"/>
      <c r="C35" s="25"/>
      <c r="D35" s="25"/>
      <c r="E35" s="25"/>
      <c r="F35" s="25"/>
      <c r="G35" s="25"/>
      <c r="H35" s="43">
        <f>F33+H34</f>
        <v>1633.25</v>
      </c>
    </row>
    <row r="36" spans="2:8" x14ac:dyDescent="0.25">
      <c r="B36" s="25" t="s">
        <v>119</v>
      </c>
      <c r="C36" s="25"/>
      <c r="D36" s="25" t="s">
        <v>117</v>
      </c>
      <c r="E36" s="25"/>
      <c r="F36" s="25" t="s">
        <v>120</v>
      </c>
      <c r="G36" s="25"/>
    </row>
    <row r="37" spans="2:8" x14ac:dyDescent="0.25">
      <c r="B37" s="25"/>
      <c r="C37" s="25"/>
      <c r="D37" s="25"/>
      <c r="E37" s="25"/>
      <c r="F37" s="25"/>
      <c r="G37" s="25"/>
    </row>
    <row r="38" spans="2:8" x14ac:dyDescent="0.25">
      <c r="B38" s="24" t="s">
        <v>91</v>
      </c>
      <c r="C38" s="24"/>
      <c r="D38" s="24">
        <v>22.94</v>
      </c>
      <c r="E38" s="24"/>
      <c r="F38" s="24">
        <f>SQRT(D38*0.7*9.81)</f>
        <v>12.551054935741458</v>
      </c>
      <c r="G38" s="24"/>
    </row>
    <row r="39" spans="2:8" x14ac:dyDescent="0.25">
      <c r="B39" s="24" t="s">
        <v>93</v>
      </c>
      <c r="C39" s="24"/>
      <c r="D39" s="24">
        <v>158.5</v>
      </c>
      <c r="E39" s="24"/>
      <c r="F39" s="24">
        <f t="shared" ref="F39:F50" si="0">SQRT(D39*0.7*9.81)</f>
        <v>32.991203373020511</v>
      </c>
      <c r="G39" s="24"/>
    </row>
    <row r="40" spans="2:8" x14ac:dyDescent="0.25">
      <c r="B40" s="24" t="s">
        <v>103</v>
      </c>
      <c r="C40" s="24"/>
      <c r="D40" s="24">
        <v>31.72</v>
      </c>
      <c r="E40" s="24"/>
      <c r="F40" s="24">
        <f t="shared" si="0"/>
        <v>14.758768241286262</v>
      </c>
      <c r="G40" s="24"/>
    </row>
    <row r="41" spans="2:8" x14ac:dyDescent="0.25">
      <c r="B41" s="24" t="s">
        <v>104</v>
      </c>
      <c r="C41" s="24"/>
      <c r="D41" s="24">
        <v>24.41</v>
      </c>
      <c r="E41" s="24"/>
      <c r="F41" s="24">
        <f t="shared" si="0"/>
        <v>12.946948289075692</v>
      </c>
      <c r="G41" s="24"/>
    </row>
    <row r="42" spans="2:8" x14ac:dyDescent="0.25">
      <c r="B42" s="24" t="s">
        <v>106</v>
      </c>
      <c r="C42" s="24"/>
      <c r="D42" s="24">
        <v>23.88</v>
      </c>
      <c r="E42" s="24"/>
      <c r="F42" s="24">
        <f t="shared" si="0"/>
        <v>12.805622202767033</v>
      </c>
      <c r="G42" s="24"/>
    </row>
    <row r="43" spans="2:8" x14ac:dyDescent="0.25">
      <c r="B43" s="24" t="s">
        <v>107</v>
      </c>
      <c r="C43" s="24"/>
      <c r="D43" s="24">
        <v>18.89</v>
      </c>
      <c r="E43" s="24"/>
      <c r="F43" s="24">
        <f t="shared" si="0"/>
        <v>11.389364775965339</v>
      </c>
      <c r="G43" s="24"/>
    </row>
    <row r="44" spans="2:8" x14ac:dyDescent="0.25">
      <c r="B44" s="24" t="s">
        <v>108</v>
      </c>
      <c r="C44" s="24"/>
      <c r="D44" s="24">
        <v>53.94</v>
      </c>
      <c r="E44" s="24"/>
      <c r="F44" s="24">
        <f t="shared" si="0"/>
        <v>19.245934116067218</v>
      </c>
      <c r="G44" s="24"/>
    </row>
    <row r="45" spans="2:8" x14ac:dyDescent="0.25">
      <c r="B45" s="24" t="s">
        <v>112</v>
      </c>
      <c r="C45" s="24"/>
      <c r="D45" s="24">
        <v>37.54</v>
      </c>
      <c r="E45" s="24"/>
      <c r="F45" s="24">
        <f t="shared" si="0"/>
        <v>16.055752240240878</v>
      </c>
      <c r="G45" s="24"/>
    </row>
    <row r="46" spans="2:8" x14ac:dyDescent="0.25">
      <c r="B46" s="24" t="s">
        <v>113</v>
      </c>
      <c r="C46" s="24"/>
      <c r="D46" s="24">
        <v>78.11</v>
      </c>
      <c r="E46" s="24"/>
      <c r="F46" s="24">
        <f t="shared" si="0"/>
        <v>23.159908678576436</v>
      </c>
      <c r="G46" s="24"/>
    </row>
    <row r="47" spans="2:8" x14ac:dyDescent="0.25">
      <c r="B47" s="24" t="s">
        <v>110</v>
      </c>
      <c r="C47" s="24"/>
      <c r="D47" s="24">
        <v>103.95</v>
      </c>
      <c r="E47" s="24"/>
      <c r="F47" s="24">
        <f t="shared" si="0"/>
        <v>26.717497075886431</v>
      </c>
      <c r="G47" s="24"/>
    </row>
    <row r="48" spans="2:8" x14ac:dyDescent="0.25">
      <c r="B48" s="24" t="s">
        <v>114</v>
      </c>
      <c r="C48" s="24"/>
      <c r="D48" s="24">
        <v>34.14</v>
      </c>
      <c r="E48" s="24"/>
      <c r="F48" s="24">
        <f t="shared" si="0"/>
        <v>15.311413390017265</v>
      </c>
      <c r="G48" s="24"/>
    </row>
    <row r="49" spans="2:7" x14ac:dyDescent="0.25">
      <c r="B49" s="24" t="s">
        <v>115</v>
      </c>
      <c r="C49" s="24"/>
      <c r="D49" s="24">
        <v>34.450000000000003</v>
      </c>
      <c r="E49" s="24"/>
      <c r="F49" s="24">
        <f t="shared" si="0"/>
        <v>15.380772087252318</v>
      </c>
      <c r="G49" s="24"/>
    </row>
    <row r="50" spans="2:7" x14ac:dyDescent="0.25">
      <c r="B50" s="24" t="s">
        <v>116</v>
      </c>
      <c r="C50" s="24"/>
      <c r="D50" s="24">
        <v>47.65</v>
      </c>
      <c r="E50" s="24"/>
      <c r="F50" s="24">
        <f t="shared" si="0"/>
        <v>18.089017386248486</v>
      </c>
      <c r="G50" s="24"/>
    </row>
    <row r="51" spans="2:7" x14ac:dyDescent="0.25">
      <c r="B51" s="25" t="s">
        <v>121</v>
      </c>
      <c r="C51" s="25"/>
      <c r="D51" s="25"/>
      <c r="E51" s="25"/>
      <c r="F51" s="25"/>
      <c r="G51" s="25"/>
    </row>
    <row r="52" spans="2:7" x14ac:dyDescent="0.25">
      <c r="B52" s="25"/>
      <c r="C52" s="25"/>
      <c r="D52" s="25"/>
      <c r="E52" s="25"/>
      <c r="F52" s="25"/>
      <c r="G52" s="25"/>
    </row>
    <row r="53" spans="2:7" x14ac:dyDescent="0.25">
      <c r="B53" s="26" t="s">
        <v>122</v>
      </c>
      <c r="C53" s="27"/>
      <c r="D53" s="27"/>
      <c r="E53" s="28"/>
      <c r="F53" s="26">
        <v>0.02</v>
      </c>
      <c r="G53" s="28"/>
    </row>
    <row r="54" spans="2:7" x14ac:dyDescent="0.25">
      <c r="B54" s="26" t="s">
        <v>123</v>
      </c>
      <c r="C54" s="27"/>
      <c r="D54" s="27"/>
      <c r="E54" s="28"/>
      <c r="F54" s="26">
        <v>0.04</v>
      </c>
      <c r="G54" s="28"/>
    </row>
    <row r="55" spans="2:7" x14ac:dyDescent="0.25">
      <c r="B55" s="26" t="s">
        <v>124</v>
      </c>
      <c r="C55" s="27"/>
      <c r="D55" s="27"/>
      <c r="E55" s="28"/>
      <c r="F55" s="26">
        <v>0.06</v>
      </c>
      <c r="G55" s="28"/>
    </row>
    <row r="56" spans="2:7" x14ac:dyDescent="0.25">
      <c r="B56" s="26" t="s">
        <v>171</v>
      </c>
      <c r="C56" s="27"/>
      <c r="D56" s="27"/>
      <c r="E56" s="28"/>
      <c r="F56" s="26">
        <v>9.81</v>
      </c>
      <c r="G56" s="28"/>
    </row>
    <row r="57" spans="2:7" x14ac:dyDescent="0.25">
      <c r="B57" s="26" t="s">
        <v>170</v>
      </c>
      <c r="C57" s="27"/>
      <c r="D57" s="27"/>
      <c r="E57" s="28"/>
      <c r="F57" s="26">
        <v>1.167</v>
      </c>
      <c r="G57" s="28"/>
    </row>
    <row r="60" spans="2:7" x14ac:dyDescent="0.25">
      <c r="B60" s="43" t="s">
        <v>90</v>
      </c>
    </row>
    <row r="61" spans="2:7" x14ac:dyDescent="0.25">
      <c r="B61" s="43" t="s">
        <v>95</v>
      </c>
    </row>
    <row r="62" spans="2:7" x14ac:dyDescent="0.25">
      <c r="B62" s="43" t="s">
        <v>147</v>
      </c>
    </row>
  </sheetData>
  <mergeCells count="134">
    <mergeCell ref="F57:G57"/>
    <mergeCell ref="B6:D6"/>
    <mergeCell ref="E6:G6"/>
    <mergeCell ref="B53:E53"/>
    <mergeCell ref="B54:E54"/>
    <mergeCell ref="B55:E55"/>
    <mergeCell ref="B56:E56"/>
    <mergeCell ref="B57:E57"/>
    <mergeCell ref="F54:G54"/>
    <mergeCell ref="F55:G55"/>
    <mergeCell ref="F56:G56"/>
    <mergeCell ref="B50:C50"/>
    <mergeCell ref="D50:E50"/>
    <mergeCell ref="F50:G50"/>
    <mergeCell ref="B51:G52"/>
    <mergeCell ref="F53:G53"/>
    <mergeCell ref="B48:C48"/>
    <mergeCell ref="D48:E48"/>
    <mergeCell ref="F48:G48"/>
    <mergeCell ref="B49:C49"/>
    <mergeCell ref="D49:E49"/>
    <mergeCell ref="F49:G49"/>
    <mergeCell ref="B46:C46"/>
    <mergeCell ref="D46:E46"/>
    <mergeCell ref="F46:G46"/>
    <mergeCell ref="B47:C47"/>
    <mergeCell ref="D47:E47"/>
    <mergeCell ref="F47:G47"/>
    <mergeCell ref="B44:C44"/>
    <mergeCell ref="D44:E44"/>
    <mergeCell ref="F44:G44"/>
    <mergeCell ref="B45:C45"/>
    <mergeCell ref="D45:E45"/>
    <mergeCell ref="F45:G45"/>
    <mergeCell ref="B42:C42"/>
    <mergeCell ref="D42:E42"/>
    <mergeCell ref="F42:G42"/>
    <mergeCell ref="B43:C43"/>
    <mergeCell ref="D43:E43"/>
    <mergeCell ref="F43:G43"/>
    <mergeCell ref="B40:C40"/>
    <mergeCell ref="D40:E40"/>
    <mergeCell ref="F40:G40"/>
    <mergeCell ref="B41:C41"/>
    <mergeCell ref="D41:E41"/>
    <mergeCell ref="F41:G41"/>
    <mergeCell ref="B38:C38"/>
    <mergeCell ref="D38:E38"/>
    <mergeCell ref="F38:G38"/>
    <mergeCell ref="B39:C39"/>
    <mergeCell ref="D39:E39"/>
    <mergeCell ref="F39:G39"/>
    <mergeCell ref="B34:G35"/>
    <mergeCell ref="B36:C37"/>
    <mergeCell ref="D36:E37"/>
    <mergeCell ref="F36:G37"/>
    <mergeCell ref="B32:C32"/>
    <mergeCell ref="D32:E32"/>
    <mergeCell ref="F32:G32"/>
    <mergeCell ref="B33:C33"/>
    <mergeCell ref="D33:E33"/>
    <mergeCell ref="F33:G33"/>
    <mergeCell ref="B30:C30"/>
    <mergeCell ref="D30:E30"/>
    <mergeCell ref="F30:G30"/>
    <mergeCell ref="B31:C31"/>
    <mergeCell ref="D31:E31"/>
    <mergeCell ref="F31:G31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4:C24"/>
    <mergeCell ref="D24:E24"/>
    <mergeCell ref="F24:G24"/>
    <mergeCell ref="B25:C25"/>
    <mergeCell ref="D25:E25"/>
    <mergeCell ref="F25:G25"/>
    <mergeCell ref="B22:C22"/>
    <mergeCell ref="D22:E22"/>
    <mergeCell ref="F22:G22"/>
    <mergeCell ref="B23:C23"/>
    <mergeCell ref="D23:E23"/>
    <mergeCell ref="F23:G23"/>
    <mergeCell ref="B20:C20"/>
    <mergeCell ref="D20:E20"/>
    <mergeCell ref="F20:G20"/>
    <mergeCell ref="B21:C21"/>
    <mergeCell ref="D21:E21"/>
    <mergeCell ref="F21:G21"/>
    <mergeCell ref="B18:C18"/>
    <mergeCell ref="D18:E18"/>
    <mergeCell ref="F18:G18"/>
    <mergeCell ref="B19:C19"/>
    <mergeCell ref="D19:E19"/>
    <mergeCell ref="F19:G19"/>
    <mergeCell ref="B16:C16"/>
    <mergeCell ref="D16:E16"/>
    <mergeCell ref="F16:G16"/>
    <mergeCell ref="B17:C17"/>
    <mergeCell ref="D17:E17"/>
    <mergeCell ref="F17:G17"/>
    <mergeCell ref="B15:C15"/>
    <mergeCell ref="D15:E15"/>
    <mergeCell ref="F15:G15"/>
    <mergeCell ref="B4:D4"/>
    <mergeCell ref="B5:D5"/>
    <mergeCell ref="E4:G4"/>
    <mergeCell ref="E5:G5"/>
    <mergeCell ref="B13:C13"/>
    <mergeCell ref="D13:E13"/>
    <mergeCell ref="F13:G13"/>
    <mergeCell ref="B14:C14"/>
    <mergeCell ref="D14:E14"/>
    <mergeCell ref="F14:G14"/>
    <mergeCell ref="B11:C11"/>
    <mergeCell ref="D11:E11"/>
    <mergeCell ref="F11:G11"/>
    <mergeCell ref="B12:C12"/>
    <mergeCell ref="D12:E12"/>
    <mergeCell ref="F12:G12"/>
    <mergeCell ref="B2:G3"/>
    <mergeCell ref="B7:G8"/>
    <mergeCell ref="B9:C10"/>
    <mergeCell ref="D9:E10"/>
    <mergeCell ref="F9:G10"/>
  </mergeCells>
  <phoneticPr fontId="1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805B9-4493-4057-8DCA-905220FC010F}">
  <dimension ref="A1:AN153"/>
  <sheetViews>
    <sheetView zoomScale="70" zoomScaleNormal="70" workbookViewId="0">
      <selection activeCell="A40" sqref="A40:A41"/>
    </sheetView>
  </sheetViews>
  <sheetFormatPr defaultColWidth="40.7109375" defaultRowHeight="30" customHeight="1" x14ac:dyDescent="0.25"/>
  <cols>
    <col min="1" max="1" width="40.7109375" style="31"/>
    <col min="2" max="2" width="40.7109375" style="39"/>
    <col min="3" max="24" width="40.7109375" style="2"/>
    <col min="25" max="25" width="40.7109375" style="42"/>
    <col min="26" max="16384" width="40.7109375" style="2"/>
  </cols>
  <sheetData>
    <row r="1" spans="1:40" s="32" customFormat="1" ht="30" customHeight="1" x14ac:dyDescent="0.25">
      <c r="A1" s="31"/>
      <c r="Y1" s="33"/>
    </row>
    <row r="2" spans="1:40" s="35" customFormat="1" ht="30" customHeight="1" x14ac:dyDescent="0.25">
      <c r="A2" s="15" t="s">
        <v>150</v>
      </c>
      <c r="B2" s="34" t="s">
        <v>126</v>
      </c>
      <c r="C2" s="35" t="s">
        <v>125</v>
      </c>
      <c r="D2" s="35" t="s">
        <v>146</v>
      </c>
      <c r="E2" s="36" t="s">
        <v>145</v>
      </c>
      <c r="F2" s="35" t="s">
        <v>86</v>
      </c>
      <c r="G2" s="35" t="s">
        <v>127</v>
      </c>
      <c r="H2" s="35" t="s">
        <v>159</v>
      </c>
      <c r="I2" s="35" t="s">
        <v>160</v>
      </c>
      <c r="J2" s="35" t="s">
        <v>66</v>
      </c>
      <c r="K2" s="35" t="s">
        <v>50</v>
      </c>
      <c r="L2" s="35" t="s">
        <v>128</v>
      </c>
      <c r="M2" s="35" t="s">
        <v>129</v>
      </c>
      <c r="N2" s="35" t="s">
        <v>161</v>
      </c>
      <c r="O2" s="35" t="s">
        <v>130</v>
      </c>
      <c r="P2" s="35" t="s">
        <v>131</v>
      </c>
      <c r="Q2" s="35" t="s">
        <v>132</v>
      </c>
      <c r="R2" s="35" t="s">
        <v>148</v>
      </c>
      <c r="S2" s="35" t="s">
        <v>133</v>
      </c>
      <c r="T2" s="35" t="s">
        <v>134</v>
      </c>
      <c r="U2" s="35" t="s">
        <v>135</v>
      </c>
      <c r="V2" s="35" t="s">
        <v>137</v>
      </c>
      <c r="W2" s="35" t="s">
        <v>136</v>
      </c>
      <c r="X2" s="37" t="s">
        <v>138</v>
      </c>
      <c r="Y2" s="38" t="s">
        <v>138</v>
      </c>
      <c r="Z2" s="35" t="s">
        <v>139</v>
      </c>
      <c r="AA2" s="35" t="s">
        <v>140</v>
      </c>
      <c r="AB2" s="35" t="s">
        <v>141</v>
      </c>
      <c r="AC2" s="35" t="s">
        <v>142</v>
      </c>
      <c r="AD2" s="35" t="s">
        <v>149</v>
      </c>
      <c r="AE2" s="35" t="s">
        <v>158</v>
      </c>
      <c r="AF2" s="35" t="s">
        <v>143</v>
      </c>
      <c r="AG2" s="35" t="s">
        <v>144</v>
      </c>
    </row>
    <row r="3" spans="1:40" ht="30" customHeight="1" x14ac:dyDescent="0.25">
      <c r="A3" s="15"/>
      <c r="B3" s="39">
        <v>0</v>
      </c>
      <c r="C3" s="2" t="s">
        <v>89</v>
      </c>
      <c r="D3" s="2">
        <v>0</v>
      </c>
      <c r="E3" s="2">
        <v>0</v>
      </c>
      <c r="F3" s="40" t="s">
        <v>90</v>
      </c>
      <c r="G3" s="2">
        <v>10</v>
      </c>
      <c r="H3" s="2">
        <v>0</v>
      </c>
      <c r="I3" s="2">
        <v>0</v>
      </c>
      <c r="J3" s="2">
        <v>1</v>
      </c>
      <c r="K3" s="2">
        <v>750</v>
      </c>
      <c r="L3" s="2">
        <v>0</v>
      </c>
      <c r="M3" s="2">
        <f>L3*2.237</f>
        <v>0</v>
      </c>
      <c r="N3" s="2">
        <v>0</v>
      </c>
      <c r="O3" s="2">
        <f>IF(J3=1,'Gearing '!$C$17*'Duty Cycle '!N3,IF(J3=2,'Gearing '!$C$18*'Duty Cycle '!N3,IF(J3=3,'Gearing '!$C$19*'Duty Cycle '!N3)))</f>
        <v>0</v>
      </c>
      <c r="P3" s="2">
        <v>0</v>
      </c>
      <c r="Q3" s="2">
        <v>0</v>
      </c>
      <c r="R3" s="2">
        <v>0</v>
      </c>
      <c r="S3" s="2">
        <v>0</v>
      </c>
      <c r="T3" s="2">
        <f>SUM(Q3:S3)+O3</f>
        <v>0</v>
      </c>
      <c r="U3" s="2">
        <f>T3*L3/1000</f>
        <v>0</v>
      </c>
      <c r="V3" s="2">
        <f>'Vehicle '!$F$9-'Duty Cycle '!U3</f>
        <v>13.422818791946309</v>
      </c>
      <c r="W3" s="2">
        <f>U3</f>
        <v>0</v>
      </c>
      <c r="X3" s="41">
        <f>ABS((W3*1000)/((2*PI()*K3)/60))</f>
        <v>0</v>
      </c>
      <c r="Y3" s="41">
        <f>ROUNDUP(X3,0)</f>
        <v>0</v>
      </c>
      <c r="Z3" s="2">
        <f>T3*D3</f>
        <v>0</v>
      </c>
      <c r="AA3" s="2">
        <v>0</v>
      </c>
      <c r="AB3" s="2">
        <v>0</v>
      </c>
      <c r="AC3" s="2">
        <f>U3*AB3/3600</f>
        <v>0</v>
      </c>
      <c r="AD3" s="2">
        <v>0</v>
      </c>
      <c r="AE3" s="2">
        <v>0</v>
      </c>
      <c r="AF3" s="2">
        <f>0.5*'Vehicle '!$F$38*'Duty Cycle '!L3^2/1000</f>
        <v>0</v>
      </c>
      <c r="AG3" s="2">
        <f>Z3+AF3</f>
        <v>0</v>
      </c>
      <c r="AN3" s="2">
        <v>1</v>
      </c>
    </row>
    <row r="4" spans="1:40" ht="30" customHeight="1" x14ac:dyDescent="0.25">
      <c r="A4" s="44">
        <f>SUM(AC3:AC153)</f>
        <v>104.32646932473861</v>
      </c>
      <c r="B4" s="39">
        <f>B3+1</f>
        <v>1</v>
      </c>
      <c r="C4" s="2" t="s">
        <v>89</v>
      </c>
      <c r="D4" s="2">
        <f>SUM($L$3:L4)</f>
        <v>0.80373645286874096</v>
      </c>
      <c r="E4" s="2">
        <f>D4-D3</f>
        <v>0.80373645286874096</v>
      </c>
      <c r="F4" s="40" t="s">
        <v>90</v>
      </c>
      <c r="G4" s="2">
        <v>10.02</v>
      </c>
      <c r="H4" s="2">
        <f>G4-G3</f>
        <v>1.9999999999999574E-2</v>
      </c>
      <c r="I4" s="2">
        <f>DEGREES(ATAN(H4/E4))</f>
        <v>1.4254413322861026</v>
      </c>
      <c r="J4" s="2">
        <v>1</v>
      </c>
      <c r="K4" s="2">
        <v>750</v>
      </c>
      <c r="L4" s="2">
        <f>IF(J4=1,VLOOKUP('Duty Cycle '!K4,'Gearing '!$L$3:$O$28,2),IF(J4=2,VLOOKUP('Duty Cycle '!K4,'Gearing '!$L$2:$O$28,3),IF(J4=3,VLOOKUP('Duty Cycle '!K4,'Gearing '!$L$2:$O$28,4))))</f>
        <v>0.80373645286874096</v>
      </c>
      <c r="M4" s="2">
        <f t="shared" ref="M4:M67" si="0">L4*2.237</f>
        <v>1.7979584450673736</v>
      </c>
      <c r="N4" s="2">
        <f>L4-L3</f>
        <v>0.80373645286874096</v>
      </c>
      <c r="O4" s="2">
        <f>IF(J4=1,'Gearing '!$C$17*'Duty Cycle '!N4,IF(J4=2,'Gearing '!$C$18*'Duty Cycle '!N4,IF(J4=3,'Gearing '!$C$19*'Duty Cycle '!N4)))</f>
        <v>491.74803673576611</v>
      </c>
      <c r="P4" s="2">
        <f>IF(F4='Track '!$B$60,'Track '!$F$53,IF(F4='Track '!$B$61,'Track '!$F$54,IF(F4='Track '!$B$62,'Track '!$F$55)))</f>
        <v>0.02</v>
      </c>
      <c r="Q4" s="2">
        <f>P4*'Vehicle '!$F$38*9.81</f>
        <v>114.63966000000001</v>
      </c>
      <c r="R4" s="2">
        <f>0.5*'Vehicle '!$F$51*'Vehicle '!$F$25*'Track '!$F$57*'Duty Cycle '!L4^2</f>
        <v>0.24685005894359213</v>
      </c>
      <c r="S4" s="2">
        <f>'Vehicle '!$F$38*9.81*SIN(RADIANS('Duty Cycle '!I4))</f>
        <v>142.58925732013751</v>
      </c>
      <c r="T4" s="2">
        <f t="shared" ref="T4:T67" si="1">SUM(Q4:S4)+O4</f>
        <v>749.22380411484721</v>
      </c>
      <c r="U4" s="2">
        <f>ABS(((+T4)*(+L4)/1000))</f>
        <v>0.60217848272409169</v>
      </c>
      <c r="V4" s="2">
        <f>'Vehicle '!$F$9-'Duty Cycle '!U4</f>
        <v>12.820640309222217</v>
      </c>
      <c r="W4" s="2">
        <f t="shared" ref="W4:W67" si="2">U4</f>
        <v>0.60217848272409169</v>
      </c>
      <c r="X4" s="41">
        <f>ABS((W4*1000)/((2*PI()*K4)/60))</f>
        <v>7.667174571929336</v>
      </c>
      <c r="Y4" s="41">
        <f t="shared" ref="Y4:Y67" si="3">MIN(22,ROUNDUP(X4,0))</f>
        <v>8</v>
      </c>
      <c r="Z4" s="2">
        <f>T4*D4</f>
        <v>602.17848272409174</v>
      </c>
      <c r="AA4" s="2">
        <f>SUM(AA3,Z4)</f>
        <v>602.17848272409174</v>
      </c>
      <c r="AB4" s="2">
        <f>INDEX('BSFC '!$D$5:$AD$27,MATCH('Duty Cycle '!Y4,'BSFC '!$B$5:$B$27,0),MATCH('Duty Cycle '!K4,'BSFC '!$D$28:$AD$28,0))</f>
        <v>0</v>
      </c>
      <c r="AC4" s="2">
        <f>U4*AB4/3600</f>
        <v>0</v>
      </c>
      <c r="AD4" s="2">
        <f>AD3+AC4</f>
        <v>0</v>
      </c>
      <c r="AE4" s="2">
        <f>AC4*3.09*1000</f>
        <v>0</v>
      </c>
      <c r="AF4" s="2">
        <f>0.5*'Vehicle '!$F$38*'Duty Cycle '!L4^2/1000</f>
        <v>0.18872664625849805</v>
      </c>
      <c r="AG4" s="2">
        <f t="shared" ref="AG4:AG67" si="4">Z4+AF4</f>
        <v>602.36720937035022</v>
      </c>
      <c r="AN4" s="2">
        <v>2</v>
      </c>
    </row>
    <row r="5" spans="1:40" ht="30" customHeight="1" x14ac:dyDescent="0.25">
      <c r="A5" s="44"/>
      <c r="B5" s="39">
        <f t="shared" ref="B5:B68" si="5">B4+1</f>
        <v>2</v>
      </c>
      <c r="C5" s="2" t="s">
        <v>89</v>
      </c>
      <c r="D5" s="2">
        <f>SUM($L$3:L5)</f>
        <v>2.1432972076499759</v>
      </c>
      <c r="E5" s="2">
        <f t="shared" ref="E5:E68" si="6">D5-D4</f>
        <v>1.3395607547812349</v>
      </c>
      <c r="F5" s="40" t="s">
        <v>90</v>
      </c>
      <c r="G5" s="2">
        <v>10.039999999999999</v>
      </c>
      <c r="H5" s="2">
        <f t="shared" ref="H5:H68" si="7">G5-G4</f>
        <v>1.9999999999999574E-2</v>
      </c>
      <c r="I5" s="2">
        <f t="shared" ref="I5:I68" si="8">DEGREES(ATAN(H5/E5))</f>
        <v>0.85537774312254478</v>
      </c>
      <c r="J5" s="2">
        <v>1</v>
      </c>
      <c r="K5" s="2">
        <v>1250</v>
      </c>
      <c r="L5" s="2">
        <f>IF(J5=1,VLOOKUP('Duty Cycle '!K5,'Gearing '!$L$3:$O$28,2),IF(J5=2,VLOOKUP('Duty Cycle '!K5,'Gearing '!$L$2:$O$28,3),IF(J5=3,VLOOKUP('Duty Cycle '!K5,'Gearing '!$L$2:$O$28,4))))</f>
        <v>1.3395607547812349</v>
      </c>
      <c r="M5" s="2">
        <f t="shared" si="0"/>
        <v>2.9965974084456226</v>
      </c>
      <c r="N5" s="2">
        <f t="shared" ref="N5:N68" si="9">L5-L4</f>
        <v>0.53582430191249397</v>
      </c>
      <c r="O5" s="2">
        <f>IF(J5=1,'Gearing '!$C$17*'Duty Cycle '!N5,IF(J5=2,'Gearing '!$C$18*'Duty Cycle '!N5,IF(J5=3,'Gearing '!$C$19*'Duty Cycle '!N5)))</f>
        <v>327.83202449051072</v>
      </c>
      <c r="P5" s="2">
        <f>IF(F5='Track '!$B$60,'Track '!$F$53,IF(F5='Track '!$B$61,'Track '!$F$54,IF(F5='Track '!$B$62,'Track '!$F$55)))</f>
        <v>0.02</v>
      </c>
      <c r="Q5" s="2">
        <f>P5*'Vehicle '!$F$38*9.81</f>
        <v>114.63966000000001</v>
      </c>
      <c r="R5" s="2">
        <f>0.5*'Vehicle '!$F$51*'Vehicle '!$F$25*'Track '!$F$57*'Duty Cycle '!L5^2</f>
        <v>0.68569460817664474</v>
      </c>
      <c r="S5" s="2">
        <f>'Vehicle '!$F$38*9.81*SIN(RADIANS('Duty Cycle '!I5))</f>
        <v>85.57050092601699</v>
      </c>
      <c r="T5" s="2">
        <f t="shared" si="1"/>
        <v>528.72788002470429</v>
      </c>
      <c r="U5" s="2">
        <f t="shared" ref="U5:U68" si="10">ABS(((+T5)*(+L5)/1000))</f>
        <v>0.70826311803977515</v>
      </c>
      <c r="V5" s="2">
        <f>'Vehicle '!$F$9-'Duty Cycle '!U5</f>
        <v>12.714555673906533</v>
      </c>
      <c r="W5" s="2">
        <f t="shared" si="2"/>
        <v>0.70826311803977515</v>
      </c>
      <c r="X5" s="41">
        <f t="shared" ref="X5:X68" si="11">ABS((W5*1000)/((2*PI()*K5)/60))</f>
        <v>5.4107316597940205</v>
      </c>
      <c r="Y5" s="41">
        <f t="shared" si="3"/>
        <v>6</v>
      </c>
      <c r="Z5" s="2">
        <f>T5*D5</f>
        <v>1133.2209888636401</v>
      </c>
      <c r="AA5" s="2">
        <f t="shared" ref="AA5:AA68" si="12">SUM(AA4,Z5)</f>
        <v>1735.3994715877318</v>
      </c>
      <c r="AB5" s="2">
        <f>INDEX('BSFC '!$D$5:$AD$27,MATCH('Duty Cycle '!Y5,'BSFC '!$B$5:$B$27,0),MATCH('Duty Cycle '!K5,'BSFC '!$D$28:$AD$28,0))</f>
        <v>723.20955020580004</v>
      </c>
      <c r="AC5" s="2">
        <f>U5*AB5/3600</f>
        <v>0.14228406972913979</v>
      </c>
      <c r="AD5" s="2">
        <f t="shared" ref="AD5:AD68" si="13">AD4+AC5</f>
        <v>0.14228406972913979</v>
      </c>
      <c r="AE5" s="2">
        <f>AC5*3.09</f>
        <v>0.43965777546304191</v>
      </c>
      <c r="AF5" s="2">
        <f>0.5*'Vehicle '!$F$38*'Duty Cycle '!L5^2/1000</f>
        <v>0.52424068405138347</v>
      </c>
      <c r="AG5" s="2">
        <f t="shared" si="4"/>
        <v>1133.7452295476915</v>
      </c>
      <c r="AN5" s="2">
        <v>3</v>
      </c>
    </row>
    <row r="6" spans="1:40" ht="30" customHeight="1" x14ac:dyDescent="0.25">
      <c r="A6" s="15" t="s">
        <v>168</v>
      </c>
      <c r="B6" s="39">
        <f t="shared" si="5"/>
        <v>3</v>
      </c>
      <c r="C6" s="2" t="s">
        <v>89</v>
      </c>
      <c r="D6" s="2">
        <f>SUM($L$3:L6)</f>
        <v>4.0186822643437043</v>
      </c>
      <c r="E6" s="2">
        <f t="shared" si="6"/>
        <v>1.8753850566937285</v>
      </c>
      <c r="F6" s="40" t="s">
        <v>90</v>
      </c>
      <c r="G6" s="2">
        <v>10.08</v>
      </c>
      <c r="H6" s="2">
        <f t="shared" si="7"/>
        <v>4.0000000000000924E-2</v>
      </c>
      <c r="I6" s="2">
        <f t="shared" si="8"/>
        <v>1.2218737323592845</v>
      </c>
      <c r="J6" s="2">
        <v>1</v>
      </c>
      <c r="K6" s="2">
        <v>1750</v>
      </c>
      <c r="L6" s="2">
        <f>IF(J6=1,VLOOKUP('Duty Cycle '!K6,'Gearing '!$L$3:$O$28,2),IF(J6=2,VLOOKUP('Duty Cycle '!K6,'Gearing '!$L$2:$O$28,3),IF(J6=3,VLOOKUP('Duty Cycle '!K6,'Gearing '!$L$2:$O$28,4))))</f>
        <v>1.8753850566937287</v>
      </c>
      <c r="M6" s="2">
        <f t="shared" si="0"/>
        <v>4.1952363718238717</v>
      </c>
      <c r="N6" s="2">
        <f t="shared" si="9"/>
        <v>0.53582430191249375</v>
      </c>
      <c r="O6" s="2">
        <f>IF(J6=1,'Gearing '!$C$17*'Duty Cycle '!N6,IF(J6=2,'Gearing '!$C$18*'Duty Cycle '!N6,IF(J6=3,'Gearing '!$C$19*'Duty Cycle '!N6)))</f>
        <v>327.83202449051061</v>
      </c>
      <c r="P6" s="2">
        <f>IF(F6='Track '!$B$60,'Track '!$F$53,IF(F6='Track '!$B$61,'Track '!$F$54,IF(F6='Track '!$B$62,'Track '!$F$55)))</f>
        <v>0.02</v>
      </c>
      <c r="Q6" s="2">
        <f>P6*'Vehicle '!$F$38*9.81</f>
        <v>114.63966000000001</v>
      </c>
      <c r="R6" s="2">
        <f>0.5*'Vehicle '!$F$51*'Vehicle '!$F$25*'Track '!$F$57*'Duty Cycle '!L6^2</f>
        <v>1.3439614320262234</v>
      </c>
      <c r="S6" s="2">
        <f>'Vehicle '!$F$38*9.81*SIN(RADIANS('Duty Cycle '!I6))</f>
        <v>122.22939742890185</v>
      </c>
      <c r="T6" s="2">
        <f t="shared" si="1"/>
        <v>566.04504335143861</v>
      </c>
      <c r="U6" s="2">
        <f t="shared" si="10"/>
        <v>1.0615524157168417</v>
      </c>
      <c r="V6" s="2">
        <f>'Vehicle '!$F$9-'Duty Cycle '!U6</f>
        <v>12.361266376229468</v>
      </c>
      <c r="W6" s="2">
        <f t="shared" si="2"/>
        <v>1.0615524157168417</v>
      </c>
      <c r="X6" s="41">
        <f t="shared" si="11"/>
        <v>5.7926164907135309</v>
      </c>
      <c r="Y6" s="41">
        <f t="shared" si="3"/>
        <v>6</v>
      </c>
      <c r="Z6" s="2">
        <f>T6*D6</f>
        <v>2274.7551765360895</v>
      </c>
      <c r="AA6" s="2">
        <f t="shared" si="12"/>
        <v>4010.1546481238211</v>
      </c>
      <c r="AB6" s="2">
        <f>INDEX('BSFC '!$D$5:$AD$27,MATCH('Duty Cycle '!Y6,'BSFC '!$B$5:$B$27,0),MATCH('Duty Cycle '!K6,'BSFC '!$D$28:$AD$28,0))</f>
        <v>773.42478176580005</v>
      </c>
      <c r="AC6" s="2">
        <f>U6*AB6/3600</f>
        <v>0.22806415151632115</v>
      </c>
      <c r="AD6" s="2">
        <f t="shared" si="13"/>
        <v>0.37034822124546096</v>
      </c>
      <c r="AE6" s="2">
        <f t="shared" ref="AE6:AE69" si="14">AC6*3.09</f>
        <v>0.70471822818543228</v>
      </c>
      <c r="AF6" s="2">
        <f>0.5*'Vehicle '!$F$38*'Duty Cycle '!L6^2/1000</f>
        <v>1.0275117407407113</v>
      </c>
      <c r="AG6" s="2">
        <f t="shared" si="4"/>
        <v>2275.7826882768304</v>
      </c>
    </row>
    <row r="7" spans="1:40" ht="30" customHeight="1" x14ac:dyDescent="0.25">
      <c r="A7" s="15"/>
      <c r="B7" s="39">
        <f t="shared" si="5"/>
        <v>4</v>
      </c>
      <c r="C7" s="2" t="s">
        <v>89</v>
      </c>
      <c r="D7" s="2">
        <f>SUM($L$3:L7)</f>
        <v>6.6978037739061742</v>
      </c>
      <c r="E7" s="2">
        <f t="shared" si="6"/>
        <v>2.6791215095624699</v>
      </c>
      <c r="F7" s="40" t="s">
        <v>90</v>
      </c>
      <c r="G7" s="2">
        <v>10.15</v>
      </c>
      <c r="H7" s="2">
        <f t="shared" si="7"/>
        <v>7.0000000000000284E-2</v>
      </c>
      <c r="I7" s="2">
        <f t="shared" si="8"/>
        <v>1.4966817524942631</v>
      </c>
      <c r="J7" s="2">
        <v>1</v>
      </c>
      <c r="K7" s="2">
        <v>2500</v>
      </c>
      <c r="L7" s="2">
        <f>IF(J7=1,VLOOKUP('Duty Cycle '!K7,'Gearing '!$L$3:$O$28,2),IF(J7=2,VLOOKUP('Duty Cycle '!K7,'Gearing '!$L$2:$O$28,3),IF(J7=3,VLOOKUP('Duty Cycle '!K7,'Gearing '!$L$2:$O$28,4))))</f>
        <v>2.6791215095624699</v>
      </c>
      <c r="M7" s="2">
        <f t="shared" si="0"/>
        <v>5.9931948168912452</v>
      </c>
      <c r="N7" s="2">
        <f t="shared" si="9"/>
        <v>0.80373645286874118</v>
      </c>
      <c r="O7" s="2">
        <f>IF(J7=1,'Gearing '!$C$17*'Duty Cycle '!N7,IF(J7=2,'Gearing '!$C$18*'Duty Cycle '!N7,IF(J7=3,'Gearing '!$C$19*'Duty Cycle '!N7)))</f>
        <v>491.74803673576622</v>
      </c>
      <c r="P7" s="2">
        <f>IF(F7='Track '!$B$60,'Track '!$F$53,IF(F7='Track '!$B$61,'Track '!$F$54,IF(F7='Track '!$B$62,'Track '!$F$55)))</f>
        <v>0.02</v>
      </c>
      <c r="Q7" s="2">
        <f>P7*'Vehicle '!$F$38*9.81</f>
        <v>114.63966000000001</v>
      </c>
      <c r="R7" s="2">
        <f>0.5*'Vehicle '!$F$51*'Vehicle '!$F$25*'Track '!$F$57*'Duty Cycle '!L7^2</f>
        <v>2.742778432706579</v>
      </c>
      <c r="S7" s="2">
        <f>'Vehicle '!$F$38*9.81*SIN(RADIANS('Duty Cycle '!I7))</f>
        <v>149.71397215955378</v>
      </c>
      <c r="T7" s="2">
        <f t="shared" si="1"/>
        <v>758.84444732802649</v>
      </c>
      <c r="U7" s="2">
        <f t="shared" si="10"/>
        <v>2.0330364812485606</v>
      </c>
      <c r="V7" s="2">
        <f>'Vehicle '!$F$9-'Duty Cycle '!U7</f>
        <v>11.389782310697749</v>
      </c>
      <c r="W7" s="2">
        <f t="shared" si="2"/>
        <v>2.0330364812485606</v>
      </c>
      <c r="X7" s="41">
        <f t="shared" si="11"/>
        <v>7.7656273314446835</v>
      </c>
      <c r="Y7" s="41">
        <f t="shared" si="3"/>
        <v>8</v>
      </c>
      <c r="Z7" s="2">
        <f>T7*D7</f>
        <v>5082.5912031214011</v>
      </c>
      <c r="AA7" s="2">
        <f t="shared" si="12"/>
        <v>9092.7458512452213</v>
      </c>
      <c r="AB7" s="2">
        <f>INDEX('BSFC '!$D$5:$AD$27,MATCH('Duty Cycle '!Y7,'BSFC '!$B$5:$B$27,0),MATCH('Duty Cycle '!K7,'BSFC '!$D$28:$AD$28,0))</f>
        <v>680.01022988767511</v>
      </c>
      <c r="AC7" s="2">
        <f>U7*AB7/3600</f>
        <v>0.38402377916218439</v>
      </c>
      <c r="AD7" s="2">
        <f t="shared" si="13"/>
        <v>0.75437200040764529</v>
      </c>
      <c r="AE7" s="2">
        <f t="shared" si="14"/>
        <v>1.1866334776111498</v>
      </c>
      <c r="AF7" s="2">
        <f>0.5*'Vehicle '!$F$38*'Duty Cycle '!L7^2/1000</f>
        <v>2.0969627362055339</v>
      </c>
      <c r="AG7" s="2">
        <f t="shared" si="4"/>
        <v>5084.6881658576067</v>
      </c>
    </row>
    <row r="8" spans="1:40" ht="30" customHeight="1" x14ac:dyDescent="0.25">
      <c r="A8" s="44">
        <f>A4/1000</f>
        <v>0.10432646932473862</v>
      </c>
      <c r="B8" s="39">
        <f t="shared" si="5"/>
        <v>5</v>
      </c>
      <c r="C8" s="2" t="s">
        <v>89</v>
      </c>
      <c r="D8" s="2">
        <f>SUM($L$3:L8)</f>
        <v>10.180661736337385</v>
      </c>
      <c r="E8" s="2">
        <f t="shared" si="6"/>
        <v>3.4828579624312104</v>
      </c>
      <c r="F8" s="40" t="s">
        <v>90</v>
      </c>
      <c r="G8" s="2">
        <v>10.4</v>
      </c>
      <c r="H8" s="2">
        <f t="shared" si="7"/>
        <v>0.25</v>
      </c>
      <c r="I8" s="2">
        <f t="shared" si="8"/>
        <v>4.1056568969908689</v>
      </c>
      <c r="J8" s="2">
        <v>1</v>
      </c>
      <c r="K8" s="2">
        <v>3250</v>
      </c>
      <c r="L8" s="2">
        <f>IF(J8=1,VLOOKUP('Duty Cycle '!K8,'Gearing '!$L$3:$O$28,2),IF(J8=2,VLOOKUP('Duty Cycle '!K8,'Gearing '!$L$2:$O$28,3),IF(J8=3,VLOOKUP('Duty Cycle '!K8,'Gearing '!$L$2:$O$28,4))))</f>
        <v>3.4828579624312108</v>
      </c>
      <c r="M8" s="2">
        <f t="shared" si="0"/>
        <v>7.7911532619586188</v>
      </c>
      <c r="N8" s="2">
        <f t="shared" si="9"/>
        <v>0.80373645286874096</v>
      </c>
      <c r="O8" s="2">
        <f>IF(J8=1,'Gearing '!$C$17*'Duty Cycle '!N8,IF(J8=2,'Gearing '!$C$18*'Duty Cycle '!N8,IF(J8=3,'Gearing '!$C$19*'Duty Cycle '!N8)))</f>
        <v>491.74803673576611</v>
      </c>
      <c r="P8" s="2">
        <f>IF(F8='Track '!$B$60,'Track '!$F$53,IF(F8='Track '!$B$61,'Track '!$F$54,IF(F8='Track '!$B$62,'Track '!$F$55)))</f>
        <v>0.02</v>
      </c>
      <c r="Q8" s="2">
        <f>P8*'Vehicle '!$F$38*9.81</f>
        <v>114.63966000000001</v>
      </c>
      <c r="R8" s="2">
        <f>0.5*'Vehicle '!$F$51*'Vehicle '!$F$25*'Track '!$F$57*'Duty Cycle '!L8^2</f>
        <v>4.635295551274119</v>
      </c>
      <c r="S8" s="2">
        <f>'Vehicle '!$F$38*9.81*SIN(RADIANS('Duty Cycle '!I8))</f>
        <v>410.38661228270013</v>
      </c>
      <c r="T8" s="2">
        <f t="shared" si="1"/>
        <v>1021.4096045697404</v>
      </c>
      <c r="U8" s="2">
        <f t="shared" si="10"/>
        <v>3.5574245741794348</v>
      </c>
      <c r="V8" s="2">
        <f>'Vehicle '!$F$9-'Duty Cycle '!U8</f>
        <v>9.8653942177668732</v>
      </c>
      <c r="W8" s="2">
        <f t="shared" si="2"/>
        <v>3.5574245741794348</v>
      </c>
      <c r="X8" s="41">
        <f t="shared" si="11"/>
        <v>10.452585335210546</v>
      </c>
      <c r="Y8" s="41">
        <f t="shared" si="3"/>
        <v>11</v>
      </c>
      <c r="Z8" s="2">
        <f>T8*D8</f>
        <v>10398.625678370654</v>
      </c>
      <c r="AA8" s="2">
        <f t="shared" si="12"/>
        <v>19491.371529615877</v>
      </c>
      <c r="AB8" s="2">
        <f>INDEX('BSFC '!$D$5:$AD$27,MATCH('Duty Cycle '!Y8,'BSFC '!$B$5:$B$27,0),MATCH('Duty Cycle '!K8,'BSFC '!$D$28:$AD$28,0))</f>
        <v>561.39902632580004</v>
      </c>
      <c r="AC8" s="2">
        <f>U8*AB8/3600</f>
        <v>0.55475963671439121</v>
      </c>
      <c r="AD8" s="2">
        <f t="shared" si="13"/>
        <v>1.3091316371220365</v>
      </c>
      <c r="AE8" s="2">
        <f t="shared" si="14"/>
        <v>1.7142072774474688</v>
      </c>
      <c r="AF8" s="2">
        <f>0.5*'Vehicle '!$F$38*'Duty Cycle '!L8^2/1000</f>
        <v>3.5438670241873518</v>
      </c>
      <c r="AG8" s="2">
        <f t="shared" si="4"/>
        <v>10402.169545394841</v>
      </c>
    </row>
    <row r="9" spans="1:40" ht="30" customHeight="1" x14ac:dyDescent="0.25">
      <c r="A9" s="44"/>
      <c r="B9" s="39">
        <f t="shared" si="5"/>
        <v>6</v>
      </c>
      <c r="C9" s="2" t="s">
        <v>89</v>
      </c>
      <c r="D9" s="2">
        <f>SUM($L$3:L9)</f>
        <v>14.735168302593584</v>
      </c>
      <c r="E9" s="2">
        <f t="shared" si="6"/>
        <v>4.5545065662561992</v>
      </c>
      <c r="F9" s="40" t="s">
        <v>90</v>
      </c>
      <c r="G9" s="2">
        <v>10.8</v>
      </c>
      <c r="H9" s="2">
        <f t="shared" si="7"/>
        <v>0.40000000000000036</v>
      </c>
      <c r="I9" s="2">
        <f t="shared" si="8"/>
        <v>5.0191294717150523</v>
      </c>
      <c r="J9" s="2">
        <v>1</v>
      </c>
      <c r="K9" s="2">
        <v>4250</v>
      </c>
      <c r="L9" s="2">
        <f>IF(J9=1,VLOOKUP('Duty Cycle '!K9,'Gearing '!$L$3:$O$28,2),IF(J9=2,VLOOKUP('Duty Cycle '!K9,'Gearing '!$L$2:$O$28,3),IF(J9=3,VLOOKUP('Duty Cycle '!K9,'Gearing '!$L$2:$O$28,4))))</f>
        <v>4.5545065662561992</v>
      </c>
      <c r="M9" s="2">
        <f t="shared" si="0"/>
        <v>10.188431188715118</v>
      </c>
      <c r="N9" s="2">
        <f t="shared" si="9"/>
        <v>1.0716486038249884</v>
      </c>
      <c r="O9" s="2">
        <f>IF(J9=1,'Gearing '!$C$17*'Duty Cycle '!N9,IF(J9=2,'Gearing '!$C$18*'Duty Cycle '!N9,IF(J9=3,'Gearing '!$C$19*'Duty Cycle '!N9)))</f>
        <v>655.66404898102178</v>
      </c>
      <c r="P9" s="2">
        <f>IF(F9='Track '!$B$60,'Track '!$F$53,IF(F9='Track '!$B$61,'Track '!$F$54,IF(F9='Track '!$B$62,'Track '!$F$55)))</f>
        <v>0.02</v>
      </c>
      <c r="Q9" s="2">
        <f>P9*'Vehicle '!$F$38*9.81</f>
        <v>114.63966000000001</v>
      </c>
      <c r="R9" s="2">
        <f>0.5*'Vehicle '!$F$51*'Vehicle '!$F$25*'Track '!$F$57*'Duty Cycle '!L9^2</f>
        <v>7.9266296705220158</v>
      </c>
      <c r="S9" s="2">
        <f>'Vehicle '!$F$38*9.81*SIN(RADIANS('Duty Cycle '!I9))</f>
        <v>501.48167565599397</v>
      </c>
      <c r="T9" s="2">
        <f t="shared" si="1"/>
        <v>1279.7120143075376</v>
      </c>
      <c r="U9" s="2">
        <f t="shared" si="10"/>
        <v>5.8284567720806271</v>
      </c>
      <c r="V9" s="2">
        <f>'Vehicle '!$F$9-'Duty Cycle '!U9</f>
        <v>7.5943620198656818</v>
      </c>
      <c r="W9" s="2">
        <f t="shared" si="2"/>
        <v>5.8284567720806271</v>
      </c>
      <c r="X9" s="41">
        <f t="shared" si="11"/>
        <v>13.095920553516201</v>
      </c>
      <c r="Y9" s="41">
        <f t="shared" si="3"/>
        <v>14</v>
      </c>
      <c r="Z9" s="2">
        <f>T9*D9</f>
        <v>18856.771909672614</v>
      </c>
      <c r="AA9" s="2">
        <f t="shared" si="12"/>
        <v>38348.143439288491</v>
      </c>
      <c r="AB9" s="2">
        <f>INDEX('BSFC '!$D$5:$AD$27,MATCH('Duty Cycle '!Y9,'BSFC '!$B$5:$B$27,0),MATCH('Duty Cycle '!K9,'BSFC '!$D$28:$AD$28,0))</f>
        <v>453.32762562580001</v>
      </c>
      <c r="AC9" s="2">
        <f>U9*AB9/3600</f>
        <v>0.73394457487497933</v>
      </c>
      <c r="AD9" s="2">
        <f t="shared" si="13"/>
        <v>2.0430762119970156</v>
      </c>
      <c r="AE9" s="2">
        <f t="shared" si="14"/>
        <v>2.2678887363636862</v>
      </c>
      <c r="AF9" s="2">
        <f>0.5*'Vehicle '!$F$38*'Duty Cycle '!L9^2/1000</f>
        <v>6.0602223076339943</v>
      </c>
      <c r="AG9" s="2">
        <f t="shared" si="4"/>
        <v>18862.832131980249</v>
      </c>
    </row>
    <row r="10" spans="1:40" ht="30" customHeight="1" x14ac:dyDescent="0.25">
      <c r="A10" s="15" t="s">
        <v>151</v>
      </c>
      <c r="B10" s="39">
        <f t="shared" si="5"/>
        <v>7</v>
      </c>
      <c r="C10" s="2" t="s">
        <v>89</v>
      </c>
      <c r="D10" s="2">
        <f>SUM($L$3:L10)</f>
        <v>20.093411321718524</v>
      </c>
      <c r="E10" s="2">
        <f t="shared" si="6"/>
        <v>5.3582430191249397</v>
      </c>
      <c r="F10" s="40" t="s">
        <v>90</v>
      </c>
      <c r="G10" s="2">
        <v>11.3</v>
      </c>
      <c r="H10" s="2">
        <f t="shared" si="7"/>
        <v>0.5</v>
      </c>
      <c r="I10" s="2">
        <f t="shared" si="8"/>
        <v>5.3310703837466678</v>
      </c>
      <c r="J10" s="2">
        <v>1</v>
      </c>
      <c r="K10" s="2">
        <v>5000</v>
      </c>
      <c r="L10" s="2">
        <f>IF(J10=1,VLOOKUP('Duty Cycle '!K10,'Gearing '!$L$3:$O$28,2),IF(J10=2,VLOOKUP('Duty Cycle '!K10,'Gearing '!$L$2:$O$28,3),IF(J10=3,VLOOKUP('Duty Cycle '!K10,'Gearing '!$L$2:$O$28,4))))</f>
        <v>5.3582430191249397</v>
      </c>
      <c r="M10" s="2">
        <f t="shared" si="0"/>
        <v>11.98638963378249</v>
      </c>
      <c r="N10" s="2">
        <f t="shared" si="9"/>
        <v>0.80373645286874051</v>
      </c>
      <c r="O10" s="2">
        <f>IF(J10=1,'Gearing '!$C$17*'Duty Cycle '!N10,IF(J10=2,'Gearing '!$C$18*'Duty Cycle '!N10,IF(J10=3,'Gearing '!$C$19*'Duty Cycle '!N10)))</f>
        <v>491.74803673576582</v>
      </c>
      <c r="P10" s="2">
        <f>IF(F10='Track '!$B$60,'Track '!$F$53,IF(F10='Track '!$B$61,'Track '!$F$54,IF(F10='Track '!$B$62,'Track '!$F$55)))</f>
        <v>0.02</v>
      </c>
      <c r="Q10" s="2">
        <f>P10*'Vehicle '!$F$38*9.81</f>
        <v>114.63966000000001</v>
      </c>
      <c r="R10" s="2">
        <f>0.5*'Vehicle '!$F$51*'Vehicle '!$F$25*'Track '!$F$57*'Duty Cycle '!L10^2</f>
        <v>10.971113730826316</v>
      </c>
      <c r="S10" s="2">
        <f>'Vehicle '!$F$38*9.81*SIN(RADIANS('Duty Cycle '!I10))</f>
        <v>532.56161242534517</v>
      </c>
      <c r="T10" s="2">
        <f t="shared" si="1"/>
        <v>1149.9204228919373</v>
      </c>
      <c r="U10" s="2">
        <f t="shared" si="10"/>
        <v>6.1615530785099217</v>
      </c>
      <c r="V10" s="2">
        <f>'Vehicle '!$F$9-'Duty Cycle '!U10</f>
        <v>7.2612657134363872</v>
      </c>
      <c r="W10" s="2">
        <f t="shared" si="2"/>
        <v>6.1615530785099217</v>
      </c>
      <c r="X10" s="41">
        <f t="shared" si="11"/>
        <v>11.76769955481527</v>
      </c>
      <c r="Y10" s="41">
        <f t="shared" si="3"/>
        <v>12</v>
      </c>
      <c r="Z10" s="2">
        <f>T10*D10</f>
        <v>23105.824044412206</v>
      </c>
      <c r="AA10" s="2">
        <f t="shared" si="12"/>
        <v>61453.967483700697</v>
      </c>
      <c r="AB10" s="2">
        <f>INDEX('BSFC '!$D$5:$AD$27,MATCH('Duty Cycle '!Y10,'BSFC '!$B$5:$B$27,0),MATCH('Duty Cycle '!K10,'BSFC '!$D$28:$AD$28,0))</f>
        <v>317.08878608580005</v>
      </c>
      <c r="AC10" s="2">
        <f>U10*AB10/3600</f>
        <v>0.54271094057442648</v>
      </c>
      <c r="AD10" s="2">
        <f t="shared" si="13"/>
        <v>2.585787152571442</v>
      </c>
      <c r="AE10" s="2">
        <f t="shared" si="14"/>
        <v>1.6769768063749777</v>
      </c>
      <c r="AF10" s="2">
        <f>0.5*'Vehicle '!$F$38*'Duty Cycle '!L10^2/1000</f>
        <v>8.3878509448221354</v>
      </c>
      <c r="AG10" s="2">
        <f t="shared" si="4"/>
        <v>23114.211895357028</v>
      </c>
    </row>
    <row r="11" spans="1:40" ht="30" customHeight="1" x14ac:dyDescent="0.25">
      <c r="A11" s="15"/>
      <c r="B11" s="39">
        <f t="shared" si="5"/>
        <v>8</v>
      </c>
      <c r="C11" s="2" t="s">
        <v>89</v>
      </c>
      <c r="D11" s="2">
        <f>SUM($L$3:L11)</f>
        <v>26.523302944668451</v>
      </c>
      <c r="E11" s="2">
        <f t="shared" si="6"/>
        <v>6.4298916229499277</v>
      </c>
      <c r="F11" s="40" t="s">
        <v>90</v>
      </c>
      <c r="G11" s="2">
        <v>11.9</v>
      </c>
      <c r="H11" s="2">
        <f t="shared" si="7"/>
        <v>0.59999999999999964</v>
      </c>
      <c r="I11" s="2">
        <f t="shared" si="8"/>
        <v>5.3310703837466642</v>
      </c>
      <c r="J11" s="2">
        <v>1</v>
      </c>
      <c r="K11" s="2">
        <v>6000</v>
      </c>
      <c r="L11" s="2">
        <f>IF(J11=1,VLOOKUP('Duty Cycle '!K11,'Gearing '!$L$3:$O$28,2),IF(J11=2,VLOOKUP('Duty Cycle '!K11,'Gearing '!$L$2:$O$28,3),IF(J11=3,VLOOKUP('Duty Cycle '!K11,'Gearing '!$L$2:$O$28,4))))</f>
        <v>6.4298916229499277</v>
      </c>
      <c r="M11" s="2">
        <f t="shared" si="0"/>
        <v>14.383667560538989</v>
      </c>
      <c r="N11" s="2">
        <f t="shared" si="9"/>
        <v>1.0716486038249879</v>
      </c>
      <c r="O11" s="2">
        <f>IF(J11=1,'Gearing '!$C$17*'Duty Cycle '!N11,IF(J11=2,'Gearing '!$C$18*'Duty Cycle '!N11,IF(J11=3,'Gearing '!$C$19*'Duty Cycle '!N11)))</f>
        <v>655.66404898102144</v>
      </c>
      <c r="P11" s="2">
        <f>IF(F11='Track '!$B$60,'Track '!$F$53,IF(F11='Track '!$B$61,'Track '!$F$54,IF(F11='Track '!$B$62,'Track '!$F$55)))</f>
        <v>0.02</v>
      </c>
      <c r="Q11" s="2">
        <f>P11*'Vehicle '!$F$38*9.81</f>
        <v>114.63966000000001</v>
      </c>
      <c r="R11" s="2">
        <f>0.5*'Vehicle '!$F$51*'Vehicle '!$F$25*'Track '!$F$57*'Duty Cycle '!L11^2</f>
        <v>15.798403772389896</v>
      </c>
      <c r="S11" s="2">
        <f>'Vehicle '!$F$38*9.81*SIN(RADIANS('Duty Cycle '!I11))</f>
        <v>532.56161242534495</v>
      </c>
      <c r="T11" s="2">
        <f t="shared" si="1"/>
        <v>1318.6637251787563</v>
      </c>
      <c r="U11" s="2">
        <f t="shared" si="10"/>
        <v>8.4788648400148308</v>
      </c>
      <c r="V11" s="2">
        <f>'Vehicle '!$F$9-'Duty Cycle '!U11</f>
        <v>4.9439539519314781</v>
      </c>
      <c r="W11" s="2">
        <f t="shared" si="2"/>
        <v>8.4788648400148308</v>
      </c>
      <c r="X11" s="41">
        <f t="shared" si="11"/>
        <v>13.494532510964326</v>
      </c>
      <c r="Y11" s="41">
        <f t="shared" si="3"/>
        <v>14</v>
      </c>
      <c r="Z11" s="2">
        <f>T11*D11</f>
        <v>34975.317465061176</v>
      </c>
      <c r="AA11" s="2">
        <f t="shared" si="12"/>
        <v>96429.284948761866</v>
      </c>
      <c r="AB11" s="2">
        <f>INDEX('BSFC '!$D$5:$AD$27,MATCH('Duty Cycle '!Y11,'BSFC '!$B$5:$B$27,0),MATCH('Duty Cycle '!K11,'BSFC '!$D$28:$AD$28,0))</f>
        <v>356.11311296580016</v>
      </c>
      <c r="AC11" s="2">
        <f>U11*AB11/3600</f>
        <v>0.83873193127609791</v>
      </c>
      <c r="AD11" s="2">
        <f t="shared" si="13"/>
        <v>3.4245190838475397</v>
      </c>
      <c r="AE11" s="2">
        <f t="shared" si="14"/>
        <v>2.5916816676431425</v>
      </c>
      <c r="AF11" s="2">
        <f>0.5*'Vehicle '!$F$38*'Duty Cycle '!L11^2/1000</f>
        <v>12.078505360543875</v>
      </c>
      <c r="AG11" s="2">
        <f t="shared" si="4"/>
        <v>34987.39597042172</v>
      </c>
    </row>
    <row r="12" spans="1:40" ht="30" customHeight="1" x14ac:dyDescent="0.25">
      <c r="A12" s="44">
        <f>A8/0.755</f>
        <v>0.13818075407250147</v>
      </c>
      <c r="B12" s="39">
        <f t="shared" si="5"/>
        <v>9</v>
      </c>
      <c r="C12" s="2" t="s">
        <v>89</v>
      </c>
      <c r="D12" s="2">
        <f>SUM($L$3:L12)</f>
        <v>33.589356624908305</v>
      </c>
      <c r="E12" s="2">
        <f t="shared" si="6"/>
        <v>7.0660536802398539</v>
      </c>
      <c r="F12" s="40" t="s">
        <v>90</v>
      </c>
      <c r="G12" s="2">
        <v>12.65</v>
      </c>
      <c r="H12" s="2">
        <f t="shared" si="7"/>
        <v>0.75</v>
      </c>
      <c r="I12" s="2">
        <f t="shared" si="8"/>
        <v>6.058762857724644</v>
      </c>
      <c r="J12" s="2">
        <v>2</v>
      </c>
      <c r="K12" s="2">
        <v>4500</v>
      </c>
      <c r="L12" s="2">
        <f>IF(J12=1,VLOOKUP('Duty Cycle '!K12,'Gearing '!$L$3:$O$28,2),IF(J12=2,VLOOKUP('Duty Cycle '!K12,'Gearing '!$L$2:$O$28,3),IF(J12=3,VLOOKUP('Duty Cycle '!K12,'Gearing '!$L$2:$O$28,4))))</f>
        <v>7.0660536802398575</v>
      </c>
      <c r="M12" s="2">
        <f t="shared" si="0"/>
        <v>15.806762082696562</v>
      </c>
      <c r="N12" s="2">
        <f t="shared" si="9"/>
        <v>0.63616205728992981</v>
      </c>
      <c r="O12" s="2">
        <f>IF(J12=1,'Gearing '!$C$17*'Duty Cycle '!N12,IF(J12=2,'Gearing '!$C$18*'Duty Cycle '!N12,IF(J12=3,'Gearing '!$C$19*'Duty Cycle '!N12)))</f>
        <v>384.70841188286056</v>
      </c>
      <c r="P12" s="2">
        <f>IF(F12='Track '!$B$60,'Track '!$F$53,IF(F12='Track '!$B$61,'Track '!$F$54,IF(F12='Track '!$B$62,'Track '!$F$55)))</f>
        <v>0.02</v>
      </c>
      <c r="Q12" s="2">
        <f>P12*'Vehicle '!$F$38*9.81</f>
        <v>114.63966000000001</v>
      </c>
      <c r="R12" s="2">
        <f>0.5*'Vehicle '!$F$51*'Vehicle '!$F$25*'Track '!$F$57*'Duty Cycle '!L12^2</f>
        <v>19.07918276794549</v>
      </c>
      <c r="S12" s="2">
        <f>'Vehicle '!$F$38*9.81*SIN(RADIANS('Duty Cycle '!I12))</f>
        <v>605.00160630818573</v>
      </c>
      <c r="T12" s="2">
        <f t="shared" si="1"/>
        <v>1123.4288609589917</v>
      </c>
      <c r="U12" s="2">
        <f t="shared" si="10"/>
        <v>7.9382086374669543</v>
      </c>
      <c r="V12" s="2">
        <f>'Vehicle '!$F$9-'Duty Cycle '!U12</f>
        <v>5.4846101544793546</v>
      </c>
      <c r="W12" s="2">
        <f t="shared" si="2"/>
        <v>7.9382086374669543</v>
      </c>
      <c r="X12" s="41">
        <f t="shared" si="11"/>
        <v>16.845401919301935</v>
      </c>
      <c r="Y12" s="41">
        <f t="shared" si="3"/>
        <v>17</v>
      </c>
      <c r="Z12" s="2">
        <f>T12*D12</f>
        <v>37735.252653466101</v>
      </c>
      <c r="AA12" s="2">
        <f t="shared" si="12"/>
        <v>134164.53760222797</v>
      </c>
      <c r="AB12" s="2">
        <f>INDEX('BSFC '!$D$5:$AD$27,MATCH('Duty Cycle '!Y12,'BSFC '!$B$5:$B$27,0),MATCH('Duty Cycle '!K12,'BSFC '!$D$28:$AD$28,0))</f>
        <v>491.00229200579992</v>
      </c>
      <c r="AC12" s="2">
        <f>U12*AB12/3600</f>
        <v>1.0826885098379202</v>
      </c>
      <c r="AD12" s="2">
        <f t="shared" si="13"/>
        <v>4.5072075936854601</v>
      </c>
      <c r="AE12" s="2">
        <f t="shared" si="14"/>
        <v>3.3455074953991732</v>
      </c>
      <c r="AF12" s="2">
        <f>0.5*'Vehicle '!$F$38*'Duty Cycle '!L12^2/1000</f>
        <v>14.586790833904924</v>
      </c>
      <c r="AG12" s="2">
        <f t="shared" si="4"/>
        <v>37749.839444300007</v>
      </c>
    </row>
    <row r="13" spans="1:40" ht="30" customHeight="1" x14ac:dyDescent="0.25">
      <c r="A13" s="44"/>
      <c r="B13" s="39">
        <f t="shared" si="5"/>
        <v>10</v>
      </c>
      <c r="C13" s="2" t="s">
        <v>89</v>
      </c>
      <c r="D13" s="2">
        <f>SUM($L$3:L13)</f>
        <v>41.440527380730373</v>
      </c>
      <c r="E13" s="2">
        <f t="shared" si="6"/>
        <v>7.8511707558220678</v>
      </c>
      <c r="F13" s="40" t="s">
        <v>90</v>
      </c>
      <c r="G13" s="2">
        <v>13.52</v>
      </c>
      <c r="H13" s="2">
        <f t="shared" si="7"/>
        <v>0.86999999999999922</v>
      </c>
      <c r="I13" s="2">
        <f t="shared" si="8"/>
        <v>6.3232340244036456</v>
      </c>
      <c r="J13" s="2">
        <v>2</v>
      </c>
      <c r="K13" s="2">
        <v>5000</v>
      </c>
      <c r="L13" s="2">
        <f>IF(J13=1,VLOOKUP('Duty Cycle '!K13,'Gearing '!$L$3:$O$28,2),IF(J13=2,VLOOKUP('Duty Cycle '!K13,'Gearing '!$L$2:$O$28,3),IF(J13=3,VLOOKUP('Duty Cycle '!K13,'Gearing '!$L$2:$O$28,4))))</f>
        <v>7.8511707558220651</v>
      </c>
      <c r="M13" s="2">
        <f t="shared" si="0"/>
        <v>17.563068980773959</v>
      </c>
      <c r="N13" s="2">
        <f t="shared" si="9"/>
        <v>0.78511707558220767</v>
      </c>
      <c r="O13" s="2">
        <f>IF(J13=1,'Gearing '!$C$17*'Duty Cycle '!N13,IF(J13=2,'Gearing '!$C$18*'Duty Cycle '!N13,IF(J13=3,'Gearing '!$C$19*'Duty Cycle '!N13)))</f>
        <v>474.7864790554338</v>
      </c>
      <c r="P13" s="2">
        <f>IF(F13='Track '!$B$60,'Track '!$F$53,IF(F13='Track '!$B$61,'Track '!$F$54,IF(F13='Track '!$B$62,'Track '!$F$55)))</f>
        <v>0.02</v>
      </c>
      <c r="Q13" s="2">
        <f>P13*'Vehicle '!$F$38*9.81</f>
        <v>114.63966000000001</v>
      </c>
      <c r="R13" s="2">
        <f>0.5*'Vehicle '!$F$51*'Vehicle '!$F$25*'Track '!$F$57*'Duty Cycle '!L13^2</f>
        <v>23.554546627093202</v>
      </c>
      <c r="S13" s="2">
        <f>'Vehicle '!$F$38*9.81*SIN(RADIANS('Duty Cycle '!I13))</f>
        <v>631.30549460339432</v>
      </c>
      <c r="T13" s="2">
        <f t="shared" si="1"/>
        <v>1244.2861802859213</v>
      </c>
      <c r="U13" s="2">
        <f t="shared" si="10"/>
        <v>9.7691032705343677</v>
      </c>
      <c r="V13" s="2">
        <f>'Vehicle '!$F$9-'Duty Cycle '!U13</f>
        <v>3.6537155214119412</v>
      </c>
      <c r="W13" s="2">
        <f t="shared" si="2"/>
        <v>9.7691032705343677</v>
      </c>
      <c r="X13" s="41">
        <f t="shared" si="11"/>
        <v>18.657612900968953</v>
      </c>
      <c r="Y13" s="41">
        <f t="shared" si="3"/>
        <v>19</v>
      </c>
      <c r="Z13" s="2">
        <f>T13*D13</f>
        <v>51563.875523603128</v>
      </c>
      <c r="AA13" s="2">
        <f t="shared" si="12"/>
        <v>185728.41312583111</v>
      </c>
      <c r="AB13" s="2">
        <f>INDEX('BSFC '!$D$5:$AD$27,MATCH('Duty Cycle '!Y13,'BSFC '!$B$5:$B$27,0),MATCH('Duty Cycle '!K13,'BSFC '!$D$28:$AD$28,0))</f>
        <v>480.16306640580012</v>
      </c>
      <c r="AC13" s="2">
        <f>U13*AB13/3600</f>
        <v>1.3029896062263091</v>
      </c>
      <c r="AD13" s="2">
        <f t="shared" si="13"/>
        <v>5.8101971999117694</v>
      </c>
      <c r="AE13" s="2">
        <f t="shared" si="14"/>
        <v>4.0262378832392951</v>
      </c>
      <c r="AF13" s="2">
        <f>0.5*'Vehicle '!$F$38*'Duty Cycle '!L13^2/1000</f>
        <v>18.008383745561641</v>
      </c>
      <c r="AG13" s="2">
        <f t="shared" si="4"/>
        <v>51581.883907348689</v>
      </c>
    </row>
    <row r="14" spans="1:40" ht="30" customHeight="1" x14ac:dyDescent="0.25">
      <c r="A14" s="15" t="s">
        <v>152</v>
      </c>
      <c r="B14" s="39">
        <f t="shared" si="5"/>
        <v>11</v>
      </c>
      <c r="C14" s="2" t="s">
        <v>89</v>
      </c>
      <c r="D14" s="2">
        <f>SUM($L$3:L14)</f>
        <v>50.469373749925751</v>
      </c>
      <c r="E14" s="2">
        <f t="shared" si="6"/>
        <v>9.028846369195378</v>
      </c>
      <c r="F14" s="40" t="s">
        <v>90</v>
      </c>
      <c r="G14" s="2">
        <v>14.3</v>
      </c>
      <c r="H14" s="2">
        <f t="shared" si="7"/>
        <v>0.78000000000000114</v>
      </c>
      <c r="I14" s="2">
        <f t="shared" si="8"/>
        <v>4.9375106126698904</v>
      </c>
      <c r="J14" s="2">
        <v>2</v>
      </c>
      <c r="K14" s="2">
        <v>5750</v>
      </c>
      <c r="L14" s="2">
        <f>IF(J14=1,VLOOKUP('Duty Cycle '!K14,'Gearing '!$L$3:$O$28,2),IF(J14=2,VLOOKUP('Duty Cycle '!K14,'Gearing '!$L$2:$O$28,3),IF(J14=3,VLOOKUP('Duty Cycle '!K14,'Gearing '!$L$2:$O$28,4))))</f>
        <v>9.0288463691953762</v>
      </c>
      <c r="M14" s="2">
        <f t="shared" si="0"/>
        <v>20.197529327890056</v>
      </c>
      <c r="N14" s="2">
        <f t="shared" si="9"/>
        <v>1.1776756133733111</v>
      </c>
      <c r="O14" s="2">
        <f>IF(J14=1,'Gearing '!$C$17*'Duty Cycle '!N14,IF(J14=2,'Gearing '!$C$18*'Duty Cycle '!N14,IF(J14=3,'Gearing '!$C$19*'Duty Cycle '!N14)))</f>
        <v>712.17971858315047</v>
      </c>
      <c r="P14" s="2">
        <f>IF(F14='Track '!$B$60,'Track '!$F$53,IF(F14='Track '!$B$61,'Track '!$F$54,IF(F14='Track '!$B$62,'Track '!$F$55)))</f>
        <v>0.02</v>
      </c>
      <c r="Q14" s="2">
        <f>P14*'Vehicle '!$F$38*9.81</f>
        <v>114.63966000000001</v>
      </c>
      <c r="R14" s="2">
        <f>0.5*'Vehicle '!$F$51*'Vehicle '!$F$25*'Track '!$F$57*'Duty Cycle '!L14^2</f>
        <v>31.15088791433077</v>
      </c>
      <c r="S14" s="2">
        <f>'Vehicle '!$F$38*9.81*SIN(RADIANS('Duty Cycle '!I14))</f>
        <v>493.34716718366531</v>
      </c>
      <c r="T14" s="2">
        <f t="shared" si="1"/>
        <v>1351.3174336811467</v>
      </c>
      <c r="U14" s="2">
        <f t="shared" si="10"/>
        <v>12.200837504722434</v>
      </c>
      <c r="V14" s="2">
        <f>'Vehicle '!$F$9-'Duty Cycle '!U14</f>
        <v>1.2219812872238744</v>
      </c>
      <c r="W14" s="2">
        <f t="shared" si="2"/>
        <v>12.200837504722434</v>
      </c>
      <c r="X14" s="41">
        <f t="shared" si="11"/>
        <v>20.262507117261507</v>
      </c>
      <c r="Y14" s="41">
        <f t="shared" si="3"/>
        <v>21</v>
      </c>
      <c r="Z14" s="2">
        <f>T14*D14</f>
        <v>68200.144615244295</v>
      </c>
      <c r="AA14" s="2">
        <f t="shared" si="12"/>
        <v>253928.5577410754</v>
      </c>
      <c r="AB14" s="2">
        <f>INDEX('BSFC '!$D$5:$AD$27,MATCH('Duty Cycle '!Y14,'BSFC '!$B$5:$B$27,0),MATCH('Duty Cycle '!K14,'BSFC '!$D$28:$AD$28,0))</f>
        <v>498.27742508580008</v>
      </c>
      <c r="AC14" s="2">
        <f>U14*AB14/3600</f>
        <v>1.688722748817598</v>
      </c>
      <c r="AD14" s="2">
        <f t="shared" si="13"/>
        <v>7.4989199487293678</v>
      </c>
      <c r="AE14" s="2">
        <f t="shared" si="14"/>
        <v>5.2181532938463775</v>
      </c>
      <c r="AF14" s="2">
        <f>0.5*'Vehicle '!$F$38*'Duty Cycle '!L14^2/1000</f>
        <v>23.816087503505273</v>
      </c>
      <c r="AG14" s="2">
        <f t="shared" si="4"/>
        <v>68223.960702747805</v>
      </c>
    </row>
    <row r="15" spans="1:40" ht="30" customHeight="1" x14ac:dyDescent="0.25">
      <c r="A15" s="15"/>
      <c r="B15" s="39">
        <f t="shared" si="5"/>
        <v>12</v>
      </c>
      <c r="C15" s="2" t="s">
        <v>89</v>
      </c>
      <c r="D15" s="2">
        <f>SUM($L$3:L15)</f>
        <v>60.675895732494439</v>
      </c>
      <c r="E15" s="2">
        <f t="shared" si="6"/>
        <v>10.206521982568688</v>
      </c>
      <c r="F15" s="40" t="s">
        <v>90</v>
      </c>
      <c r="G15" s="2">
        <v>14.8</v>
      </c>
      <c r="H15" s="2">
        <f t="shared" si="7"/>
        <v>0.5</v>
      </c>
      <c r="I15" s="2">
        <f t="shared" si="8"/>
        <v>2.8045798410884526</v>
      </c>
      <c r="J15" s="2">
        <v>2</v>
      </c>
      <c r="K15" s="2">
        <v>6500</v>
      </c>
      <c r="L15" s="2">
        <f>IF(J15=1,VLOOKUP('Duty Cycle '!K15,'Gearing '!$L$3:$O$28,2),IF(J15=2,VLOOKUP('Duty Cycle '!K15,'Gearing '!$L$2:$O$28,3),IF(J15=3,VLOOKUP('Duty Cycle '!K15,'Gearing '!$L$2:$O$28,4))))</f>
        <v>10.206521982568686</v>
      </c>
      <c r="M15" s="2">
        <f t="shared" si="0"/>
        <v>22.831989675006152</v>
      </c>
      <c r="N15" s="2">
        <f t="shared" si="9"/>
        <v>1.1776756133733102</v>
      </c>
      <c r="O15" s="2">
        <f>IF(J15=1,'Gearing '!$C$17*'Duty Cycle '!N15,IF(J15=2,'Gearing '!$C$18*'Duty Cycle '!N15,IF(J15=3,'Gearing '!$C$19*'Duty Cycle '!N15)))</f>
        <v>712.17971858314991</v>
      </c>
      <c r="P15" s="2">
        <f>IF(F15='Track '!$B$60,'Track '!$F$53,IF(F15='Track '!$B$61,'Track '!$F$54,IF(F15='Track '!$B$62,'Track '!$F$55)))</f>
        <v>0.02</v>
      </c>
      <c r="Q15" s="2">
        <f>P15*'Vehicle '!$F$38*9.81</f>
        <v>114.63966000000001</v>
      </c>
      <c r="R15" s="2">
        <f>0.5*'Vehicle '!$F$51*'Vehicle '!$F$25*'Track '!$F$57*'Duty Cycle '!L15^2</f>
        <v>39.807183799787531</v>
      </c>
      <c r="S15" s="2">
        <f>'Vehicle '!$F$38*9.81*SIN(RADIANS('Duty Cycle '!I15))</f>
        <v>280.4636784800561</v>
      </c>
      <c r="T15" s="2">
        <f t="shared" si="1"/>
        <v>1147.0902408629936</v>
      </c>
      <c r="U15" s="2">
        <f t="shared" si="10"/>
        <v>11.707801759358153</v>
      </c>
      <c r="V15" s="2">
        <f>'Vehicle '!$F$9-'Duty Cycle '!U15</f>
        <v>1.7150170325881557</v>
      </c>
      <c r="W15" s="2">
        <f t="shared" si="2"/>
        <v>11.707801759358153</v>
      </c>
      <c r="X15" s="41">
        <f t="shared" si="11"/>
        <v>17.200195594540052</v>
      </c>
      <c r="Y15" s="41">
        <f t="shared" si="3"/>
        <v>18</v>
      </c>
      <c r="Z15" s="2">
        <f>T15*D15</f>
        <v>69600.727850364929</v>
      </c>
      <c r="AA15" s="2">
        <f t="shared" si="12"/>
        <v>323529.28559144033</v>
      </c>
      <c r="AB15" s="2">
        <f>INDEX('BSFC '!$D$5:$AD$27,MATCH('Duty Cycle '!Y15,'BSFC '!$B$5:$B$27,0),MATCH('Duty Cycle '!K15,'BSFC '!$D$28:$AD$28,0))</f>
        <v>533.40609008579997</v>
      </c>
      <c r="AC15" s="2">
        <f>U15*AB15/3600</f>
        <v>1.7347257666552451</v>
      </c>
      <c r="AD15" s="2">
        <f t="shared" si="13"/>
        <v>9.233645715384613</v>
      </c>
      <c r="AE15" s="2">
        <f t="shared" si="14"/>
        <v>5.3603026189647069</v>
      </c>
      <c r="AF15" s="2">
        <f>0.5*'Vehicle '!$F$38*'Duty Cycle '!L15^2/1000</f>
        <v>30.434168529999184</v>
      </c>
      <c r="AG15" s="2">
        <f t="shared" si="4"/>
        <v>69631.162018894931</v>
      </c>
    </row>
    <row r="16" spans="1:40" ht="30" customHeight="1" x14ac:dyDescent="0.25">
      <c r="A16" s="44">
        <f>'Vehicle '!F18/'Duty Cycle '!A12</f>
        <v>209.87003721794798</v>
      </c>
      <c r="B16" s="39">
        <f t="shared" si="5"/>
        <v>13</v>
      </c>
      <c r="C16" s="2" t="s">
        <v>89</v>
      </c>
      <c r="D16" s="2">
        <f>SUM($L$3:L16)</f>
        <v>70.916553240088433</v>
      </c>
      <c r="E16" s="2">
        <f t="shared" si="6"/>
        <v>10.240657507593994</v>
      </c>
      <c r="F16" s="40" t="s">
        <v>90</v>
      </c>
      <c r="G16" s="2">
        <v>15.5</v>
      </c>
      <c r="H16" s="2">
        <f t="shared" si="7"/>
        <v>0.69999999999999929</v>
      </c>
      <c r="I16" s="2">
        <f t="shared" si="8"/>
        <v>3.9103694976451582</v>
      </c>
      <c r="J16" s="2">
        <v>3</v>
      </c>
      <c r="K16" s="2">
        <v>5000</v>
      </c>
      <c r="L16" s="2">
        <f>IF(J16=1,VLOOKUP('Duty Cycle '!K16,'Gearing '!$L$3:$O$28,2),IF(J16=2,VLOOKUP('Duty Cycle '!K16,'Gearing '!$L$2:$O$28,3),IF(J16=3,VLOOKUP('Duty Cycle '!K16,'Gearing '!$L$2:$O$28,4))))</f>
        <v>10.240657507593998</v>
      </c>
      <c r="M16" s="2">
        <f t="shared" si="0"/>
        <v>22.908350844487774</v>
      </c>
      <c r="N16" s="2">
        <f t="shared" si="9"/>
        <v>3.4135525025311253E-2</v>
      </c>
      <c r="O16" s="2">
        <f>IF(J16=1,'Gearing '!$C$17*'Duty Cycle '!N16,IF(J16=2,'Gearing '!$C$18*'Duty Cycle '!N16,IF(J16=3,'Gearing '!$C$19*'Duty Cycle '!N16)))</f>
        <v>20.555856617712458</v>
      </c>
      <c r="P16" s="2">
        <f>IF(F16='Track '!$B$60,'Track '!$F$53,IF(F16='Track '!$B$61,'Track '!$F$54,IF(F16='Track '!$B$62,'Track '!$F$55)))</f>
        <v>0.02</v>
      </c>
      <c r="Q16" s="2">
        <f>P16*'Vehicle '!$F$38*9.81</f>
        <v>114.63966000000001</v>
      </c>
      <c r="R16" s="2">
        <f>0.5*'Vehicle '!$F$51*'Vehicle '!$F$25*'Track '!$F$57*'Duty Cycle '!L16^2</f>
        <v>40.073897853277657</v>
      </c>
      <c r="S16" s="2">
        <f>'Vehicle '!$F$38*9.81*SIN(RADIANS('Duty Cycle '!I16))</f>
        <v>390.89746618300615</v>
      </c>
      <c r="T16" s="2">
        <f t="shared" si="1"/>
        <v>566.16688065399637</v>
      </c>
      <c r="U16" s="2">
        <f t="shared" si="10"/>
        <v>5.7979211169204223</v>
      </c>
      <c r="V16" s="2">
        <f>'Vehicle '!$F$9-'Duty Cycle '!U16</f>
        <v>7.6248976750258866</v>
      </c>
      <c r="W16" s="2">
        <f t="shared" si="2"/>
        <v>5.7979211169204223</v>
      </c>
      <c r="X16" s="41">
        <f t="shared" si="11"/>
        <v>11.073213664977217</v>
      </c>
      <c r="Y16" s="41">
        <f t="shared" si="3"/>
        <v>12</v>
      </c>
      <c r="Z16" s="2">
        <f>T16*D16</f>
        <v>40150.603734673925</v>
      </c>
      <c r="AA16" s="2">
        <f t="shared" si="12"/>
        <v>363679.88932611427</v>
      </c>
      <c r="AB16" s="2">
        <f>INDEX('BSFC '!$D$5:$AD$27,MATCH('Duty Cycle '!Y16,'BSFC '!$B$5:$B$27,0),MATCH('Duty Cycle '!K16,'BSFC '!$D$28:$AD$28,0))</f>
        <v>317.08878608580005</v>
      </c>
      <c r="AC16" s="2">
        <f>U16*AB16/3600</f>
        <v>0.51068215799597849</v>
      </c>
      <c r="AD16" s="2">
        <f t="shared" si="13"/>
        <v>9.7443278733805911</v>
      </c>
      <c r="AE16" s="2">
        <f t="shared" si="14"/>
        <v>1.5780078682075735</v>
      </c>
      <c r="AF16" s="2">
        <f>0.5*'Vehicle '!$F$38*'Duty Cycle '!L16^2/1000</f>
        <v>30.638081986777838</v>
      </c>
      <c r="AG16" s="2">
        <f t="shared" si="4"/>
        <v>40181.241816660702</v>
      </c>
    </row>
    <row r="17" spans="1:33" ht="30" customHeight="1" x14ac:dyDescent="0.25">
      <c r="A17" s="44"/>
      <c r="B17" s="39">
        <f t="shared" si="5"/>
        <v>14</v>
      </c>
      <c r="C17" s="2" t="s">
        <v>89</v>
      </c>
      <c r="D17" s="2">
        <f>SUM($L$3:L17)</f>
        <v>82.181276498441832</v>
      </c>
      <c r="E17" s="2">
        <f t="shared" si="6"/>
        <v>11.264723258353399</v>
      </c>
      <c r="F17" s="40" t="s">
        <v>90</v>
      </c>
      <c r="G17" s="2">
        <v>16</v>
      </c>
      <c r="H17" s="2">
        <f t="shared" si="7"/>
        <v>0.5</v>
      </c>
      <c r="I17" s="2">
        <f t="shared" si="8"/>
        <v>2.5414826246448512</v>
      </c>
      <c r="J17" s="2">
        <v>3</v>
      </c>
      <c r="K17" s="2">
        <v>5500</v>
      </c>
      <c r="L17" s="2">
        <f>IF(J17=1,VLOOKUP('Duty Cycle '!K17,'Gearing '!$L$3:$O$28,2),IF(J17=2,VLOOKUP('Duty Cycle '!K17,'Gearing '!$L$2:$O$28,3),IF(J17=3,VLOOKUP('Duty Cycle '!K17,'Gearing '!$L$2:$O$28,4))))</f>
        <v>11.264723258353396</v>
      </c>
      <c r="M17" s="2">
        <f t="shared" si="0"/>
        <v>25.199185928936547</v>
      </c>
      <c r="N17" s="2">
        <f t="shared" si="9"/>
        <v>1.024065750759398</v>
      </c>
      <c r="O17" s="2">
        <f>IF(J17=1,'Gearing '!$C$17*'Duty Cycle '!N17,IF(J17=2,'Gearing '!$C$18*'Duty Cycle '!N17,IF(J17=3,'Gearing '!$C$19*'Duty Cycle '!N17)))</f>
        <v>616.67569853141003</v>
      </c>
      <c r="P17" s="2">
        <f>IF(F17='Track '!$B$60,'Track '!$F$53,IF(F17='Track '!$B$61,'Track '!$F$54,IF(F17='Track '!$B$62,'Track '!$F$55)))</f>
        <v>0.02</v>
      </c>
      <c r="Q17" s="2">
        <f>P17*'Vehicle '!$F$38*9.81</f>
        <v>114.63966000000001</v>
      </c>
      <c r="R17" s="2">
        <f>0.5*'Vehicle '!$F$51*'Vehicle '!$F$25*'Track '!$F$57*'Duty Cycle '!L17^2</f>
        <v>48.489416402465956</v>
      </c>
      <c r="S17" s="2">
        <f>'Vehicle '!$F$38*9.81*SIN(RADIANS('Duty Cycle '!I17))</f>
        <v>254.17157481198475</v>
      </c>
      <c r="T17" s="2">
        <f t="shared" si="1"/>
        <v>1033.9763497458607</v>
      </c>
      <c r="U17" s="2">
        <f t="shared" si="10"/>
        <v>11.647457435569542</v>
      </c>
      <c r="V17" s="2">
        <f>'Vehicle '!$F$9-'Duty Cycle '!U17</f>
        <v>1.7753613563767665</v>
      </c>
      <c r="W17" s="2">
        <f t="shared" si="2"/>
        <v>11.647457435569542</v>
      </c>
      <c r="X17" s="41">
        <f t="shared" si="11"/>
        <v>20.2227319126183</v>
      </c>
      <c r="Y17" s="41">
        <f t="shared" si="3"/>
        <v>21</v>
      </c>
      <c r="Z17" s="2">
        <f>T17*D17</f>
        <v>84973.496291314179</v>
      </c>
      <c r="AA17" s="2">
        <f t="shared" si="12"/>
        <v>448653.38561742846</v>
      </c>
      <c r="AB17" s="2">
        <f>INDEX('BSFC '!$D$5:$AD$27,MATCH('Duty Cycle '!Y17,'BSFC '!$B$5:$B$27,0),MATCH('Duty Cycle '!K17,'BSFC '!$D$28:$AD$28,0))</f>
        <v>472.37704508580003</v>
      </c>
      <c r="AC17" s="2">
        <f>U17*AB17/3600</f>
        <v>1.5283309794936029</v>
      </c>
      <c r="AD17" s="2">
        <f t="shared" si="13"/>
        <v>11.272658852874194</v>
      </c>
      <c r="AE17" s="2">
        <f t="shared" si="14"/>
        <v>4.7225427266352327</v>
      </c>
      <c r="AF17" s="2">
        <f>0.5*'Vehicle '!$F$38*'Duty Cycle '!L17^2/1000</f>
        <v>37.07207920400117</v>
      </c>
      <c r="AG17" s="2">
        <f t="shared" si="4"/>
        <v>85010.568370518187</v>
      </c>
    </row>
    <row r="18" spans="1:33" ht="30" customHeight="1" x14ac:dyDescent="0.25">
      <c r="A18" s="15" t="s">
        <v>153</v>
      </c>
      <c r="B18" s="39">
        <f t="shared" si="5"/>
        <v>15</v>
      </c>
      <c r="C18" s="2" t="s">
        <v>89</v>
      </c>
      <c r="D18" s="2">
        <f>SUM($L$3:L18)</f>
        <v>94.470065507554622</v>
      </c>
      <c r="E18" s="2">
        <f t="shared" si="6"/>
        <v>12.28878900911279</v>
      </c>
      <c r="F18" s="40" t="s">
        <v>90</v>
      </c>
      <c r="G18" s="2">
        <v>16.3</v>
      </c>
      <c r="H18" s="2">
        <f t="shared" si="7"/>
        <v>0.30000000000000071</v>
      </c>
      <c r="I18" s="2">
        <f t="shared" si="8"/>
        <v>1.3984551614986689</v>
      </c>
      <c r="J18" s="2">
        <v>3</v>
      </c>
      <c r="K18" s="2">
        <v>6000</v>
      </c>
      <c r="L18" s="2">
        <f>IF(J18=1,VLOOKUP('Duty Cycle '!K18,'Gearing '!$L$3:$O$28,2),IF(J18=2,VLOOKUP('Duty Cycle '!K18,'Gearing '!$L$2:$O$28,3),IF(J18=3,VLOOKUP('Duty Cycle '!K18,'Gearing '!$L$2:$O$28,4))))</f>
        <v>12.288789009112795</v>
      </c>
      <c r="M18" s="2">
        <f t="shared" si="0"/>
        <v>27.490021013385324</v>
      </c>
      <c r="N18" s="2">
        <f t="shared" si="9"/>
        <v>1.0240657507593998</v>
      </c>
      <c r="O18" s="2">
        <f>IF(J18=1,'Gearing '!$C$17*'Duty Cycle '!N18,IF(J18=2,'Gearing '!$C$18*'Duty Cycle '!N18,IF(J18=3,'Gearing '!$C$19*'Duty Cycle '!N18)))</f>
        <v>616.67569853141106</v>
      </c>
      <c r="P18" s="2">
        <f>IF(F18='Track '!$B$60,'Track '!$F$53,IF(F18='Track '!$B$61,'Track '!$F$54,IF(F18='Track '!$B$62,'Track '!$F$55)))</f>
        <v>0.02</v>
      </c>
      <c r="Q18" s="2">
        <f>P18*'Vehicle '!$F$38*9.81</f>
        <v>114.63966000000001</v>
      </c>
      <c r="R18" s="2">
        <f>0.5*'Vehicle '!$F$51*'Vehicle '!$F$25*'Track '!$F$57*'Duty Cycle '!L18^2</f>
        <v>57.70641290871982</v>
      </c>
      <c r="S18" s="2">
        <f>'Vehicle '!$F$38*9.81*SIN(RADIANS('Duty Cycle '!I18))</f>
        <v>139.89032721115606</v>
      </c>
      <c r="T18" s="2">
        <f t="shared" si="1"/>
        <v>928.9120986512869</v>
      </c>
      <c r="U18" s="2">
        <f t="shared" si="10"/>
        <v>11.415204788337835</v>
      </c>
      <c r="V18" s="2">
        <f>'Vehicle '!$F$9-'Duty Cycle '!U18</f>
        <v>2.0076140036084738</v>
      </c>
      <c r="W18" s="2">
        <f t="shared" si="2"/>
        <v>11.415204788337835</v>
      </c>
      <c r="X18" s="41">
        <f t="shared" si="11"/>
        <v>18.167862684702392</v>
      </c>
      <c r="Y18" s="41">
        <f t="shared" si="3"/>
        <v>19</v>
      </c>
      <c r="Z18" s="2">
        <f>T18*D18</f>
        <v>87754.386810347118</v>
      </c>
      <c r="AA18" s="2">
        <f t="shared" si="12"/>
        <v>536407.77242777555</v>
      </c>
      <c r="AB18" s="2">
        <f>INDEX('BSFC '!$D$5:$AD$27,MATCH('Duty Cycle '!Y18,'BSFC '!$B$5:$B$27,0),MATCH('Duty Cycle '!K18,'BSFC '!$D$28:$AD$28,0))</f>
        <v>495.50617712580004</v>
      </c>
      <c r="AC18" s="2">
        <f>U18*AB18/3600</f>
        <v>1.5711956904937245</v>
      </c>
      <c r="AD18" s="2">
        <f t="shared" si="13"/>
        <v>12.843854543367918</v>
      </c>
      <c r="AE18" s="2">
        <f t="shared" si="14"/>
        <v>4.854994683625609</v>
      </c>
      <c r="AF18" s="2">
        <f>0.5*'Vehicle '!$F$38*'Duty Cycle '!L18^2/1000</f>
        <v>44.118838060960073</v>
      </c>
      <c r="AG18" s="2">
        <f t="shared" si="4"/>
        <v>87798.505648408071</v>
      </c>
    </row>
    <row r="19" spans="1:33" ht="30" customHeight="1" x14ac:dyDescent="0.25">
      <c r="A19" s="15"/>
      <c r="B19" s="39">
        <f t="shared" si="5"/>
        <v>16</v>
      </c>
      <c r="C19" s="2" t="s">
        <v>91</v>
      </c>
      <c r="D19" s="2">
        <f>SUM($L$3:L19)</f>
        <v>107.78292026742682</v>
      </c>
      <c r="E19" s="2">
        <f t="shared" si="6"/>
        <v>13.312854759872195</v>
      </c>
      <c r="F19" s="40" t="s">
        <v>90</v>
      </c>
      <c r="G19" s="2">
        <v>16.5</v>
      </c>
      <c r="H19" s="2">
        <f t="shared" si="7"/>
        <v>0.19999999999999929</v>
      </c>
      <c r="I19" s="2">
        <f t="shared" si="8"/>
        <v>0.86069397910671464</v>
      </c>
      <c r="J19" s="2">
        <v>3</v>
      </c>
      <c r="K19" s="2">
        <v>6500</v>
      </c>
      <c r="L19" s="2">
        <f>IF(J19=1,VLOOKUP('Duty Cycle '!K19,'Gearing '!$L$3:$O$28,2),IF(J19=2,VLOOKUP('Duty Cycle '!K19,'Gearing '!$L$2:$O$28,3),IF(J19=3,VLOOKUP('Duty Cycle '!K19,'Gearing '!$L$2:$O$28,4))))</f>
        <v>13.312854759872195</v>
      </c>
      <c r="M19" s="2">
        <f t="shared" si="0"/>
        <v>29.780856097834103</v>
      </c>
      <c r="N19" s="2">
        <f t="shared" si="9"/>
        <v>1.0240657507593998</v>
      </c>
      <c r="O19" s="2">
        <f>IF(J19=1,'Gearing '!$C$17*'Duty Cycle '!N19,IF(J19=2,'Gearing '!$C$18*'Duty Cycle '!N19,IF(J19=3,'Gearing '!$C$19*'Duty Cycle '!N19)))</f>
        <v>616.67569853141106</v>
      </c>
      <c r="P19" s="2">
        <f>IF(F19='Track '!$B$60,'Track '!$F$53,IF(F19='Track '!$B$61,'Track '!$F$54,IF(F19='Track '!$B$62,'Track '!$F$55)))</f>
        <v>0.02</v>
      </c>
      <c r="Q19" s="2">
        <f>P19*'Vehicle '!$F$38*9.81</f>
        <v>114.63966000000001</v>
      </c>
      <c r="R19" s="2">
        <f>0.5*'Vehicle '!$F$51*'Vehicle '!$F$25*'Track '!$F$57*'Duty Cycle '!L19^2</f>
        <v>67.724887372039234</v>
      </c>
      <c r="S19" s="2">
        <f>'Vehicle '!$F$38*9.81*SIN(RADIANS('Duty Cycle '!I19))</f>
        <v>86.102288041906121</v>
      </c>
      <c r="T19" s="2">
        <f t="shared" si="1"/>
        <v>885.14253394535638</v>
      </c>
      <c r="U19" s="2">
        <f t="shared" si="10"/>
        <v>11.783773996199773</v>
      </c>
      <c r="V19" s="2">
        <f>'Vehicle '!$F$9-'Duty Cycle '!U19</f>
        <v>1.6390447957465355</v>
      </c>
      <c r="W19" s="2">
        <f t="shared" si="2"/>
        <v>11.783773996199773</v>
      </c>
      <c r="X19" s="41">
        <f t="shared" si="11"/>
        <v>17.311808120980903</v>
      </c>
      <c r="Y19" s="41">
        <f t="shared" si="3"/>
        <v>18</v>
      </c>
      <c r="Z19" s="2">
        <f>T19*D19</f>
        <v>95403.247161540479</v>
      </c>
      <c r="AA19" s="2">
        <f t="shared" si="12"/>
        <v>631811.01958931598</v>
      </c>
      <c r="AB19" s="2">
        <f>INDEX('BSFC '!$D$5:$AD$27,MATCH('Duty Cycle '!Y19,'BSFC '!$B$5:$B$27,0),MATCH('Duty Cycle '!K19,'BSFC '!$D$28:$AD$28,0))</f>
        <v>533.40609008579997</v>
      </c>
      <c r="AC19" s="2">
        <f>U19*AB19/3600</f>
        <v>1.7459824482687898</v>
      </c>
      <c r="AD19" s="2">
        <f t="shared" si="13"/>
        <v>14.589836991636709</v>
      </c>
      <c r="AE19" s="2">
        <f t="shared" si="14"/>
        <v>5.3950857651505606</v>
      </c>
      <c r="AF19" s="2">
        <f>0.5*'Vehicle '!$F$38*'Duty Cycle '!L19^2/1000</f>
        <v>51.778358557654528</v>
      </c>
      <c r="AG19" s="2">
        <f t="shared" si="4"/>
        <v>95455.025520098134</v>
      </c>
    </row>
    <row r="20" spans="1:33" ht="30" customHeight="1" x14ac:dyDescent="0.25">
      <c r="A20" s="45">
        <v>1.47</v>
      </c>
      <c r="B20" s="39">
        <f t="shared" si="5"/>
        <v>17</v>
      </c>
      <c r="C20" s="2" t="s">
        <v>91</v>
      </c>
      <c r="D20" s="2">
        <f>SUM($L$3:L20)</f>
        <v>120.07170927653961</v>
      </c>
      <c r="E20" s="2">
        <f t="shared" si="6"/>
        <v>12.28878900911279</v>
      </c>
      <c r="F20" s="40" t="s">
        <v>90</v>
      </c>
      <c r="G20" s="2">
        <v>17</v>
      </c>
      <c r="H20" s="2">
        <f t="shared" si="7"/>
        <v>0.5</v>
      </c>
      <c r="I20" s="2">
        <f t="shared" si="8"/>
        <v>2.3299364018937752</v>
      </c>
      <c r="J20" s="2">
        <v>3</v>
      </c>
      <c r="K20" s="2">
        <v>6000</v>
      </c>
      <c r="L20" s="2">
        <f>IF(J20=1,VLOOKUP('Duty Cycle '!K20,'Gearing '!$L$3:$O$28,2),IF(J20=2,VLOOKUP('Duty Cycle '!K20,'Gearing '!$L$2:$O$28,3),IF(J20=3,VLOOKUP('Duty Cycle '!K20,'Gearing '!$L$2:$O$28,4))))</f>
        <v>12.288789009112795</v>
      </c>
      <c r="M20" s="2">
        <f t="shared" si="0"/>
        <v>27.490021013385324</v>
      </c>
      <c r="N20" s="2">
        <f t="shared" si="9"/>
        <v>-1.0240657507593998</v>
      </c>
      <c r="O20" s="2">
        <f>IF(J20=1,'Gearing '!$C$17*'Duty Cycle '!N20,IF(J20=2,'Gearing '!$C$18*'Duty Cycle '!N20,IF(J20=3,'Gearing '!$C$19*'Duty Cycle '!N20)))</f>
        <v>-616.67569853141106</v>
      </c>
      <c r="P20" s="2">
        <f>IF(F20='Track '!$B$60,'Track '!$F$53,IF(F20='Track '!$B$61,'Track '!$F$54,IF(F20='Track '!$B$62,'Track '!$F$55)))</f>
        <v>0.02</v>
      </c>
      <c r="Q20" s="2">
        <f>P20*'Vehicle '!$F$38*9.81</f>
        <v>114.63966000000001</v>
      </c>
      <c r="R20" s="2">
        <f>0.5*'Vehicle '!$F$51*'Vehicle '!$F$25*'Track '!$F$57*'Duty Cycle '!L20^2</f>
        <v>57.70641290871982</v>
      </c>
      <c r="S20" s="2">
        <f>'Vehicle '!$F$38*9.81*SIN(RADIANS('Duty Cycle '!I20))</f>
        <v>233.02720511772924</v>
      </c>
      <c r="T20" s="2">
        <f t="shared" si="1"/>
        <v>-211.30242050496202</v>
      </c>
      <c r="U20" s="2">
        <f t="shared" si="10"/>
        <v>2.5966508627003071</v>
      </c>
      <c r="V20" s="2">
        <f>'Vehicle '!$F$9-'Duty Cycle '!U20</f>
        <v>10.826167929246001</v>
      </c>
      <c r="W20" s="2">
        <f t="shared" si="2"/>
        <v>2.5966508627003071</v>
      </c>
      <c r="X20" s="41">
        <f t="shared" si="11"/>
        <v>4.1326982028258836</v>
      </c>
      <c r="Y20" s="41">
        <f t="shared" si="3"/>
        <v>5</v>
      </c>
      <c r="Z20" s="2">
        <f>T20*D20</f>
        <v>-25371.442804300921</v>
      </c>
      <c r="AA20" s="2">
        <f t="shared" si="12"/>
        <v>606439.57678501506</v>
      </c>
      <c r="AB20" s="2">
        <f>INDEX('BSFC '!$D$5:$AD$27,MATCH('Duty Cycle '!Y20,'BSFC '!$B$5:$B$27,0),MATCH('Duty Cycle '!K20,'BSFC '!$D$28:$AD$28,0))</f>
        <v>679.12826528580001</v>
      </c>
      <c r="AC20" s="2">
        <f>U20*AB20/3600</f>
        <v>0.48984972109403763</v>
      </c>
      <c r="AD20" s="2">
        <f t="shared" si="13"/>
        <v>15.079686712730746</v>
      </c>
      <c r="AE20" s="2">
        <f t="shared" si="14"/>
        <v>1.5136356381805762</v>
      </c>
      <c r="AF20" s="2">
        <f>0.5*'Vehicle '!$F$38*'Duty Cycle '!L20^2/1000</f>
        <v>44.118838060960073</v>
      </c>
      <c r="AG20" s="2">
        <f t="shared" si="4"/>
        <v>-25327.323966239961</v>
      </c>
    </row>
    <row r="21" spans="1:33" ht="30" customHeight="1" x14ac:dyDescent="0.25">
      <c r="A21" s="45"/>
      <c r="B21" s="39">
        <f t="shared" si="5"/>
        <v>18</v>
      </c>
      <c r="C21" s="2" t="s">
        <v>91</v>
      </c>
      <c r="D21" s="2">
        <f>SUM($L$3:L21)</f>
        <v>131.84846541027269</v>
      </c>
      <c r="E21" s="2">
        <f t="shared" si="6"/>
        <v>11.776756133733087</v>
      </c>
      <c r="F21" s="40" t="s">
        <v>90</v>
      </c>
      <c r="G21" s="2">
        <v>17.399999999999999</v>
      </c>
      <c r="H21" s="2">
        <f t="shared" si="7"/>
        <v>0.39999999999999858</v>
      </c>
      <c r="I21" s="2">
        <f t="shared" si="8"/>
        <v>1.9453153749783214</v>
      </c>
      <c r="J21" s="2">
        <v>3</v>
      </c>
      <c r="K21" s="2">
        <v>5750</v>
      </c>
      <c r="L21" s="2">
        <f>IF(J21=1,VLOOKUP('Duty Cycle '!K21,'Gearing '!$L$3:$O$28,2),IF(J21=2,VLOOKUP('Duty Cycle '!K21,'Gearing '!$L$2:$O$28,3),IF(J21=3,VLOOKUP('Duty Cycle '!K21,'Gearing '!$L$2:$O$28,4))))</f>
        <v>11.776756133733098</v>
      </c>
      <c r="M21" s="2">
        <f t="shared" si="0"/>
        <v>26.344603471160941</v>
      </c>
      <c r="N21" s="2">
        <f t="shared" si="9"/>
        <v>-0.51203287537969722</v>
      </c>
      <c r="O21" s="2">
        <f>IF(J21=1,'Gearing '!$C$17*'Duty Cycle '!N21,IF(J21=2,'Gearing '!$C$18*'Duty Cycle '!N21,IF(J21=3,'Gearing '!$C$19*'Duty Cycle '!N21)))</f>
        <v>-308.33784926570394</v>
      </c>
      <c r="P21" s="2">
        <f>IF(F21='Track '!$B$60,'Track '!$F$53,IF(F21='Track '!$B$61,'Track '!$F$54,IF(F21='Track '!$B$62,'Track '!$F$55)))</f>
        <v>0.02</v>
      </c>
      <c r="Q21" s="2">
        <f>P21*'Vehicle '!$F$38*9.81</f>
        <v>114.63966000000001</v>
      </c>
      <c r="R21" s="2">
        <f>0.5*'Vehicle '!$F$51*'Vehicle '!$F$25*'Track '!$F$57*'Duty Cycle '!L21^2</f>
        <v>52.997729910959706</v>
      </c>
      <c r="S21" s="2">
        <f>'Vehicle '!$F$38*9.81*SIN(RADIANS('Duty Cycle '!I21))</f>
        <v>194.57580621753189</v>
      </c>
      <c r="T21" s="2">
        <f t="shared" si="1"/>
        <v>53.875346862787694</v>
      </c>
      <c r="U21" s="2">
        <f t="shared" si="10"/>
        <v>0.63447682162333319</v>
      </c>
      <c r="V21" s="2">
        <f>'Vehicle '!$F$9-'Duty Cycle '!U21</f>
        <v>12.788341970322975</v>
      </c>
      <c r="W21" s="2">
        <f t="shared" si="2"/>
        <v>0.63447682162333319</v>
      </c>
      <c r="X21" s="41">
        <f t="shared" si="11"/>
        <v>1.0537056254461379</v>
      </c>
      <c r="Y21" s="41">
        <f t="shared" si="3"/>
        <v>2</v>
      </c>
      <c r="Z21" s="2">
        <f>T21*D21</f>
        <v>7103.3818073047069</v>
      </c>
      <c r="AA21" s="2">
        <f t="shared" si="12"/>
        <v>613542.95859231974</v>
      </c>
      <c r="AB21" s="2">
        <f>INDEX('BSFC '!$D$5:$AD$27,MATCH('Duty Cycle '!Y21,'BSFC '!$B$5:$B$27,0),MATCH('Duty Cycle '!K21,'BSFC '!$D$28:$AD$28,0))</f>
        <v>886.98747296580007</v>
      </c>
      <c r="AC21" s="2">
        <f>U21*AB21/3600</f>
        <v>0.15632583129640362</v>
      </c>
      <c r="AD21" s="2">
        <f t="shared" si="13"/>
        <v>15.236012544027149</v>
      </c>
      <c r="AE21" s="2">
        <f t="shared" si="14"/>
        <v>0.48304681870588717</v>
      </c>
      <c r="AF21" s="2">
        <f>0.5*'Vehicle '!$F$38*'Duty Cycle '!L21^2/1000</f>
        <v>40.518863427513693</v>
      </c>
      <c r="AG21" s="2">
        <f t="shared" si="4"/>
        <v>7143.9006707322205</v>
      </c>
    </row>
    <row r="22" spans="1:33" ht="30" customHeight="1" x14ac:dyDescent="0.25">
      <c r="A22" s="15" t="s">
        <v>154</v>
      </c>
      <c r="B22" s="39">
        <f t="shared" si="5"/>
        <v>19</v>
      </c>
      <c r="C22" s="2" t="s">
        <v>91</v>
      </c>
      <c r="D22" s="2">
        <f>SUM($L$3:L22)</f>
        <v>143.6252215440058</v>
      </c>
      <c r="E22" s="2">
        <f t="shared" si="6"/>
        <v>11.776756133733102</v>
      </c>
      <c r="F22" s="40" t="s">
        <v>90</v>
      </c>
      <c r="G22" s="2">
        <v>17.8</v>
      </c>
      <c r="H22" s="2">
        <f t="shared" si="7"/>
        <v>0.40000000000000213</v>
      </c>
      <c r="I22" s="2">
        <f t="shared" si="8"/>
        <v>1.9453153749783361</v>
      </c>
      <c r="J22" s="2">
        <v>3</v>
      </c>
      <c r="K22" s="2">
        <v>5750</v>
      </c>
      <c r="L22" s="2">
        <f>IF(J22=1,VLOOKUP('Duty Cycle '!K22,'Gearing '!$L$3:$O$28,2),IF(J22=2,VLOOKUP('Duty Cycle '!K22,'Gearing '!$L$2:$O$28,3),IF(J22=3,VLOOKUP('Duty Cycle '!K22,'Gearing '!$L$2:$O$28,4))))</f>
        <v>11.776756133733098</v>
      </c>
      <c r="M22" s="2">
        <f t="shared" si="0"/>
        <v>26.344603471160941</v>
      </c>
      <c r="N22" s="2">
        <f t="shared" si="9"/>
        <v>0</v>
      </c>
      <c r="O22" s="2">
        <f>IF(J22=1,'Gearing '!$C$17*'Duty Cycle '!N22,IF(J22=2,'Gearing '!$C$18*'Duty Cycle '!N22,IF(J22=3,'Gearing '!$C$19*'Duty Cycle '!N22)))</f>
        <v>0</v>
      </c>
      <c r="P22" s="2">
        <f>IF(F22='Track '!$B$60,'Track '!$F$53,IF(F22='Track '!$B$61,'Track '!$F$54,IF(F22='Track '!$B$62,'Track '!$F$55)))</f>
        <v>0.02</v>
      </c>
      <c r="Q22" s="2">
        <f>P22*'Vehicle '!$F$38*9.81</f>
        <v>114.63966000000001</v>
      </c>
      <c r="R22" s="2">
        <f>0.5*'Vehicle '!$F$51*'Vehicle '!$F$25*'Track '!$F$57*'Duty Cycle '!L22^2</f>
        <v>52.997729910959706</v>
      </c>
      <c r="S22" s="2">
        <f>'Vehicle '!$F$38*9.81*SIN(RADIANS('Duty Cycle '!I22))</f>
        <v>194.57580621753337</v>
      </c>
      <c r="T22" s="2">
        <f t="shared" si="1"/>
        <v>362.21319612849311</v>
      </c>
      <c r="U22" s="2">
        <f t="shared" si="10"/>
        <v>4.2656964792253014</v>
      </c>
      <c r="V22" s="2">
        <f>'Vehicle '!$F$9-'Duty Cycle '!U22</f>
        <v>9.1571223127210075</v>
      </c>
      <c r="W22" s="2">
        <f t="shared" si="2"/>
        <v>4.2656964792253014</v>
      </c>
      <c r="X22" s="41">
        <f t="shared" si="11"/>
        <v>7.0842436215485325</v>
      </c>
      <c r="Y22" s="41">
        <f t="shared" si="3"/>
        <v>8</v>
      </c>
      <c r="Z22" s="2">
        <f>T22*D22</f>
        <v>52022.950540117243</v>
      </c>
      <c r="AA22" s="2">
        <f t="shared" si="12"/>
        <v>665565.90913243697</v>
      </c>
      <c r="AB22" s="2">
        <f>INDEX('BSFC '!$D$5:$AD$27,MATCH('Duty Cycle '!Y22,'BSFC '!$B$5:$B$27,0),MATCH('Duty Cycle '!K22,'BSFC '!$D$28:$AD$28,0))</f>
        <v>492.10327136580003</v>
      </c>
      <c r="AC22" s="2">
        <f>U22*AB22/3600</f>
        <v>0.58310088668898508</v>
      </c>
      <c r="AD22" s="2">
        <f t="shared" si="13"/>
        <v>15.819113430716135</v>
      </c>
      <c r="AE22" s="2">
        <f t="shared" si="14"/>
        <v>1.8017817398689637</v>
      </c>
      <c r="AF22" s="2">
        <f>0.5*'Vehicle '!$F$38*'Duty Cycle '!L22^2/1000</f>
        <v>40.518863427513693</v>
      </c>
      <c r="AG22" s="2">
        <f t="shared" si="4"/>
        <v>52063.469403544754</v>
      </c>
    </row>
    <row r="23" spans="1:33" ht="30" customHeight="1" x14ac:dyDescent="0.25">
      <c r="A23" s="15"/>
      <c r="B23" s="39">
        <f t="shared" si="5"/>
        <v>20</v>
      </c>
      <c r="C23" s="2" t="s">
        <v>91</v>
      </c>
      <c r="D23" s="2">
        <f>SUM($L$3:L23)</f>
        <v>154.8899448023592</v>
      </c>
      <c r="E23" s="2">
        <f t="shared" si="6"/>
        <v>11.264723258353399</v>
      </c>
      <c r="F23" s="40" t="s">
        <v>90</v>
      </c>
      <c r="G23" s="2">
        <v>18.2</v>
      </c>
      <c r="H23" s="2">
        <f t="shared" si="7"/>
        <v>0.39999999999999858</v>
      </c>
      <c r="I23" s="2">
        <f t="shared" si="8"/>
        <v>2.0336661658026123</v>
      </c>
      <c r="J23" s="2">
        <v>3</v>
      </c>
      <c r="K23" s="2">
        <v>5500</v>
      </c>
      <c r="L23" s="2">
        <f>IF(J23=1,VLOOKUP('Duty Cycle '!K23,'Gearing '!$L$3:$O$28,2),IF(J23=2,VLOOKUP('Duty Cycle '!K23,'Gearing '!$L$2:$O$28,3),IF(J23=3,VLOOKUP('Duty Cycle '!K23,'Gearing '!$L$2:$O$28,4))))</f>
        <v>11.264723258353396</v>
      </c>
      <c r="M23" s="2">
        <f t="shared" si="0"/>
        <v>25.199185928936547</v>
      </c>
      <c r="N23" s="2">
        <f t="shared" si="9"/>
        <v>-0.51203287537970255</v>
      </c>
      <c r="O23" s="2">
        <f>IF(J23=1,'Gearing '!$C$17*'Duty Cycle '!N23,IF(J23=2,'Gearing '!$C$18*'Duty Cycle '!N23,IF(J23=3,'Gearing '!$C$19*'Duty Cycle '!N23)))</f>
        <v>-308.33784926570718</v>
      </c>
      <c r="P23" s="2">
        <f>IF(F23='Track '!$B$60,'Track '!$F$53,IF(F23='Track '!$B$61,'Track '!$F$54,IF(F23='Track '!$B$62,'Track '!$F$55)))</f>
        <v>0.02</v>
      </c>
      <c r="Q23" s="2">
        <f>P23*'Vehicle '!$F$38*9.81</f>
        <v>114.63966000000001</v>
      </c>
      <c r="R23" s="2">
        <f>0.5*'Vehicle '!$F$51*'Vehicle '!$F$25*'Track '!$F$57*'Duty Cycle '!L23^2</f>
        <v>48.489416402465956</v>
      </c>
      <c r="S23" s="2">
        <f>'Vehicle '!$F$38*9.81*SIN(RADIANS('Duty Cycle '!I23))</f>
        <v>203.40926511959216</v>
      </c>
      <c r="T23" s="2">
        <f t="shared" si="1"/>
        <v>58.200492256350913</v>
      </c>
      <c r="U23" s="2">
        <f t="shared" si="10"/>
        <v>0.65561243876773279</v>
      </c>
      <c r="V23" s="2">
        <f>'Vehicle '!$F$9-'Duty Cycle '!U23</f>
        <v>12.767206353178576</v>
      </c>
      <c r="W23" s="2">
        <f t="shared" si="2"/>
        <v>0.65561243876773279</v>
      </c>
      <c r="X23" s="41">
        <f t="shared" si="11"/>
        <v>1.13829774962637</v>
      </c>
      <c r="Y23" s="41">
        <f t="shared" si="3"/>
        <v>2</v>
      </c>
      <c r="Z23" s="2">
        <f>T23*D23</f>
        <v>9014.6710330563274</v>
      </c>
      <c r="AA23" s="2">
        <f t="shared" si="12"/>
        <v>674580.5801654933</v>
      </c>
      <c r="AB23" s="2">
        <f>INDEX('BSFC '!$D$5:$AD$27,MATCH('Duty Cycle '!Y23,'BSFC '!$B$5:$B$27,0),MATCH('Duty Cycle '!K23,'BSFC '!$D$28:$AD$28,0))</f>
        <v>861.08709296580003</v>
      </c>
      <c r="AC23" s="2">
        <f>U23*AB23/3600</f>
        <v>0.15681650250297935</v>
      </c>
      <c r="AD23" s="2">
        <f t="shared" si="13"/>
        <v>15.975929933219113</v>
      </c>
      <c r="AE23" s="2">
        <f t="shared" si="14"/>
        <v>0.48456299273420617</v>
      </c>
      <c r="AF23" s="2">
        <f>0.5*'Vehicle '!$F$38*'Duty Cycle '!L23^2/1000</f>
        <v>37.07207920400117</v>
      </c>
      <c r="AG23" s="2">
        <f t="shared" si="4"/>
        <v>9051.7431122603284</v>
      </c>
    </row>
    <row r="24" spans="1:33" ht="30" customHeight="1" x14ac:dyDescent="0.25">
      <c r="A24" s="44">
        <f>A20*A12</f>
        <v>0.20312570848657716</v>
      </c>
      <c r="B24" s="39">
        <f t="shared" si="5"/>
        <v>21</v>
      </c>
      <c r="C24" s="2" t="s">
        <v>91</v>
      </c>
      <c r="D24" s="2">
        <f>SUM($L$3:L24)</f>
        <v>165.64263518533289</v>
      </c>
      <c r="E24" s="2">
        <f t="shared" si="6"/>
        <v>10.752690382973697</v>
      </c>
      <c r="F24" s="40" t="s">
        <v>90</v>
      </c>
      <c r="G24" s="2">
        <v>18.5</v>
      </c>
      <c r="H24" s="2">
        <f t="shared" si="7"/>
        <v>0.30000000000000071</v>
      </c>
      <c r="I24" s="2">
        <f t="shared" si="8"/>
        <v>1.5981373372420147</v>
      </c>
      <c r="J24" s="2">
        <v>3</v>
      </c>
      <c r="K24" s="2">
        <v>5250</v>
      </c>
      <c r="L24" s="2">
        <f>IF(J24=1,VLOOKUP('Duty Cycle '!K24,'Gearing '!$L$3:$O$28,2),IF(J24=2,VLOOKUP('Duty Cycle '!K24,'Gearing '!$L$2:$O$28,3),IF(J24=3,VLOOKUP('Duty Cycle '!K24,'Gearing '!$L$2:$O$28,4))))</f>
        <v>10.752690382973697</v>
      </c>
      <c r="M24" s="2">
        <f t="shared" si="0"/>
        <v>24.053768386712161</v>
      </c>
      <c r="N24" s="2">
        <f t="shared" si="9"/>
        <v>-0.51203287537969899</v>
      </c>
      <c r="O24" s="2">
        <f>IF(J24=1,'Gearing '!$C$17*'Duty Cycle '!N24,IF(J24=2,'Gearing '!$C$18*'Duty Cycle '!N24,IF(J24=3,'Gearing '!$C$19*'Duty Cycle '!N24)))</f>
        <v>-308.33784926570502</v>
      </c>
      <c r="P24" s="2">
        <f>IF(F24='Track '!$B$60,'Track '!$F$53,IF(F24='Track '!$B$61,'Track '!$F$54,IF(F24='Track '!$B$62,'Track '!$F$55)))</f>
        <v>0.02</v>
      </c>
      <c r="Q24" s="2">
        <f>P24*'Vehicle '!$F$38*9.81</f>
        <v>114.63966000000001</v>
      </c>
      <c r="R24" s="2">
        <f>0.5*'Vehicle '!$F$51*'Vehicle '!$F$25*'Track '!$F$57*'Duty Cycle '!L24^2</f>
        <v>44.181472383238614</v>
      </c>
      <c r="S24" s="2">
        <f>'Vehicle '!$F$38*9.81*SIN(RADIANS('Duty Cycle '!I24))</f>
        <v>159.86008660103573</v>
      </c>
      <c r="T24" s="2">
        <f t="shared" si="1"/>
        <v>10.343369718569306</v>
      </c>
      <c r="U24" s="2">
        <f t="shared" si="10"/>
        <v>0.11121905210040153</v>
      </c>
      <c r="V24" s="2">
        <f>'Vehicle '!$F$9-'Duty Cycle '!U24</f>
        <v>13.311599739845906</v>
      </c>
      <c r="W24" s="2">
        <f t="shared" si="2"/>
        <v>0.11121905210040153</v>
      </c>
      <c r="X24" s="41">
        <f t="shared" si="11"/>
        <v>0.20229785037455941</v>
      </c>
      <c r="Y24" s="41">
        <f t="shared" si="3"/>
        <v>1</v>
      </c>
      <c r="Z24" s="2">
        <f>T24*D24</f>
        <v>1713.3030168799949</v>
      </c>
      <c r="AA24" s="2">
        <f t="shared" si="12"/>
        <v>676293.88318237325</v>
      </c>
      <c r="AB24" s="2">
        <f>INDEX('BSFC '!$D$5:$AD$27,MATCH('Duty Cycle '!Y24,'BSFC '!$B$5:$B$27,0),MATCH('Duty Cycle '!K24,'BSFC '!$D$28:$AD$28,0))</f>
        <v>958.56085456579979</v>
      </c>
      <c r="AC24" s="2">
        <f>U24*AB24/3600</f>
        <v>2.961395267371086E-2</v>
      </c>
      <c r="AD24" s="2">
        <f t="shared" si="13"/>
        <v>16.005543885892823</v>
      </c>
      <c r="AE24" s="2">
        <f t="shared" si="14"/>
        <v>9.1507113761766554E-2</v>
      </c>
      <c r="AF24" s="2">
        <f>0.5*'Vehicle '!$F$38*'Duty Cycle '!L24^2/1000</f>
        <v>33.77848539042256</v>
      </c>
      <c r="AG24" s="2">
        <f t="shared" si="4"/>
        <v>1747.0815022704173</v>
      </c>
    </row>
    <row r="25" spans="1:33" ht="30" customHeight="1" x14ac:dyDescent="0.25">
      <c r="A25" s="44"/>
      <c r="B25" s="39">
        <f t="shared" si="5"/>
        <v>22</v>
      </c>
      <c r="C25" s="2" t="s">
        <v>91</v>
      </c>
      <c r="D25" s="2">
        <f>SUM($L$3:L25)</f>
        <v>175.45659863011048</v>
      </c>
      <c r="E25" s="2">
        <f t="shared" si="6"/>
        <v>9.8139634447775848</v>
      </c>
      <c r="F25" s="40" t="s">
        <v>90</v>
      </c>
      <c r="G25" s="2">
        <v>18.7</v>
      </c>
      <c r="H25" s="2">
        <f t="shared" si="7"/>
        <v>0.19999999999999929</v>
      </c>
      <c r="I25" s="2">
        <f t="shared" si="8"/>
        <v>1.1674763208114214</v>
      </c>
      <c r="J25" s="2">
        <v>2</v>
      </c>
      <c r="K25" s="2">
        <v>6250</v>
      </c>
      <c r="L25" s="2">
        <f>IF(J25=1,VLOOKUP('Duty Cycle '!K25,'Gearing '!$L$3:$O$28,2),IF(J25=2,VLOOKUP('Duty Cycle '!K25,'Gearing '!$L$2:$O$28,3),IF(J25=3,VLOOKUP('Duty Cycle '!K25,'Gearing '!$L$2:$O$28,4))))</f>
        <v>9.8139634447775812</v>
      </c>
      <c r="M25" s="2">
        <f t="shared" si="0"/>
        <v>21.95383622596745</v>
      </c>
      <c r="N25" s="2">
        <f t="shared" si="9"/>
        <v>-0.93872693819611541</v>
      </c>
      <c r="O25" s="2">
        <f>IF(J25=1,'Gearing '!$C$17*'Duty Cycle '!N25,IF(J25=2,'Gearing '!$C$18*'Duty Cycle '!N25,IF(J25=3,'Gearing '!$C$19*'Duty Cycle '!N25)))</f>
        <v>-567.67948582714757</v>
      </c>
      <c r="P25" s="2">
        <f>IF(F25='Track '!$B$60,'Track '!$F$53,IF(F25='Track '!$B$61,'Track '!$F$54,IF(F25='Track '!$B$62,'Track '!$F$55)))</f>
        <v>0.02</v>
      </c>
      <c r="Q25" s="2">
        <f>P25*'Vehicle '!$F$38*9.81</f>
        <v>114.63966000000001</v>
      </c>
      <c r="R25" s="2">
        <f>0.5*'Vehicle '!$F$51*'Vehicle '!$F$25*'Track '!$F$57*'Duty Cycle '!L25^2</f>
        <v>36.803979104833125</v>
      </c>
      <c r="S25" s="2">
        <f>'Vehicle '!$F$38*9.81*SIN(RADIANS('Duty Cycle '!I25))</f>
        <v>116.78855604902414</v>
      </c>
      <c r="T25" s="2">
        <f t="shared" si="1"/>
        <v>-299.4472906732903</v>
      </c>
      <c r="U25" s="2">
        <f t="shared" si="10"/>
        <v>2.938764764305358</v>
      </c>
      <c r="V25" s="2">
        <f>'Vehicle '!$F$9-'Duty Cycle '!U25</f>
        <v>10.484054027640951</v>
      </c>
      <c r="W25" s="2">
        <f t="shared" si="2"/>
        <v>2.938764764305358</v>
      </c>
      <c r="X25" s="41">
        <f t="shared" si="11"/>
        <v>4.4901018127054702</v>
      </c>
      <c r="Y25" s="41">
        <f t="shared" si="3"/>
        <v>5</v>
      </c>
      <c r="Z25" s="2">
        <f>T25*D25</f>
        <v>-52540.003090537517</v>
      </c>
      <c r="AA25" s="2">
        <f t="shared" si="12"/>
        <v>623753.88009183574</v>
      </c>
      <c r="AB25" s="2">
        <f>INDEX('BSFC '!$D$5:$AD$27,MATCH('Duty Cycle '!Y25,'BSFC '!$B$5:$B$27,0),MATCH('Duty Cycle '!K25,'BSFC '!$D$28:$AD$28,0))</f>
        <v>709.37421528580001</v>
      </c>
      <c r="AC25" s="2">
        <f>U25*AB25/3600</f>
        <v>0.57907887460796459</v>
      </c>
      <c r="AD25" s="2">
        <f t="shared" si="13"/>
        <v>16.584622760500789</v>
      </c>
      <c r="AE25" s="2">
        <f t="shared" si="14"/>
        <v>1.7893537225386105</v>
      </c>
      <c r="AF25" s="2">
        <f>0.5*'Vehicle '!$F$38*'Duty Cycle '!L25^2/1000</f>
        <v>28.138099602440061</v>
      </c>
      <c r="AG25" s="2">
        <f t="shared" si="4"/>
        <v>-52511.864990935079</v>
      </c>
    </row>
    <row r="26" spans="1:33" ht="30" customHeight="1" x14ac:dyDescent="0.25">
      <c r="A26" s="15" t="s">
        <v>155</v>
      </c>
      <c r="B26" s="39">
        <f t="shared" si="5"/>
        <v>23</v>
      </c>
      <c r="C26" s="2" t="s">
        <v>91</v>
      </c>
      <c r="D26" s="2">
        <f>SUM($L$3:L26)</f>
        <v>185.27056207488806</v>
      </c>
      <c r="E26" s="2">
        <f t="shared" si="6"/>
        <v>9.8139634447775848</v>
      </c>
      <c r="F26" s="40" t="s">
        <v>90</v>
      </c>
      <c r="G26" s="2">
        <v>18.2</v>
      </c>
      <c r="H26" s="2">
        <f t="shared" si="7"/>
        <v>-0.5</v>
      </c>
      <c r="I26" s="2">
        <f t="shared" si="8"/>
        <v>-2.9165730575786402</v>
      </c>
      <c r="J26" s="2">
        <v>2</v>
      </c>
      <c r="K26" s="2">
        <v>6250</v>
      </c>
      <c r="L26" s="2">
        <f>IF(J26=1,VLOOKUP('Duty Cycle '!K26,'Gearing '!$L$3:$O$28,2),IF(J26=2,VLOOKUP('Duty Cycle '!K26,'Gearing '!$L$2:$O$28,3),IF(J26=3,VLOOKUP('Duty Cycle '!K26,'Gearing '!$L$2:$O$28,4))))</f>
        <v>9.8139634447775812</v>
      </c>
      <c r="M26" s="2">
        <f t="shared" si="0"/>
        <v>21.95383622596745</v>
      </c>
      <c r="N26" s="2">
        <f t="shared" si="9"/>
        <v>0</v>
      </c>
      <c r="O26" s="2">
        <f>IF(J26=1,'Gearing '!$C$17*'Duty Cycle '!N26,IF(J26=2,'Gearing '!$C$18*'Duty Cycle '!N26,IF(J26=3,'Gearing '!$C$19*'Duty Cycle '!N26)))</f>
        <v>0</v>
      </c>
      <c r="P26" s="2">
        <f>IF(F26='Track '!$B$60,'Track '!$F$53,IF(F26='Track '!$B$61,'Track '!$F$54,IF(F26='Track '!$B$62,'Track '!$F$55)))</f>
        <v>0.02</v>
      </c>
      <c r="Q26" s="2">
        <f>P26*'Vehicle '!$F$38*9.81</f>
        <v>114.63966000000001</v>
      </c>
      <c r="R26" s="2">
        <f>0.5*'Vehicle '!$F$51*'Vehicle '!$F$25*'Track '!$F$57*'Duty Cycle '!L26^2</f>
        <v>36.803979104833125</v>
      </c>
      <c r="S26" s="2">
        <f>'Vehicle '!$F$38*9.81*SIN(RADIANS('Duty Cycle '!I26))</f>
        <v>-291.65373840607481</v>
      </c>
      <c r="T26" s="2">
        <f t="shared" si="1"/>
        <v>-140.21009930124168</v>
      </c>
      <c r="U26" s="2">
        <f t="shared" si="10"/>
        <v>1.3760167891310204</v>
      </c>
      <c r="V26" s="2">
        <f>'Vehicle '!$F$9-'Duty Cycle '!U26</f>
        <v>12.046802002815289</v>
      </c>
      <c r="W26" s="2">
        <f t="shared" si="2"/>
        <v>1.3760167891310204</v>
      </c>
      <c r="X26" s="41">
        <f t="shared" si="11"/>
        <v>2.1023987881693453</v>
      </c>
      <c r="Y26" s="41">
        <f t="shared" si="3"/>
        <v>3</v>
      </c>
      <c r="Z26" s="2">
        <f>T26*D26</f>
        <v>-25976.803906116918</v>
      </c>
      <c r="AA26" s="2">
        <f t="shared" si="12"/>
        <v>597777.07618571888</v>
      </c>
      <c r="AB26" s="2">
        <f>INDEX('BSFC '!$D$5:$AD$27,MATCH('Duty Cycle '!Y26,'BSFC '!$B$5:$B$27,0),MATCH('Duty Cycle '!K26,'BSFC '!$D$28:$AD$28,0))</f>
        <v>858.40422312580006</v>
      </c>
      <c r="AC26" s="2">
        <f>U26*AB26/3600</f>
        <v>0.32810517302279762</v>
      </c>
      <c r="AD26" s="2">
        <f t="shared" si="13"/>
        <v>16.912727933523588</v>
      </c>
      <c r="AE26" s="2">
        <f t="shared" si="14"/>
        <v>1.0138449846404447</v>
      </c>
      <c r="AF26" s="2">
        <f>0.5*'Vehicle '!$F$38*'Duty Cycle '!L26^2/1000</f>
        <v>28.138099602440061</v>
      </c>
      <c r="AG26" s="2">
        <f t="shared" si="4"/>
        <v>-25948.665806514477</v>
      </c>
    </row>
    <row r="27" spans="1:33" ht="30" customHeight="1" x14ac:dyDescent="0.25">
      <c r="A27" s="15"/>
      <c r="B27" s="39">
        <f t="shared" si="5"/>
        <v>24</v>
      </c>
      <c r="C27" s="2" t="s">
        <v>92</v>
      </c>
      <c r="D27" s="2">
        <f>SUM($L$3:L27)</f>
        <v>195.47708405745675</v>
      </c>
      <c r="E27" s="2">
        <f t="shared" si="6"/>
        <v>10.206521982568688</v>
      </c>
      <c r="F27" s="40" t="s">
        <v>90</v>
      </c>
      <c r="G27" s="2">
        <v>17.2</v>
      </c>
      <c r="H27" s="2">
        <f t="shared" si="7"/>
        <v>-1</v>
      </c>
      <c r="I27" s="2">
        <f t="shared" si="8"/>
        <v>-5.5957840664978074</v>
      </c>
      <c r="J27" s="2">
        <v>2</v>
      </c>
      <c r="K27" s="2">
        <v>6500</v>
      </c>
      <c r="L27" s="2">
        <f>IF(J27=1,VLOOKUP('Duty Cycle '!K27,'Gearing '!$L$3:$O$28,2),IF(J27=2,VLOOKUP('Duty Cycle '!K27,'Gearing '!$L$2:$O$28,3),IF(J27=3,VLOOKUP('Duty Cycle '!K27,'Gearing '!$L$2:$O$28,4))))</f>
        <v>10.206521982568686</v>
      </c>
      <c r="M27" s="2">
        <f t="shared" si="0"/>
        <v>22.831989675006152</v>
      </c>
      <c r="N27" s="2">
        <f t="shared" si="9"/>
        <v>0.39255853779110517</v>
      </c>
      <c r="O27" s="2">
        <f>IF(J27=1,'Gearing '!$C$17*'Duty Cycle '!N27,IF(J27=2,'Gearing '!$C$18*'Duty Cycle '!N27,IF(J27=3,'Gearing '!$C$19*'Duty Cycle '!N27)))</f>
        <v>237.3932395277177</v>
      </c>
      <c r="P27" s="2">
        <f>IF(F27='Track '!$B$60,'Track '!$F$53,IF(F27='Track '!$B$61,'Track '!$F$54,IF(F27='Track '!$B$62,'Track '!$F$55)))</f>
        <v>0.02</v>
      </c>
      <c r="Q27" s="2">
        <f>P27*'Vehicle '!$F$38*9.81</f>
        <v>114.63966000000001</v>
      </c>
      <c r="R27" s="2">
        <f>0.5*'Vehicle '!$F$51*'Vehicle '!$F$25*'Track '!$F$57*'Duty Cycle '!L27^2</f>
        <v>39.807183799787531</v>
      </c>
      <c r="S27" s="2">
        <f>'Vehicle '!$F$38*9.81*SIN(RADIANS('Duty Cycle '!I27))</f>
        <v>-558.9237636190087</v>
      </c>
      <c r="T27" s="2">
        <f t="shared" si="1"/>
        <v>-167.08368029150347</v>
      </c>
      <c r="U27" s="2">
        <f t="shared" si="10"/>
        <v>1.7053432558237085</v>
      </c>
      <c r="V27" s="2">
        <f>'Vehicle '!$F$9-'Duty Cycle '!U27</f>
        <v>11.717475536122601</v>
      </c>
      <c r="W27" s="2">
        <f t="shared" si="2"/>
        <v>1.7053432558237085</v>
      </c>
      <c r="X27" s="41">
        <f t="shared" si="11"/>
        <v>2.5053582353794139</v>
      </c>
      <c r="Y27" s="41">
        <f t="shared" si="3"/>
        <v>3</v>
      </c>
      <c r="Z27" s="2">
        <f>T27*D27</f>
        <v>-32661.030616971453</v>
      </c>
      <c r="AA27" s="2">
        <f t="shared" si="12"/>
        <v>565116.04556874745</v>
      </c>
      <c r="AB27" s="2">
        <f>INDEX('BSFC '!$D$5:$AD$27,MATCH('Duty Cycle '!Y27,'BSFC '!$B$5:$B$27,0),MATCH('Duty Cycle '!K27,'BSFC '!$D$28:$AD$28,0))</f>
        <v>846.27984386579999</v>
      </c>
      <c r="AC27" s="2">
        <f>U27*AB27/3600</f>
        <v>0.40088822896557857</v>
      </c>
      <c r="AD27" s="2">
        <f t="shared" si="13"/>
        <v>17.313616162489165</v>
      </c>
      <c r="AE27" s="2">
        <f t="shared" si="14"/>
        <v>1.2387446275036378</v>
      </c>
      <c r="AF27" s="2">
        <f>0.5*'Vehicle '!$F$38*'Duty Cycle '!L27^2/1000</f>
        <v>30.434168529999184</v>
      </c>
      <c r="AG27" s="2">
        <f t="shared" si="4"/>
        <v>-32630.596448441454</v>
      </c>
    </row>
    <row r="28" spans="1:33" ht="30" customHeight="1" x14ac:dyDescent="0.25">
      <c r="A28" s="44">
        <f>A24*A16</f>
        <v>42.63</v>
      </c>
      <c r="B28" s="39">
        <f t="shared" si="5"/>
        <v>25</v>
      </c>
      <c r="C28" s="2" t="s">
        <v>92</v>
      </c>
      <c r="D28" s="2">
        <f>SUM($L$3:L28)</f>
        <v>206.74180731581015</v>
      </c>
      <c r="E28" s="2">
        <f t="shared" si="6"/>
        <v>11.264723258353399</v>
      </c>
      <c r="F28" s="40" t="s">
        <v>90</v>
      </c>
      <c r="G28" s="2">
        <v>16</v>
      </c>
      <c r="H28" s="2">
        <f t="shared" si="7"/>
        <v>-1.1999999999999993</v>
      </c>
      <c r="I28" s="2">
        <f t="shared" si="8"/>
        <v>-6.0806299612652248</v>
      </c>
      <c r="J28" s="2">
        <v>3</v>
      </c>
      <c r="K28" s="2">
        <v>5500</v>
      </c>
      <c r="L28" s="2">
        <f>IF(J28=1,VLOOKUP('Duty Cycle '!K28,'Gearing '!$L$3:$O$28,2),IF(J28=2,VLOOKUP('Duty Cycle '!K28,'Gearing '!$L$2:$O$28,3),IF(J28=3,VLOOKUP('Duty Cycle '!K28,'Gearing '!$L$2:$O$28,4))))</f>
        <v>11.264723258353396</v>
      </c>
      <c r="M28" s="2">
        <f t="shared" si="0"/>
        <v>25.199185928936547</v>
      </c>
      <c r="N28" s="2">
        <f t="shared" si="9"/>
        <v>1.0582012757847092</v>
      </c>
      <c r="O28" s="2">
        <f>IF(J28=1,'Gearing '!$C$17*'Duty Cycle '!N28,IF(J28=2,'Gearing '!$C$18*'Duty Cycle '!N28,IF(J28=3,'Gearing '!$C$19*'Duty Cycle '!N28)))</f>
        <v>637.23155514912253</v>
      </c>
      <c r="P28" s="2">
        <f>IF(F28='Track '!$B$60,'Track '!$F$53,IF(F28='Track '!$B$61,'Track '!$F$54,IF(F28='Track '!$B$62,'Track '!$F$55)))</f>
        <v>0.02</v>
      </c>
      <c r="Q28" s="2">
        <f>P28*'Vehicle '!$F$38*9.81</f>
        <v>114.63966000000001</v>
      </c>
      <c r="R28" s="2">
        <f>0.5*'Vehicle '!$F$51*'Vehicle '!$F$25*'Track '!$F$57*'Duty Cycle '!L28^2</f>
        <v>48.489416402465956</v>
      </c>
      <c r="S28" s="2">
        <f>'Vehicle '!$F$38*9.81*SIN(RADIANS('Duty Cycle '!I28))</f>
        <v>-607.17697071619614</v>
      </c>
      <c r="T28" s="2">
        <f t="shared" si="1"/>
        <v>193.18366083539235</v>
      </c>
      <c r="U28" s="2">
        <f t="shared" si="10"/>
        <v>2.1761604773462984</v>
      </c>
      <c r="V28" s="2">
        <f>'Vehicle '!$F$9-'Duty Cycle '!U28</f>
        <v>11.24665831460001</v>
      </c>
      <c r="W28" s="2">
        <f t="shared" si="2"/>
        <v>2.1761604773462984</v>
      </c>
      <c r="X28" s="41">
        <f t="shared" si="11"/>
        <v>3.7783276028823485</v>
      </c>
      <c r="Y28" s="41">
        <f t="shared" si="3"/>
        <v>4</v>
      </c>
      <c r="Z28" s="2">
        <f>T28*D28</f>
        <v>39939.139184993503</v>
      </c>
      <c r="AA28" s="2">
        <f t="shared" si="12"/>
        <v>605055.1847537409</v>
      </c>
      <c r="AB28" s="2">
        <f>INDEX('BSFC '!$D$5:$AD$27,MATCH('Duty Cycle '!Y28,'BSFC '!$B$5:$B$27,0),MATCH('Duty Cycle '!K28,'BSFC '!$D$28:$AD$28,0))</f>
        <v>710.01071408579992</v>
      </c>
      <c r="AC28" s="2">
        <f>U28*AB28/3600</f>
        <v>0.42919368180165013</v>
      </c>
      <c r="AD28" s="2">
        <f t="shared" si="13"/>
        <v>17.742809844290814</v>
      </c>
      <c r="AE28" s="2">
        <f t="shared" si="14"/>
        <v>1.3262084767670987</v>
      </c>
      <c r="AF28" s="2">
        <f>0.5*'Vehicle '!$F$38*'Duty Cycle '!L28^2/1000</f>
        <v>37.07207920400117</v>
      </c>
      <c r="AG28" s="2">
        <f t="shared" si="4"/>
        <v>39976.211264197504</v>
      </c>
    </row>
    <row r="29" spans="1:33" ht="30" customHeight="1" x14ac:dyDescent="0.25">
      <c r="A29" s="44"/>
      <c r="B29" s="39">
        <f t="shared" si="5"/>
        <v>26</v>
      </c>
      <c r="C29" s="2" t="s">
        <v>92</v>
      </c>
      <c r="D29" s="2">
        <f>SUM($L$3:L29)</f>
        <v>219.03059632492295</v>
      </c>
      <c r="E29" s="2">
        <f t="shared" si="6"/>
        <v>12.288789009112804</v>
      </c>
      <c r="F29" s="40" t="s">
        <v>90</v>
      </c>
      <c r="G29" s="2">
        <v>15</v>
      </c>
      <c r="H29" s="2">
        <f t="shared" si="7"/>
        <v>-1</v>
      </c>
      <c r="I29" s="2">
        <f t="shared" si="8"/>
        <v>-4.6521924040056453</v>
      </c>
      <c r="J29" s="2">
        <v>3</v>
      </c>
      <c r="K29" s="2">
        <v>6000</v>
      </c>
      <c r="L29" s="2">
        <f>IF(J29=1,VLOOKUP('Duty Cycle '!K29,'Gearing '!$L$3:$O$28,2),IF(J29=2,VLOOKUP('Duty Cycle '!K29,'Gearing '!$L$2:$O$28,3),IF(J29=3,VLOOKUP('Duty Cycle '!K29,'Gearing '!$L$2:$O$28,4))))</f>
        <v>12.288789009112795</v>
      </c>
      <c r="M29" s="2">
        <f t="shared" si="0"/>
        <v>27.490021013385324</v>
      </c>
      <c r="N29" s="2">
        <f t="shared" si="9"/>
        <v>1.0240657507593998</v>
      </c>
      <c r="O29" s="2">
        <f>IF(J29=1,'Gearing '!$C$17*'Duty Cycle '!N29,IF(J29=2,'Gearing '!$C$18*'Duty Cycle '!N29,IF(J29=3,'Gearing '!$C$19*'Duty Cycle '!N29)))</f>
        <v>616.67569853141106</v>
      </c>
      <c r="P29" s="2">
        <f>IF(F29='Track '!$B$60,'Track '!$F$53,IF(F29='Track '!$B$61,'Track '!$F$54,IF(F29='Track '!$B$62,'Track '!$F$55)))</f>
        <v>0.02</v>
      </c>
      <c r="Q29" s="2">
        <f>P29*'Vehicle '!$F$38*9.81</f>
        <v>114.63966000000001</v>
      </c>
      <c r="R29" s="2">
        <f>0.5*'Vehicle '!$F$51*'Vehicle '!$F$25*'Track '!$F$57*'Duty Cycle '!L29^2</f>
        <v>57.70641290871982</v>
      </c>
      <c r="S29" s="2">
        <f>'Vehicle '!$F$38*9.81*SIN(RADIANS('Duty Cycle '!I29))</f>
        <v>-464.90329178951254</v>
      </c>
      <c r="T29" s="2">
        <f t="shared" si="1"/>
        <v>324.11847965061838</v>
      </c>
      <c r="U29" s="2">
        <f t="shared" si="10"/>
        <v>3.9830236103808683</v>
      </c>
      <c r="V29" s="2">
        <f>'Vehicle '!$F$9-'Duty Cycle '!U29</f>
        <v>9.4397951815654402</v>
      </c>
      <c r="W29" s="2">
        <f t="shared" si="2"/>
        <v>3.9830236103808683</v>
      </c>
      <c r="X29" s="41">
        <f t="shared" si="11"/>
        <v>6.3391789604384261</v>
      </c>
      <c r="Y29" s="41">
        <f t="shared" si="3"/>
        <v>7</v>
      </c>
      <c r="Z29" s="2">
        <f>T29*D29</f>
        <v>70991.863877802345</v>
      </c>
      <c r="AA29" s="2">
        <f t="shared" si="12"/>
        <v>676047.04863154329</v>
      </c>
      <c r="AB29" s="2">
        <f>INDEX('BSFC '!$D$5:$AD$27,MATCH('Duty Cycle '!Y29,'BSFC '!$B$5:$B$27,0),MATCH('Duty Cycle '!K29,'BSFC '!$D$28:$AD$28,0))</f>
        <v>584.57471024580013</v>
      </c>
      <c r="AC29" s="2">
        <f>U29*AB29/3600</f>
        <v>0.64677079803904913</v>
      </c>
      <c r="AD29" s="2">
        <f t="shared" si="13"/>
        <v>18.389580642329864</v>
      </c>
      <c r="AE29" s="2">
        <f t="shared" si="14"/>
        <v>1.9985217659406618</v>
      </c>
      <c r="AF29" s="2">
        <f>0.5*'Vehicle '!$F$38*'Duty Cycle '!L29^2/1000</f>
        <v>44.118838060960073</v>
      </c>
      <c r="AG29" s="2">
        <f t="shared" si="4"/>
        <v>71035.982715863298</v>
      </c>
    </row>
    <row r="30" spans="1:33" ht="30" customHeight="1" x14ac:dyDescent="0.25">
      <c r="A30" s="15" t="s">
        <v>165</v>
      </c>
      <c r="B30" s="39">
        <f t="shared" si="5"/>
        <v>27</v>
      </c>
      <c r="C30" s="2" t="s">
        <v>92</v>
      </c>
      <c r="D30" s="2">
        <f>SUM($L$3:L30)</f>
        <v>232.34345108479516</v>
      </c>
      <c r="E30" s="2">
        <f t="shared" si="6"/>
        <v>13.312854759872209</v>
      </c>
      <c r="F30" s="40" t="s">
        <v>90</v>
      </c>
      <c r="G30" s="2">
        <v>14.2</v>
      </c>
      <c r="H30" s="2">
        <f t="shared" si="7"/>
        <v>-0.80000000000000071</v>
      </c>
      <c r="I30" s="2">
        <f t="shared" si="8"/>
        <v>-3.4388994976108922</v>
      </c>
      <c r="J30" s="2">
        <v>3</v>
      </c>
      <c r="K30" s="2">
        <v>6500</v>
      </c>
      <c r="L30" s="2">
        <f>IF(J30=1,VLOOKUP('Duty Cycle '!K30,'Gearing '!$L$3:$O$28,2),IF(J30=2,VLOOKUP('Duty Cycle '!K30,'Gearing '!$L$2:$O$28,3),IF(J30=3,VLOOKUP('Duty Cycle '!K30,'Gearing '!$L$2:$O$28,4))))</f>
        <v>13.312854759872195</v>
      </c>
      <c r="M30" s="2">
        <f t="shared" si="0"/>
        <v>29.780856097834103</v>
      </c>
      <c r="N30" s="2">
        <f t="shared" si="9"/>
        <v>1.0240657507593998</v>
      </c>
      <c r="O30" s="2">
        <f>IF(J30=1,'Gearing '!$C$17*'Duty Cycle '!N30,IF(J30=2,'Gearing '!$C$18*'Duty Cycle '!N30,IF(J30=3,'Gearing '!$C$19*'Duty Cycle '!N30)))</f>
        <v>616.67569853141106</v>
      </c>
      <c r="P30" s="2">
        <f>IF(F30='Track '!$B$60,'Track '!$F$53,IF(F30='Track '!$B$61,'Track '!$F$54,IF(F30='Track '!$B$62,'Track '!$F$55)))</f>
        <v>0.02</v>
      </c>
      <c r="Q30" s="2">
        <f>P30*'Vehicle '!$F$38*9.81</f>
        <v>114.63966000000001</v>
      </c>
      <c r="R30" s="2">
        <f>0.5*'Vehicle '!$F$51*'Vehicle '!$F$25*'Track '!$F$57*'Duty Cycle '!L30^2</f>
        <v>67.724887372039234</v>
      </c>
      <c r="S30" s="2">
        <f>'Vehicle '!$F$38*9.81*SIN(RADIANS('Duty Cycle '!I30))</f>
        <v>-343.82777923631488</v>
      </c>
      <c r="T30" s="2">
        <f t="shared" si="1"/>
        <v>455.2124666671354</v>
      </c>
      <c r="U30" s="2">
        <f t="shared" si="10"/>
        <v>6.0601774536227371</v>
      </c>
      <c r="V30" s="2">
        <f>'Vehicle '!$F$9-'Duty Cycle '!U30</f>
        <v>7.3626413383235718</v>
      </c>
      <c r="W30" s="2">
        <f t="shared" si="2"/>
        <v>6.0601774536227371</v>
      </c>
      <c r="X30" s="41">
        <f t="shared" si="11"/>
        <v>8.9031433639210515</v>
      </c>
      <c r="Y30" s="41">
        <f t="shared" si="3"/>
        <v>9</v>
      </c>
      <c r="Z30" s="2">
        <f>T30*D30</f>
        <v>105765.63548226452</v>
      </c>
      <c r="AA30" s="2">
        <f t="shared" si="12"/>
        <v>781812.68411380786</v>
      </c>
      <c r="AB30" s="2">
        <f>INDEX('BSFC '!$D$5:$AD$27,MATCH('Duty Cycle '!Y30,'BSFC '!$B$5:$B$27,0),MATCH('Duty Cycle '!K30,'BSFC '!$D$28:$AD$28,0))</f>
        <v>553.55209904579965</v>
      </c>
      <c r="AC30" s="2">
        <f>U30*AB30/3600</f>
        <v>0.93183998612302643</v>
      </c>
      <c r="AD30" s="2">
        <f t="shared" si="13"/>
        <v>19.321420628452891</v>
      </c>
      <c r="AE30" s="2">
        <f t="shared" si="14"/>
        <v>2.8793855571201514</v>
      </c>
      <c r="AF30" s="2">
        <f>0.5*'Vehicle '!$F$38*'Duty Cycle '!L30^2/1000</f>
        <v>51.778358557654528</v>
      </c>
      <c r="AG30" s="2">
        <f t="shared" si="4"/>
        <v>105817.41384082218</v>
      </c>
    </row>
    <row r="31" spans="1:33" ht="30" customHeight="1" x14ac:dyDescent="0.25">
      <c r="A31" s="15"/>
      <c r="B31" s="39">
        <f t="shared" si="5"/>
        <v>28</v>
      </c>
      <c r="C31" s="2" t="s">
        <v>92</v>
      </c>
      <c r="D31" s="2">
        <f>SUM($L$3:L31)</f>
        <v>245.65630584466737</v>
      </c>
      <c r="E31" s="2">
        <f t="shared" si="6"/>
        <v>13.312854759872209</v>
      </c>
      <c r="F31" s="40" t="s">
        <v>90</v>
      </c>
      <c r="G31" s="2">
        <v>14</v>
      </c>
      <c r="H31" s="2">
        <f t="shared" si="7"/>
        <v>-0.19999999999999929</v>
      </c>
      <c r="I31" s="2">
        <f t="shared" si="8"/>
        <v>-0.86069397910671375</v>
      </c>
      <c r="J31" s="2">
        <v>3</v>
      </c>
      <c r="K31" s="2">
        <v>6500</v>
      </c>
      <c r="L31" s="2">
        <f>IF(J31=1,VLOOKUP('Duty Cycle '!K31,'Gearing '!$L$3:$O$28,2),IF(J31=2,VLOOKUP('Duty Cycle '!K31,'Gearing '!$L$2:$O$28,3),IF(J31=3,VLOOKUP('Duty Cycle '!K31,'Gearing '!$L$2:$O$28,4))))</f>
        <v>13.312854759872195</v>
      </c>
      <c r="M31" s="2">
        <f t="shared" si="0"/>
        <v>29.780856097834103</v>
      </c>
      <c r="N31" s="2">
        <f t="shared" si="9"/>
        <v>0</v>
      </c>
      <c r="O31" s="2">
        <f>IF(J31=1,'Gearing '!$C$17*'Duty Cycle '!N31,IF(J31=2,'Gearing '!$C$18*'Duty Cycle '!N31,IF(J31=3,'Gearing '!$C$19*'Duty Cycle '!N31)))</f>
        <v>0</v>
      </c>
      <c r="P31" s="2">
        <f>IF(F31='Track '!$B$60,'Track '!$F$53,IF(F31='Track '!$B$61,'Track '!$F$54,IF(F31='Track '!$B$62,'Track '!$F$55)))</f>
        <v>0.02</v>
      </c>
      <c r="Q31" s="2">
        <f>P31*'Vehicle '!$F$38*9.81</f>
        <v>114.63966000000001</v>
      </c>
      <c r="R31" s="2">
        <f>0.5*'Vehicle '!$F$51*'Vehicle '!$F$25*'Track '!$F$57*'Duty Cycle '!L31^2</f>
        <v>67.724887372039234</v>
      </c>
      <c r="S31" s="2">
        <f>'Vehicle '!$F$38*9.81*SIN(RADIANS('Duty Cycle '!I31))</f>
        <v>-86.102288041906021</v>
      </c>
      <c r="T31" s="2">
        <f t="shared" si="1"/>
        <v>96.262259330133205</v>
      </c>
      <c r="U31" s="2">
        <f t="shared" si="10"/>
        <v>1.2815254773192155</v>
      </c>
      <c r="V31" s="2">
        <f>'Vehicle '!$F$9-'Duty Cycle '!U31</f>
        <v>12.141293314627093</v>
      </c>
      <c r="W31" s="2">
        <f t="shared" si="2"/>
        <v>1.2815254773192155</v>
      </c>
      <c r="X31" s="41">
        <f t="shared" si="11"/>
        <v>1.8827179792020345</v>
      </c>
      <c r="Y31" s="41">
        <f t="shared" si="3"/>
        <v>2</v>
      </c>
      <c r="Z31" s="2">
        <f>T31*D31</f>
        <v>23647.431019301886</v>
      </c>
      <c r="AA31" s="2">
        <f t="shared" si="12"/>
        <v>805460.11513310974</v>
      </c>
      <c r="AB31" s="2">
        <f>INDEX('BSFC '!$D$5:$AD$27,MATCH('Duty Cycle '!Y31,'BSFC '!$B$5:$B$27,0),MATCH('Duty Cycle '!K31,'BSFC '!$D$28:$AD$28,0))</f>
        <v>893.29667204579994</v>
      </c>
      <c r="AC31" s="2">
        <f>U31*AB31/3600</f>
        <v>0.31799512334198904</v>
      </c>
      <c r="AD31" s="2">
        <f t="shared" si="13"/>
        <v>19.639415751794882</v>
      </c>
      <c r="AE31" s="2">
        <f t="shared" si="14"/>
        <v>0.98260493112674607</v>
      </c>
      <c r="AF31" s="2">
        <f>0.5*'Vehicle '!$F$38*'Duty Cycle '!L31^2/1000</f>
        <v>51.778358557654528</v>
      </c>
      <c r="AG31" s="2">
        <f t="shared" si="4"/>
        <v>23699.209377859541</v>
      </c>
    </row>
    <row r="32" spans="1:33" ht="30" customHeight="1" x14ac:dyDescent="0.25">
      <c r="A32" s="45">
        <v>18</v>
      </c>
      <c r="B32" s="39">
        <f t="shared" si="5"/>
        <v>29</v>
      </c>
      <c r="C32" s="2" t="s">
        <v>93</v>
      </c>
      <c r="D32" s="2">
        <f>SUM($L$3:L32)</f>
        <v>258.96916060453958</v>
      </c>
      <c r="E32" s="2">
        <f t="shared" si="6"/>
        <v>13.312854759872209</v>
      </c>
      <c r="F32" s="40" t="s">
        <v>90</v>
      </c>
      <c r="G32" s="2">
        <v>14</v>
      </c>
      <c r="H32" s="2">
        <f t="shared" si="7"/>
        <v>0</v>
      </c>
      <c r="I32" s="2">
        <f t="shared" si="8"/>
        <v>0</v>
      </c>
      <c r="J32" s="2">
        <v>3</v>
      </c>
      <c r="K32" s="2">
        <v>6500</v>
      </c>
      <c r="L32" s="2">
        <f>IF(J32=1,VLOOKUP('Duty Cycle '!K32,'Gearing '!$L$3:$O$28,2),IF(J32=2,VLOOKUP('Duty Cycle '!K32,'Gearing '!$L$2:$O$28,3),IF(J32=3,VLOOKUP('Duty Cycle '!K32,'Gearing '!$L$2:$O$28,4))))</f>
        <v>13.312854759872195</v>
      </c>
      <c r="M32" s="2">
        <f t="shared" si="0"/>
        <v>29.780856097834103</v>
      </c>
      <c r="N32" s="2">
        <f t="shared" si="9"/>
        <v>0</v>
      </c>
      <c r="O32" s="2">
        <f>IF(J32=1,'Gearing '!$C$17*'Duty Cycle '!N32,IF(J32=2,'Gearing '!$C$18*'Duty Cycle '!N32,IF(J32=3,'Gearing '!$C$19*'Duty Cycle '!N32)))</f>
        <v>0</v>
      </c>
      <c r="P32" s="2">
        <f>IF(F32='Track '!$B$60,'Track '!$F$53,IF(F32='Track '!$B$61,'Track '!$F$54,IF(F32='Track '!$B$62,'Track '!$F$55)))</f>
        <v>0.02</v>
      </c>
      <c r="Q32" s="2">
        <f>P32*'Vehicle '!$F$38*9.81</f>
        <v>114.63966000000001</v>
      </c>
      <c r="R32" s="2">
        <f>0.5*'Vehicle '!$F$51*'Vehicle '!$F$25*'Track '!$F$57*'Duty Cycle '!L32^2</f>
        <v>67.724887372039234</v>
      </c>
      <c r="S32" s="2">
        <f>'Vehicle '!$F$38*9.81*SIN(RADIANS('Duty Cycle '!I32))</f>
        <v>0</v>
      </c>
      <c r="T32" s="2">
        <f t="shared" si="1"/>
        <v>182.36454737203923</v>
      </c>
      <c r="U32" s="2">
        <f t="shared" si="10"/>
        <v>2.4277927325137907</v>
      </c>
      <c r="V32" s="2">
        <f>'Vehicle '!$F$9-'Duty Cycle '!U32</f>
        <v>10.995026059432519</v>
      </c>
      <c r="W32" s="2">
        <f t="shared" si="2"/>
        <v>2.4277927325137907</v>
      </c>
      <c r="X32" s="41">
        <f t="shared" si="11"/>
        <v>3.5667250539890718</v>
      </c>
      <c r="Y32" s="41">
        <f t="shared" si="3"/>
        <v>4</v>
      </c>
      <c r="Z32" s="2">
        <f>T32*D32</f>
        <v>47226.793756963794</v>
      </c>
      <c r="AA32" s="2">
        <f t="shared" si="12"/>
        <v>852686.90889007354</v>
      </c>
      <c r="AB32" s="2">
        <f>INDEX('BSFC '!$D$5:$AD$27,MATCH('Duty Cycle '!Y32,'BSFC '!$B$5:$B$27,0),MATCH('Duty Cycle '!K32,'BSFC '!$D$28:$AD$28,0))</f>
        <v>799.26301568579993</v>
      </c>
      <c r="AC32" s="2">
        <f>U32*AB32/3600</f>
        <v>0.53901248356917808</v>
      </c>
      <c r="AD32" s="2">
        <f t="shared" si="13"/>
        <v>20.178428235364059</v>
      </c>
      <c r="AE32" s="2">
        <f t="shared" si="14"/>
        <v>1.6655485742287601</v>
      </c>
      <c r="AF32" s="2">
        <f>0.5*'Vehicle '!$F$38*'Duty Cycle '!L32^2/1000</f>
        <v>51.778358557654528</v>
      </c>
      <c r="AG32" s="2">
        <f t="shared" si="4"/>
        <v>47278.572115521449</v>
      </c>
    </row>
    <row r="33" spans="1:33" ht="30" customHeight="1" x14ac:dyDescent="0.25">
      <c r="A33" s="45"/>
      <c r="B33" s="39">
        <f t="shared" si="5"/>
        <v>30</v>
      </c>
      <c r="C33" s="2" t="s">
        <v>93</v>
      </c>
      <c r="D33" s="2">
        <f>SUM($L$3:L33)</f>
        <v>272.28201536441179</v>
      </c>
      <c r="E33" s="2">
        <f t="shared" si="6"/>
        <v>13.312854759872209</v>
      </c>
      <c r="F33" s="40" t="s">
        <v>90</v>
      </c>
      <c r="G33" s="2">
        <v>14</v>
      </c>
      <c r="H33" s="2">
        <f t="shared" si="7"/>
        <v>0</v>
      </c>
      <c r="I33" s="2">
        <f t="shared" si="8"/>
        <v>0</v>
      </c>
      <c r="J33" s="2">
        <v>3</v>
      </c>
      <c r="K33" s="2">
        <v>6500</v>
      </c>
      <c r="L33" s="2">
        <f>IF(J33=1,VLOOKUP('Duty Cycle '!K33,'Gearing '!$L$3:$O$28,2),IF(J33=2,VLOOKUP('Duty Cycle '!K33,'Gearing '!$L$2:$O$28,3),IF(J33=3,VLOOKUP('Duty Cycle '!K33,'Gearing '!$L$2:$O$28,4))))</f>
        <v>13.312854759872195</v>
      </c>
      <c r="M33" s="2">
        <f t="shared" si="0"/>
        <v>29.780856097834103</v>
      </c>
      <c r="N33" s="2">
        <f t="shared" si="9"/>
        <v>0</v>
      </c>
      <c r="O33" s="2">
        <f>IF(J33=1,'Gearing '!$C$17*'Duty Cycle '!N33,IF(J33=2,'Gearing '!$C$18*'Duty Cycle '!N33,IF(J33=3,'Gearing '!$C$19*'Duty Cycle '!N33)))</f>
        <v>0</v>
      </c>
      <c r="P33" s="2">
        <f>IF(F33='Track '!$B$60,'Track '!$F$53,IF(F33='Track '!$B$61,'Track '!$F$54,IF(F33='Track '!$B$62,'Track '!$F$55)))</f>
        <v>0.02</v>
      </c>
      <c r="Q33" s="2">
        <f>P33*'Vehicle '!$F$38*9.81</f>
        <v>114.63966000000001</v>
      </c>
      <c r="R33" s="2">
        <f>0.5*'Vehicle '!$F$51*'Vehicle '!$F$25*'Track '!$F$57*'Duty Cycle '!L33^2</f>
        <v>67.724887372039234</v>
      </c>
      <c r="S33" s="2">
        <f>'Vehicle '!$F$38*9.81*SIN(RADIANS('Duty Cycle '!I33))</f>
        <v>0</v>
      </c>
      <c r="T33" s="2">
        <f t="shared" si="1"/>
        <v>182.36454737203923</v>
      </c>
      <c r="U33" s="2">
        <f t="shared" si="10"/>
        <v>2.4277927325137907</v>
      </c>
      <c r="V33" s="2">
        <f>'Vehicle '!$F$9-'Duty Cycle '!U33</f>
        <v>10.995026059432519</v>
      </c>
      <c r="W33" s="2">
        <f t="shared" si="2"/>
        <v>2.4277927325137907</v>
      </c>
      <c r="X33" s="41">
        <f t="shared" si="11"/>
        <v>3.5667250539890718</v>
      </c>
      <c r="Y33" s="41">
        <f t="shared" si="3"/>
        <v>4</v>
      </c>
      <c r="Z33" s="2">
        <f>T33*D33</f>
        <v>49654.586489477588</v>
      </c>
      <c r="AA33" s="2">
        <f t="shared" si="12"/>
        <v>902341.49537955108</v>
      </c>
      <c r="AB33" s="2">
        <f>INDEX('BSFC '!$D$5:$AD$27,MATCH('Duty Cycle '!Y33,'BSFC '!$B$5:$B$27,0),MATCH('Duty Cycle '!K33,'BSFC '!$D$28:$AD$28,0))</f>
        <v>799.26301568579993</v>
      </c>
      <c r="AC33" s="2">
        <f>U33*AB33/3600</f>
        <v>0.53901248356917808</v>
      </c>
      <c r="AD33" s="2">
        <f t="shared" si="13"/>
        <v>20.717440718933236</v>
      </c>
      <c r="AE33" s="2">
        <f t="shared" si="14"/>
        <v>1.6655485742287601</v>
      </c>
      <c r="AF33" s="2">
        <f>0.5*'Vehicle '!$F$38*'Duty Cycle '!L33^2/1000</f>
        <v>51.778358557654528</v>
      </c>
      <c r="AG33" s="2">
        <f t="shared" si="4"/>
        <v>49706.364848035242</v>
      </c>
    </row>
    <row r="34" spans="1:33" ht="30" customHeight="1" x14ac:dyDescent="0.25">
      <c r="A34" s="15" t="s">
        <v>166</v>
      </c>
      <c r="B34" s="39">
        <f t="shared" si="5"/>
        <v>31</v>
      </c>
      <c r="C34" s="2" t="s">
        <v>93</v>
      </c>
      <c r="D34" s="2">
        <f>SUM($L$3:L34)</f>
        <v>285.594870124284</v>
      </c>
      <c r="E34" s="2">
        <f t="shared" si="6"/>
        <v>13.312854759872209</v>
      </c>
      <c r="F34" s="40" t="s">
        <v>90</v>
      </c>
      <c r="G34" s="2">
        <v>13.8</v>
      </c>
      <c r="H34" s="2">
        <f t="shared" si="7"/>
        <v>-0.19999999999999929</v>
      </c>
      <c r="I34" s="2">
        <f t="shared" si="8"/>
        <v>-0.86069397910671375</v>
      </c>
      <c r="J34" s="2">
        <v>3</v>
      </c>
      <c r="K34" s="2">
        <v>6500</v>
      </c>
      <c r="L34" s="2">
        <f>IF(J34=1,VLOOKUP('Duty Cycle '!K34,'Gearing '!$L$3:$O$28,2),IF(J34=2,VLOOKUP('Duty Cycle '!K34,'Gearing '!$L$2:$O$28,3),IF(J34=3,VLOOKUP('Duty Cycle '!K34,'Gearing '!$L$2:$O$28,4))))</f>
        <v>13.312854759872195</v>
      </c>
      <c r="M34" s="2">
        <f t="shared" si="0"/>
        <v>29.780856097834103</v>
      </c>
      <c r="N34" s="2">
        <f t="shared" si="9"/>
        <v>0</v>
      </c>
      <c r="O34" s="2">
        <f>IF(J34=1,'Gearing '!$C$17*'Duty Cycle '!N34,IF(J34=2,'Gearing '!$C$18*'Duty Cycle '!N34,IF(J34=3,'Gearing '!$C$19*'Duty Cycle '!N34)))</f>
        <v>0</v>
      </c>
      <c r="P34" s="2">
        <f>IF(F34='Track '!$B$60,'Track '!$F$53,IF(F34='Track '!$B$61,'Track '!$F$54,IF(F34='Track '!$B$62,'Track '!$F$55)))</f>
        <v>0.02</v>
      </c>
      <c r="Q34" s="2">
        <f>P34*'Vehicle '!$F$38*9.81</f>
        <v>114.63966000000001</v>
      </c>
      <c r="R34" s="2">
        <f>0.5*'Vehicle '!$F$51*'Vehicle '!$F$25*'Track '!$F$57*'Duty Cycle '!L34^2</f>
        <v>67.724887372039234</v>
      </c>
      <c r="S34" s="2">
        <f>'Vehicle '!$F$38*9.81*SIN(RADIANS('Duty Cycle '!I34))</f>
        <v>-86.102288041906021</v>
      </c>
      <c r="T34" s="2">
        <f t="shared" si="1"/>
        <v>96.262259330133205</v>
      </c>
      <c r="U34" s="2">
        <f t="shared" si="10"/>
        <v>1.2815254773192155</v>
      </c>
      <c r="V34" s="2">
        <f>'Vehicle '!$F$9-'Duty Cycle '!U34</f>
        <v>12.141293314627093</v>
      </c>
      <c r="W34" s="2">
        <f t="shared" si="2"/>
        <v>1.2815254773192155</v>
      </c>
      <c r="X34" s="41">
        <f t="shared" si="11"/>
        <v>1.8827179792020345</v>
      </c>
      <c r="Y34" s="41">
        <f t="shared" si="3"/>
        <v>2</v>
      </c>
      <c r="Z34" s="2">
        <f>T34*D34</f>
        <v>27492.007451259538</v>
      </c>
      <c r="AA34" s="2">
        <f t="shared" si="12"/>
        <v>929833.50283081061</v>
      </c>
      <c r="AB34" s="2">
        <f>INDEX('BSFC '!$D$5:$AD$27,MATCH('Duty Cycle '!Y34,'BSFC '!$B$5:$B$27,0),MATCH('Duty Cycle '!K34,'BSFC '!$D$28:$AD$28,0))</f>
        <v>893.29667204579994</v>
      </c>
      <c r="AC34" s="2">
        <f>U34*AB34/3600</f>
        <v>0.31799512334198904</v>
      </c>
      <c r="AD34" s="2">
        <f t="shared" si="13"/>
        <v>21.035435842275227</v>
      </c>
      <c r="AE34" s="2">
        <f t="shared" si="14"/>
        <v>0.98260493112674607</v>
      </c>
      <c r="AF34" s="2">
        <f>0.5*'Vehicle '!$F$38*'Duty Cycle '!L34^2/1000</f>
        <v>51.778358557654528</v>
      </c>
      <c r="AG34" s="2">
        <f t="shared" si="4"/>
        <v>27543.785809817193</v>
      </c>
    </row>
    <row r="35" spans="1:33" ht="30" customHeight="1" x14ac:dyDescent="0.25">
      <c r="A35" s="15"/>
      <c r="B35" s="39">
        <f t="shared" si="5"/>
        <v>32</v>
      </c>
      <c r="C35" s="2" t="s">
        <v>93</v>
      </c>
      <c r="D35" s="2">
        <f>SUM($L$3:L35)</f>
        <v>298.90772488415621</v>
      </c>
      <c r="E35" s="2">
        <f t="shared" si="6"/>
        <v>13.312854759872209</v>
      </c>
      <c r="F35" s="40" t="s">
        <v>90</v>
      </c>
      <c r="G35" s="2">
        <v>13.2</v>
      </c>
      <c r="H35" s="2">
        <f t="shared" si="7"/>
        <v>-0.60000000000000142</v>
      </c>
      <c r="I35" s="2">
        <f t="shared" si="8"/>
        <v>-2.5805299027670867</v>
      </c>
      <c r="J35" s="2">
        <v>3</v>
      </c>
      <c r="K35" s="2">
        <v>6500</v>
      </c>
      <c r="L35" s="2">
        <f>IF(J35=1,VLOOKUP('Duty Cycle '!K35,'Gearing '!$L$3:$O$28,2),IF(J35=2,VLOOKUP('Duty Cycle '!K35,'Gearing '!$L$2:$O$28,3),IF(J35=3,VLOOKUP('Duty Cycle '!K35,'Gearing '!$L$2:$O$28,4))))</f>
        <v>13.312854759872195</v>
      </c>
      <c r="M35" s="2">
        <f t="shared" si="0"/>
        <v>29.780856097834103</v>
      </c>
      <c r="N35" s="2">
        <f t="shared" si="9"/>
        <v>0</v>
      </c>
      <c r="O35" s="2">
        <f>IF(J35=1,'Gearing '!$C$17*'Duty Cycle '!N35,IF(J35=2,'Gearing '!$C$18*'Duty Cycle '!N35,IF(J35=3,'Gearing '!$C$19*'Duty Cycle '!N35)))</f>
        <v>0</v>
      </c>
      <c r="P35" s="2">
        <f>IF(F35='Track '!$B$60,'Track '!$F$53,IF(F35='Track '!$B$61,'Track '!$F$54,IF(F35='Track '!$B$62,'Track '!$F$55)))</f>
        <v>0.02</v>
      </c>
      <c r="Q35" s="2">
        <f>P35*'Vehicle '!$F$38*9.81</f>
        <v>114.63966000000001</v>
      </c>
      <c r="R35" s="2">
        <f>0.5*'Vehicle '!$F$51*'Vehicle '!$F$25*'Track '!$F$57*'Duty Cycle '!L35^2</f>
        <v>67.724887372039234</v>
      </c>
      <c r="S35" s="2">
        <f>'Vehicle '!$F$38*9.81*SIN(RADIANS('Duty Cycle '!I35))</f>
        <v>-258.07403996203914</v>
      </c>
      <c r="T35" s="2">
        <f t="shared" si="1"/>
        <v>-75.709492589999911</v>
      </c>
      <c r="U35" s="2">
        <f t="shared" si="10"/>
        <v>1.007909478794289</v>
      </c>
      <c r="V35" s="2">
        <f>'Vehicle '!$F$9-'Duty Cycle '!U35</f>
        <v>12.41490931315202</v>
      </c>
      <c r="W35" s="2">
        <f t="shared" si="2"/>
        <v>1.007909478794289</v>
      </c>
      <c r="X35" s="41">
        <f t="shared" si="11"/>
        <v>1.4807425452857257</v>
      </c>
      <c r="Y35" s="41">
        <f t="shared" si="3"/>
        <v>2</v>
      </c>
      <c r="Z35" s="2">
        <f>T35*D35</f>
        <v>-22630.152182210757</v>
      </c>
      <c r="AA35" s="2">
        <f t="shared" si="12"/>
        <v>907203.35064859991</v>
      </c>
      <c r="AB35" s="2">
        <f>INDEX('BSFC '!$D$5:$AD$27,MATCH('Duty Cycle '!Y35,'BSFC '!$B$5:$B$27,0),MATCH('Duty Cycle '!K35,'BSFC '!$D$28:$AD$28,0))</f>
        <v>893.29667204579994</v>
      </c>
      <c r="AC35" s="2">
        <f>U35*AB35/3600</f>
        <v>0.25010060642509868</v>
      </c>
      <c r="AD35" s="2">
        <f t="shared" si="13"/>
        <v>21.285536448700327</v>
      </c>
      <c r="AE35" s="2">
        <f t="shared" si="14"/>
        <v>0.77281087385355485</v>
      </c>
      <c r="AF35" s="2">
        <f>0.5*'Vehicle '!$F$38*'Duty Cycle '!L35^2/1000</f>
        <v>51.778358557654528</v>
      </c>
      <c r="AG35" s="2">
        <f t="shared" si="4"/>
        <v>-22578.373823653103</v>
      </c>
    </row>
    <row r="36" spans="1:33" ht="30" customHeight="1" x14ac:dyDescent="0.25">
      <c r="A36" s="45">
        <v>12</v>
      </c>
      <c r="B36" s="39">
        <f t="shared" si="5"/>
        <v>33</v>
      </c>
      <c r="C36" s="2" t="s">
        <v>93</v>
      </c>
      <c r="D36" s="2">
        <f>SUM($L$3:L36)</f>
        <v>312.22057964402842</v>
      </c>
      <c r="E36" s="2">
        <f t="shared" si="6"/>
        <v>13.312854759872209</v>
      </c>
      <c r="F36" s="40" t="s">
        <v>90</v>
      </c>
      <c r="G36" s="2">
        <v>12</v>
      </c>
      <c r="H36" s="2">
        <f t="shared" si="7"/>
        <v>-1.1999999999999993</v>
      </c>
      <c r="I36" s="2">
        <f t="shared" si="8"/>
        <v>-5.1506329258760664</v>
      </c>
      <c r="J36" s="2">
        <v>3</v>
      </c>
      <c r="K36" s="2">
        <v>6500</v>
      </c>
      <c r="L36" s="2">
        <f>IF(J36=1,VLOOKUP('Duty Cycle '!K36,'Gearing '!$L$3:$O$28,2),IF(J36=2,VLOOKUP('Duty Cycle '!K36,'Gearing '!$L$2:$O$28,3),IF(J36=3,VLOOKUP('Duty Cycle '!K36,'Gearing '!$L$2:$O$28,4))))</f>
        <v>13.312854759872195</v>
      </c>
      <c r="M36" s="2">
        <f t="shared" si="0"/>
        <v>29.780856097834103</v>
      </c>
      <c r="N36" s="2">
        <f t="shared" si="9"/>
        <v>0</v>
      </c>
      <c r="O36" s="2">
        <f>IF(J36=1,'Gearing '!$C$17*'Duty Cycle '!N36,IF(J36=2,'Gearing '!$C$18*'Duty Cycle '!N36,IF(J36=3,'Gearing '!$C$19*'Duty Cycle '!N36)))</f>
        <v>0</v>
      </c>
      <c r="P36" s="2">
        <f>IF(F36='Track '!$B$60,'Track '!$F$53,IF(F36='Track '!$B$61,'Track '!$F$54,IF(F36='Track '!$B$62,'Track '!$F$55)))</f>
        <v>0.02</v>
      </c>
      <c r="Q36" s="2">
        <f>P36*'Vehicle '!$F$38*9.81</f>
        <v>114.63966000000001</v>
      </c>
      <c r="R36" s="2">
        <f>0.5*'Vehicle '!$F$51*'Vehicle '!$F$25*'Track '!$F$57*'Duty Cycle '!L36^2</f>
        <v>67.724887372039234</v>
      </c>
      <c r="S36" s="2">
        <f>'Vehicle '!$F$38*9.81*SIN(RADIANS('Duty Cycle '!I36))</f>
        <v>-514.58576311484785</v>
      </c>
      <c r="T36" s="2">
        <f t="shared" si="1"/>
        <v>-332.22121574280862</v>
      </c>
      <c r="U36" s="2">
        <f t="shared" si="10"/>
        <v>4.4228127933321773</v>
      </c>
      <c r="V36" s="2">
        <f>'Vehicle '!$F$9-'Duty Cycle '!U36</f>
        <v>9.0000059986141316</v>
      </c>
      <c r="W36" s="2">
        <f t="shared" si="2"/>
        <v>4.4228127933321773</v>
      </c>
      <c r="X36" s="41">
        <f t="shared" si="11"/>
        <v>6.4976540162666705</v>
      </c>
      <c r="Y36" s="41">
        <f t="shared" si="3"/>
        <v>7</v>
      </c>
      <c r="Z36" s="2">
        <f>T36*D36</f>
        <v>-103726.30054926353</v>
      </c>
      <c r="AA36" s="2">
        <f t="shared" si="12"/>
        <v>803477.05009933643</v>
      </c>
      <c r="AB36" s="2">
        <f>INDEX('BSFC '!$D$5:$AD$27,MATCH('Duty Cycle '!Y36,'BSFC '!$B$5:$B$27,0),MATCH('Duty Cycle '!K36,'BSFC '!$D$28:$AD$28,0))</f>
        <v>646.12469216580007</v>
      </c>
      <c r="AC36" s="2">
        <f>U36*AB36/3600</f>
        <v>0.7938023762774209</v>
      </c>
      <c r="AD36" s="2">
        <f t="shared" si="13"/>
        <v>22.079338824977746</v>
      </c>
      <c r="AE36" s="2">
        <f t="shared" si="14"/>
        <v>2.4528493426972307</v>
      </c>
      <c r="AF36" s="2">
        <f>0.5*'Vehicle '!$F$38*'Duty Cycle '!L36^2/1000</f>
        <v>51.778358557654528</v>
      </c>
      <c r="AG36" s="2">
        <f t="shared" si="4"/>
        <v>-103674.52219070587</v>
      </c>
    </row>
    <row r="37" spans="1:33" ht="30" customHeight="1" x14ac:dyDescent="0.25">
      <c r="A37" s="45"/>
      <c r="B37" s="39">
        <f t="shared" si="5"/>
        <v>34</v>
      </c>
      <c r="C37" s="2" t="s">
        <v>93</v>
      </c>
      <c r="D37" s="2">
        <f>SUM($L$3:L37)</f>
        <v>325.53343440390063</v>
      </c>
      <c r="E37" s="2">
        <f t="shared" si="6"/>
        <v>13.312854759872209</v>
      </c>
      <c r="F37" s="40" t="s">
        <v>90</v>
      </c>
      <c r="G37" s="2">
        <v>11</v>
      </c>
      <c r="H37" s="2">
        <f t="shared" si="7"/>
        <v>-1</v>
      </c>
      <c r="I37" s="2">
        <f t="shared" si="8"/>
        <v>-4.2957264645771476</v>
      </c>
      <c r="J37" s="2">
        <v>3</v>
      </c>
      <c r="K37" s="2">
        <v>6500</v>
      </c>
      <c r="L37" s="2">
        <f>IF(J37=1,VLOOKUP('Duty Cycle '!K37,'Gearing '!$L$3:$O$28,2),IF(J37=2,VLOOKUP('Duty Cycle '!K37,'Gearing '!$L$2:$O$28,3),IF(J37=3,VLOOKUP('Duty Cycle '!K37,'Gearing '!$L$2:$O$28,4))))</f>
        <v>13.312854759872195</v>
      </c>
      <c r="M37" s="2">
        <f t="shared" si="0"/>
        <v>29.780856097834103</v>
      </c>
      <c r="N37" s="2">
        <f t="shared" si="9"/>
        <v>0</v>
      </c>
      <c r="O37" s="2">
        <f>IF(J37=1,'Gearing '!$C$17*'Duty Cycle '!N37,IF(J37=2,'Gearing '!$C$18*'Duty Cycle '!N37,IF(J37=3,'Gearing '!$C$19*'Duty Cycle '!N37)))</f>
        <v>0</v>
      </c>
      <c r="P37" s="2">
        <f>IF(F37='Track '!$B$60,'Track '!$F$53,IF(F37='Track '!$B$61,'Track '!$F$54,IF(F37='Track '!$B$62,'Track '!$F$55)))</f>
        <v>0.02</v>
      </c>
      <c r="Q37" s="2">
        <f>P37*'Vehicle '!$F$38*9.81</f>
        <v>114.63966000000001</v>
      </c>
      <c r="R37" s="2">
        <f>0.5*'Vehicle '!$F$51*'Vehicle '!$F$25*'Track '!$F$57*'Duty Cycle '!L37^2</f>
        <v>67.724887372039234</v>
      </c>
      <c r="S37" s="2">
        <f>'Vehicle '!$F$38*9.81*SIN(RADIANS('Duty Cycle '!I37))</f>
        <v>-429.35045685488984</v>
      </c>
      <c r="T37" s="2">
        <f t="shared" si="1"/>
        <v>-246.98590948285062</v>
      </c>
      <c r="U37" s="2">
        <f t="shared" si="10"/>
        <v>3.2880875406801309</v>
      </c>
      <c r="V37" s="2">
        <f>'Vehicle '!$F$9-'Duty Cycle '!U37</f>
        <v>10.134731251266178</v>
      </c>
      <c r="W37" s="2">
        <f t="shared" si="2"/>
        <v>3.2880875406801309</v>
      </c>
      <c r="X37" s="41">
        <f t="shared" si="11"/>
        <v>4.8306035577056896</v>
      </c>
      <c r="Y37" s="41">
        <f t="shared" si="3"/>
        <v>5</v>
      </c>
      <c r="Z37" s="2">
        <f>T37*D37</f>
        <v>-80402.171363323287</v>
      </c>
      <c r="AA37" s="2">
        <f t="shared" si="12"/>
        <v>723074.87873601308</v>
      </c>
      <c r="AB37" s="2">
        <f>INDEX('BSFC '!$D$5:$AD$27,MATCH('Duty Cycle '!Y37,'BSFC '!$B$5:$B$27,0),MATCH('Duty Cycle '!K37,'BSFC '!$D$28:$AD$28,0))</f>
        <v>736.32698336579983</v>
      </c>
      <c r="AC37" s="2">
        <f>U37*AB37/3600</f>
        <v>0.67252988329768681</v>
      </c>
      <c r="AD37" s="2">
        <f t="shared" si="13"/>
        <v>22.751868708275435</v>
      </c>
      <c r="AE37" s="2">
        <f t="shared" si="14"/>
        <v>2.078117339389852</v>
      </c>
      <c r="AF37" s="2">
        <f>0.5*'Vehicle '!$F$38*'Duty Cycle '!L37^2/1000</f>
        <v>51.778358557654528</v>
      </c>
      <c r="AG37" s="2">
        <f t="shared" si="4"/>
        <v>-80350.393004765632</v>
      </c>
    </row>
    <row r="38" spans="1:33" ht="30" customHeight="1" x14ac:dyDescent="0.25">
      <c r="A38" s="15" t="s">
        <v>156</v>
      </c>
      <c r="B38" s="39">
        <f t="shared" si="5"/>
        <v>35</v>
      </c>
      <c r="C38" s="2" t="s">
        <v>93</v>
      </c>
      <c r="D38" s="2">
        <f>SUM($L$3:L38)</f>
        <v>338.84628916377284</v>
      </c>
      <c r="E38" s="2">
        <f t="shared" si="6"/>
        <v>13.312854759872209</v>
      </c>
      <c r="F38" s="40" t="s">
        <v>90</v>
      </c>
      <c r="G38" s="2">
        <v>10</v>
      </c>
      <c r="H38" s="2">
        <f t="shared" si="7"/>
        <v>-1</v>
      </c>
      <c r="I38" s="2">
        <f t="shared" si="8"/>
        <v>-4.2957264645771476</v>
      </c>
      <c r="J38" s="2">
        <v>3</v>
      </c>
      <c r="K38" s="2">
        <v>6500</v>
      </c>
      <c r="L38" s="2">
        <f>IF(J38=1,VLOOKUP('Duty Cycle '!K38,'Gearing '!$L$3:$O$28,2),IF(J38=2,VLOOKUP('Duty Cycle '!K38,'Gearing '!$L$2:$O$28,3),IF(J38=3,VLOOKUP('Duty Cycle '!K38,'Gearing '!$L$2:$O$28,4))))</f>
        <v>13.312854759872195</v>
      </c>
      <c r="M38" s="2">
        <f t="shared" si="0"/>
        <v>29.780856097834103</v>
      </c>
      <c r="N38" s="2">
        <f t="shared" si="9"/>
        <v>0</v>
      </c>
      <c r="O38" s="2">
        <f>IF(J38=1,'Gearing '!$C$17*'Duty Cycle '!N38,IF(J38=2,'Gearing '!$C$18*'Duty Cycle '!N38,IF(J38=3,'Gearing '!$C$19*'Duty Cycle '!N38)))</f>
        <v>0</v>
      </c>
      <c r="P38" s="2">
        <f>IF(F38='Track '!$B$60,'Track '!$F$53,IF(F38='Track '!$B$61,'Track '!$F$54,IF(F38='Track '!$B$62,'Track '!$F$55)))</f>
        <v>0.02</v>
      </c>
      <c r="Q38" s="2">
        <f>P38*'Vehicle '!$F$38*9.81</f>
        <v>114.63966000000001</v>
      </c>
      <c r="R38" s="2">
        <f>0.5*'Vehicle '!$F$51*'Vehicle '!$F$25*'Track '!$F$57*'Duty Cycle '!L38^2</f>
        <v>67.724887372039234</v>
      </c>
      <c r="S38" s="2">
        <f>'Vehicle '!$F$38*9.81*SIN(RADIANS('Duty Cycle '!I38))</f>
        <v>-429.35045685488984</v>
      </c>
      <c r="T38" s="2">
        <f t="shared" si="1"/>
        <v>-246.98590948285062</v>
      </c>
      <c r="U38" s="2">
        <f t="shared" si="10"/>
        <v>3.2880875406801309</v>
      </c>
      <c r="V38" s="2">
        <f>'Vehicle '!$F$9-'Duty Cycle '!U38</f>
        <v>10.134731251266178</v>
      </c>
      <c r="W38" s="2">
        <f t="shared" si="2"/>
        <v>3.2880875406801309</v>
      </c>
      <c r="X38" s="41">
        <f t="shared" si="11"/>
        <v>4.8306035577056896</v>
      </c>
      <c r="Y38" s="41">
        <f t="shared" si="3"/>
        <v>5</v>
      </c>
      <c r="Z38" s="2">
        <f>T38*D38</f>
        <v>-83690.258904003422</v>
      </c>
      <c r="AA38" s="2">
        <f t="shared" si="12"/>
        <v>639384.61983200966</v>
      </c>
      <c r="AB38" s="2">
        <f>INDEX('BSFC '!$D$5:$AD$27,MATCH('Duty Cycle '!Y38,'BSFC '!$B$5:$B$27,0),MATCH('Duty Cycle '!K38,'BSFC '!$D$28:$AD$28,0))</f>
        <v>736.32698336579983</v>
      </c>
      <c r="AC38" s="2">
        <f>U38*AB38/3600</f>
        <v>0.67252988329768681</v>
      </c>
      <c r="AD38" s="2">
        <f t="shared" si="13"/>
        <v>23.424398591573123</v>
      </c>
      <c r="AE38" s="2">
        <f t="shared" si="14"/>
        <v>2.078117339389852</v>
      </c>
      <c r="AF38" s="2">
        <f>0.5*'Vehicle '!$F$38*'Duty Cycle '!L38^2/1000</f>
        <v>51.778358557654528</v>
      </c>
      <c r="AG38" s="2">
        <f t="shared" si="4"/>
        <v>-83638.480545445767</v>
      </c>
    </row>
    <row r="39" spans="1:33" ht="30" customHeight="1" x14ac:dyDescent="0.25">
      <c r="A39" s="15"/>
      <c r="B39" s="39">
        <f t="shared" si="5"/>
        <v>36</v>
      </c>
      <c r="C39" s="2" t="s">
        <v>93</v>
      </c>
      <c r="D39" s="2">
        <f>SUM($L$3:L39)</f>
        <v>352.15914392364505</v>
      </c>
      <c r="E39" s="2">
        <f t="shared" si="6"/>
        <v>13.312854759872209</v>
      </c>
      <c r="F39" s="40" t="s">
        <v>90</v>
      </c>
      <c r="G39" s="2">
        <v>9</v>
      </c>
      <c r="H39" s="2">
        <f t="shared" si="7"/>
        <v>-1</v>
      </c>
      <c r="I39" s="2">
        <f t="shared" si="8"/>
        <v>-4.2957264645771476</v>
      </c>
      <c r="J39" s="2">
        <v>3</v>
      </c>
      <c r="K39" s="2">
        <v>6500</v>
      </c>
      <c r="L39" s="2">
        <f>IF(J39=1,VLOOKUP('Duty Cycle '!K39,'Gearing '!$L$3:$O$28,2),IF(J39=2,VLOOKUP('Duty Cycle '!K39,'Gearing '!$L$2:$O$28,3),IF(J39=3,VLOOKUP('Duty Cycle '!K39,'Gearing '!$L$2:$O$28,4))))</f>
        <v>13.312854759872195</v>
      </c>
      <c r="M39" s="2">
        <f t="shared" si="0"/>
        <v>29.780856097834103</v>
      </c>
      <c r="N39" s="2">
        <f t="shared" si="9"/>
        <v>0</v>
      </c>
      <c r="O39" s="2">
        <f>IF(J39=1,'Gearing '!$C$17*'Duty Cycle '!N39,IF(J39=2,'Gearing '!$C$18*'Duty Cycle '!N39,IF(J39=3,'Gearing '!$C$19*'Duty Cycle '!N39)))</f>
        <v>0</v>
      </c>
      <c r="P39" s="2">
        <f>IF(F39='Track '!$B$60,'Track '!$F$53,IF(F39='Track '!$B$61,'Track '!$F$54,IF(F39='Track '!$B$62,'Track '!$F$55)))</f>
        <v>0.02</v>
      </c>
      <c r="Q39" s="2">
        <f>P39*'Vehicle '!$F$38*9.81</f>
        <v>114.63966000000001</v>
      </c>
      <c r="R39" s="2">
        <f>0.5*'Vehicle '!$F$51*'Vehicle '!$F$25*'Track '!$F$57*'Duty Cycle '!L39^2</f>
        <v>67.724887372039234</v>
      </c>
      <c r="S39" s="2">
        <f>'Vehicle '!$F$38*9.81*SIN(RADIANS('Duty Cycle '!I39))</f>
        <v>-429.35045685488984</v>
      </c>
      <c r="T39" s="2">
        <f t="shared" si="1"/>
        <v>-246.98590948285062</v>
      </c>
      <c r="U39" s="2">
        <f t="shared" si="10"/>
        <v>3.2880875406801309</v>
      </c>
      <c r="V39" s="2">
        <f>'Vehicle '!$F$9-'Duty Cycle '!U39</f>
        <v>10.134731251266178</v>
      </c>
      <c r="W39" s="2">
        <f t="shared" si="2"/>
        <v>3.2880875406801309</v>
      </c>
      <c r="X39" s="41">
        <f t="shared" si="11"/>
        <v>4.8306035577056896</v>
      </c>
      <c r="Y39" s="41">
        <f t="shared" si="3"/>
        <v>5</v>
      </c>
      <c r="Z39" s="2">
        <f>T39*D39</f>
        <v>-86978.346444683557</v>
      </c>
      <c r="AA39" s="2">
        <f t="shared" si="12"/>
        <v>552406.27338732616</v>
      </c>
      <c r="AB39" s="2">
        <f>INDEX('BSFC '!$D$5:$AD$27,MATCH('Duty Cycle '!Y39,'BSFC '!$B$5:$B$27,0),MATCH('Duty Cycle '!K39,'BSFC '!$D$28:$AD$28,0))</f>
        <v>736.32698336579983</v>
      </c>
      <c r="AC39" s="2">
        <f>U39*AB39/3600</f>
        <v>0.67252988329768681</v>
      </c>
      <c r="AD39" s="2">
        <f t="shared" si="13"/>
        <v>24.096928474870811</v>
      </c>
      <c r="AE39" s="2">
        <f t="shared" si="14"/>
        <v>2.078117339389852</v>
      </c>
      <c r="AF39" s="2">
        <f>0.5*'Vehicle '!$F$38*'Duty Cycle '!L39^2/1000</f>
        <v>51.778358557654528</v>
      </c>
      <c r="AG39" s="2">
        <f t="shared" si="4"/>
        <v>-86926.568086125902</v>
      </c>
    </row>
    <row r="40" spans="1:33" ht="30" customHeight="1" x14ac:dyDescent="0.25">
      <c r="A40" s="44">
        <f>A32*A36</f>
        <v>216</v>
      </c>
      <c r="B40" s="39">
        <f t="shared" si="5"/>
        <v>37</v>
      </c>
      <c r="C40" s="2" t="s">
        <v>93</v>
      </c>
      <c r="D40" s="2">
        <f>SUM($L$3:L40)</f>
        <v>365.47199868351726</v>
      </c>
      <c r="E40" s="2">
        <f t="shared" si="6"/>
        <v>13.312854759872209</v>
      </c>
      <c r="F40" s="40" t="s">
        <v>90</v>
      </c>
      <c r="G40" s="2">
        <v>8</v>
      </c>
      <c r="H40" s="2">
        <f t="shared" si="7"/>
        <v>-1</v>
      </c>
      <c r="I40" s="2">
        <f t="shared" si="8"/>
        <v>-4.2957264645771476</v>
      </c>
      <c r="J40" s="2">
        <v>3</v>
      </c>
      <c r="K40" s="2">
        <v>6500</v>
      </c>
      <c r="L40" s="2">
        <f>IF(J40=1,VLOOKUP('Duty Cycle '!K40,'Gearing '!$L$3:$O$28,2),IF(J40=2,VLOOKUP('Duty Cycle '!K40,'Gearing '!$L$2:$O$28,3),IF(J40=3,VLOOKUP('Duty Cycle '!K40,'Gearing '!$L$2:$O$28,4))))</f>
        <v>13.312854759872195</v>
      </c>
      <c r="M40" s="2">
        <f t="shared" si="0"/>
        <v>29.780856097834103</v>
      </c>
      <c r="N40" s="2">
        <f t="shared" si="9"/>
        <v>0</v>
      </c>
      <c r="O40" s="2">
        <f>IF(J40=1,'Gearing '!$C$17*'Duty Cycle '!N40,IF(J40=2,'Gearing '!$C$18*'Duty Cycle '!N40,IF(J40=3,'Gearing '!$C$19*'Duty Cycle '!N40)))</f>
        <v>0</v>
      </c>
      <c r="P40" s="2">
        <f>IF(F40='Track '!$B$60,'Track '!$F$53,IF(F40='Track '!$B$61,'Track '!$F$54,IF(F40='Track '!$B$62,'Track '!$F$55)))</f>
        <v>0.02</v>
      </c>
      <c r="Q40" s="2">
        <f>P40*'Vehicle '!$F$38*9.81</f>
        <v>114.63966000000001</v>
      </c>
      <c r="R40" s="2">
        <f>0.5*'Vehicle '!$F$51*'Vehicle '!$F$25*'Track '!$F$57*'Duty Cycle '!L40^2</f>
        <v>67.724887372039234</v>
      </c>
      <c r="S40" s="2">
        <f>'Vehicle '!$F$38*9.81*SIN(RADIANS('Duty Cycle '!I40))</f>
        <v>-429.35045685488984</v>
      </c>
      <c r="T40" s="2">
        <f t="shared" si="1"/>
        <v>-246.98590948285062</v>
      </c>
      <c r="U40" s="2">
        <f t="shared" si="10"/>
        <v>3.2880875406801309</v>
      </c>
      <c r="V40" s="2">
        <f>'Vehicle '!$F$9-'Duty Cycle '!U40</f>
        <v>10.134731251266178</v>
      </c>
      <c r="W40" s="2">
        <f t="shared" si="2"/>
        <v>3.2880875406801309</v>
      </c>
      <c r="X40" s="41">
        <f t="shared" si="11"/>
        <v>4.8306035577056896</v>
      </c>
      <c r="Y40" s="41">
        <f t="shared" si="3"/>
        <v>5</v>
      </c>
      <c r="Z40" s="2">
        <f>T40*D40</f>
        <v>-90266.433985363692</v>
      </c>
      <c r="AA40" s="2">
        <f t="shared" si="12"/>
        <v>462139.83940196247</v>
      </c>
      <c r="AB40" s="2">
        <f>INDEX('BSFC '!$D$5:$AD$27,MATCH('Duty Cycle '!Y40,'BSFC '!$B$5:$B$27,0),MATCH('Duty Cycle '!K40,'BSFC '!$D$28:$AD$28,0))</f>
        <v>736.32698336579983</v>
      </c>
      <c r="AC40" s="2">
        <f>U40*AB40/3600</f>
        <v>0.67252988329768681</v>
      </c>
      <c r="AD40" s="2">
        <f t="shared" si="13"/>
        <v>24.7694583581685</v>
      </c>
      <c r="AE40" s="2">
        <f t="shared" si="14"/>
        <v>2.078117339389852</v>
      </c>
      <c r="AF40" s="2">
        <f>0.5*'Vehicle '!$F$38*'Duty Cycle '!L40^2/1000</f>
        <v>51.778358557654528</v>
      </c>
      <c r="AG40" s="2">
        <f t="shared" si="4"/>
        <v>-90214.655626806038</v>
      </c>
    </row>
    <row r="41" spans="1:33" ht="30" customHeight="1" x14ac:dyDescent="0.25">
      <c r="A41" s="44"/>
      <c r="B41" s="39">
        <f t="shared" si="5"/>
        <v>38</v>
      </c>
      <c r="C41" s="2" t="s">
        <v>94</v>
      </c>
      <c r="D41" s="2">
        <f>SUM($L$3:L41)</f>
        <v>378.78485344338947</v>
      </c>
      <c r="E41" s="2">
        <f t="shared" si="6"/>
        <v>13.312854759872209</v>
      </c>
      <c r="F41" s="40" t="s">
        <v>95</v>
      </c>
      <c r="G41" s="2">
        <v>7</v>
      </c>
      <c r="H41" s="2">
        <f t="shared" si="7"/>
        <v>-1</v>
      </c>
      <c r="I41" s="2">
        <f t="shared" si="8"/>
        <v>-4.2957264645771476</v>
      </c>
      <c r="J41" s="2">
        <v>3</v>
      </c>
      <c r="K41" s="2">
        <v>6500</v>
      </c>
      <c r="L41" s="2">
        <f>IF(J41=1,VLOOKUP('Duty Cycle '!K41,'Gearing '!$L$3:$O$28,2),IF(J41=2,VLOOKUP('Duty Cycle '!K41,'Gearing '!$L$2:$O$28,3),IF(J41=3,VLOOKUP('Duty Cycle '!K41,'Gearing '!$L$2:$O$28,4))))</f>
        <v>13.312854759872195</v>
      </c>
      <c r="M41" s="2">
        <f t="shared" si="0"/>
        <v>29.780856097834103</v>
      </c>
      <c r="N41" s="2">
        <f t="shared" si="9"/>
        <v>0</v>
      </c>
      <c r="O41" s="2">
        <f>IF(J41=1,'Gearing '!$C$17*'Duty Cycle '!N41,IF(J41=2,'Gearing '!$C$18*'Duty Cycle '!N41,IF(J41=3,'Gearing '!$C$19*'Duty Cycle '!N41)))</f>
        <v>0</v>
      </c>
      <c r="P41" s="2">
        <f>IF(F41='Track '!$B$60,'Track '!$F$53,IF(F41='Track '!$B$61,'Track '!$F$54,IF(F41='Track '!$B$62,'Track '!$F$55)))</f>
        <v>0.04</v>
      </c>
      <c r="Q41" s="2">
        <f>P41*'Vehicle '!$F$38*9.81</f>
        <v>229.27932000000001</v>
      </c>
      <c r="R41" s="2">
        <f>0.5*'Vehicle '!$F$51*'Vehicle '!$F$25*'Track '!$F$57*'Duty Cycle '!L41^2</f>
        <v>67.724887372039234</v>
      </c>
      <c r="S41" s="2">
        <f>'Vehicle '!$F$38*9.81*SIN(RADIANS('Duty Cycle '!I41))</f>
        <v>-429.35045685488984</v>
      </c>
      <c r="T41" s="2">
        <f t="shared" si="1"/>
        <v>-132.34624948285062</v>
      </c>
      <c r="U41" s="2">
        <f t="shared" si="10"/>
        <v>1.761906397379001</v>
      </c>
      <c r="V41" s="2">
        <f>'Vehicle '!$F$9-'Duty Cycle '!U41</f>
        <v>11.660912394567308</v>
      </c>
      <c r="W41" s="2">
        <f t="shared" si="2"/>
        <v>1.761906397379001</v>
      </c>
      <c r="X41" s="41">
        <f t="shared" si="11"/>
        <v>2.5884564222286266</v>
      </c>
      <c r="Y41" s="41">
        <f t="shared" si="3"/>
        <v>3</v>
      </c>
      <c r="Z41" s="2">
        <f>T41*D41</f>
        <v>-50130.754714143834</v>
      </c>
      <c r="AA41" s="2">
        <f t="shared" si="12"/>
        <v>412009.08468781866</v>
      </c>
      <c r="AB41" s="2">
        <f>INDEX('BSFC '!$D$5:$AD$27,MATCH('Duty Cycle '!Y41,'BSFC '!$B$5:$B$27,0),MATCH('Duty Cycle '!K41,'BSFC '!$D$28:$AD$28,0))</f>
        <v>846.27984386579999</v>
      </c>
      <c r="AC41" s="2">
        <f>U41*AB41/3600</f>
        <v>0.41418496413334865</v>
      </c>
      <c r="AD41" s="2">
        <f t="shared" si="13"/>
        <v>25.183643322301847</v>
      </c>
      <c r="AE41" s="2">
        <f t="shared" si="14"/>
        <v>1.2798315391720472</v>
      </c>
      <c r="AF41" s="2">
        <f>0.5*'Vehicle '!$F$38*'Duty Cycle '!L41^2/1000</f>
        <v>51.778358557654528</v>
      </c>
      <c r="AG41" s="2">
        <f t="shared" si="4"/>
        <v>-50078.976355586179</v>
      </c>
    </row>
    <row r="42" spans="1:33" ht="30" customHeight="1" x14ac:dyDescent="0.25">
      <c r="A42" s="15" t="s">
        <v>157</v>
      </c>
      <c r="B42" s="39">
        <f t="shared" si="5"/>
        <v>39</v>
      </c>
      <c r="C42" s="2" t="s">
        <v>94</v>
      </c>
      <c r="D42" s="2">
        <f>SUM($L$3:L42)</f>
        <v>392.09770820326167</v>
      </c>
      <c r="E42" s="2">
        <f t="shared" si="6"/>
        <v>13.312854759872209</v>
      </c>
      <c r="F42" s="40" t="s">
        <v>95</v>
      </c>
      <c r="G42" s="2">
        <v>6</v>
      </c>
      <c r="H42" s="2">
        <f t="shared" si="7"/>
        <v>-1</v>
      </c>
      <c r="I42" s="2">
        <f t="shared" si="8"/>
        <v>-4.2957264645771476</v>
      </c>
      <c r="J42" s="2">
        <v>3</v>
      </c>
      <c r="K42" s="2">
        <v>6500</v>
      </c>
      <c r="L42" s="2">
        <f>IF(J42=1,VLOOKUP('Duty Cycle '!K42,'Gearing '!$L$3:$O$28,2),IF(J42=2,VLOOKUP('Duty Cycle '!K42,'Gearing '!$L$2:$O$28,3),IF(J42=3,VLOOKUP('Duty Cycle '!K42,'Gearing '!$L$2:$O$28,4))))</f>
        <v>13.312854759872195</v>
      </c>
      <c r="M42" s="2">
        <f t="shared" si="0"/>
        <v>29.780856097834103</v>
      </c>
      <c r="N42" s="2">
        <f t="shared" si="9"/>
        <v>0</v>
      </c>
      <c r="O42" s="2">
        <f>IF(J42=1,'Gearing '!$C$17*'Duty Cycle '!N42,IF(J42=2,'Gearing '!$C$18*'Duty Cycle '!N42,IF(J42=3,'Gearing '!$C$19*'Duty Cycle '!N42)))</f>
        <v>0</v>
      </c>
      <c r="P42" s="2">
        <f>IF(F42='Track '!$B$60,'Track '!$F$53,IF(F42='Track '!$B$61,'Track '!$F$54,IF(F42='Track '!$B$62,'Track '!$F$55)))</f>
        <v>0.04</v>
      </c>
      <c r="Q42" s="2">
        <f>P42*'Vehicle '!$F$38*9.81</f>
        <v>229.27932000000001</v>
      </c>
      <c r="R42" s="2">
        <f>0.5*'Vehicle '!$F$51*'Vehicle '!$F$25*'Track '!$F$57*'Duty Cycle '!L42^2</f>
        <v>67.724887372039234</v>
      </c>
      <c r="S42" s="2">
        <f>'Vehicle '!$F$38*9.81*SIN(RADIANS('Duty Cycle '!I42))</f>
        <v>-429.35045685488984</v>
      </c>
      <c r="T42" s="2">
        <f t="shared" si="1"/>
        <v>-132.34624948285062</v>
      </c>
      <c r="U42" s="2">
        <f t="shared" si="10"/>
        <v>1.761906397379001</v>
      </c>
      <c r="V42" s="2">
        <f>'Vehicle '!$F$9-'Duty Cycle '!U42</f>
        <v>11.660912394567308</v>
      </c>
      <c r="W42" s="2">
        <f t="shared" si="2"/>
        <v>1.761906397379001</v>
      </c>
      <c r="X42" s="41">
        <f t="shared" si="11"/>
        <v>2.5884564222286266</v>
      </c>
      <c r="Y42" s="41">
        <f t="shared" si="3"/>
        <v>3</v>
      </c>
      <c r="Z42" s="2">
        <f>T42*D42</f>
        <v>-51892.661111522837</v>
      </c>
      <c r="AA42" s="2">
        <f t="shared" si="12"/>
        <v>360116.42357629584</v>
      </c>
      <c r="AB42" s="2">
        <f>INDEX('BSFC '!$D$5:$AD$27,MATCH('Duty Cycle '!Y42,'BSFC '!$B$5:$B$27,0),MATCH('Duty Cycle '!K42,'BSFC '!$D$28:$AD$28,0))</f>
        <v>846.27984386579999</v>
      </c>
      <c r="AC42" s="2">
        <f>U42*AB42/3600</f>
        <v>0.41418496413334865</v>
      </c>
      <c r="AD42" s="2">
        <f t="shared" si="13"/>
        <v>25.597828286435195</v>
      </c>
      <c r="AE42" s="2">
        <f t="shared" si="14"/>
        <v>1.2798315391720472</v>
      </c>
      <c r="AF42" s="2">
        <f>0.5*'Vehicle '!$F$38*'Duty Cycle '!L42^2/1000</f>
        <v>51.778358557654528</v>
      </c>
      <c r="AG42" s="2">
        <f t="shared" si="4"/>
        <v>-51840.882752965183</v>
      </c>
    </row>
    <row r="43" spans="1:33" ht="30" customHeight="1" x14ac:dyDescent="0.25">
      <c r="A43" s="15"/>
      <c r="B43" s="39">
        <f t="shared" si="5"/>
        <v>40</v>
      </c>
      <c r="C43" s="2" t="s">
        <v>94</v>
      </c>
      <c r="D43" s="2">
        <f>SUM($L$3:L43)</f>
        <v>404.89853008775418</v>
      </c>
      <c r="E43" s="2">
        <f t="shared" si="6"/>
        <v>12.800821884492507</v>
      </c>
      <c r="F43" s="40" t="s">
        <v>95</v>
      </c>
      <c r="G43" s="2">
        <v>5.5</v>
      </c>
      <c r="H43" s="2">
        <f t="shared" si="7"/>
        <v>-0.5</v>
      </c>
      <c r="I43" s="2">
        <f t="shared" si="8"/>
        <v>-2.2368355827447917</v>
      </c>
      <c r="J43" s="2">
        <v>3</v>
      </c>
      <c r="K43" s="2">
        <v>6250</v>
      </c>
      <c r="L43" s="2">
        <f>IF(J43=1,VLOOKUP('Duty Cycle '!K43,'Gearing '!$L$3:$O$28,2),IF(J43=2,VLOOKUP('Duty Cycle '!K43,'Gearing '!$L$2:$O$28,3),IF(J43=3,VLOOKUP('Duty Cycle '!K43,'Gearing '!$L$2:$O$28,4))))</f>
        <v>12.800821884492496</v>
      </c>
      <c r="M43" s="2">
        <f t="shared" si="0"/>
        <v>28.635438555609714</v>
      </c>
      <c r="N43" s="2">
        <f t="shared" si="9"/>
        <v>-0.51203287537969899</v>
      </c>
      <c r="O43" s="2">
        <f>IF(J43=1,'Gearing '!$C$17*'Duty Cycle '!N43,IF(J43=2,'Gearing '!$C$18*'Duty Cycle '!N43,IF(J43=3,'Gearing '!$C$19*'Duty Cycle '!N43)))</f>
        <v>-308.33784926570502</v>
      </c>
      <c r="P43" s="2">
        <f>IF(F43='Track '!$B$60,'Track '!$F$53,IF(F43='Track '!$B$61,'Track '!$F$54,IF(F43='Track '!$B$62,'Track '!$F$55)))</f>
        <v>0.04</v>
      </c>
      <c r="Q43" s="2">
        <f>P43*'Vehicle '!$F$38*9.81</f>
        <v>229.27932000000001</v>
      </c>
      <c r="R43" s="2">
        <f>0.5*'Vehicle '!$F$51*'Vehicle '!$F$25*'Track '!$F$57*'Duty Cycle '!L43^2</f>
        <v>62.615465395746334</v>
      </c>
      <c r="S43" s="2">
        <f>'Vehicle '!$F$38*9.81*SIN(RADIANS('Duty Cycle '!I43))</f>
        <v>-223.72061162531148</v>
      </c>
      <c r="T43" s="2">
        <f t="shared" si="1"/>
        <v>-240.16367549527016</v>
      </c>
      <c r="U43" s="2">
        <f t="shared" si="10"/>
        <v>3.0742924331400086</v>
      </c>
      <c r="V43" s="2">
        <f>'Vehicle '!$F$9-'Duty Cycle '!U43</f>
        <v>10.3485263588063</v>
      </c>
      <c r="W43" s="2">
        <f t="shared" si="2"/>
        <v>3.0742924331400086</v>
      </c>
      <c r="X43" s="41">
        <f t="shared" si="11"/>
        <v>4.6971728375447288</v>
      </c>
      <c r="Y43" s="41">
        <f t="shared" si="3"/>
        <v>5</v>
      </c>
      <c r="Z43" s="2">
        <f>T43*D43</f>
        <v>-97241.91918850728</v>
      </c>
      <c r="AA43" s="2">
        <f t="shared" si="12"/>
        <v>262874.50438778859</v>
      </c>
      <c r="AB43" s="2">
        <f>INDEX('BSFC '!$D$5:$AD$27,MATCH('Duty Cycle '!Y43,'BSFC '!$B$5:$B$27,0),MATCH('Duty Cycle '!K43,'BSFC '!$D$28:$AD$28,0))</f>
        <v>709.37421528580001</v>
      </c>
      <c r="AC43" s="2">
        <f>U43*AB43/3600</f>
        <v>0.60578438397715739</v>
      </c>
      <c r="AD43" s="2">
        <f t="shared" si="13"/>
        <v>26.203612670412351</v>
      </c>
      <c r="AE43" s="2">
        <f t="shared" si="14"/>
        <v>1.8718737464894162</v>
      </c>
      <c r="AF43" s="2">
        <f>0.5*'Vehicle '!$F$38*'Duty Cycle '!L43^2/1000</f>
        <v>47.872003104340365</v>
      </c>
      <c r="AG43" s="2">
        <f t="shared" si="4"/>
        <v>-97194.047185402946</v>
      </c>
    </row>
    <row r="44" spans="1:33" ht="30" customHeight="1" x14ac:dyDescent="0.25">
      <c r="A44" s="44">
        <f>A40*A24</f>
        <v>43.875153033100666</v>
      </c>
      <c r="B44" s="39">
        <f t="shared" si="5"/>
        <v>41</v>
      </c>
      <c r="C44" s="2" t="s">
        <v>94</v>
      </c>
      <c r="D44" s="2">
        <f>SUM($L$3:L44)</f>
        <v>417.18731909686699</v>
      </c>
      <c r="E44" s="2">
        <f t="shared" si="6"/>
        <v>12.288789009112804</v>
      </c>
      <c r="F44" s="40" t="s">
        <v>95</v>
      </c>
      <c r="G44" s="2">
        <v>5</v>
      </c>
      <c r="H44" s="2">
        <f t="shared" si="7"/>
        <v>-0.5</v>
      </c>
      <c r="I44" s="2">
        <f t="shared" si="8"/>
        <v>-2.3299364018937725</v>
      </c>
      <c r="J44" s="2">
        <v>3</v>
      </c>
      <c r="K44" s="2">
        <v>6000</v>
      </c>
      <c r="L44" s="2">
        <f>IF(J44=1,VLOOKUP('Duty Cycle '!K44,'Gearing '!$L$3:$O$28,2),IF(J44=2,VLOOKUP('Duty Cycle '!K44,'Gearing '!$L$2:$O$28,3),IF(J44=3,VLOOKUP('Duty Cycle '!K44,'Gearing '!$L$2:$O$28,4))))</f>
        <v>12.288789009112795</v>
      </c>
      <c r="M44" s="2">
        <f t="shared" si="0"/>
        <v>27.490021013385324</v>
      </c>
      <c r="N44" s="2">
        <f t="shared" si="9"/>
        <v>-0.51203287537970077</v>
      </c>
      <c r="O44" s="2">
        <f>IF(J44=1,'Gearing '!$C$17*'Duty Cycle '!N44,IF(J44=2,'Gearing '!$C$18*'Duty Cycle '!N44,IF(J44=3,'Gearing '!$C$19*'Duty Cycle '!N44)))</f>
        <v>-308.3378492657061</v>
      </c>
      <c r="P44" s="2">
        <f>IF(F44='Track '!$B$60,'Track '!$F$53,IF(F44='Track '!$B$61,'Track '!$F$54,IF(F44='Track '!$B$62,'Track '!$F$55)))</f>
        <v>0.04</v>
      </c>
      <c r="Q44" s="2">
        <f>P44*'Vehicle '!$F$38*9.81</f>
        <v>229.27932000000001</v>
      </c>
      <c r="R44" s="2">
        <f>0.5*'Vehicle '!$F$51*'Vehicle '!$F$25*'Track '!$F$57*'Duty Cycle '!L44^2</f>
        <v>57.70641290871982</v>
      </c>
      <c r="S44" s="2">
        <f>'Vehicle '!$F$38*9.81*SIN(RADIANS('Duty Cycle '!I44))</f>
        <v>-233.02720511772895</v>
      </c>
      <c r="T44" s="2">
        <f t="shared" si="1"/>
        <v>-254.3793214747152</v>
      </c>
      <c r="U44" s="2">
        <f t="shared" si="10"/>
        <v>3.1260138098840509</v>
      </c>
      <c r="V44" s="2">
        <f>'Vehicle '!$F$9-'Duty Cycle '!U44</f>
        <v>10.296804982062259</v>
      </c>
      <c r="W44" s="2">
        <f t="shared" si="2"/>
        <v>3.1260138098840509</v>
      </c>
      <c r="X44" s="41">
        <f t="shared" si="11"/>
        <v>4.9752055001657505</v>
      </c>
      <c r="Y44" s="41">
        <f t="shared" si="3"/>
        <v>5</v>
      </c>
      <c r="Z44" s="2">
        <f>T44*D44</f>
        <v>-106123.82715971651</v>
      </c>
      <c r="AA44" s="2">
        <f t="shared" si="12"/>
        <v>156750.67722807208</v>
      </c>
      <c r="AB44" s="2">
        <f>INDEX('BSFC '!$D$5:$AD$27,MATCH('Duty Cycle '!Y44,'BSFC '!$B$5:$B$27,0),MATCH('Duty Cycle '!K44,'BSFC '!$D$28:$AD$28,0))</f>
        <v>679.12826528580001</v>
      </c>
      <c r="AC44" s="2">
        <f>U44*AB44/3600</f>
        <v>0.58971231554611392</v>
      </c>
      <c r="AD44" s="2">
        <f t="shared" si="13"/>
        <v>26.793324985958463</v>
      </c>
      <c r="AE44" s="2">
        <f t="shared" si="14"/>
        <v>1.8222110550374919</v>
      </c>
      <c r="AF44" s="2">
        <f>0.5*'Vehicle '!$F$38*'Duty Cycle '!L44^2/1000</f>
        <v>44.118838060960073</v>
      </c>
      <c r="AG44" s="2">
        <f t="shared" si="4"/>
        <v>-106079.70832165556</v>
      </c>
    </row>
    <row r="45" spans="1:33" ht="30" customHeight="1" x14ac:dyDescent="0.25">
      <c r="A45" s="44"/>
      <c r="B45" s="39">
        <f t="shared" si="5"/>
        <v>42</v>
      </c>
      <c r="C45" s="2" t="s">
        <v>103</v>
      </c>
      <c r="D45" s="2">
        <f>SUM($L$3:L45)</f>
        <v>428.45204235522039</v>
      </c>
      <c r="E45" s="2">
        <f t="shared" si="6"/>
        <v>11.264723258353399</v>
      </c>
      <c r="F45" s="40" t="s">
        <v>95</v>
      </c>
      <c r="G45" s="2">
        <v>5</v>
      </c>
      <c r="H45" s="2">
        <f t="shared" si="7"/>
        <v>0</v>
      </c>
      <c r="I45" s="2">
        <f t="shared" si="8"/>
        <v>0</v>
      </c>
      <c r="J45" s="2">
        <v>3</v>
      </c>
      <c r="K45" s="2">
        <v>5500</v>
      </c>
      <c r="L45" s="2">
        <f>IF(J45=1,VLOOKUP('Duty Cycle '!K45,'Gearing '!$L$3:$O$28,2),IF(J45=2,VLOOKUP('Duty Cycle '!K45,'Gearing '!$L$2:$O$28,3),IF(J45=3,VLOOKUP('Duty Cycle '!K45,'Gearing '!$L$2:$O$28,4))))</f>
        <v>11.264723258353396</v>
      </c>
      <c r="M45" s="2">
        <f t="shared" si="0"/>
        <v>25.199185928936547</v>
      </c>
      <c r="N45" s="2">
        <f t="shared" si="9"/>
        <v>-1.0240657507593998</v>
      </c>
      <c r="O45" s="2">
        <f>IF(J45=1,'Gearing '!$C$17*'Duty Cycle '!N45,IF(J45=2,'Gearing '!$C$18*'Duty Cycle '!N45,IF(J45=3,'Gearing '!$C$19*'Duty Cycle '!N45)))</f>
        <v>-616.67569853141106</v>
      </c>
      <c r="P45" s="2">
        <f>IF(F45='Track '!$B$60,'Track '!$F$53,IF(F45='Track '!$B$61,'Track '!$F$54,IF(F45='Track '!$B$62,'Track '!$F$55)))</f>
        <v>0.04</v>
      </c>
      <c r="Q45" s="2">
        <f>P45*'Vehicle '!$F$38*9.81</f>
        <v>229.27932000000001</v>
      </c>
      <c r="R45" s="2">
        <f>0.5*'Vehicle '!$F$51*'Vehicle '!$F$25*'Track '!$F$57*'Duty Cycle '!L45^2</f>
        <v>48.489416402465956</v>
      </c>
      <c r="S45" s="2">
        <f>'Vehicle '!$F$38*9.81*SIN(RADIANS('Duty Cycle '!I45))</f>
        <v>0</v>
      </c>
      <c r="T45" s="2">
        <f t="shared" si="1"/>
        <v>-338.90696212894511</v>
      </c>
      <c r="U45" s="2">
        <f t="shared" si="10"/>
        <v>3.8176931387118214</v>
      </c>
      <c r="V45" s="2">
        <f>'Vehicle '!$F$9-'Duty Cycle '!U45</f>
        <v>9.605125653234488</v>
      </c>
      <c r="W45" s="2">
        <f t="shared" si="2"/>
        <v>3.8176931387118214</v>
      </c>
      <c r="X45" s="41">
        <f t="shared" si="11"/>
        <v>6.6284152825527203</v>
      </c>
      <c r="Y45" s="41">
        <f t="shared" si="3"/>
        <v>7</v>
      </c>
      <c r="Z45" s="2">
        <f>T45*D45</f>
        <v>-145205.38009254987</v>
      </c>
      <c r="AA45" s="2">
        <f t="shared" si="12"/>
        <v>11545.297135522211</v>
      </c>
      <c r="AB45" s="2">
        <f>INDEX('BSFC '!$D$5:$AD$27,MATCH('Duty Cycle '!Y45,'BSFC '!$B$5:$B$27,0),MATCH('Duty Cycle '!K45,'BSFC '!$D$28:$AD$28,0))</f>
        <v>503.79911912579979</v>
      </c>
      <c r="AC45" s="2">
        <f>U45*AB45/3600</f>
        <v>0.53426401121545153</v>
      </c>
      <c r="AD45" s="2">
        <f t="shared" si="13"/>
        <v>27.327588997173915</v>
      </c>
      <c r="AE45" s="2">
        <f t="shared" si="14"/>
        <v>1.6508757946557451</v>
      </c>
      <c r="AF45" s="2">
        <f>0.5*'Vehicle '!$F$38*'Duty Cycle '!L45^2/1000</f>
        <v>37.07207920400117</v>
      </c>
      <c r="AG45" s="2">
        <f t="shared" si="4"/>
        <v>-145168.30801334587</v>
      </c>
    </row>
    <row r="46" spans="1:33" ht="30" customHeight="1" x14ac:dyDescent="0.25">
      <c r="A46" s="15" t="s">
        <v>164</v>
      </c>
      <c r="B46" s="39">
        <f t="shared" si="5"/>
        <v>43</v>
      </c>
      <c r="C46" s="2" t="s">
        <v>103</v>
      </c>
      <c r="D46" s="2">
        <f>SUM($L$3:L46)</f>
        <v>438.69269986281438</v>
      </c>
      <c r="E46" s="2">
        <f t="shared" si="6"/>
        <v>10.240657507593994</v>
      </c>
      <c r="F46" s="40" t="s">
        <v>95</v>
      </c>
      <c r="G46" s="2">
        <v>5</v>
      </c>
      <c r="H46" s="2">
        <f t="shared" si="7"/>
        <v>0</v>
      </c>
      <c r="I46" s="2">
        <f t="shared" si="8"/>
        <v>0</v>
      </c>
      <c r="J46" s="2">
        <v>3</v>
      </c>
      <c r="K46" s="2">
        <v>5000</v>
      </c>
      <c r="L46" s="2">
        <f>IF(J46=1,VLOOKUP('Duty Cycle '!K46,'Gearing '!$L$3:$O$28,2),IF(J46=2,VLOOKUP('Duty Cycle '!K46,'Gearing '!$L$2:$O$28,3),IF(J46=3,VLOOKUP('Duty Cycle '!K46,'Gearing '!$L$2:$O$28,4))))</f>
        <v>10.240657507593998</v>
      </c>
      <c r="M46" s="2">
        <f t="shared" si="0"/>
        <v>22.908350844487774</v>
      </c>
      <c r="N46" s="2">
        <f t="shared" si="9"/>
        <v>-1.024065750759398</v>
      </c>
      <c r="O46" s="2">
        <f>IF(J46=1,'Gearing '!$C$17*'Duty Cycle '!N46,IF(J46=2,'Gearing '!$C$18*'Duty Cycle '!N46,IF(J46=3,'Gearing '!$C$19*'Duty Cycle '!N46)))</f>
        <v>-616.67569853141003</v>
      </c>
      <c r="P46" s="2">
        <f>IF(F46='Track '!$B$60,'Track '!$F$53,IF(F46='Track '!$B$61,'Track '!$F$54,IF(F46='Track '!$B$62,'Track '!$F$55)))</f>
        <v>0.04</v>
      </c>
      <c r="Q46" s="2">
        <f>P46*'Vehicle '!$F$38*9.81</f>
        <v>229.27932000000001</v>
      </c>
      <c r="R46" s="2">
        <f>0.5*'Vehicle '!$F$51*'Vehicle '!$F$25*'Track '!$F$57*'Duty Cycle '!L46^2</f>
        <v>40.073897853277657</v>
      </c>
      <c r="S46" s="2">
        <f>'Vehicle '!$F$38*9.81*SIN(RADIANS('Duty Cycle '!I46))</f>
        <v>0</v>
      </c>
      <c r="T46" s="2">
        <f t="shared" si="1"/>
        <v>-347.32248067813237</v>
      </c>
      <c r="U46" s="2">
        <f t="shared" si="10"/>
        <v>3.5568105693126872</v>
      </c>
      <c r="V46" s="2">
        <f>'Vehicle '!$F$9-'Duty Cycle '!U46</f>
        <v>9.8660082226336208</v>
      </c>
      <c r="W46" s="2">
        <f t="shared" si="2"/>
        <v>3.5568105693126872</v>
      </c>
      <c r="X46" s="41">
        <f t="shared" si="11"/>
        <v>6.7930078049713511</v>
      </c>
      <c r="Y46" s="41">
        <f t="shared" si="3"/>
        <v>7</v>
      </c>
      <c r="Z46" s="2">
        <f>T46*D46</f>
        <v>-152367.83677174005</v>
      </c>
      <c r="AA46" s="2">
        <f t="shared" si="12"/>
        <v>-140822.53963621784</v>
      </c>
      <c r="AB46" s="2">
        <f>INDEX('BSFC '!$D$5:$AD$27,MATCH('Duty Cycle '!Y46,'BSFC '!$B$5:$B$27,0),MATCH('Duty Cycle '!K46,'BSFC '!$D$28:$AD$28,0))</f>
        <v>497.72074304580002</v>
      </c>
      <c r="AC46" s="2">
        <f>U46*AB46/3600</f>
        <v>0.49174955539762938</v>
      </c>
      <c r="AD46" s="2">
        <f t="shared" si="13"/>
        <v>27.819338552571544</v>
      </c>
      <c r="AE46" s="2">
        <f t="shared" si="14"/>
        <v>1.5195061261786746</v>
      </c>
      <c r="AF46" s="2">
        <f>0.5*'Vehicle '!$F$38*'Duty Cycle '!L46^2/1000</f>
        <v>30.638081986777838</v>
      </c>
      <c r="AG46" s="2">
        <f t="shared" si="4"/>
        <v>-152337.19868975328</v>
      </c>
    </row>
    <row r="47" spans="1:33" ht="30" customHeight="1" x14ac:dyDescent="0.25">
      <c r="A47" s="15"/>
      <c r="B47" s="39">
        <f t="shared" si="5"/>
        <v>44</v>
      </c>
      <c r="C47" s="2" t="s">
        <v>103</v>
      </c>
      <c r="D47" s="2">
        <f>SUM($L$3:L47)</f>
        <v>447.72154623200976</v>
      </c>
      <c r="E47" s="2">
        <f t="shared" si="6"/>
        <v>9.028846369195378</v>
      </c>
      <c r="F47" s="40" t="s">
        <v>95</v>
      </c>
      <c r="G47" s="2">
        <v>5</v>
      </c>
      <c r="H47" s="2">
        <f t="shared" si="7"/>
        <v>0</v>
      </c>
      <c r="I47" s="2">
        <f t="shared" si="8"/>
        <v>0</v>
      </c>
      <c r="J47" s="2">
        <v>2</v>
      </c>
      <c r="K47" s="2">
        <v>5750</v>
      </c>
      <c r="L47" s="2">
        <f>IF(J47=1,VLOOKUP('Duty Cycle '!K47,'Gearing '!$L$3:$O$28,2),IF(J47=2,VLOOKUP('Duty Cycle '!K47,'Gearing '!$L$2:$O$28,3),IF(J47=3,VLOOKUP('Duty Cycle '!K47,'Gearing '!$L$2:$O$28,4))))</f>
        <v>9.0288463691953762</v>
      </c>
      <c r="M47" s="2">
        <f t="shared" si="0"/>
        <v>20.197529327890056</v>
      </c>
      <c r="N47" s="2">
        <f t="shared" si="9"/>
        <v>-1.2118111383986214</v>
      </c>
      <c r="O47" s="2">
        <f>IF(J47=1,'Gearing '!$C$17*'Duty Cycle '!N47,IF(J47=2,'Gearing '!$C$18*'Duty Cycle '!N47,IF(J47=3,'Gearing '!$C$19*'Duty Cycle '!N47)))</f>
        <v>-732.82260897686308</v>
      </c>
      <c r="P47" s="2">
        <f>IF(F47='Track '!$B$60,'Track '!$F$53,IF(F47='Track '!$B$61,'Track '!$F$54,IF(F47='Track '!$B$62,'Track '!$F$55)))</f>
        <v>0.04</v>
      </c>
      <c r="Q47" s="2">
        <f>P47*'Vehicle '!$F$38*9.81</f>
        <v>229.27932000000001</v>
      </c>
      <c r="R47" s="2">
        <f>0.5*'Vehicle '!$F$51*'Vehicle '!$F$25*'Track '!$F$57*'Duty Cycle '!L47^2</f>
        <v>31.15088791433077</v>
      </c>
      <c r="S47" s="2">
        <f>'Vehicle '!$F$38*9.81*SIN(RADIANS('Duty Cycle '!I47))</f>
        <v>0</v>
      </c>
      <c r="T47" s="2">
        <f t="shared" si="1"/>
        <v>-472.39240106253231</v>
      </c>
      <c r="U47" s="2">
        <f t="shared" si="10"/>
        <v>4.2651584151689317</v>
      </c>
      <c r="V47" s="2">
        <f>'Vehicle '!$F$9-'Duty Cycle '!U47</f>
        <v>9.1576603767773772</v>
      </c>
      <c r="W47" s="2">
        <f t="shared" si="2"/>
        <v>4.2651584151689317</v>
      </c>
      <c r="X47" s="41">
        <f t="shared" si="11"/>
        <v>7.0833500331561359</v>
      </c>
      <c r="Y47" s="41">
        <f t="shared" si="3"/>
        <v>8</v>
      </c>
      <c r="Z47" s="2">
        <f>T47*D47</f>
        <v>-211500.25623196867</v>
      </c>
      <c r="AA47" s="2">
        <f t="shared" si="12"/>
        <v>-352322.79586818651</v>
      </c>
      <c r="AB47" s="2">
        <f>INDEX('BSFC '!$D$5:$AD$27,MATCH('Duty Cycle '!Y47,'BSFC '!$B$5:$B$27,0),MATCH('Duty Cycle '!K47,'BSFC '!$D$28:$AD$28,0))</f>
        <v>492.10327136580003</v>
      </c>
      <c r="AC47" s="2">
        <f>U47*AB47/3600</f>
        <v>0.58302733583277844</v>
      </c>
      <c r="AD47" s="2">
        <f t="shared" si="13"/>
        <v>28.402365888404322</v>
      </c>
      <c r="AE47" s="2">
        <f t="shared" si="14"/>
        <v>1.8015544677232853</v>
      </c>
      <c r="AF47" s="2">
        <f>0.5*'Vehicle '!$F$38*'Duty Cycle '!L47^2/1000</f>
        <v>23.816087503505273</v>
      </c>
      <c r="AG47" s="2">
        <f t="shared" si="4"/>
        <v>-211476.44014446516</v>
      </c>
    </row>
    <row r="48" spans="1:33" ht="30" customHeight="1" x14ac:dyDescent="0.25">
      <c r="A48" s="44">
        <f>MAX(B:B)</f>
        <v>150</v>
      </c>
      <c r="B48" s="39">
        <f t="shared" si="5"/>
        <v>45</v>
      </c>
      <c r="C48" s="2" t="s">
        <v>103</v>
      </c>
      <c r="D48" s="2">
        <f>SUM($L$3:L48)</f>
        <v>456.75039260120514</v>
      </c>
      <c r="E48" s="2">
        <f t="shared" si="6"/>
        <v>9.028846369195378</v>
      </c>
      <c r="F48" s="40" t="s">
        <v>95</v>
      </c>
      <c r="G48" s="2">
        <v>5</v>
      </c>
      <c r="H48" s="2">
        <f t="shared" si="7"/>
        <v>0</v>
      </c>
      <c r="I48" s="2">
        <f t="shared" si="8"/>
        <v>0</v>
      </c>
      <c r="J48" s="2">
        <v>2</v>
      </c>
      <c r="K48" s="2">
        <v>5750</v>
      </c>
      <c r="L48" s="2">
        <f>IF(J48=1,VLOOKUP('Duty Cycle '!K48,'Gearing '!$L$3:$O$28,2),IF(J48=2,VLOOKUP('Duty Cycle '!K48,'Gearing '!$L$2:$O$28,3),IF(J48=3,VLOOKUP('Duty Cycle '!K48,'Gearing '!$L$2:$O$28,4))))</f>
        <v>9.0288463691953762</v>
      </c>
      <c r="M48" s="2">
        <f t="shared" si="0"/>
        <v>20.197529327890056</v>
      </c>
      <c r="N48" s="2">
        <f t="shared" si="9"/>
        <v>0</v>
      </c>
      <c r="O48" s="2">
        <f>IF(J48=1,'Gearing '!$C$17*'Duty Cycle '!N48,IF(J48=2,'Gearing '!$C$18*'Duty Cycle '!N48,IF(J48=3,'Gearing '!$C$19*'Duty Cycle '!N48)))</f>
        <v>0</v>
      </c>
      <c r="P48" s="2">
        <f>IF(F48='Track '!$B$60,'Track '!$F$53,IF(F48='Track '!$B$61,'Track '!$F$54,IF(F48='Track '!$B$62,'Track '!$F$55)))</f>
        <v>0.04</v>
      </c>
      <c r="Q48" s="2">
        <f>P48*'Vehicle '!$F$38*9.81</f>
        <v>229.27932000000001</v>
      </c>
      <c r="R48" s="2">
        <f>0.5*'Vehicle '!$F$51*'Vehicle '!$F$25*'Track '!$F$57*'Duty Cycle '!L48^2</f>
        <v>31.15088791433077</v>
      </c>
      <c r="S48" s="2">
        <f>'Vehicle '!$F$38*9.81*SIN(RADIANS('Duty Cycle '!I48))</f>
        <v>0</v>
      </c>
      <c r="T48" s="2">
        <f t="shared" si="1"/>
        <v>260.43020791433077</v>
      </c>
      <c r="U48" s="2">
        <f t="shared" si="10"/>
        <v>2.3513843371561025</v>
      </c>
      <c r="V48" s="2">
        <f>'Vehicle '!$F$9-'Duty Cycle '!U48</f>
        <v>11.071434454790207</v>
      </c>
      <c r="W48" s="2">
        <f t="shared" si="2"/>
        <v>2.3513843371561025</v>
      </c>
      <c r="X48" s="41">
        <f t="shared" si="11"/>
        <v>3.9050550299191666</v>
      </c>
      <c r="Y48" s="41">
        <f t="shared" si="3"/>
        <v>4</v>
      </c>
      <c r="Z48" s="2">
        <f>T48*D48</f>
        <v>118951.59971008406</v>
      </c>
      <c r="AA48" s="2">
        <f t="shared" si="12"/>
        <v>-233371.19615810245</v>
      </c>
      <c r="AB48" s="2">
        <f>INDEX('BSFC '!$D$5:$AD$27,MATCH('Duty Cycle '!Y48,'BSFC '!$B$5:$B$27,0),MATCH('Duty Cycle '!K48,'BSFC '!$D$28:$AD$28,0))</f>
        <v>735.91109408579985</v>
      </c>
      <c r="AC48" s="2">
        <f>U48*AB48/3600</f>
        <v>0.48066939449243351</v>
      </c>
      <c r="AD48" s="2">
        <f t="shared" si="13"/>
        <v>28.883035282896756</v>
      </c>
      <c r="AE48" s="2">
        <f t="shared" si="14"/>
        <v>1.4852684289816194</v>
      </c>
      <c r="AF48" s="2">
        <f>0.5*'Vehicle '!$F$38*'Duty Cycle '!L48^2/1000</f>
        <v>23.816087503505273</v>
      </c>
      <c r="AG48" s="2">
        <f t="shared" si="4"/>
        <v>118975.41579758757</v>
      </c>
    </row>
    <row r="49" spans="1:33" ht="30" customHeight="1" x14ac:dyDescent="0.25">
      <c r="A49" s="44"/>
      <c r="B49" s="39">
        <f t="shared" si="5"/>
        <v>46</v>
      </c>
      <c r="C49" s="2" t="s">
        <v>103</v>
      </c>
      <c r="D49" s="2">
        <f>SUM($L$3:L49)</f>
        <v>465.77923897040051</v>
      </c>
      <c r="E49" s="2">
        <f t="shared" si="6"/>
        <v>9.028846369195378</v>
      </c>
      <c r="F49" s="40" t="s">
        <v>95</v>
      </c>
      <c r="G49" s="2">
        <v>5</v>
      </c>
      <c r="H49" s="2">
        <f t="shared" si="7"/>
        <v>0</v>
      </c>
      <c r="I49" s="2">
        <f t="shared" si="8"/>
        <v>0</v>
      </c>
      <c r="J49" s="2">
        <v>2</v>
      </c>
      <c r="K49" s="2">
        <v>5750</v>
      </c>
      <c r="L49" s="2">
        <f>IF(J49=1,VLOOKUP('Duty Cycle '!K49,'Gearing '!$L$3:$O$28,2),IF(J49=2,VLOOKUP('Duty Cycle '!K49,'Gearing '!$L$2:$O$28,3),IF(J49=3,VLOOKUP('Duty Cycle '!K49,'Gearing '!$L$2:$O$28,4))))</f>
        <v>9.0288463691953762</v>
      </c>
      <c r="M49" s="2">
        <f t="shared" si="0"/>
        <v>20.197529327890056</v>
      </c>
      <c r="N49" s="2">
        <f t="shared" si="9"/>
        <v>0</v>
      </c>
      <c r="O49" s="2">
        <f>IF(J49=1,'Gearing '!$C$17*'Duty Cycle '!N49,IF(J49=2,'Gearing '!$C$18*'Duty Cycle '!N49,IF(J49=3,'Gearing '!$C$19*'Duty Cycle '!N49)))</f>
        <v>0</v>
      </c>
      <c r="P49" s="2">
        <f>IF(F49='Track '!$B$60,'Track '!$F$53,IF(F49='Track '!$B$61,'Track '!$F$54,IF(F49='Track '!$B$62,'Track '!$F$55)))</f>
        <v>0.04</v>
      </c>
      <c r="Q49" s="2">
        <f>P49*'Vehicle '!$F$38*9.81</f>
        <v>229.27932000000001</v>
      </c>
      <c r="R49" s="2">
        <f>0.5*'Vehicle '!$F$51*'Vehicle '!$F$25*'Track '!$F$57*'Duty Cycle '!L49^2</f>
        <v>31.15088791433077</v>
      </c>
      <c r="S49" s="2">
        <f>'Vehicle '!$F$38*9.81*SIN(RADIANS('Duty Cycle '!I49))</f>
        <v>0</v>
      </c>
      <c r="T49" s="2">
        <f t="shared" si="1"/>
        <v>260.43020791433077</v>
      </c>
      <c r="U49" s="2">
        <f t="shared" si="10"/>
        <v>2.3513843371561025</v>
      </c>
      <c r="V49" s="2">
        <f>'Vehicle '!$F$9-'Duty Cycle '!U49</f>
        <v>11.071434454790207</v>
      </c>
      <c r="W49" s="2">
        <f t="shared" si="2"/>
        <v>2.3513843371561025</v>
      </c>
      <c r="X49" s="41">
        <f t="shared" si="11"/>
        <v>3.9050550299191666</v>
      </c>
      <c r="Y49" s="41">
        <f t="shared" si="3"/>
        <v>4</v>
      </c>
      <c r="Z49" s="2">
        <f>T49*D49</f>
        <v>121302.98404724016</v>
      </c>
      <c r="AA49" s="2">
        <f t="shared" si="12"/>
        <v>-112068.2121108623</v>
      </c>
      <c r="AB49" s="2">
        <f>INDEX('BSFC '!$D$5:$AD$27,MATCH('Duty Cycle '!Y49,'BSFC '!$B$5:$B$27,0),MATCH('Duty Cycle '!K49,'BSFC '!$D$28:$AD$28,0))</f>
        <v>735.91109408579985</v>
      </c>
      <c r="AC49" s="2">
        <f>U49*AB49/3600</f>
        <v>0.48066939449243351</v>
      </c>
      <c r="AD49" s="2">
        <f t="shared" si="13"/>
        <v>29.36370467738919</v>
      </c>
      <c r="AE49" s="2">
        <f t="shared" si="14"/>
        <v>1.4852684289816194</v>
      </c>
      <c r="AF49" s="2">
        <f>0.5*'Vehicle '!$F$38*'Duty Cycle '!L49^2/1000</f>
        <v>23.816087503505273</v>
      </c>
      <c r="AG49" s="2">
        <f t="shared" si="4"/>
        <v>121326.80013474367</v>
      </c>
    </row>
    <row r="50" spans="1:33" ht="30" customHeight="1" x14ac:dyDescent="0.25">
      <c r="A50" s="15" t="s">
        <v>167</v>
      </c>
      <c r="B50" s="39">
        <f t="shared" si="5"/>
        <v>47</v>
      </c>
      <c r="C50" s="2" t="s">
        <v>103</v>
      </c>
      <c r="D50" s="2">
        <f>SUM($L$3:L50)</f>
        <v>474.80808533959589</v>
      </c>
      <c r="E50" s="2">
        <f t="shared" si="6"/>
        <v>9.028846369195378</v>
      </c>
      <c r="F50" s="40" t="s">
        <v>95</v>
      </c>
      <c r="G50" s="2">
        <v>5</v>
      </c>
      <c r="H50" s="2">
        <f t="shared" si="7"/>
        <v>0</v>
      </c>
      <c r="I50" s="2">
        <f t="shared" si="8"/>
        <v>0</v>
      </c>
      <c r="J50" s="2">
        <v>2</v>
      </c>
      <c r="K50" s="2">
        <v>5750</v>
      </c>
      <c r="L50" s="2">
        <f>IF(J50=1,VLOOKUP('Duty Cycle '!K50,'Gearing '!$L$3:$O$28,2),IF(J50=2,VLOOKUP('Duty Cycle '!K50,'Gearing '!$L$2:$O$28,3),IF(J50=3,VLOOKUP('Duty Cycle '!K50,'Gearing '!$L$2:$O$28,4))))</f>
        <v>9.0288463691953762</v>
      </c>
      <c r="M50" s="2">
        <f t="shared" si="0"/>
        <v>20.197529327890056</v>
      </c>
      <c r="N50" s="2">
        <f t="shared" si="9"/>
        <v>0</v>
      </c>
      <c r="O50" s="2">
        <f>IF(J50=1,'Gearing '!$C$17*'Duty Cycle '!N50,IF(J50=2,'Gearing '!$C$18*'Duty Cycle '!N50,IF(J50=3,'Gearing '!$C$19*'Duty Cycle '!N50)))</f>
        <v>0</v>
      </c>
      <c r="P50" s="2">
        <f>IF(F50='Track '!$B$60,'Track '!$F$53,IF(F50='Track '!$B$61,'Track '!$F$54,IF(F50='Track '!$B$62,'Track '!$F$55)))</f>
        <v>0.04</v>
      </c>
      <c r="Q50" s="2">
        <f>P50*'Vehicle '!$F$38*9.81</f>
        <v>229.27932000000001</v>
      </c>
      <c r="R50" s="2">
        <f>0.5*'Vehicle '!$F$51*'Vehicle '!$F$25*'Track '!$F$57*'Duty Cycle '!L50^2</f>
        <v>31.15088791433077</v>
      </c>
      <c r="S50" s="2">
        <f>'Vehicle '!$F$38*9.81*SIN(RADIANS('Duty Cycle '!I50))</f>
        <v>0</v>
      </c>
      <c r="T50" s="2">
        <f t="shared" si="1"/>
        <v>260.43020791433077</v>
      </c>
      <c r="U50" s="2">
        <f t="shared" si="10"/>
        <v>2.3513843371561025</v>
      </c>
      <c r="V50" s="2">
        <f>'Vehicle '!$F$9-'Duty Cycle '!U50</f>
        <v>11.071434454790207</v>
      </c>
      <c r="W50" s="2">
        <f t="shared" si="2"/>
        <v>2.3513843371561025</v>
      </c>
      <c r="X50" s="41">
        <f t="shared" si="11"/>
        <v>3.9050550299191666</v>
      </c>
      <c r="Y50" s="41">
        <f t="shared" si="3"/>
        <v>4</v>
      </c>
      <c r="Z50" s="2">
        <f>T50*D50</f>
        <v>123654.36838439626</v>
      </c>
      <c r="AA50" s="2">
        <f t="shared" si="12"/>
        <v>11586.156273533968</v>
      </c>
      <c r="AB50" s="2">
        <f>INDEX('BSFC '!$D$5:$AD$27,MATCH('Duty Cycle '!Y50,'BSFC '!$B$5:$B$27,0),MATCH('Duty Cycle '!K50,'BSFC '!$D$28:$AD$28,0))</f>
        <v>735.91109408579985</v>
      </c>
      <c r="AC50" s="2">
        <f>U50*AB50/3600</f>
        <v>0.48066939449243351</v>
      </c>
      <c r="AD50" s="2">
        <f t="shared" si="13"/>
        <v>29.844374071881624</v>
      </c>
      <c r="AE50" s="2">
        <f t="shared" si="14"/>
        <v>1.4852684289816194</v>
      </c>
      <c r="AF50" s="2">
        <f>0.5*'Vehicle '!$F$38*'Duty Cycle '!L50^2/1000</f>
        <v>23.816087503505273</v>
      </c>
      <c r="AG50" s="2">
        <f t="shared" si="4"/>
        <v>123678.18447189977</v>
      </c>
    </row>
    <row r="51" spans="1:33" ht="30" customHeight="1" x14ac:dyDescent="0.25">
      <c r="A51" s="15"/>
      <c r="B51" s="39">
        <f t="shared" si="5"/>
        <v>48</v>
      </c>
      <c r="C51" s="2" t="s">
        <v>103</v>
      </c>
      <c r="D51" s="2">
        <f>SUM($L$3:L51)</f>
        <v>483.83693170879127</v>
      </c>
      <c r="E51" s="2">
        <f t="shared" si="6"/>
        <v>9.028846369195378</v>
      </c>
      <c r="F51" s="40" t="s">
        <v>95</v>
      </c>
      <c r="G51" s="2">
        <v>5</v>
      </c>
      <c r="H51" s="2">
        <f t="shared" si="7"/>
        <v>0</v>
      </c>
      <c r="I51" s="2">
        <f t="shared" si="8"/>
        <v>0</v>
      </c>
      <c r="J51" s="2">
        <v>2</v>
      </c>
      <c r="K51" s="2">
        <v>5750</v>
      </c>
      <c r="L51" s="2">
        <f>IF(J51=1,VLOOKUP('Duty Cycle '!K51,'Gearing '!$L$3:$O$28,2),IF(J51=2,VLOOKUP('Duty Cycle '!K51,'Gearing '!$L$2:$O$28,3),IF(J51=3,VLOOKUP('Duty Cycle '!K51,'Gearing '!$L$2:$O$28,4))))</f>
        <v>9.0288463691953762</v>
      </c>
      <c r="M51" s="2">
        <f t="shared" si="0"/>
        <v>20.197529327890056</v>
      </c>
      <c r="N51" s="2">
        <f t="shared" si="9"/>
        <v>0</v>
      </c>
      <c r="O51" s="2">
        <f>IF(J51=1,'Gearing '!$C$17*'Duty Cycle '!N51,IF(J51=2,'Gearing '!$C$18*'Duty Cycle '!N51,IF(J51=3,'Gearing '!$C$19*'Duty Cycle '!N51)))</f>
        <v>0</v>
      </c>
      <c r="P51" s="2">
        <f>IF(F51='Track '!$B$60,'Track '!$F$53,IF(F51='Track '!$B$61,'Track '!$F$54,IF(F51='Track '!$B$62,'Track '!$F$55)))</f>
        <v>0.04</v>
      </c>
      <c r="Q51" s="2">
        <f>P51*'Vehicle '!$F$38*9.81</f>
        <v>229.27932000000001</v>
      </c>
      <c r="R51" s="2">
        <f>0.5*'Vehicle '!$F$51*'Vehicle '!$F$25*'Track '!$F$57*'Duty Cycle '!L51^2</f>
        <v>31.15088791433077</v>
      </c>
      <c r="S51" s="2">
        <f>'Vehicle '!$F$38*9.81*SIN(RADIANS('Duty Cycle '!I51))</f>
        <v>0</v>
      </c>
      <c r="T51" s="2">
        <f t="shared" si="1"/>
        <v>260.43020791433077</v>
      </c>
      <c r="U51" s="2">
        <f t="shared" si="10"/>
        <v>2.3513843371561025</v>
      </c>
      <c r="V51" s="2">
        <f>'Vehicle '!$F$9-'Duty Cycle '!U51</f>
        <v>11.071434454790207</v>
      </c>
      <c r="W51" s="2">
        <f t="shared" si="2"/>
        <v>2.3513843371561025</v>
      </c>
      <c r="X51" s="41">
        <f t="shared" si="11"/>
        <v>3.9050550299191666</v>
      </c>
      <c r="Y51" s="41">
        <f t="shared" si="3"/>
        <v>4</v>
      </c>
      <c r="Z51" s="2">
        <f>T51*D51</f>
        <v>126005.75272155236</v>
      </c>
      <c r="AA51" s="2">
        <f t="shared" si="12"/>
        <v>137591.90899508633</v>
      </c>
      <c r="AB51" s="2">
        <f>INDEX('BSFC '!$D$5:$AD$27,MATCH('Duty Cycle '!Y51,'BSFC '!$B$5:$B$27,0),MATCH('Duty Cycle '!K51,'BSFC '!$D$28:$AD$28,0))</f>
        <v>735.91109408579985</v>
      </c>
      <c r="AC51" s="2">
        <f>U51*AB51/3600</f>
        <v>0.48066939449243351</v>
      </c>
      <c r="AD51" s="2">
        <f t="shared" si="13"/>
        <v>30.325043466374058</v>
      </c>
      <c r="AE51" s="2">
        <f t="shared" si="14"/>
        <v>1.4852684289816194</v>
      </c>
      <c r="AF51" s="2">
        <f>0.5*'Vehicle '!$F$38*'Duty Cycle '!L51^2/1000</f>
        <v>23.816087503505273</v>
      </c>
      <c r="AG51" s="2">
        <f t="shared" si="4"/>
        <v>126029.56880905587</v>
      </c>
    </row>
    <row r="52" spans="1:33" ht="30" customHeight="1" x14ac:dyDescent="0.25">
      <c r="A52" s="44">
        <f>SUM(AE3:AE153)/1000</f>
        <v>0.32236879021344234</v>
      </c>
      <c r="B52" s="39">
        <f t="shared" si="5"/>
        <v>49</v>
      </c>
      <c r="C52" s="2" t="s">
        <v>103</v>
      </c>
      <c r="D52" s="2">
        <f>SUM($L$3:L52)</f>
        <v>492.86577807798665</v>
      </c>
      <c r="E52" s="2">
        <f t="shared" si="6"/>
        <v>9.028846369195378</v>
      </c>
      <c r="F52" s="40" t="s">
        <v>95</v>
      </c>
      <c r="G52" s="2">
        <v>4.8</v>
      </c>
      <c r="H52" s="2">
        <f t="shared" si="7"/>
        <v>-0.20000000000000018</v>
      </c>
      <c r="I52" s="2">
        <f t="shared" si="8"/>
        <v>-1.2689641332522625</v>
      </c>
      <c r="J52" s="2">
        <v>2</v>
      </c>
      <c r="K52" s="2">
        <v>5750</v>
      </c>
      <c r="L52" s="2">
        <f>IF(J52=1,VLOOKUP('Duty Cycle '!K52,'Gearing '!$L$3:$O$28,2),IF(J52=2,VLOOKUP('Duty Cycle '!K52,'Gearing '!$L$2:$O$28,3),IF(J52=3,VLOOKUP('Duty Cycle '!K52,'Gearing '!$L$2:$O$28,4))))</f>
        <v>9.0288463691953762</v>
      </c>
      <c r="M52" s="2">
        <f t="shared" si="0"/>
        <v>20.197529327890056</v>
      </c>
      <c r="N52" s="2">
        <f t="shared" si="9"/>
        <v>0</v>
      </c>
      <c r="O52" s="2">
        <f>IF(J52=1,'Gearing '!$C$17*'Duty Cycle '!N52,IF(J52=2,'Gearing '!$C$18*'Duty Cycle '!N52,IF(J52=3,'Gearing '!$C$19*'Duty Cycle '!N52)))</f>
        <v>0</v>
      </c>
      <c r="P52" s="2">
        <f>IF(F52='Track '!$B$60,'Track '!$F$53,IF(F52='Track '!$B$61,'Track '!$F$54,IF(F52='Track '!$B$62,'Track '!$F$55)))</f>
        <v>0.04</v>
      </c>
      <c r="Q52" s="2">
        <f>P52*'Vehicle '!$F$38*9.81</f>
        <v>229.27932000000001</v>
      </c>
      <c r="R52" s="2">
        <f>0.5*'Vehicle '!$F$51*'Vehicle '!$F$25*'Track '!$F$57*'Duty Cycle '!L52^2</f>
        <v>31.15088791433077</v>
      </c>
      <c r="S52" s="2">
        <f>'Vehicle '!$F$38*9.81*SIN(RADIANS('Duty Cycle '!I52))</f>
        <v>-126.93930116066826</v>
      </c>
      <c r="T52" s="2">
        <f t="shared" si="1"/>
        <v>133.4909067536625</v>
      </c>
      <c r="U52" s="2">
        <f t="shared" si="10"/>
        <v>1.2052688887634042</v>
      </c>
      <c r="V52" s="2">
        <f>'Vehicle '!$F$9-'Duty Cycle '!U52</f>
        <v>12.217549903182904</v>
      </c>
      <c r="W52" s="2">
        <f t="shared" si="2"/>
        <v>1.2052688887634042</v>
      </c>
      <c r="X52" s="41">
        <f t="shared" si="11"/>
        <v>2.0016469711468332</v>
      </c>
      <c r="Y52" s="41">
        <f t="shared" si="3"/>
        <v>3</v>
      </c>
      <c r="Z52" s="2">
        <f>T52*D52</f>
        <v>65793.099623479837</v>
      </c>
      <c r="AA52" s="2">
        <f t="shared" si="12"/>
        <v>203385.00861856615</v>
      </c>
      <c r="AB52" s="2">
        <f>INDEX('BSFC '!$D$5:$AD$27,MATCH('Duty Cycle '!Y52,'BSFC '!$B$5:$B$27,0),MATCH('Duty Cycle '!K52,'BSFC '!$D$28:$AD$28,0))</f>
        <v>811.44928352579996</v>
      </c>
      <c r="AC52" s="2">
        <f>U52*AB52/3600</f>
        <v>0.27167071562305595</v>
      </c>
      <c r="AD52" s="2">
        <f t="shared" si="13"/>
        <v>30.596714181997115</v>
      </c>
      <c r="AE52" s="2">
        <f t="shared" si="14"/>
        <v>0.83946251127524285</v>
      </c>
      <c r="AF52" s="2">
        <f>0.5*'Vehicle '!$F$38*'Duty Cycle '!L52^2/1000</f>
        <v>23.816087503505273</v>
      </c>
      <c r="AG52" s="2">
        <f t="shared" si="4"/>
        <v>65816.915710983347</v>
      </c>
    </row>
    <row r="53" spans="1:33" ht="30" customHeight="1" x14ac:dyDescent="0.25">
      <c r="A53" s="44"/>
      <c r="B53" s="39">
        <f t="shared" si="5"/>
        <v>50</v>
      </c>
      <c r="C53" s="2" t="s">
        <v>103</v>
      </c>
      <c r="D53" s="2">
        <f>SUM($L$3:L53)</f>
        <v>501.89462444718203</v>
      </c>
      <c r="E53" s="2">
        <f t="shared" si="6"/>
        <v>9.028846369195378</v>
      </c>
      <c r="F53" s="40" t="s">
        <v>95</v>
      </c>
      <c r="G53" s="2">
        <v>4.4000000000000004</v>
      </c>
      <c r="H53" s="2">
        <f t="shared" si="7"/>
        <v>-0.39999999999999947</v>
      </c>
      <c r="I53" s="2">
        <f t="shared" si="8"/>
        <v>-2.5366845912291938</v>
      </c>
      <c r="J53" s="2">
        <v>2</v>
      </c>
      <c r="K53" s="2">
        <v>5750</v>
      </c>
      <c r="L53" s="2">
        <f>IF(J53=1,VLOOKUP('Duty Cycle '!K53,'Gearing '!$L$3:$O$28,2),IF(J53=2,VLOOKUP('Duty Cycle '!K53,'Gearing '!$L$2:$O$28,3),IF(J53=3,VLOOKUP('Duty Cycle '!K53,'Gearing '!$L$2:$O$28,4))))</f>
        <v>9.0288463691953762</v>
      </c>
      <c r="M53" s="2">
        <f t="shared" si="0"/>
        <v>20.197529327890056</v>
      </c>
      <c r="N53" s="2">
        <f t="shared" si="9"/>
        <v>0</v>
      </c>
      <c r="O53" s="2">
        <f>IF(J53=1,'Gearing '!$C$17*'Duty Cycle '!N53,IF(J53=2,'Gearing '!$C$18*'Duty Cycle '!N53,IF(J53=3,'Gearing '!$C$19*'Duty Cycle '!N53)))</f>
        <v>0</v>
      </c>
      <c r="P53" s="2">
        <f>IF(F53='Track '!$B$60,'Track '!$F$53,IF(F53='Track '!$B$61,'Track '!$F$54,IF(F53='Track '!$B$62,'Track '!$F$55)))</f>
        <v>0.04</v>
      </c>
      <c r="Q53" s="2">
        <f>P53*'Vehicle '!$F$38*9.81</f>
        <v>229.27932000000001</v>
      </c>
      <c r="R53" s="2">
        <f>0.5*'Vehicle '!$F$51*'Vehicle '!$F$25*'Track '!$F$57*'Duty Cycle '!L53^2</f>
        <v>31.15088791433077</v>
      </c>
      <c r="S53" s="2">
        <f>'Vehicle '!$F$38*9.81*SIN(RADIANS('Duty Cycle '!I53))</f>
        <v>-253.69204132021051</v>
      </c>
      <c r="T53" s="2">
        <f t="shared" si="1"/>
        <v>6.7381665941202584</v>
      </c>
      <c r="U53" s="2">
        <f t="shared" si="10"/>
        <v>6.0837870988356274E-2</v>
      </c>
      <c r="V53" s="2">
        <f>'Vehicle '!$F$9-'Duty Cycle '!U53</f>
        <v>13.361980920957953</v>
      </c>
      <c r="W53" s="2">
        <f t="shared" si="2"/>
        <v>6.0837870988356274E-2</v>
      </c>
      <c r="X53" s="41">
        <f t="shared" si="11"/>
        <v>0.10103632586070169</v>
      </c>
      <c r="Y53" s="41">
        <f t="shared" si="3"/>
        <v>1</v>
      </c>
      <c r="Z53" s="2">
        <f>T53*D53</f>
        <v>3381.8495922185348</v>
      </c>
      <c r="AA53" s="2">
        <f t="shared" si="12"/>
        <v>206766.85821078467</v>
      </c>
      <c r="AB53" s="2">
        <f>INDEX('BSFC '!$D$5:$AD$27,MATCH('Duty Cycle '!Y53,'BSFC '!$B$5:$B$27,0),MATCH('Duty Cycle '!K53,'BSFC '!$D$28:$AD$28,0))</f>
        <v>962.52566240579995</v>
      </c>
      <c r="AC53" s="2">
        <f>U53*AB53/3600</f>
        <v>1.6266114464562841E-2</v>
      </c>
      <c r="AD53" s="2">
        <f t="shared" si="13"/>
        <v>30.612980296461679</v>
      </c>
      <c r="AE53" s="2">
        <f t="shared" si="14"/>
        <v>5.0262293695499179E-2</v>
      </c>
      <c r="AF53" s="2">
        <f>0.5*'Vehicle '!$F$38*'Duty Cycle '!L53^2/1000</f>
        <v>23.816087503505273</v>
      </c>
      <c r="AG53" s="2">
        <f t="shared" si="4"/>
        <v>3405.6656797220398</v>
      </c>
    </row>
    <row r="54" spans="1:33" ht="30" customHeight="1" x14ac:dyDescent="0.25">
      <c r="A54" s="15" t="s">
        <v>169</v>
      </c>
      <c r="B54" s="39">
        <f t="shared" si="5"/>
        <v>51</v>
      </c>
      <c r="C54" s="2" t="s">
        <v>103</v>
      </c>
      <c r="D54" s="2">
        <f>SUM($L$3:L54)</f>
        <v>511.31602935416851</v>
      </c>
      <c r="E54" s="2">
        <f t="shared" si="6"/>
        <v>9.4214049069864814</v>
      </c>
      <c r="F54" s="40" t="s">
        <v>95</v>
      </c>
      <c r="G54" s="2">
        <v>3.6</v>
      </c>
      <c r="H54" s="2">
        <f t="shared" si="7"/>
        <v>-0.80000000000000027</v>
      </c>
      <c r="I54" s="2">
        <f t="shared" si="8"/>
        <v>-4.8535153863405078</v>
      </c>
      <c r="J54" s="2">
        <v>2</v>
      </c>
      <c r="K54" s="2">
        <v>6000</v>
      </c>
      <c r="L54" s="2">
        <f>IF(J54=1,VLOOKUP('Duty Cycle '!K54,'Gearing '!$L$3:$O$28,2),IF(J54=2,VLOOKUP('Duty Cycle '!K54,'Gearing '!$L$2:$O$28,3),IF(J54=3,VLOOKUP('Duty Cycle '!K54,'Gearing '!$L$2:$O$28,4))))</f>
        <v>9.4214049069864778</v>
      </c>
      <c r="M54" s="2">
        <f t="shared" si="0"/>
        <v>21.075682776928751</v>
      </c>
      <c r="N54" s="2">
        <f t="shared" si="9"/>
        <v>0.39255853779110161</v>
      </c>
      <c r="O54" s="2">
        <f>IF(J54=1,'Gearing '!$C$17*'Duty Cycle '!N54,IF(J54=2,'Gearing '!$C$18*'Duty Cycle '!N54,IF(J54=3,'Gearing '!$C$19*'Duty Cycle '!N54)))</f>
        <v>237.39323952771556</v>
      </c>
      <c r="P54" s="2">
        <f>IF(F54='Track '!$B$60,'Track '!$F$53,IF(F54='Track '!$B$61,'Track '!$F$54,IF(F54='Track '!$B$62,'Track '!$F$55)))</f>
        <v>0.04</v>
      </c>
      <c r="Q54" s="2">
        <f>P54*'Vehicle '!$F$38*9.81</f>
        <v>229.27932000000001</v>
      </c>
      <c r="R54" s="2">
        <f>0.5*'Vehicle '!$F$51*'Vehicle '!$F$25*'Track '!$F$57*'Duty Cycle '!L54^2</f>
        <v>33.918547143014209</v>
      </c>
      <c r="S54" s="2">
        <f>'Vehicle '!$F$38*9.81*SIN(RADIANS('Duty Cycle '!I54))</f>
        <v>-484.97477398393755</v>
      </c>
      <c r="T54" s="2">
        <f t="shared" si="1"/>
        <v>15.616332686792219</v>
      </c>
      <c r="U54" s="2">
        <f t="shared" si="10"/>
        <v>0.14712779340447754</v>
      </c>
      <c r="V54" s="2">
        <f>'Vehicle '!$F$9-'Duty Cycle '!U54</f>
        <v>13.275690998541831</v>
      </c>
      <c r="W54" s="2">
        <f t="shared" si="2"/>
        <v>0.14712779340447754</v>
      </c>
      <c r="X54" s="41">
        <f t="shared" si="11"/>
        <v>0.23416115586525754</v>
      </c>
      <c r="Y54" s="41">
        <f t="shared" si="3"/>
        <v>1</v>
      </c>
      <c r="Z54" s="2">
        <f>T54*D54</f>
        <v>7984.8812224843114</v>
      </c>
      <c r="AA54" s="2">
        <f t="shared" si="12"/>
        <v>214751.73943326899</v>
      </c>
      <c r="AB54" s="2">
        <f>INDEX('BSFC '!$D$5:$AD$27,MATCH('Duty Cycle '!Y54,'BSFC '!$B$5:$B$27,0),MATCH('Duty Cycle '!K54,'BSFC '!$D$28:$AD$28,0))</f>
        <v>932.65193792580044</v>
      </c>
      <c r="AC54" s="2">
        <f>U54*AB54/3600</f>
        <v>3.8116394900397997E-2</v>
      </c>
      <c r="AD54" s="2">
        <f t="shared" si="13"/>
        <v>30.651096691362078</v>
      </c>
      <c r="AE54" s="2">
        <f t="shared" si="14"/>
        <v>0.1177796602422298</v>
      </c>
      <c r="AF54" s="2">
        <f>0.5*'Vehicle '!$F$38*'Duty Cycle '!L54^2/1000</f>
        <v>25.932072593608758</v>
      </c>
      <c r="AG54" s="2">
        <f t="shared" si="4"/>
        <v>8010.81329507792</v>
      </c>
    </row>
    <row r="55" spans="1:33" ht="30" customHeight="1" x14ac:dyDescent="0.25">
      <c r="A55" s="15"/>
      <c r="B55" s="39">
        <f t="shared" si="5"/>
        <v>52</v>
      </c>
      <c r="C55" s="2" t="s">
        <v>103</v>
      </c>
      <c r="D55" s="2">
        <f>SUM($L$3:L55)</f>
        <v>521.52255133673714</v>
      </c>
      <c r="E55" s="2">
        <f t="shared" si="6"/>
        <v>10.206521982568631</v>
      </c>
      <c r="F55" s="40" t="s">
        <v>95</v>
      </c>
      <c r="G55" s="2">
        <v>2.6</v>
      </c>
      <c r="H55" s="2">
        <f t="shared" si="7"/>
        <v>-1</v>
      </c>
      <c r="I55" s="2">
        <f t="shared" si="8"/>
        <v>-5.5957840664978376</v>
      </c>
      <c r="J55" s="2">
        <v>2</v>
      </c>
      <c r="K55" s="2">
        <v>6500</v>
      </c>
      <c r="L55" s="2">
        <f>IF(J55=1,VLOOKUP('Duty Cycle '!K55,'Gearing '!$L$3:$O$28,2),IF(J55=2,VLOOKUP('Duty Cycle '!K55,'Gearing '!$L$2:$O$28,3),IF(J55=3,VLOOKUP('Duty Cycle '!K55,'Gearing '!$L$2:$O$28,4))))</f>
        <v>10.206521982568686</v>
      </c>
      <c r="M55" s="2">
        <f t="shared" si="0"/>
        <v>22.831989675006152</v>
      </c>
      <c r="N55" s="2">
        <f t="shared" si="9"/>
        <v>0.78511707558220856</v>
      </c>
      <c r="O55" s="2">
        <f>IF(J55=1,'Gearing '!$C$17*'Duty Cycle '!N55,IF(J55=2,'Gearing '!$C$18*'Duty Cycle '!N55,IF(J55=3,'Gearing '!$C$19*'Duty Cycle '!N55)))</f>
        <v>474.78647905543431</v>
      </c>
      <c r="P55" s="2">
        <f>IF(F55='Track '!$B$60,'Track '!$F$53,IF(F55='Track '!$B$61,'Track '!$F$54,IF(F55='Track '!$B$62,'Track '!$F$55)))</f>
        <v>0.04</v>
      </c>
      <c r="Q55" s="2">
        <f>P55*'Vehicle '!$F$38*9.81</f>
        <v>229.27932000000001</v>
      </c>
      <c r="R55" s="2">
        <f>0.5*'Vehicle '!$F$51*'Vehicle '!$F$25*'Track '!$F$57*'Duty Cycle '!L55^2</f>
        <v>39.807183799787531</v>
      </c>
      <c r="S55" s="2">
        <f>'Vehicle '!$F$38*9.81*SIN(RADIANS('Duty Cycle '!I55))</f>
        <v>-558.92376361901165</v>
      </c>
      <c r="T55" s="2">
        <f t="shared" si="1"/>
        <v>184.94921923621018</v>
      </c>
      <c r="U55" s="2">
        <f t="shared" si="10"/>
        <v>1.8876882717932948</v>
      </c>
      <c r="V55" s="2">
        <f>'Vehicle '!$F$9-'Duty Cycle '!U55</f>
        <v>11.535130520153015</v>
      </c>
      <c r="W55" s="2">
        <f t="shared" si="2"/>
        <v>1.8876882717932948</v>
      </c>
      <c r="X55" s="41">
        <f t="shared" si="11"/>
        <v>2.7732454105153854</v>
      </c>
      <c r="Y55" s="41">
        <f t="shared" si="3"/>
        <v>3</v>
      </c>
      <c r="Z55" s="2">
        <f>T55*D55</f>
        <v>96455.188683805871</v>
      </c>
      <c r="AA55" s="2">
        <f t="shared" si="12"/>
        <v>311206.92811707489</v>
      </c>
      <c r="AB55" s="2">
        <f>INDEX('BSFC '!$D$5:$AD$27,MATCH('Duty Cycle '!Y55,'BSFC '!$B$5:$B$27,0),MATCH('Duty Cycle '!K55,'BSFC '!$D$28:$AD$28,0))</f>
        <v>846.27984386579999</v>
      </c>
      <c r="AC55" s="2">
        <f>U55*AB55/3600</f>
        <v>0.4437534822001476</v>
      </c>
      <c r="AD55" s="2">
        <f t="shared" si="13"/>
        <v>31.094850173562225</v>
      </c>
      <c r="AE55" s="2">
        <f t="shared" si="14"/>
        <v>1.371198259998456</v>
      </c>
      <c r="AF55" s="2">
        <f>0.5*'Vehicle '!$F$38*'Duty Cycle '!L55^2/1000</f>
        <v>30.434168529999184</v>
      </c>
      <c r="AG55" s="2">
        <f t="shared" si="4"/>
        <v>96485.622852335873</v>
      </c>
    </row>
    <row r="56" spans="1:33" ht="30" customHeight="1" x14ac:dyDescent="0.25">
      <c r="A56" s="44">
        <f>A52*A40</f>
        <v>69.631658686103549</v>
      </c>
      <c r="B56" s="39">
        <f t="shared" si="5"/>
        <v>53</v>
      </c>
      <c r="C56" s="2" t="s">
        <v>96</v>
      </c>
      <c r="D56" s="2">
        <f>SUM($L$3:L56)</f>
        <v>532.27524171971083</v>
      </c>
      <c r="E56" s="2">
        <f t="shared" si="6"/>
        <v>10.752690382973697</v>
      </c>
      <c r="F56" s="40" t="s">
        <v>95</v>
      </c>
      <c r="G56" s="2">
        <v>1.6</v>
      </c>
      <c r="H56" s="2">
        <f t="shared" si="7"/>
        <v>-1</v>
      </c>
      <c r="I56" s="2">
        <f t="shared" si="8"/>
        <v>-5.3132235521808404</v>
      </c>
      <c r="J56" s="2">
        <v>3</v>
      </c>
      <c r="K56" s="2">
        <v>5250</v>
      </c>
      <c r="L56" s="2">
        <f>IF(J56=1,VLOOKUP('Duty Cycle '!K56,'Gearing '!$L$3:$O$28,2),IF(J56=2,VLOOKUP('Duty Cycle '!K56,'Gearing '!$L$2:$O$28,3),IF(J56=3,VLOOKUP('Duty Cycle '!K56,'Gearing '!$L$2:$O$28,4))))</f>
        <v>10.752690382973697</v>
      </c>
      <c r="M56" s="2">
        <f t="shared" si="0"/>
        <v>24.053768386712161</v>
      </c>
      <c r="N56" s="2">
        <f t="shared" si="9"/>
        <v>0.54616840040501025</v>
      </c>
      <c r="O56" s="2">
        <f>IF(J56=1,'Gearing '!$C$17*'Duty Cycle '!N56,IF(J56=2,'Gearing '!$C$18*'Duty Cycle '!N56,IF(J56=3,'Gearing '!$C$19*'Duty Cycle '!N56)))</f>
        <v>328.89370588341745</v>
      </c>
      <c r="P56" s="2">
        <f>IF(F56='Track '!$B$60,'Track '!$F$53,IF(F56='Track '!$B$61,'Track '!$F$54,IF(F56='Track '!$B$62,'Track '!$F$55)))</f>
        <v>0.04</v>
      </c>
      <c r="Q56" s="2">
        <f>P56*'Vehicle '!$F$38*9.81</f>
        <v>229.27932000000001</v>
      </c>
      <c r="R56" s="2">
        <f>0.5*'Vehicle '!$F$51*'Vehicle '!$F$25*'Track '!$F$57*'Duty Cycle '!L56^2</f>
        <v>44.181472383238614</v>
      </c>
      <c r="S56" s="2">
        <f>'Vehicle '!$F$38*9.81*SIN(RADIANS('Duty Cycle '!I56))</f>
        <v>-530.7838772800834</v>
      </c>
      <c r="T56" s="2">
        <f t="shared" si="1"/>
        <v>71.570620986572692</v>
      </c>
      <c r="U56" s="2">
        <f t="shared" si="10"/>
        <v>0.76957672798577559</v>
      </c>
      <c r="V56" s="2">
        <f>'Vehicle '!$F$9-'Duty Cycle '!U56</f>
        <v>12.653242063960533</v>
      </c>
      <c r="W56" s="2">
        <f t="shared" si="2"/>
        <v>0.76957672798577559</v>
      </c>
      <c r="X56" s="41">
        <f t="shared" si="11"/>
        <v>1.3997936039705503</v>
      </c>
      <c r="Y56" s="41">
        <f t="shared" si="3"/>
        <v>2</v>
      </c>
      <c r="Z56" s="2">
        <f>T56*D56</f>
        <v>38095.269585657792</v>
      </c>
      <c r="AA56" s="2">
        <f t="shared" si="12"/>
        <v>349302.19770273269</v>
      </c>
      <c r="AB56" s="2">
        <f>INDEX('BSFC '!$D$5:$AD$27,MATCH('Duty Cycle '!Y56,'BSFC '!$B$5:$B$27,0),MATCH('Duty Cycle '!K56,'BSFC '!$D$28:$AD$28,0))</f>
        <v>872.45338192580004</v>
      </c>
      <c r="AC56" s="2">
        <f>U56*AB56/3600</f>
        <v>0.1865055052729393</v>
      </c>
      <c r="AD56" s="2">
        <f t="shared" si="13"/>
        <v>31.281355678835165</v>
      </c>
      <c r="AE56" s="2">
        <f t="shared" si="14"/>
        <v>0.57630201129338243</v>
      </c>
      <c r="AF56" s="2">
        <f>0.5*'Vehicle '!$F$38*'Duty Cycle '!L56^2/1000</f>
        <v>33.77848539042256</v>
      </c>
      <c r="AG56" s="2">
        <f t="shared" si="4"/>
        <v>38129.048071048215</v>
      </c>
    </row>
    <row r="57" spans="1:33" ht="30" customHeight="1" x14ac:dyDescent="0.25">
      <c r="A57" s="44"/>
      <c r="B57" s="39">
        <f t="shared" si="5"/>
        <v>54</v>
      </c>
      <c r="C57" s="2" t="s">
        <v>96</v>
      </c>
      <c r="D57" s="2">
        <f>SUM($L$3:L57)</f>
        <v>544.05199785344394</v>
      </c>
      <c r="E57" s="2">
        <f t="shared" si="6"/>
        <v>11.776756133733102</v>
      </c>
      <c r="F57" s="40" t="s">
        <v>95</v>
      </c>
      <c r="G57" s="2">
        <v>0.8</v>
      </c>
      <c r="H57" s="2">
        <f t="shared" si="7"/>
        <v>-0.8</v>
      </c>
      <c r="I57" s="2">
        <f t="shared" si="8"/>
        <v>-3.8861561408986303</v>
      </c>
      <c r="J57" s="2">
        <v>3</v>
      </c>
      <c r="K57" s="2">
        <v>5750</v>
      </c>
      <c r="L57" s="2">
        <f>IF(J57=1,VLOOKUP('Duty Cycle '!K57,'Gearing '!$L$3:$O$28,2),IF(J57=2,VLOOKUP('Duty Cycle '!K57,'Gearing '!$L$2:$O$28,3),IF(J57=3,VLOOKUP('Duty Cycle '!K57,'Gearing '!$L$2:$O$28,4))))</f>
        <v>11.776756133733098</v>
      </c>
      <c r="M57" s="2">
        <f t="shared" si="0"/>
        <v>26.344603471160941</v>
      </c>
      <c r="N57" s="2">
        <f t="shared" si="9"/>
        <v>1.0240657507594015</v>
      </c>
      <c r="O57" s="2">
        <f>IF(J57=1,'Gearing '!$C$17*'Duty Cycle '!N57,IF(J57=2,'Gearing '!$C$18*'Duty Cycle '!N57,IF(J57=3,'Gearing '!$C$19*'Duty Cycle '!N57)))</f>
        <v>616.67569853141219</v>
      </c>
      <c r="P57" s="2">
        <f>IF(F57='Track '!$B$60,'Track '!$F$53,IF(F57='Track '!$B$61,'Track '!$F$54,IF(F57='Track '!$B$62,'Track '!$F$55)))</f>
        <v>0.04</v>
      </c>
      <c r="Q57" s="2">
        <f>P57*'Vehicle '!$F$38*9.81</f>
        <v>229.27932000000001</v>
      </c>
      <c r="R57" s="2">
        <f>0.5*'Vehicle '!$F$51*'Vehicle '!$F$25*'Track '!$F$57*'Duty Cycle '!L57^2</f>
        <v>52.997729910959706</v>
      </c>
      <c r="S57" s="2">
        <f>'Vehicle '!$F$38*9.81*SIN(RADIANS('Duty Cycle '!I57))</f>
        <v>-388.48071864370934</v>
      </c>
      <c r="T57" s="2">
        <f t="shared" si="1"/>
        <v>510.47202979866256</v>
      </c>
      <c r="U57" s="2">
        <f t="shared" si="10"/>
        <v>6.0117046080305849</v>
      </c>
      <c r="V57" s="2">
        <f>'Vehicle '!$F$9-'Duty Cycle '!U57</f>
        <v>7.411114183915724</v>
      </c>
      <c r="W57" s="2">
        <f t="shared" si="2"/>
        <v>6.0117046080305849</v>
      </c>
      <c r="X57" s="41">
        <f t="shared" si="11"/>
        <v>9.9839217889710525</v>
      </c>
      <c r="Y57" s="41">
        <f t="shared" si="3"/>
        <v>10</v>
      </c>
      <c r="Z57" s="2">
        <f>T57*D57</f>
        <v>277723.32766026515</v>
      </c>
      <c r="AA57" s="2">
        <f t="shared" si="12"/>
        <v>627025.52536299778</v>
      </c>
      <c r="AB57" s="2">
        <f>INDEX('BSFC '!$D$5:$AD$27,MATCH('Duty Cycle '!Y57,'BSFC '!$B$5:$B$27,0),MATCH('Duty Cycle '!K57,'BSFC '!$D$28:$AD$28,0))</f>
        <v>415.54656848580015</v>
      </c>
      <c r="AC57" s="2">
        <f>U57*AB57/3600</f>
        <v>0.69392867239371714</v>
      </c>
      <c r="AD57" s="2">
        <f t="shared" si="13"/>
        <v>31.975284351228883</v>
      </c>
      <c r="AE57" s="2">
        <f t="shared" si="14"/>
        <v>2.1442395976965858</v>
      </c>
      <c r="AF57" s="2">
        <f>0.5*'Vehicle '!$F$38*'Duty Cycle '!L57^2/1000</f>
        <v>40.518863427513693</v>
      </c>
      <c r="AG57" s="2">
        <f t="shared" si="4"/>
        <v>277763.84652369266</v>
      </c>
    </row>
    <row r="58" spans="1:33" ht="30" customHeight="1" x14ac:dyDescent="0.25">
      <c r="B58" s="39">
        <f t="shared" si="5"/>
        <v>55</v>
      </c>
      <c r="C58" s="2" t="s">
        <v>96</v>
      </c>
      <c r="D58" s="2">
        <f>SUM($L$3:L58)</f>
        <v>556.85281973793644</v>
      </c>
      <c r="E58" s="2">
        <f t="shared" si="6"/>
        <v>12.800821884492507</v>
      </c>
      <c r="F58" s="40" t="s">
        <v>95</v>
      </c>
      <c r="G58" s="2">
        <v>0.3</v>
      </c>
      <c r="H58" s="2">
        <f t="shared" si="7"/>
        <v>-0.5</v>
      </c>
      <c r="I58" s="2">
        <f t="shared" si="8"/>
        <v>-2.2368355827447917</v>
      </c>
      <c r="J58" s="2">
        <v>3</v>
      </c>
      <c r="K58" s="2">
        <v>6250</v>
      </c>
      <c r="L58" s="2">
        <f>IF(J58=1,VLOOKUP('Duty Cycle '!K58,'Gearing '!$L$3:$O$28,2),IF(J58=2,VLOOKUP('Duty Cycle '!K58,'Gearing '!$L$2:$O$28,3),IF(J58=3,VLOOKUP('Duty Cycle '!K58,'Gearing '!$L$2:$O$28,4))))</f>
        <v>12.800821884492496</v>
      </c>
      <c r="M58" s="2">
        <f t="shared" si="0"/>
        <v>28.635438555609714</v>
      </c>
      <c r="N58" s="2">
        <f t="shared" si="9"/>
        <v>1.024065750759398</v>
      </c>
      <c r="O58" s="2">
        <f>IF(J58=1,'Gearing '!$C$17*'Duty Cycle '!N58,IF(J58=2,'Gearing '!$C$18*'Duty Cycle '!N58,IF(J58=3,'Gearing '!$C$19*'Duty Cycle '!N58)))</f>
        <v>616.67569853141003</v>
      </c>
      <c r="P58" s="2">
        <f>IF(F58='Track '!$B$60,'Track '!$F$53,IF(F58='Track '!$B$61,'Track '!$F$54,IF(F58='Track '!$B$62,'Track '!$F$55)))</f>
        <v>0.04</v>
      </c>
      <c r="Q58" s="2">
        <f>P58*'Vehicle '!$F$38*9.81</f>
        <v>229.27932000000001</v>
      </c>
      <c r="R58" s="2">
        <f>0.5*'Vehicle '!$F$51*'Vehicle '!$F$25*'Track '!$F$57*'Duty Cycle '!L58^2</f>
        <v>62.615465395746334</v>
      </c>
      <c r="S58" s="2">
        <f>'Vehicle '!$F$38*9.81*SIN(RADIANS('Duty Cycle '!I58))</f>
        <v>-223.72061162531148</v>
      </c>
      <c r="T58" s="2">
        <f t="shared" si="1"/>
        <v>684.84987230184493</v>
      </c>
      <c r="U58" s="2">
        <f t="shared" si="10"/>
        <v>8.766641232953349</v>
      </c>
      <c r="V58" s="2">
        <f>'Vehicle '!$F$9-'Duty Cycle '!U58</f>
        <v>4.6561775589929599</v>
      </c>
      <c r="W58" s="2">
        <f t="shared" si="2"/>
        <v>8.766641232953349</v>
      </c>
      <c r="X58" s="41">
        <f t="shared" si="11"/>
        <v>13.394441150762434</v>
      </c>
      <c r="Y58" s="41">
        <f t="shared" si="3"/>
        <v>14</v>
      </c>
      <c r="Z58" s="2">
        <f>T58*D58</f>
        <v>381360.58248844807</v>
      </c>
      <c r="AA58" s="2">
        <f t="shared" si="12"/>
        <v>1008386.1078514459</v>
      </c>
      <c r="AB58" s="2">
        <f>INDEX('BSFC '!$D$5:$AD$27,MATCH('Duty Cycle '!Y58,'BSFC '!$B$5:$B$27,0),MATCH('Duty Cycle '!K58,'BSFC '!$D$28:$AD$28,0))</f>
        <v>386.35906296580015</v>
      </c>
      <c r="AC58" s="2">
        <f>U58*AB58/3600</f>
        <v>0.94085313670033421</v>
      </c>
      <c r="AD58" s="2">
        <f t="shared" si="13"/>
        <v>32.91613748792922</v>
      </c>
      <c r="AE58" s="2">
        <f t="shared" si="14"/>
        <v>2.9072361924040324</v>
      </c>
      <c r="AF58" s="2">
        <f>0.5*'Vehicle '!$F$38*'Duty Cycle '!L58^2/1000</f>
        <v>47.872003104340365</v>
      </c>
      <c r="AG58" s="2">
        <f t="shared" si="4"/>
        <v>381408.45449155243</v>
      </c>
    </row>
    <row r="59" spans="1:33" ht="30" customHeight="1" x14ac:dyDescent="0.25">
      <c r="B59" s="39">
        <f t="shared" si="5"/>
        <v>56</v>
      </c>
      <c r="C59" s="2" t="s">
        <v>96</v>
      </c>
      <c r="D59" s="2">
        <f>SUM($L$3:L59)</f>
        <v>570.1656744978086</v>
      </c>
      <c r="E59" s="2">
        <f t="shared" si="6"/>
        <v>13.312854759872152</v>
      </c>
      <c r="F59" s="40" t="s">
        <v>95</v>
      </c>
      <c r="G59" s="2">
        <v>0.1</v>
      </c>
      <c r="H59" s="2">
        <f t="shared" si="7"/>
        <v>-0.19999999999999998</v>
      </c>
      <c r="I59" s="2">
        <f t="shared" si="8"/>
        <v>-0.86069397910672041</v>
      </c>
      <c r="J59" s="2">
        <v>3</v>
      </c>
      <c r="K59" s="2">
        <v>6500</v>
      </c>
      <c r="L59" s="2">
        <f>IF(J59=1,VLOOKUP('Duty Cycle '!K59,'Gearing '!$L$3:$O$28,2),IF(J59=2,VLOOKUP('Duty Cycle '!K59,'Gearing '!$L$2:$O$28,3),IF(J59=3,VLOOKUP('Duty Cycle '!K59,'Gearing '!$L$2:$O$28,4))))</f>
        <v>13.312854759872195</v>
      </c>
      <c r="M59" s="2">
        <f t="shared" si="0"/>
        <v>29.780856097834103</v>
      </c>
      <c r="N59" s="2">
        <f t="shared" si="9"/>
        <v>0.51203287537969899</v>
      </c>
      <c r="O59" s="2">
        <f>IF(J59=1,'Gearing '!$C$17*'Duty Cycle '!N59,IF(J59=2,'Gearing '!$C$18*'Duty Cycle '!N59,IF(J59=3,'Gearing '!$C$19*'Duty Cycle '!N59)))</f>
        <v>308.33784926570502</v>
      </c>
      <c r="P59" s="2">
        <f>IF(F59='Track '!$B$60,'Track '!$F$53,IF(F59='Track '!$B$61,'Track '!$F$54,IF(F59='Track '!$B$62,'Track '!$F$55)))</f>
        <v>0.04</v>
      </c>
      <c r="Q59" s="2">
        <f>P59*'Vehicle '!$F$38*9.81</f>
        <v>229.27932000000001</v>
      </c>
      <c r="R59" s="2">
        <f>0.5*'Vehicle '!$F$51*'Vehicle '!$F$25*'Track '!$F$57*'Duty Cycle '!L59^2</f>
        <v>67.724887372039234</v>
      </c>
      <c r="S59" s="2">
        <f>'Vehicle '!$F$38*9.81*SIN(RADIANS('Duty Cycle '!I59))</f>
        <v>-86.102288041906689</v>
      </c>
      <c r="T59" s="2">
        <f t="shared" si="1"/>
        <v>519.23976859583752</v>
      </c>
      <c r="U59" s="2">
        <f t="shared" si="10"/>
        <v>6.9125636248660332</v>
      </c>
      <c r="V59" s="2">
        <f>'Vehicle '!$F$9-'Duty Cycle '!U59</f>
        <v>6.5102551670802757</v>
      </c>
      <c r="W59" s="2">
        <f t="shared" si="2"/>
        <v>6.9125636248660332</v>
      </c>
      <c r="X59" s="41">
        <f t="shared" si="11"/>
        <v>10.155403110781469</v>
      </c>
      <c r="Y59" s="41">
        <f t="shared" si="3"/>
        <v>11</v>
      </c>
      <c r="Z59" s="2">
        <f>T59*D59</f>
        <v>296052.69288753177</v>
      </c>
      <c r="AA59" s="2">
        <f t="shared" si="12"/>
        <v>1304438.8007389777</v>
      </c>
      <c r="AB59" s="2">
        <f>INDEX('BSFC '!$D$5:$AD$27,MATCH('Duty Cycle '!Y59,'BSFC '!$B$5:$B$27,0),MATCH('Duty Cycle '!K59,'BSFC '!$D$28:$AD$28,0))</f>
        <v>540.33478472579975</v>
      </c>
      <c r="AC59" s="2">
        <f>U59*AB59/3600</f>
        <v>1.0375273828181617</v>
      </c>
      <c r="AD59" s="2">
        <f t="shared" si="13"/>
        <v>33.953664870747382</v>
      </c>
      <c r="AE59" s="2">
        <f t="shared" si="14"/>
        <v>3.2059596129081194</v>
      </c>
      <c r="AF59" s="2">
        <f>0.5*'Vehicle '!$F$38*'Duty Cycle '!L59^2/1000</f>
        <v>51.778358557654528</v>
      </c>
      <c r="AG59" s="2">
        <f t="shared" si="4"/>
        <v>296104.47124608944</v>
      </c>
    </row>
    <row r="60" spans="1:33" ht="30" customHeight="1" x14ac:dyDescent="0.25">
      <c r="B60" s="39">
        <f t="shared" si="5"/>
        <v>57</v>
      </c>
      <c r="C60" s="2" t="s">
        <v>96</v>
      </c>
      <c r="D60" s="2">
        <f>SUM($L$3:L60)</f>
        <v>583.47852925768075</v>
      </c>
      <c r="E60" s="2">
        <f t="shared" si="6"/>
        <v>13.312854759872152</v>
      </c>
      <c r="F60" s="40" t="s">
        <v>95</v>
      </c>
      <c r="G60" s="2">
        <v>0</v>
      </c>
      <c r="H60" s="2">
        <f t="shared" si="7"/>
        <v>-0.1</v>
      </c>
      <c r="I60" s="2">
        <f t="shared" si="8"/>
        <v>-0.43037126881883736</v>
      </c>
      <c r="J60" s="2">
        <v>3</v>
      </c>
      <c r="K60" s="2">
        <v>6500</v>
      </c>
      <c r="L60" s="2">
        <f>IF(J60=1,VLOOKUP('Duty Cycle '!K60,'Gearing '!$L$3:$O$28,2),IF(J60=2,VLOOKUP('Duty Cycle '!K60,'Gearing '!$L$2:$O$28,3),IF(J60=3,VLOOKUP('Duty Cycle '!K60,'Gearing '!$L$2:$O$28,4))))</f>
        <v>13.312854759872195</v>
      </c>
      <c r="M60" s="2">
        <f t="shared" si="0"/>
        <v>29.780856097834103</v>
      </c>
      <c r="N60" s="2">
        <f t="shared" si="9"/>
        <v>0</v>
      </c>
      <c r="O60" s="2">
        <f>IF(J60=1,'Gearing '!$C$17*'Duty Cycle '!N60,IF(J60=2,'Gearing '!$C$18*'Duty Cycle '!N60,IF(J60=3,'Gearing '!$C$19*'Duty Cycle '!N60)))</f>
        <v>0</v>
      </c>
      <c r="P60" s="2">
        <f>IF(F60='Track '!$B$60,'Track '!$F$53,IF(F60='Track '!$B$61,'Track '!$F$54,IF(F60='Track '!$B$62,'Track '!$F$55)))</f>
        <v>0.04</v>
      </c>
      <c r="Q60" s="2">
        <f>P60*'Vehicle '!$F$38*9.81</f>
        <v>229.27932000000001</v>
      </c>
      <c r="R60" s="2">
        <f>0.5*'Vehicle '!$F$51*'Vehicle '!$F$25*'Track '!$F$57*'Duty Cycle '!L60^2</f>
        <v>67.724887372039234</v>
      </c>
      <c r="S60" s="2">
        <f>'Vehicle '!$F$38*9.81*SIN(RADIANS('Duty Cycle '!I60))</f>
        <v>-43.054787285337035</v>
      </c>
      <c r="T60" s="2">
        <f t="shared" si="1"/>
        <v>253.94942008670219</v>
      </c>
      <c r="U60" s="2">
        <f t="shared" si="10"/>
        <v>3.380791745968037</v>
      </c>
      <c r="V60" s="2">
        <f>'Vehicle '!$F$9-'Duty Cycle '!U60</f>
        <v>10.042027045978273</v>
      </c>
      <c r="W60" s="2">
        <f t="shared" si="2"/>
        <v>3.380791745968037</v>
      </c>
      <c r="X60" s="41">
        <f t="shared" si="11"/>
        <v>4.9667973963239298</v>
      </c>
      <c r="Y60" s="41">
        <f t="shared" si="3"/>
        <v>5</v>
      </c>
      <c r="Z60" s="2">
        <f>T60*D60</f>
        <v>148174.03413802994</v>
      </c>
      <c r="AA60" s="2">
        <f t="shared" si="12"/>
        <v>1452612.8348770076</v>
      </c>
      <c r="AB60" s="2">
        <f>INDEX('BSFC '!$D$5:$AD$27,MATCH('Duty Cycle '!Y60,'BSFC '!$B$5:$B$27,0),MATCH('Duty Cycle '!K60,'BSFC '!$D$28:$AD$28,0))</f>
        <v>736.32698336579983</v>
      </c>
      <c r="AC60" s="2">
        <f>U60*AB60/3600</f>
        <v>0.69149116324906679</v>
      </c>
      <c r="AD60" s="2">
        <f t="shared" si="13"/>
        <v>34.64515603399645</v>
      </c>
      <c r="AE60" s="2">
        <f t="shared" si="14"/>
        <v>2.1367076944396164</v>
      </c>
      <c r="AF60" s="2">
        <f>0.5*'Vehicle '!$F$38*'Duty Cycle '!L60^2/1000</f>
        <v>51.778358557654528</v>
      </c>
      <c r="AG60" s="2">
        <f t="shared" si="4"/>
        <v>148225.8124965876</v>
      </c>
    </row>
    <row r="61" spans="1:33" ht="30" customHeight="1" x14ac:dyDescent="0.25">
      <c r="B61" s="39">
        <f t="shared" si="5"/>
        <v>58</v>
      </c>
      <c r="C61" s="2" t="s">
        <v>96</v>
      </c>
      <c r="D61" s="2">
        <f>SUM($L$3:L61)</f>
        <v>596.7913840175529</v>
      </c>
      <c r="E61" s="2">
        <f t="shared" si="6"/>
        <v>13.312854759872152</v>
      </c>
      <c r="F61" s="40" t="s">
        <v>95</v>
      </c>
      <c r="G61" s="2">
        <v>0</v>
      </c>
      <c r="H61" s="2">
        <f t="shared" si="7"/>
        <v>0</v>
      </c>
      <c r="I61" s="2">
        <f t="shared" si="8"/>
        <v>0</v>
      </c>
      <c r="J61" s="2">
        <v>3</v>
      </c>
      <c r="K61" s="2">
        <v>6500</v>
      </c>
      <c r="L61" s="2">
        <f>IF(J61=1,VLOOKUP('Duty Cycle '!K61,'Gearing '!$L$3:$O$28,2),IF(J61=2,VLOOKUP('Duty Cycle '!K61,'Gearing '!$L$2:$O$28,3),IF(J61=3,VLOOKUP('Duty Cycle '!K61,'Gearing '!$L$2:$O$28,4))))</f>
        <v>13.312854759872195</v>
      </c>
      <c r="M61" s="2">
        <f t="shared" si="0"/>
        <v>29.780856097834103</v>
      </c>
      <c r="N61" s="2">
        <f t="shared" si="9"/>
        <v>0</v>
      </c>
      <c r="O61" s="2">
        <f>IF(J61=1,'Gearing '!$C$17*'Duty Cycle '!N61,IF(J61=2,'Gearing '!$C$18*'Duty Cycle '!N61,IF(J61=3,'Gearing '!$C$19*'Duty Cycle '!N61)))</f>
        <v>0</v>
      </c>
      <c r="P61" s="2">
        <f>IF(F61='Track '!$B$60,'Track '!$F$53,IF(F61='Track '!$B$61,'Track '!$F$54,IF(F61='Track '!$B$62,'Track '!$F$55)))</f>
        <v>0.04</v>
      </c>
      <c r="Q61" s="2">
        <f>P61*'Vehicle '!$F$38*9.81</f>
        <v>229.27932000000001</v>
      </c>
      <c r="R61" s="2">
        <f>0.5*'Vehicle '!$F$51*'Vehicle '!$F$25*'Track '!$F$57*'Duty Cycle '!L61^2</f>
        <v>67.724887372039234</v>
      </c>
      <c r="S61" s="2">
        <f>'Vehicle '!$F$38*9.81*SIN(RADIANS('Duty Cycle '!I61))</f>
        <v>0</v>
      </c>
      <c r="T61" s="2">
        <f t="shared" si="1"/>
        <v>297.00420737203922</v>
      </c>
      <c r="U61" s="2">
        <f t="shared" si="10"/>
        <v>3.953973875814921</v>
      </c>
      <c r="V61" s="2">
        <f>'Vehicle '!$F$9-'Duty Cycle '!U61</f>
        <v>9.4688449161313883</v>
      </c>
      <c r="W61" s="2">
        <f t="shared" si="2"/>
        <v>3.953973875814921</v>
      </c>
      <c r="X61" s="41">
        <f t="shared" si="11"/>
        <v>5.8088721894661344</v>
      </c>
      <c r="Y61" s="41">
        <f t="shared" si="3"/>
        <v>6</v>
      </c>
      <c r="Z61" s="2">
        <f>T61*D61</f>
        <v>177249.55197659557</v>
      </c>
      <c r="AA61" s="2">
        <f t="shared" si="12"/>
        <v>1629862.3868536032</v>
      </c>
      <c r="AB61" s="2">
        <f>INDEX('BSFC '!$D$5:$AD$27,MATCH('Duty Cycle '!Y61,'BSFC '!$B$5:$B$27,0),MATCH('Duty Cycle '!K61,'BSFC '!$D$28:$AD$28,0))</f>
        <v>656.24441744579997</v>
      </c>
      <c r="AC61" s="2">
        <f>U61*AB61/3600</f>
        <v>0.72077035631390962</v>
      </c>
      <c r="AD61" s="2">
        <f t="shared" si="13"/>
        <v>35.365926390310356</v>
      </c>
      <c r="AE61" s="2">
        <f t="shared" si="14"/>
        <v>2.2271804010099805</v>
      </c>
      <c r="AF61" s="2">
        <f>0.5*'Vehicle '!$F$38*'Duty Cycle '!L61^2/1000</f>
        <v>51.778358557654528</v>
      </c>
      <c r="AG61" s="2">
        <f t="shared" si="4"/>
        <v>177301.33033515324</v>
      </c>
    </row>
    <row r="62" spans="1:33" ht="30" customHeight="1" x14ac:dyDescent="0.25">
      <c r="B62" s="39">
        <f t="shared" si="5"/>
        <v>59</v>
      </c>
      <c r="C62" s="2" t="s">
        <v>96</v>
      </c>
      <c r="D62" s="2">
        <f>SUM($L$3:L62)</f>
        <v>610.10423877742505</v>
      </c>
      <c r="E62" s="2">
        <f t="shared" si="6"/>
        <v>13.312854759872152</v>
      </c>
      <c r="F62" s="40" t="s">
        <v>95</v>
      </c>
      <c r="G62" s="2">
        <v>0</v>
      </c>
      <c r="H62" s="2">
        <f t="shared" si="7"/>
        <v>0</v>
      </c>
      <c r="I62" s="2">
        <f t="shared" si="8"/>
        <v>0</v>
      </c>
      <c r="J62" s="2">
        <v>3</v>
      </c>
      <c r="K62" s="2">
        <v>6500</v>
      </c>
      <c r="L62" s="2">
        <f>IF(J62=1,VLOOKUP('Duty Cycle '!K62,'Gearing '!$L$3:$O$28,2),IF(J62=2,VLOOKUP('Duty Cycle '!K62,'Gearing '!$L$2:$O$28,3),IF(J62=3,VLOOKUP('Duty Cycle '!K62,'Gearing '!$L$2:$O$28,4))))</f>
        <v>13.312854759872195</v>
      </c>
      <c r="M62" s="2">
        <f t="shared" si="0"/>
        <v>29.780856097834103</v>
      </c>
      <c r="N62" s="2">
        <f t="shared" si="9"/>
        <v>0</v>
      </c>
      <c r="O62" s="2">
        <f>IF(J62=1,'Gearing '!$C$17*'Duty Cycle '!N62,IF(J62=2,'Gearing '!$C$18*'Duty Cycle '!N62,IF(J62=3,'Gearing '!$C$19*'Duty Cycle '!N62)))</f>
        <v>0</v>
      </c>
      <c r="P62" s="2">
        <f>IF(F62='Track '!$B$60,'Track '!$F$53,IF(F62='Track '!$B$61,'Track '!$F$54,IF(F62='Track '!$B$62,'Track '!$F$55)))</f>
        <v>0.04</v>
      </c>
      <c r="Q62" s="2">
        <f>P62*'Vehicle '!$F$38*9.81</f>
        <v>229.27932000000001</v>
      </c>
      <c r="R62" s="2">
        <f>0.5*'Vehicle '!$F$51*'Vehicle '!$F$25*'Track '!$F$57*'Duty Cycle '!L62^2</f>
        <v>67.724887372039234</v>
      </c>
      <c r="S62" s="2">
        <f>'Vehicle '!$F$38*9.81*SIN(RADIANS('Duty Cycle '!I62))</f>
        <v>0</v>
      </c>
      <c r="T62" s="2">
        <f t="shared" si="1"/>
        <v>297.00420737203922</v>
      </c>
      <c r="U62" s="2">
        <f t="shared" si="10"/>
        <v>3.953973875814921</v>
      </c>
      <c r="V62" s="2">
        <f>'Vehicle '!$F$9-'Duty Cycle '!U62</f>
        <v>9.4688449161313883</v>
      </c>
      <c r="W62" s="2">
        <f t="shared" si="2"/>
        <v>3.953973875814921</v>
      </c>
      <c r="X62" s="41">
        <f t="shared" si="11"/>
        <v>5.8088721894661344</v>
      </c>
      <c r="Y62" s="41">
        <f t="shared" si="3"/>
        <v>6</v>
      </c>
      <c r="Z62" s="2">
        <f>T62*D62</f>
        <v>181203.52585241047</v>
      </c>
      <c r="AA62" s="2">
        <f t="shared" si="12"/>
        <v>1811065.9127060138</v>
      </c>
      <c r="AB62" s="2">
        <f>INDEX('BSFC '!$D$5:$AD$27,MATCH('Duty Cycle '!Y62,'BSFC '!$B$5:$B$27,0),MATCH('Duty Cycle '!K62,'BSFC '!$D$28:$AD$28,0))</f>
        <v>656.24441744579997</v>
      </c>
      <c r="AC62" s="2">
        <f>U62*AB62/3600</f>
        <v>0.72077035631390962</v>
      </c>
      <c r="AD62" s="2">
        <f t="shared" si="13"/>
        <v>36.086696746624263</v>
      </c>
      <c r="AE62" s="2">
        <f t="shared" si="14"/>
        <v>2.2271804010099805</v>
      </c>
      <c r="AF62" s="2">
        <f>0.5*'Vehicle '!$F$38*'Duty Cycle '!L62^2/1000</f>
        <v>51.778358557654528</v>
      </c>
      <c r="AG62" s="2">
        <f t="shared" si="4"/>
        <v>181255.30421096814</v>
      </c>
    </row>
    <row r="63" spans="1:33" ht="30" customHeight="1" x14ac:dyDescent="0.25">
      <c r="B63" s="39">
        <f t="shared" si="5"/>
        <v>60</v>
      </c>
      <c r="C63" s="2" t="s">
        <v>104</v>
      </c>
      <c r="D63" s="2">
        <f>SUM($L$3:L63)</f>
        <v>622.3930277865378</v>
      </c>
      <c r="E63" s="2">
        <f t="shared" si="6"/>
        <v>12.288789009112747</v>
      </c>
      <c r="F63" s="40" t="s">
        <v>95</v>
      </c>
      <c r="G63" s="2">
        <v>0</v>
      </c>
      <c r="H63" s="2">
        <f t="shared" si="7"/>
        <v>0</v>
      </c>
      <c r="I63" s="2">
        <f t="shared" si="8"/>
        <v>0</v>
      </c>
      <c r="J63" s="2">
        <v>3</v>
      </c>
      <c r="K63" s="2">
        <v>6000</v>
      </c>
      <c r="L63" s="2">
        <f>IF(J63=1,VLOOKUP('Duty Cycle '!K63,'Gearing '!$L$3:$O$28,2),IF(J63=2,VLOOKUP('Duty Cycle '!K63,'Gearing '!$L$2:$O$28,3),IF(J63=3,VLOOKUP('Duty Cycle '!K63,'Gearing '!$L$2:$O$28,4))))</f>
        <v>12.288789009112795</v>
      </c>
      <c r="M63" s="2">
        <f t="shared" si="0"/>
        <v>27.490021013385324</v>
      </c>
      <c r="N63" s="2">
        <f t="shared" si="9"/>
        <v>-1.0240657507593998</v>
      </c>
      <c r="O63" s="2">
        <f>IF(J63=1,'Gearing '!$C$17*'Duty Cycle '!N63,IF(J63=2,'Gearing '!$C$18*'Duty Cycle '!N63,IF(J63=3,'Gearing '!$C$19*'Duty Cycle '!N63)))</f>
        <v>-616.67569853141106</v>
      </c>
      <c r="P63" s="2">
        <f>IF(F63='Track '!$B$60,'Track '!$F$53,IF(F63='Track '!$B$61,'Track '!$F$54,IF(F63='Track '!$B$62,'Track '!$F$55)))</f>
        <v>0.04</v>
      </c>
      <c r="Q63" s="2">
        <f>P63*'Vehicle '!$F$38*9.81</f>
        <v>229.27932000000001</v>
      </c>
      <c r="R63" s="2">
        <f>0.5*'Vehicle '!$F$51*'Vehicle '!$F$25*'Track '!$F$57*'Duty Cycle '!L63^2</f>
        <v>57.70641290871982</v>
      </c>
      <c r="S63" s="2">
        <f>'Vehicle '!$F$38*9.81*SIN(RADIANS('Duty Cycle '!I63))</f>
        <v>0</v>
      </c>
      <c r="T63" s="2">
        <f t="shared" si="1"/>
        <v>-329.6899656226912</v>
      </c>
      <c r="U63" s="2">
        <f t="shared" si="10"/>
        <v>4.0514904259589031</v>
      </c>
      <c r="V63" s="2">
        <f>'Vehicle '!$F$9-'Duty Cycle '!U63</f>
        <v>9.3713283659874058</v>
      </c>
      <c r="W63" s="2">
        <f t="shared" si="2"/>
        <v>4.0514904259589031</v>
      </c>
      <c r="X63" s="41">
        <f t="shared" si="11"/>
        <v>6.4481472818084802</v>
      </c>
      <c r="Y63" s="41">
        <f t="shared" si="3"/>
        <v>7</v>
      </c>
      <c r="Z63" s="2">
        <f>T63*D63</f>
        <v>-205196.73593474634</v>
      </c>
      <c r="AA63" s="2">
        <f t="shared" si="12"/>
        <v>1605869.1767712673</v>
      </c>
      <c r="AB63" s="2">
        <f>INDEX('BSFC '!$D$5:$AD$27,MATCH('Duty Cycle '!Y63,'BSFC '!$B$5:$B$27,0),MATCH('Duty Cycle '!K63,'BSFC '!$D$28:$AD$28,0))</f>
        <v>584.57471024580013</v>
      </c>
      <c r="AC63" s="2">
        <f>U63*AB63/3600</f>
        <v>0.65788856717182198</v>
      </c>
      <c r="AD63" s="2">
        <f t="shared" si="13"/>
        <v>36.744585313796087</v>
      </c>
      <c r="AE63" s="2">
        <f t="shared" si="14"/>
        <v>2.0328756725609298</v>
      </c>
      <c r="AF63" s="2">
        <f>0.5*'Vehicle '!$F$38*'Duty Cycle '!L63^2/1000</f>
        <v>44.118838060960073</v>
      </c>
      <c r="AG63" s="2">
        <f t="shared" si="4"/>
        <v>-205152.61709668537</v>
      </c>
    </row>
    <row r="64" spans="1:33" ht="30" customHeight="1" x14ac:dyDescent="0.25">
      <c r="B64" s="39">
        <f t="shared" si="5"/>
        <v>61</v>
      </c>
      <c r="C64" s="2" t="s">
        <v>104</v>
      </c>
      <c r="D64" s="2">
        <f>SUM($L$3:L64)</f>
        <v>633.1457181695115</v>
      </c>
      <c r="E64" s="2">
        <f t="shared" si="6"/>
        <v>10.752690382973697</v>
      </c>
      <c r="F64" s="40" t="s">
        <v>95</v>
      </c>
      <c r="G64" s="2">
        <v>0.2</v>
      </c>
      <c r="H64" s="2">
        <f t="shared" si="7"/>
        <v>0.2</v>
      </c>
      <c r="I64" s="2">
        <f t="shared" si="8"/>
        <v>1.0655784087005336</v>
      </c>
      <c r="J64" s="2">
        <v>3</v>
      </c>
      <c r="K64" s="2">
        <v>5250</v>
      </c>
      <c r="L64" s="2">
        <f>IF(J64=1,VLOOKUP('Duty Cycle '!K64,'Gearing '!$L$3:$O$28,2),IF(J64=2,VLOOKUP('Duty Cycle '!K64,'Gearing '!$L$2:$O$28,3),IF(J64=3,VLOOKUP('Duty Cycle '!K64,'Gearing '!$L$2:$O$28,4))))</f>
        <v>10.752690382973697</v>
      </c>
      <c r="M64" s="2">
        <f t="shared" si="0"/>
        <v>24.053768386712161</v>
      </c>
      <c r="N64" s="2">
        <f t="shared" si="9"/>
        <v>-1.5360986261390988</v>
      </c>
      <c r="O64" s="2">
        <f>IF(J64=1,'Gearing '!$C$17*'Duty Cycle '!N64,IF(J64=2,'Gearing '!$C$18*'Duty Cycle '!N64,IF(J64=3,'Gearing '!$C$19*'Duty Cycle '!N64)))</f>
        <v>-925.01354779711619</v>
      </c>
      <c r="P64" s="2">
        <f>IF(F64='Track '!$B$60,'Track '!$F$53,IF(F64='Track '!$B$61,'Track '!$F$54,IF(F64='Track '!$B$62,'Track '!$F$55)))</f>
        <v>0.04</v>
      </c>
      <c r="Q64" s="2">
        <f>P64*'Vehicle '!$F$38*9.81</f>
        <v>229.27932000000001</v>
      </c>
      <c r="R64" s="2">
        <f>0.5*'Vehicle '!$F$51*'Vehicle '!$F$25*'Track '!$F$57*'Duty Cycle '!L64^2</f>
        <v>44.181472383238614</v>
      </c>
      <c r="S64" s="2">
        <f>'Vehicle '!$F$38*9.81*SIN(RADIANS('Duty Cycle '!I64))</f>
        <v>106.59642443082052</v>
      </c>
      <c r="T64" s="2">
        <f t="shared" si="1"/>
        <v>-544.956330983057</v>
      </c>
      <c r="U64" s="2">
        <f t="shared" si="10"/>
        <v>5.8597466993021481</v>
      </c>
      <c r="V64" s="2">
        <f>'Vehicle '!$F$9-'Duty Cycle '!U64</f>
        <v>7.5630720926441608</v>
      </c>
      <c r="W64" s="2">
        <f t="shared" si="2"/>
        <v>5.8597466993021481</v>
      </c>
      <c r="X64" s="41">
        <f t="shared" si="11"/>
        <v>10.658373170975485</v>
      </c>
      <c r="Y64" s="41">
        <f t="shared" si="3"/>
        <v>11</v>
      </c>
      <c r="Z64" s="2">
        <f>T64*D64</f>
        <v>-345036.76755128964</v>
      </c>
      <c r="AA64" s="2">
        <f t="shared" si="12"/>
        <v>1260832.4092199777</v>
      </c>
      <c r="AB64" s="2">
        <f>INDEX('BSFC '!$D$5:$AD$27,MATCH('Duty Cycle '!Y64,'BSFC '!$B$5:$B$27,0),MATCH('Duty Cycle '!K64,'BSFC '!$D$28:$AD$28,0))</f>
        <v>373.27330024579999</v>
      </c>
      <c r="AC64" s="2">
        <f>U64*AB64/3600</f>
        <v>0.60757971918137388</v>
      </c>
      <c r="AD64" s="2">
        <f t="shared" si="13"/>
        <v>37.35216503297746</v>
      </c>
      <c r="AE64" s="2">
        <f t="shared" si="14"/>
        <v>1.8774213322704452</v>
      </c>
      <c r="AF64" s="2">
        <f>0.5*'Vehicle '!$F$38*'Duty Cycle '!L64^2/1000</f>
        <v>33.77848539042256</v>
      </c>
      <c r="AG64" s="2">
        <f t="shared" si="4"/>
        <v>-345002.98906589922</v>
      </c>
    </row>
    <row r="65" spans="2:33" ht="30" customHeight="1" x14ac:dyDescent="0.25">
      <c r="B65" s="39">
        <f t="shared" si="5"/>
        <v>62</v>
      </c>
      <c r="C65" s="2" t="s">
        <v>104</v>
      </c>
      <c r="D65" s="2">
        <f>SUM($L$3:L65)</f>
        <v>642.87434280172579</v>
      </c>
      <c r="E65" s="2">
        <f t="shared" si="6"/>
        <v>9.7286246322142915</v>
      </c>
      <c r="F65" s="40" t="s">
        <v>95</v>
      </c>
      <c r="G65" s="2">
        <v>0.6</v>
      </c>
      <c r="H65" s="2">
        <f t="shared" si="7"/>
        <v>0.39999999999999997</v>
      </c>
      <c r="I65" s="2">
        <f t="shared" si="8"/>
        <v>2.3544345916321596</v>
      </c>
      <c r="J65" s="2">
        <v>3</v>
      </c>
      <c r="K65" s="2">
        <v>4750</v>
      </c>
      <c r="L65" s="2">
        <f>IF(J65=1,VLOOKUP('Duty Cycle '!K65,'Gearing '!$L$3:$O$28,2),IF(J65=2,VLOOKUP('Duty Cycle '!K65,'Gearing '!$L$2:$O$28,3),IF(J65=3,VLOOKUP('Duty Cycle '!K65,'Gearing '!$L$2:$O$28,4))))</f>
        <v>9.7286246322142969</v>
      </c>
      <c r="M65" s="2">
        <f t="shared" si="0"/>
        <v>21.762933302263384</v>
      </c>
      <c r="N65" s="2">
        <f t="shared" si="9"/>
        <v>-1.0240657507593998</v>
      </c>
      <c r="O65" s="2">
        <f>IF(J65=1,'Gearing '!$C$17*'Duty Cycle '!N65,IF(J65=2,'Gearing '!$C$18*'Duty Cycle '!N65,IF(J65=3,'Gearing '!$C$19*'Duty Cycle '!N65)))</f>
        <v>-616.67569853141106</v>
      </c>
      <c r="P65" s="2">
        <f>IF(F65='Track '!$B$60,'Track '!$F$53,IF(F65='Track '!$B$61,'Track '!$F$54,IF(F65='Track '!$B$62,'Track '!$F$55)))</f>
        <v>0.04</v>
      </c>
      <c r="Q65" s="2">
        <f>P65*'Vehicle '!$F$38*9.81</f>
        <v>229.27932000000001</v>
      </c>
      <c r="R65" s="2">
        <f>0.5*'Vehicle '!$F$51*'Vehicle '!$F$25*'Track '!$F$57*'Duty Cycle '!L65^2</f>
        <v>36.166692812583079</v>
      </c>
      <c r="S65" s="2">
        <f>'Vehicle '!$F$38*9.81*SIN(RADIANS('Duty Cycle '!I65))</f>
        <v>235.47600491324229</v>
      </c>
      <c r="T65" s="2">
        <f t="shared" si="1"/>
        <v>-115.75368080558565</v>
      </c>
      <c r="U65" s="2">
        <f t="shared" si="10"/>
        <v>1.1261241103546917</v>
      </c>
      <c r="V65" s="2">
        <f>'Vehicle '!$F$9-'Duty Cycle '!U65</f>
        <v>12.296694681591617</v>
      </c>
      <c r="W65" s="2">
        <f t="shared" si="2"/>
        <v>1.1261241103546917</v>
      </c>
      <c r="X65" s="41">
        <f t="shared" si="11"/>
        <v>2.2639353940788913</v>
      </c>
      <c r="Y65" s="41">
        <f t="shared" si="3"/>
        <v>3</v>
      </c>
      <c r="Z65" s="2">
        <f>T65*D65</f>
        <v>-74415.071474771612</v>
      </c>
      <c r="AA65" s="2">
        <f t="shared" si="12"/>
        <v>1186417.337745206</v>
      </c>
      <c r="AB65" s="2">
        <f>INDEX('BSFC '!$D$5:$AD$27,MATCH('Duty Cycle '!Y65,'BSFC '!$B$5:$B$27,0),MATCH('Duty Cycle '!K65,'BSFC '!$D$28:$AD$28,0))</f>
        <v>794.48887504580011</v>
      </c>
      <c r="AC65" s="2">
        <f>U65*AB65/3600</f>
        <v>0.24852585488823653</v>
      </c>
      <c r="AD65" s="2">
        <f t="shared" si="13"/>
        <v>37.600690887865696</v>
      </c>
      <c r="AE65" s="2">
        <f t="shared" si="14"/>
        <v>0.76794489160465085</v>
      </c>
      <c r="AF65" s="2">
        <f>0.5*'Vehicle '!$F$38*'Duty Cycle '!L65^2/1000</f>
        <v>27.65086899306699</v>
      </c>
      <c r="AG65" s="2">
        <f t="shared" si="4"/>
        <v>-74387.420605778549</v>
      </c>
    </row>
    <row r="66" spans="2:33" ht="30" customHeight="1" x14ac:dyDescent="0.25">
      <c r="B66" s="39">
        <f t="shared" si="5"/>
        <v>63</v>
      </c>
      <c r="C66" s="2" t="s">
        <v>104</v>
      </c>
      <c r="D66" s="2">
        <f>SUM($L$3:L66)</f>
        <v>651.90318917092111</v>
      </c>
      <c r="E66" s="2">
        <f t="shared" si="6"/>
        <v>9.0288463691953211</v>
      </c>
      <c r="F66" s="40" t="s">
        <v>95</v>
      </c>
      <c r="G66" s="2">
        <v>1</v>
      </c>
      <c r="H66" s="2">
        <f t="shared" si="7"/>
        <v>0.4</v>
      </c>
      <c r="I66" s="2">
        <f t="shared" si="8"/>
        <v>2.5366845912292133</v>
      </c>
      <c r="J66" s="2">
        <v>2</v>
      </c>
      <c r="K66" s="2">
        <v>5750</v>
      </c>
      <c r="L66" s="2">
        <f>IF(J66=1,VLOOKUP('Duty Cycle '!K66,'Gearing '!$L$3:$O$28,2),IF(J66=2,VLOOKUP('Duty Cycle '!K66,'Gearing '!$L$2:$O$28,3),IF(J66=3,VLOOKUP('Duty Cycle '!K66,'Gearing '!$L$2:$O$28,4))))</f>
        <v>9.0288463691953762</v>
      </c>
      <c r="M66" s="2">
        <f t="shared" si="0"/>
        <v>20.197529327890056</v>
      </c>
      <c r="N66" s="2">
        <f t="shared" si="9"/>
        <v>-0.69977826301892065</v>
      </c>
      <c r="O66" s="2">
        <f>IF(J66=1,'Gearing '!$C$17*'Duty Cycle '!N66,IF(J66=2,'Gearing '!$C$18*'Duty Cycle '!N66,IF(J66=3,'Gearing '!$C$19*'Duty Cycle '!N66)))</f>
        <v>-423.17925307114535</v>
      </c>
      <c r="P66" s="2">
        <f>IF(F66='Track '!$B$60,'Track '!$F$53,IF(F66='Track '!$B$61,'Track '!$F$54,IF(F66='Track '!$B$62,'Track '!$F$55)))</f>
        <v>0.04</v>
      </c>
      <c r="Q66" s="2">
        <f>P66*'Vehicle '!$F$38*9.81</f>
        <v>229.27932000000001</v>
      </c>
      <c r="R66" s="2">
        <f>0.5*'Vehicle '!$F$51*'Vehicle '!$F$25*'Track '!$F$57*'Duty Cycle '!L66^2</f>
        <v>31.15088791433077</v>
      </c>
      <c r="S66" s="2">
        <f>'Vehicle '!$F$38*9.81*SIN(RADIANS('Duty Cycle '!I66))</f>
        <v>253.69204132021247</v>
      </c>
      <c r="T66" s="2">
        <f t="shared" si="1"/>
        <v>90.942996163397879</v>
      </c>
      <c r="U66" s="2">
        <f t="shared" si="10"/>
        <v>0.82111034071364397</v>
      </c>
      <c r="V66" s="2">
        <f>'Vehicle '!$F$9-'Duty Cycle '!U66</f>
        <v>12.601708451232664</v>
      </c>
      <c r="W66" s="2">
        <f t="shared" si="2"/>
        <v>0.82111034071364397</v>
      </c>
      <c r="X66" s="41">
        <f t="shared" si="11"/>
        <v>1.3636567257229228</v>
      </c>
      <c r="Y66" s="41">
        <f t="shared" si="3"/>
        <v>2</v>
      </c>
      <c r="Z66" s="2">
        <f>T66*D66</f>
        <v>59286.029231677923</v>
      </c>
      <c r="AA66" s="2">
        <f t="shared" si="12"/>
        <v>1245703.366976884</v>
      </c>
      <c r="AB66" s="2">
        <f>INDEX('BSFC '!$D$5:$AD$27,MATCH('Duty Cycle '!Y66,'BSFC '!$B$5:$B$27,0),MATCH('Duty Cycle '!K66,'BSFC '!$D$28:$AD$28,0))</f>
        <v>886.98747296580007</v>
      </c>
      <c r="AC66" s="2">
        <f>U66*AB66/3600</f>
        <v>0.20230960725991171</v>
      </c>
      <c r="AD66" s="2">
        <f t="shared" si="13"/>
        <v>37.803000495125609</v>
      </c>
      <c r="AE66" s="2">
        <f t="shared" si="14"/>
        <v>0.62513668643312714</v>
      </c>
      <c r="AF66" s="2">
        <f>0.5*'Vehicle '!$F$38*'Duty Cycle '!L66^2/1000</f>
        <v>23.816087503505273</v>
      </c>
      <c r="AG66" s="2">
        <f t="shared" si="4"/>
        <v>59309.845319181426</v>
      </c>
    </row>
    <row r="67" spans="2:33" ht="30" customHeight="1" x14ac:dyDescent="0.25">
      <c r="B67" s="39">
        <f t="shared" si="5"/>
        <v>64</v>
      </c>
      <c r="C67" s="2" t="s">
        <v>104</v>
      </c>
      <c r="D67" s="2">
        <f>SUM($L$3:L67)</f>
        <v>660.93203554011643</v>
      </c>
      <c r="E67" s="2">
        <f t="shared" si="6"/>
        <v>9.0288463691953211</v>
      </c>
      <c r="F67" s="40" t="s">
        <v>95</v>
      </c>
      <c r="G67" s="2">
        <v>1.5</v>
      </c>
      <c r="H67" s="2">
        <f t="shared" si="7"/>
        <v>0.5</v>
      </c>
      <c r="I67" s="2">
        <f t="shared" si="8"/>
        <v>3.1696915911469841</v>
      </c>
      <c r="J67" s="2">
        <v>2</v>
      </c>
      <c r="K67" s="2">
        <v>5750</v>
      </c>
      <c r="L67" s="2">
        <f>IF(J67=1,VLOOKUP('Duty Cycle '!K67,'Gearing '!$L$3:$O$28,2),IF(J67=2,VLOOKUP('Duty Cycle '!K67,'Gearing '!$L$2:$O$28,3),IF(J67=3,VLOOKUP('Duty Cycle '!K67,'Gearing '!$L$2:$O$28,4))))</f>
        <v>9.0288463691953762</v>
      </c>
      <c r="M67" s="2">
        <f t="shared" si="0"/>
        <v>20.197529327890056</v>
      </c>
      <c r="N67" s="2">
        <f t="shared" si="9"/>
        <v>0</v>
      </c>
      <c r="O67" s="2">
        <f>IF(J67=1,'Gearing '!$C$17*'Duty Cycle '!N67,IF(J67=2,'Gearing '!$C$18*'Duty Cycle '!N67,IF(J67=3,'Gearing '!$C$19*'Duty Cycle '!N67)))</f>
        <v>0</v>
      </c>
      <c r="P67" s="2">
        <f>IF(F67='Track '!$B$60,'Track '!$F$53,IF(F67='Track '!$B$61,'Track '!$F$54,IF(F67='Track '!$B$62,'Track '!$F$55)))</f>
        <v>0.04</v>
      </c>
      <c r="Q67" s="2">
        <f>P67*'Vehicle '!$F$38*9.81</f>
        <v>229.27932000000001</v>
      </c>
      <c r="R67" s="2">
        <f>0.5*'Vehicle '!$F$51*'Vehicle '!$F$25*'Track '!$F$57*'Duty Cycle '!L67^2</f>
        <v>31.15088791433077</v>
      </c>
      <c r="S67" s="2">
        <f>'Vehicle '!$F$38*9.81*SIN(RADIANS('Duty Cycle '!I67))</f>
        <v>316.94048769721536</v>
      </c>
      <c r="T67" s="2">
        <f t="shared" si="1"/>
        <v>577.37069561154613</v>
      </c>
      <c r="U67" s="2">
        <f t="shared" si="10"/>
        <v>5.2129913087521169</v>
      </c>
      <c r="V67" s="2">
        <f>'Vehicle '!$F$9-'Duty Cycle '!U67</f>
        <v>8.2098274831941929</v>
      </c>
      <c r="W67" s="2">
        <f t="shared" si="2"/>
        <v>5.2129913087521169</v>
      </c>
      <c r="X67" s="41">
        <f t="shared" si="11"/>
        <v>8.6574608878224844</v>
      </c>
      <c r="Y67" s="41">
        <f t="shared" si="3"/>
        <v>9</v>
      </c>
      <c r="Z67" s="2">
        <f>T67*D67</f>
        <v>381602.78911175212</v>
      </c>
      <c r="AA67" s="2">
        <f t="shared" si="12"/>
        <v>1627306.156088636</v>
      </c>
      <c r="AB67" s="2">
        <f>INDEX('BSFC '!$D$5:$AD$27,MATCH('Duty Cycle '!Y67,'BSFC '!$B$5:$B$27,0),MATCH('Duty Cycle '!K67,'BSFC '!$D$28:$AD$28,0))</f>
        <v>460.75361456580009</v>
      </c>
      <c r="AC67" s="2">
        <f>U67*AB67/3600</f>
        <v>0.66719571894656637</v>
      </c>
      <c r="AD67" s="2">
        <f t="shared" si="13"/>
        <v>38.470196214072175</v>
      </c>
      <c r="AE67" s="2">
        <f t="shared" si="14"/>
        <v>2.0616347715448899</v>
      </c>
      <c r="AF67" s="2">
        <f>0.5*'Vehicle '!$F$38*'Duty Cycle '!L67^2/1000</f>
        <v>23.816087503505273</v>
      </c>
      <c r="AG67" s="2">
        <f t="shared" si="4"/>
        <v>381626.60519925563</v>
      </c>
    </row>
    <row r="68" spans="2:33" ht="30" customHeight="1" x14ac:dyDescent="0.25">
      <c r="B68" s="39">
        <f t="shared" si="5"/>
        <v>65</v>
      </c>
      <c r="C68" s="2" t="s">
        <v>104</v>
      </c>
      <c r="D68" s="2">
        <f>SUM($L$3:L68)</f>
        <v>669.96088190931175</v>
      </c>
      <c r="E68" s="2">
        <f t="shared" si="6"/>
        <v>9.0288463691953211</v>
      </c>
      <c r="F68" s="40" t="s">
        <v>95</v>
      </c>
      <c r="G68" s="2">
        <v>2.1</v>
      </c>
      <c r="H68" s="2">
        <f t="shared" si="7"/>
        <v>0.60000000000000009</v>
      </c>
      <c r="I68" s="2">
        <f t="shared" si="8"/>
        <v>3.8019249965042343</v>
      </c>
      <c r="J68" s="2">
        <v>2</v>
      </c>
      <c r="K68" s="2">
        <v>5750</v>
      </c>
      <c r="L68" s="2">
        <f>IF(J68=1,VLOOKUP('Duty Cycle '!K68,'Gearing '!$L$3:$O$28,2),IF(J68=2,VLOOKUP('Duty Cycle '!K68,'Gearing '!$L$2:$O$28,3),IF(J68=3,VLOOKUP('Duty Cycle '!K68,'Gearing '!$L$2:$O$28,4))))</f>
        <v>9.0288463691953762</v>
      </c>
      <c r="M68" s="2">
        <f t="shared" ref="M68:M131" si="15">L68*2.237</f>
        <v>20.197529327890056</v>
      </c>
      <c r="N68" s="2">
        <f t="shared" si="9"/>
        <v>0</v>
      </c>
      <c r="O68" s="2">
        <f>IF(J68=1,'Gearing '!$C$17*'Duty Cycle '!N68,IF(J68=2,'Gearing '!$C$18*'Duty Cycle '!N68,IF(J68=3,'Gearing '!$C$19*'Duty Cycle '!N68)))</f>
        <v>0</v>
      </c>
      <c r="P68" s="2">
        <f>IF(F68='Track '!$B$60,'Track '!$F$53,IF(F68='Track '!$B$61,'Track '!$F$54,IF(F68='Track '!$B$62,'Track '!$F$55)))</f>
        <v>0.04</v>
      </c>
      <c r="Q68" s="2">
        <f>P68*'Vehicle '!$F$38*9.81</f>
        <v>229.27932000000001</v>
      </c>
      <c r="R68" s="2">
        <f>0.5*'Vehicle '!$F$51*'Vehicle '!$F$25*'Track '!$F$57*'Duty Cycle '!L68^2</f>
        <v>31.15088791433077</v>
      </c>
      <c r="S68" s="2">
        <f>'Vehicle '!$F$38*9.81*SIN(RADIANS('Duty Cycle '!I68))</f>
        <v>380.0730272819315</v>
      </c>
      <c r="T68" s="2">
        <f t="shared" ref="T68:T131" si="16">SUM(Q68:S68)+O68</f>
        <v>640.50323519626227</v>
      </c>
      <c r="U68" s="2">
        <f t="shared" si="10"/>
        <v>5.7830053095596652</v>
      </c>
      <c r="V68" s="2">
        <f>'Vehicle '!$F$9-'Duty Cycle '!U68</f>
        <v>7.6398134823866437</v>
      </c>
      <c r="W68" s="2">
        <f t="shared" ref="W68:W131" si="17">U68</f>
        <v>5.7830053095596652</v>
      </c>
      <c r="X68" s="41">
        <f t="shared" si="11"/>
        <v>9.6041100620149251</v>
      </c>
      <c r="Y68" s="41">
        <f t="shared" ref="Y68:Y131" si="18">MIN(22,ROUNDUP(X68,0))</f>
        <v>10</v>
      </c>
      <c r="Z68" s="2">
        <f>T68*D68</f>
        <v>429112.11231785518</v>
      </c>
      <c r="AA68" s="2">
        <f t="shared" si="12"/>
        <v>2056418.2684064913</v>
      </c>
      <c r="AB68" s="2">
        <f>INDEX('BSFC '!$D$5:$AD$27,MATCH('Duty Cycle '!Y68,'BSFC '!$B$5:$B$27,0),MATCH('Duty Cycle '!K68,'BSFC '!$D$28:$AD$28,0))</f>
        <v>415.54656848580015</v>
      </c>
      <c r="AC68" s="2">
        <f>U68*AB68/3600</f>
        <v>0.66753000331185586</v>
      </c>
      <c r="AD68" s="2">
        <f t="shared" si="13"/>
        <v>39.137726217384028</v>
      </c>
      <c r="AE68" s="2">
        <f t="shared" si="14"/>
        <v>2.0626677102336344</v>
      </c>
      <c r="AF68" s="2">
        <f>0.5*'Vehicle '!$F$38*'Duty Cycle '!L68^2/1000</f>
        <v>23.816087503505273</v>
      </c>
      <c r="AG68" s="2">
        <f t="shared" ref="AG68:AG131" si="19">Z68+AF68</f>
        <v>429135.92840535869</v>
      </c>
    </row>
    <row r="69" spans="2:33" ht="30" customHeight="1" x14ac:dyDescent="0.25">
      <c r="B69" s="39">
        <f t="shared" ref="B69:B132" si="20">B68+1</f>
        <v>66</v>
      </c>
      <c r="C69" s="2" t="s">
        <v>104</v>
      </c>
      <c r="D69" s="2">
        <f>SUM($L$3:L69)</f>
        <v>678.98972827850707</v>
      </c>
      <c r="E69" s="2">
        <f t="shared" ref="E69:E132" si="21">D69-D68</f>
        <v>9.0288463691953211</v>
      </c>
      <c r="F69" s="40" t="s">
        <v>95</v>
      </c>
      <c r="G69" s="2">
        <v>2.8</v>
      </c>
      <c r="H69" s="2">
        <f t="shared" ref="H69:H132" si="22">G69-G68</f>
        <v>0.69999999999999973</v>
      </c>
      <c r="I69" s="2">
        <f t="shared" ref="I69:I132" si="23">DEGREES(ATAN(H69/E69))</f>
        <v>4.4332325805046722</v>
      </c>
      <c r="J69" s="2">
        <v>2</v>
      </c>
      <c r="K69" s="2">
        <v>5750</v>
      </c>
      <c r="L69" s="2">
        <f>IF(J69=1,VLOOKUP('Duty Cycle '!K69,'Gearing '!$L$3:$O$28,2),IF(J69=2,VLOOKUP('Duty Cycle '!K69,'Gearing '!$L$2:$O$28,3),IF(J69=3,VLOOKUP('Duty Cycle '!K69,'Gearing '!$L$2:$O$28,4))))</f>
        <v>9.0288463691953762</v>
      </c>
      <c r="M69" s="2">
        <f t="shared" si="15"/>
        <v>20.197529327890056</v>
      </c>
      <c r="N69" s="2">
        <f t="shared" ref="N69:N132" si="24">L69-L68</f>
        <v>0</v>
      </c>
      <c r="O69" s="2">
        <f>IF(J69=1,'Gearing '!$C$17*'Duty Cycle '!N69,IF(J69=2,'Gearing '!$C$18*'Duty Cycle '!N69,IF(J69=3,'Gearing '!$C$19*'Duty Cycle '!N69)))</f>
        <v>0</v>
      </c>
      <c r="P69" s="2">
        <f>IF(F69='Track '!$B$60,'Track '!$F$53,IF(F69='Track '!$B$61,'Track '!$F$54,IF(F69='Track '!$B$62,'Track '!$F$55)))</f>
        <v>0.04</v>
      </c>
      <c r="Q69" s="2">
        <f>P69*'Vehicle '!$F$38*9.81</f>
        <v>229.27932000000001</v>
      </c>
      <c r="R69" s="2">
        <f>0.5*'Vehicle '!$F$51*'Vehicle '!$F$25*'Track '!$F$57*'Duty Cycle '!L69^2</f>
        <v>31.15088791433077</v>
      </c>
      <c r="S69" s="2">
        <f>'Vehicle '!$F$38*9.81*SIN(RADIANS('Duty Cycle '!I69))</f>
        <v>443.066945288353</v>
      </c>
      <c r="T69" s="2">
        <f t="shared" si="16"/>
        <v>703.49715320268376</v>
      </c>
      <c r="U69" s="2">
        <f t="shared" ref="U69:U132" si="25">ABS(((+T69)*(+L69)/1000))</f>
        <v>6.3517677174333347</v>
      </c>
      <c r="V69" s="2">
        <f>'Vehicle '!$F$9-'Duty Cycle '!U69</f>
        <v>7.0710510745129742</v>
      </c>
      <c r="W69" s="2">
        <f t="shared" si="17"/>
        <v>6.3517677174333347</v>
      </c>
      <c r="X69" s="41">
        <f t="shared" ref="X69:X132" si="26">ABS((W69*1000)/((2*PI()*K69)/60))</f>
        <v>10.548680656706507</v>
      </c>
      <c r="Y69" s="41">
        <f t="shared" si="18"/>
        <v>11</v>
      </c>
      <c r="Z69" s="2">
        <f>T69*D69</f>
        <v>477667.34089779353</v>
      </c>
      <c r="AA69" s="2">
        <f t="shared" ref="AA69:AA132" si="27">SUM(AA68,Z69)</f>
        <v>2534085.6093042847</v>
      </c>
      <c r="AB69" s="2">
        <f>INDEX('BSFC '!$D$5:$AD$27,MATCH('Duty Cycle '!Y69,'BSFC '!$B$5:$B$27,0),MATCH('Duty Cycle '!K69,'BSFC '!$D$28:$AD$28,0))</f>
        <v>398.05430096580005</v>
      </c>
      <c r="AC69" s="2">
        <f>U69*AB69/3600</f>
        <v>0.70231901629446158</v>
      </c>
      <c r="AD69" s="2">
        <f t="shared" ref="AD69:AD132" si="28">AD68+AC69</f>
        <v>39.840045233678488</v>
      </c>
      <c r="AE69" s="2">
        <f t="shared" si="14"/>
        <v>2.1701657603498861</v>
      </c>
      <c r="AF69" s="2">
        <f>0.5*'Vehicle '!$F$38*'Duty Cycle '!L69^2/1000</f>
        <v>23.816087503505273</v>
      </c>
      <c r="AG69" s="2">
        <f t="shared" si="19"/>
        <v>477691.15698529704</v>
      </c>
    </row>
    <row r="70" spans="2:33" ht="30" customHeight="1" x14ac:dyDescent="0.25">
      <c r="B70" s="39">
        <f t="shared" si="20"/>
        <v>67</v>
      </c>
      <c r="C70" s="2" t="s">
        <v>104</v>
      </c>
      <c r="D70" s="2">
        <f>SUM($L$3:L70)</f>
        <v>687.23345757212019</v>
      </c>
      <c r="E70" s="2">
        <f t="shared" si="21"/>
        <v>8.2437292936131144</v>
      </c>
      <c r="F70" s="40" t="s">
        <v>95</v>
      </c>
      <c r="G70" s="2">
        <v>3.6</v>
      </c>
      <c r="H70" s="2">
        <f t="shared" si="22"/>
        <v>0.80000000000000027</v>
      </c>
      <c r="I70" s="2">
        <f t="shared" si="23"/>
        <v>5.5428243470367127</v>
      </c>
      <c r="J70" s="2">
        <v>2</v>
      </c>
      <c r="K70" s="2">
        <v>5250</v>
      </c>
      <c r="L70" s="2">
        <f>IF(J70=1,VLOOKUP('Duty Cycle '!K70,'Gearing '!$L$3:$O$28,2),IF(J70=2,VLOOKUP('Duty Cycle '!K70,'Gearing '!$L$2:$O$28,3),IF(J70=3,VLOOKUP('Duty Cycle '!K70,'Gearing '!$L$2:$O$28,4))))</f>
        <v>8.2437292936131676</v>
      </c>
      <c r="M70" s="2">
        <f t="shared" si="15"/>
        <v>18.441222429812658</v>
      </c>
      <c r="N70" s="2">
        <f t="shared" si="24"/>
        <v>-0.78511707558220856</v>
      </c>
      <c r="O70" s="2">
        <f>IF(J70=1,'Gearing '!$C$17*'Duty Cycle '!N70,IF(J70=2,'Gearing '!$C$18*'Duty Cycle '!N70,IF(J70=3,'Gearing '!$C$19*'Duty Cycle '!N70)))</f>
        <v>-474.78647905543431</v>
      </c>
      <c r="P70" s="2">
        <f>IF(F70='Track '!$B$60,'Track '!$F$53,IF(F70='Track '!$B$61,'Track '!$F$54,IF(F70='Track '!$B$62,'Track '!$F$55)))</f>
        <v>0.04</v>
      </c>
      <c r="Q70" s="2">
        <f>P70*'Vehicle '!$F$38*9.81</f>
        <v>229.27932000000001</v>
      </c>
      <c r="R70" s="2">
        <f>0.5*'Vehicle '!$F$51*'Vehicle '!$F$25*'Track '!$F$57*'Duty Cycle '!L70^2</f>
        <v>25.968887656370253</v>
      </c>
      <c r="S70" s="2">
        <f>'Vehicle '!$F$38*9.81*SIN(RADIANS('Duty Cycle '!I70))</f>
        <v>553.65057875862738</v>
      </c>
      <c r="T70" s="2">
        <f t="shared" si="16"/>
        <v>334.11230735956332</v>
      </c>
      <c r="U70" s="2">
        <f t="shared" si="25"/>
        <v>2.7543314155367185</v>
      </c>
      <c r="V70" s="2">
        <f>'Vehicle '!$F$9-'Duty Cycle '!U70</f>
        <v>10.66848737640959</v>
      </c>
      <c r="W70" s="2">
        <f t="shared" si="17"/>
        <v>2.7543314155367185</v>
      </c>
      <c r="X70" s="41">
        <f t="shared" si="26"/>
        <v>5.009890967953897</v>
      </c>
      <c r="Y70" s="41">
        <f t="shared" si="18"/>
        <v>6</v>
      </c>
      <c r="Z70" s="2">
        <f>T70*D70</f>
        <v>229613.15620411164</v>
      </c>
      <c r="AA70" s="2">
        <f t="shared" si="27"/>
        <v>2763698.7655083966</v>
      </c>
      <c r="AB70" s="2">
        <f>INDEX('BSFC '!$D$5:$AD$27,MATCH('Duty Cycle '!Y70,'BSFC '!$B$5:$B$27,0),MATCH('Duty Cycle '!K70,'BSFC '!$D$28:$AD$28,0))</f>
        <v>536.61388912580014</v>
      </c>
      <c r="AC70" s="2">
        <f>U70*AB70/3600</f>
        <v>0.41055902578681353</v>
      </c>
      <c r="AD70" s="2">
        <f t="shared" si="28"/>
        <v>40.250604259465298</v>
      </c>
      <c r="AE70" s="2">
        <f t="shared" ref="AE70:AE133" si="29">AC70*3.09</f>
        <v>1.2686273896812537</v>
      </c>
      <c r="AF70" s="2">
        <f>0.5*'Vehicle '!$F$38*'Duty Cycle '!L70^2/1000</f>
        <v>19.854243079481705</v>
      </c>
      <c r="AG70" s="2">
        <f t="shared" si="19"/>
        <v>229633.01044719113</v>
      </c>
    </row>
    <row r="71" spans="2:33" ht="30" customHeight="1" x14ac:dyDescent="0.25">
      <c r="B71" s="39">
        <f t="shared" si="20"/>
        <v>68</v>
      </c>
      <c r="C71" s="2" t="s">
        <v>97</v>
      </c>
      <c r="D71" s="2">
        <f>SUM($L$3:L71)</f>
        <v>695.86974540352446</v>
      </c>
      <c r="E71" s="2">
        <f t="shared" si="21"/>
        <v>8.6362878314042746</v>
      </c>
      <c r="F71" s="40" t="s">
        <v>147</v>
      </c>
      <c r="G71" s="2">
        <v>4.5</v>
      </c>
      <c r="H71" s="2">
        <f t="shared" si="22"/>
        <v>0.89999999999999991</v>
      </c>
      <c r="I71" s="2">
        <f t="shared" si="23"/>
        <v>5.9494008865377319</v>
      </c>
      <c r="J71" s="2">
        <v>2</v>
      </c>
      <c r="K71" s="2">
        <v>5500</v>
      </c>
      <c r="L71" s="2">
        <f>IF(J71=1,VLOOKUP('Duty Cycle '!K71,'Gearing '!$L$3:$O$28,2),IF(J71=2,VLOOKUP('Duty Cycle '!K71,'Gearing '!$L$2:$O$28,3),IF(J71=3,VLOOKUP('Duty Cycle '!K71,'Gearing '!$L$2:$O$28,4))))</f>
        <v>8.6362878314042693</v>
      </c>
      <c r="M71" s="2">
        <f t="shared" si="15"/>
        <v>19.31937587885135</v>
      </c>
      <c r="N71" s="2">
        <f t="shared" si="24"/>
        <v>0.39255853779110161</v>
      </c>
      <c r="O71" s="2">
        <f>IF(J71=1,'Gearing '!$C$17*'Duty Cycle '!N71,IF(J71=2,'Gearing '!$C$18*'Duty Cycle '!N71,IF(J71=3,'Gearing '!$C$19*'Duty Cycle '!N71)))</f>
        <v>237.39323952771556</v>
      </c>
      <c r="P71" s="2">
        <f>IF(F71='Track '!$B$60,'Track '!$F$53,IF(F71='Track '!$B$61,'Track '!$F$54,IF(F71='Track '!$B$62,'Track '!$F$55)))</f>
        <v>0.06</v>
      </c>
      <c r="Q71" s="2">
        <f>P71*'Vehicle '!$F$38*9.81</f>
        <v>343.91897999999992</v>
      </c>
      <c r="R71" s="2">
        <f>0.5*'Vehicle '!$F$51*'Vehicle '!$F$25*'Track '!$F$57*'Duty Cycle '!L71^2</f>
        <v>28.501001418782764</v>
      </c>
      <c r="S71" s="2">
        <f>'Vehicle '!$F$38*9.81*SIN(RADIANS('Duty Cycle '!I71))</f>
        <v>594.12083654264904</v>
      </c>
      <c r="T71" s="2">
        <f t="shared" si="16"/>
        <v>1203.9340574891473</v>
      </c>
      <c r="U71" s="2">
        <f t="shared" si="25"/>
        <v>10.397521050506692</v>
      </c>
      <c r="V71" s="2">
        <f>'Vehicle '!$F$9-'Duty Cycle '!U71</f>
        <v>3.0252977414396174</v>
      </c>
      <c r="W71" s="2">
        <f t="shared" si="17"/>
        <v>10.397521050506692</v>
      </c>
      <c r="X71" s="41">
        <f t="shared" si="26"/>
        <v>18.052547684620109</v>
      </c>
      <c r="Y71" s="41">
        <f t="shared" si="18"/>
        <v>19</v>
      </c>
      <c r="Z71" s="2">
        <f>T71*D71</f>
        <v>837781.28606760514</v>
      </c>
      <c r="AA71" s="2">
        <f t="shared" si="27"/>
        <v>3601480.0515760016</v>
      </c>
      <c r="AB71" s="2">
        <f>INDEX('BSFC '!$D$5:$AD$27,MATCH('Duty Cycle '!Y71,'BSFC '!$B$5:$B$27,0),MATCH('Duty Cycle '!K71,'BSFC '!$D$28:$AD$28,0))</f>
        <v>425.05354676580004</v>
      </c>
      <c r="AC71" s="2">
        <f>U71*AB71/3600</f>
        <v>1.2276397778027601</v>
      </c>
      <c r="AD71" s="2">
        <f t="shared" si="28"/>
        <v>41.478244037268055</v>
      </c>
      <c r="AE71" s="2">
        <f t="shared" si="29"/>
        <v>3.7934069134105286</v>
      </c>
      <c r="AF71" s="2">
        <f>0.5*'Vehicle '!$F$38*'Duty Cycle '!L71^2/1000</f>
        <v>21.790144332129575</v>
      </c>
      <c r="AG71" s="2">
        <f t="shared" si="19"/>
        <v>837803.07621193724</v>
      </c>
    </row>
    <row r="72" spans="2:33" ht="30" customHeight="1" x14ac:dyDescent="0.25">
      <c r="B72" s="39">
        <f t="shared" si="20"/>
        <v>69</v>
      </c>
      <c r="C72" s="2" t="s">
        <v>97</v>
      </c>
      <c r="D72" s="2">
        <f>SUM($L$3:L72)</f>
        <v>705.29115031051094</v>
      </c>
      <c r="E72" s="2">
        <f t="shared" si="21"/>
        <v>9.4214049069864814</v>
      </c>
      <c r="F72" s="40" t="s">
        <v>147</v>
      </c>
      <c r="G72" s="2">
        <v>4.8</v>
      </c>
      <c r="H72" s="2">
        <f t="shared" si="22"/>
        <v>0.29999999999999982</v>
      </c>
      <c r="I72" s="2">
        <f t="shared" si="23"/>
        <v>1.8238180103172836</v>
      </c>
      <c r="J72" s="2">
        <v>2</v>
      </c>
      <c r="K72" s="2">
        <v>6000</v>
      </c>
      <c r="L72" s="2">
        <f>IF(J72=1,VLOOKUP('Duty Cycle '!K72,'Gearing '!$L$3:$O$28,2),IF(J72=2,VLOOKUP('Duty Cycle '!K72,'Gearing '!$L$2:$O$28,3),IF(J72=3,VLOOKUP('Duty Cycle '!K72,'Gearing '!$L$2:$O$28,4))))</f>
        <v>9.4214049069864778</v>
      </c>
      <c r="M72" s="2">
        <f t="shared" si="15"/>
        <v>21.075682776928751</v>
      </c>
      <c r="N72" s="2">
        <f t="shared" si="24"/>
        <v>0.78511707558220856</v>
      </c>
      <c r="O72" s="2">
        <f>IF(J72=1,'Gearing '!$C$17*'Duty Cycle '!N72,IF(J72=2,'Gearing '!$C$18*'Duty Cycle '!N72,IF(J72=3,'Gearing '!$C$19*'Duty Cycle '!N72)))</f>
        <v>474.78647905543431</v>
      </c>
      <c r="P72" s="2">
        <f>IF(F72='Track '!$B$60,'Track '!$F$53,IF(F72='Track '!$B$61,'Track '!$F$54,IF(F72='Track '!$B$62,'Track '!$F$55)))</f>
        <v>0.06</v>
      </c>
      <c r="Q72" s="2">
        <f>P72*'Vehicle '!$F$38*9.81</f>
        <v>343.91897999999992</v>
      </c>
      <c r="R72" s="2">
        <f>0.5*'Vehicle '!$F$51*'Vehicle '!$F$25*'Track '!$F$57*'Duty Cycle '!L72^2</f>
        <v>33.918547143014209</v>
      </c>
      <c r="S72" s="2">
        <f>'Vehicle '!$F$38*9.81*SIN(RADIANS('Duty Cycle '!I72))</f>
        <v>182.42754647618025</v>
      </c>
      <c r="T72" s="2">
        <f t="shared" si="16"/>
        <v>1035.0515526746287</v>
      </c>
      <c r="U72" s="2">
        <f t="shared" si="25"/>
        <v>9.7516397773527199</v>
      </c>
      <c r="V72" s="2">
        <f>'Vehicle '!$F$9-'Duty Cycle '!U72</f>
        <v>3.671179014593589</v>
      </c>
      <c r="W72" s="2">
        <f t="shared" si="17"/>
        <v>9.7516397773527199</v>
      </c>
      <c r="X72" s="41">
        <f t="shared" si="26"/>
        <v>15.520216738172351</v>
      </c>
      <c r="Y72" s="41">
        <f t="shared" si="18"/>
        <v>16</v>
      </c>
      <c r="Z72" s="2">
        <f>T72*D72</f>
        <v>730012.70021656936</v>
      </c>
      <c r="AA72" s="2">
        <f t="shared" si="27"/>
        <v>4331492.7517925706</v>
      </c>
      <c r="AB72" s="2">
        <f>INDEX('BSFC '!$D$5:$AD$27,MATCH('Duty Cycle '!Y72,'BSFC '!$B$5:$B$27,0),MATCH('Duty Cycle '!K72,'BSFC '!$D$28:$AD$28,0))</f>
        <v>398.59789376580005</v>
      </c>
      <c r="AC72" s="2">
        <f>U72*AB72/3600</f>
        <v>1.0797175211154415</v>
      </c>
      <c r="AD72" s="2">
        <f t="shared" si="28"/>
        <v>42.557961558383496</v>
      </c>
      <c r="AE72" s="2">
        <f t="shared" si="29"/>
        <v>3.3363271402467141</v>
      </c>
      <c r="AF72" s="2">
        <f>0.5*'Vehicle '!$F$38*'Duty Cycle '!L72^2/1000</f>
        <v>25.932072593608758</v>
      </c>
      <c r="AG72" s="2">
        <f t="shared" si="19"/>
        <v>730038.63228916295</v>
      </c>
    </row>
    <row r="73" spans="2:33" ht="30" customHeight="1" x14ac:dyDescent="0.25">
      <c r="B73" s="39">
        <f t="shared" si="20"/>
        <v>70</v>
      </c>
      <c r="C73" s="2" t="s">
        <v>97</v>
      </c>
      <c r="D73" s="2">
        <f>SUM($L$3:L73)</f>
        <v>716.04384069348464</v>
      </c>
      <c r="E73" s="2">
        <f t="shared" si="21"/>
        <v>10.752690382973697</v>
      </c>
      <c r="F73" s="40" t="s">
        <v>147</v>
      </c>
      <c r="G73" s="2">
        <v>4.4000000000000004</v>
      </c>
      <c r="H73" s="2">
        <f t="shared" si="22"/>
        <v>-0.39999999999999947</v>
      </c>
      <c r="I73" s="2">
        <f t="shared" si="23"/>
        <v>-2.1304202021926861</v>
      </c>
      <c r="J73" s="2">
        <v>3</v>
      </c>
      <c r="K73" s="2">
        <v>5250</v>
      </c>
      <c r="L73" s="2">
        <f>IF(J73=1,VLOOKUP('Duty Cycle '!K73,'Gearing '!$L$3:$O$28,2),IF(J73=2,VLOOKUP('Duty Cycle '!K73,'Gearing '!$L$2:$O$28,3),IF(J73=3,VLOOKUP('Duty Cycle '!K73,'Gearing '!$L$2:$O$28,4))))</f>
        <v>10.752690382973697</v>
      </c>
      <c r="M73" s="2">
        <f t="shared" si="15"/>
        <v>24.053768386712161</v>
      </c>
      <c r="N73" s="2">
        <f t="shared" si="24"/>
        <v>1.3312854759872188</v>
      </c>
      <c r="O73" s="2">
        <f>IF(J73=1,'Gearing '!$C$17*'Duty Cycle '!N73,IF(J73=2,'Gearing '!$C$18*'Duty Cycle '!N73,IF(J73=3,'Gearing '!$C$19*'Duty Cycle '!N73)))</f>
        <v>801.67840809083395</v>
      </c>
      <c r="P73" s="2">
        <f>IF(F73='Track '!$B$60,'Track '!$F$53,IF(F73='Track '!$B$61,'Track '!$F$54,IF(F73='Track '!$B$62,'Track '!$F$55)))</f>
        <v>0.06</v>
      </c>
      <c r="Q73" s="2">
        <f>P73*'Vehicle '!$F$38*9.81</f>
        <v>343.91897999999992</v>
      </c>
      <c r="R73" s="2">
        <f>0.5*'Vehicle '!$F$51*'Vehicle '!$F$25*'Track '!$F$57*'Duty Cycle '!L73^2</f>
        <v>44.181472383238614</v>
      </c>
      <c r="S73" s="2">
        <f>'Vehicle '!$F$38*9.81*SIN(RADIANS('Duty Cycle '!I73))</f>
        <v>-213.08233885679832</v>
      </c>
      <c r="T73" s="2">
        <f t="shared" si="16"/>
        <v>976.69652161727413</v>
      </c>
      <c r="U73" s="2">
        <f t="shared" si="25"/>
        <v>10.502115295077925</v>
      </c>
      <c r="V73" s="2">
        <f>'Vehicle '!$F$9-'Duty Cycle '!U73</f>
        <v>2.9207034968683843</v>
      </c>
      <c r="W73" s="2">
        <f t="shared" si="17"/>
        <v>10.502115295077925</v>
      </c>
      <c r="X73" s="41">
        <f t="shared" si="26"/>
        <v>19.102440710087439</v>
      </c>
      <c r="Y73" s="41">
        <f t="shared" si="18"/>
        <v>20</v>
      </c>
      <c r="Z73" s="2">
        <f>T73*D73</f>
        <v>699357.52853080002</v>
      </c>
      <c r="AA73" s="2">
        <f t="shared" si="27"/>
        <v>5030850.2803233704</v>
      </c>
      <c r="AB73" s="2">
        <f>INDEX('BSFC '!$D$5:$AD$27,MATCH('Duty Cycle '!Y73,'BSFC '!$B$5:$B$27,0),MATCH('Duty Cycle '!K73,'BSFC '!$D$28:$AD$28,0))</f>
        <v>492.96731776579998</v>
      </c>
      <c r="AC73" s="2">
        <f>U73*AB73/3600</f>
        <v>1.4381110021893744</v>
      </c>
      <c r="AD73" s="2">
        <f t="shared" si="28"/>
        <v>43.99607256057287</v>
      </c>
      <c r="AE73" s="2">
        <f t="shared" si="29"/>
        <v>4.4437629967651668</v>
      </c>
      <c r="AF73" s="2">
        <f>0.5*'Vehicle '!$F$38*'Duty Cycle '!L73^2/1000</f>
        <v>33.77848539042256</v>
      </c>
      <c r="AG73" s="2">
        <f t="shared" si="19"/>
        <v>699391.30701619049</v>
      </c>
    </row>
    <row r="74" spans="2:33" ht="30" customHeight="1" x14ac:dyDescent="0.25">
      <c r="B74" s="39">
        <f t="shared" si="20"/>
        <v>71</v>
      </c>
      <c r="C74" s="2" t="s">
        <v>97</v>
      </c>
      <c r="D74" s="2">
        <f>SUM($L$3:L74)</f>
        <v>727.82059682721774</v>
      </c>
      <c r="E74" s="2">
        <f t="shared" si="21"/>
        <v>11.776756133733102</v>
      </c>
      <c r="F74" s="40" t="s">
        <v>147</v>
      </c>
      <c r="G74" s="2">
        <v>3.6</v>
      </c>
      <c r="H74" s="2">
        <f t="shared" si="22"/>
        <v>-0.80000000000000027</v>
      </c>
      <c r="I74" s="2">
        <f t="shared" si="23"/>
        <v>-3.8861561408986316</v>
      </c>
      <c r="J74" s="2">
        <v>3</v>
      </c>
      <c r="K74" s="2">
        <v>5750</v>
      </c>
      <c r="L74" s="2">
        <f>IF(J74=1,VLOOKUP('Duty Cycle '!K74,'Gearing '!$L$3:$O$28,2),IF(J74=2,VLOOKUP('Duty Cycle '!K74,'Gearing '!$L$2:$O$28,3),IF(J74=3,VLOOKUP('Duty Cycle '!K74,'Gearing '!$L$2:$O$28,4))))</f>
        <v>11.776756133733098</v>
      </c>
      <c r="M74" s="2">
        <f t="shared" si="15"/>
        <v>26.344603471160941</v>
      </c>
      <c r="N74" s="2">
        <f t="shared" si="24"/>
        <v>1.0240657507594015</v>
      </c>
      <c r="O74" s="2">
        <f>IF(J74=1,'Gearing '!$C$17*'Duty Cycle '!N74,IF(J74=2,'Gearing '!$C$18*'Duty Cycle '!N74,IF(J74=3,'Gearing '!$C$19*'Duty Cycle '!N74)))</f>
        <v>616.67569853141219</v>
      </c>
      <c r="P74" s="2">
        <f>IF(F74='Track '!$B$60,'Track '!$F$53,IF(F74='Track '!$B$61,'Track '!$F$54,IF(F74='Track '!$B$62,'Track '!$F$55)))</f>
        <v>0.06</v>
      </c>
      <c r="Q74" s="2">
        <f>P74*'Vehicle '!$F$38*9.81</f>
        <v>343.91897999999992</v>
      </c>
      <c r="R74" s="2">
        <f>0.5*'Vehicle '!$F$51*'Vehicle '!$F$25*'Track '!$F$57*'Duty Cycle '!L74^2</f>
        <v>52.997729910959706</v>
      </c>
      <c r="S74" s="2">
        <f>'Vehicle '!$F$38*9.81*SIN(RADIANS('Duty Cycle '!I74))</f>
        <v>-388.48071864370945</v>
      </c>
      <c r="T74" s="2">
        <f t="shared" si="16"/>
        <v>625.11168979866238</v>
      </c>
      <c r="U74" s="2">
        <f t="shared" si="25"/>
        <v>7.3617879271046585</v>
      </c>
      <c r="V74" s="2">
        <f>'Vehicle '!$F$9-'Duty Cycle '!U74</f>
        <v>6.0610308648416504</v>
      </c>
      <c r="W74" s="2">
        <f t="shared" si="17"/>
        <v>7.3617879271046585</v>
      </c>
      <c r="X74" s="41">
        <f t="shared" si="26"/>
        <v>12.226068924448111</v>
      </c>
      <c r="Y74" s="41">
        <f t="shared" si="18"/>
        <v>13</v>
      </c>
      <c r="Z74" s="2">
        <f>T74*D74</f>
        <v>454969.16315293306</v>
      </c>
      <c r="AA74" s="2">
        <f t="shared" si="27"/>
        <v>5485819.4434763035</v>
      </c>
      <c r="AB74" s="2">
        <f>INDEX('BSFC '!$D$5:$AD$27,MATCH('Duty Cycle '!Y74,'BSFC '!$B$5:$B$27,0),MATCH('Duty Cycle '!K74,'BSFC '!$D$28:$AD$28,0))</f>
        <v>332.64518096579997</v>
      </c>
      <c r="AC74" s="2">
        <f>U74*AB74/3600</f>
        <v>0.68023979923432509</v>
      </c>
      <c r="AD74" s="2">
        <f t="shared" si="28"/>
        <v>44.676312359807191</v>
      </c>
      <c r="AE74" s="2">
        <f t="shared" si="29"/>
        <v>2.1019409796340645</v>
      </c>
      <c r="AF74" s="2">
        <f>0.5*'Vehicle '!$F$38*'Duty Cycle '!L74^2/1000</f>
        <v>40.518863427513693</v>
      </c>
      <c r="AG74" s="2">
        <f t="shared" si="19"/>
        <v>455009.68201636057</v>
      </c>
    </row>
    <row r="75" spans="2:33" ht="30" customHeight="1" x14ac:dyDescent="0.25">
      <c r="B75" s="39">
        <f t="shared" si="20"/>
        <v>72</v>
      </c>
      <c r="C75" s="2" t="s">
        <v>97</v>
      </c>
      <c r="D75" s="2">
        <f>SUM($L$3:L75)</f>
        <v>740.10938583633049</v>
      </c>
      <c r="E75" s="2">
        <f t="shared" si="21"/>
        <v>12.288789009112747</v>
      </c>
      <c r="F75" s="40" t="s">
        <v>147</v>
      </c>
      <c r="G75" s="2">
        <v>3.6</v>
      </c>
      <c r="H75" s="2">
        <f t="shared" si="22"/>
        <v>0</v>
      </c>
      <c r="I75" s="2">
        <f t="shared" si="23"/>
        <v>0</v>
      </c>
      <c r="J75" s="2">
        <v>3</v>
      </c>
      <c r="K75" s="2">
        <v>6000</v>
      </c>
      <c r="L75" s="2">
        <f>IF(J75=1,VLOOKUP('Duty Cycle '!K75,'Gearing '!$L$3:$O$28,2),IF(J75=2,VLOOKUP('Duty Cycle '!K75,'Gearing '!$L$2:$O$28,3),IF(J75=3,VLOOKUP('Duty Cycle '!K75,'Gearing '!$L$2:$O$28,4))))</f>
        <v>12.288789009112795</v>
      </c>
      <c r="M75" s="2">
        <f t="shared" si="15"/>
        <v>27.490021013385324</v>
      </c>
      <c r="N75" s="2">
        <f t="shared" si="24"/>
        <v>0.51203287537969722</v>
      </c>
      <c r="O75" s="2">
        <f>IF(J75=1,'Gearing '!$C$17*'Duty Cycle '!N75,IF(J75=2,'Gearing '!$C$18*'Duty Cycle '!N75,IF(J75=3,'Gearing '!$C$19*'Duty Cycle '!N75)))</f>
        <v>308.33784926570394</v>
      </c>
      <c r="P75" s="2">
        <f>IF(F75='Track '!$B$60,'Track '!$F$53,IF(F75='Track '!$B$61,'Track '!$F$54,IF(F75='Track '!$B$62,'Track '!$F$55)))</f>
        <v>0.06</v>
      </c>
      <c r="Q75" s="2">
        <f>P75*'Vehicle '!$F$38*9.81</f>
        <v>343.91897999999992</v>
      </c>
      <c r="R75" s="2">
        <f>0.5*'Vehicle '!$F$51*'Vehicle '!$F$25*'Track '!$F$57*'Duty Cycle '!L75^2</f>
        <v>57.70641290871982</v>
      </c>
      <c r="S75" s="2">
        <f>'Vehicle '!$F$38*9.81*SIN(RADIANS('Duty Cycle '!I75))</f>
        <v>0</v>
      </c>
      <c r="T75" s="2">
        <f t="shared" si="16"/>
        <v>709.96324217442361</v>
      </c>
      <c r="U75" s="2">
        <f t="shared" si="25"/>
        <v>8.7245884873071429</v>
      </c>
      <c r="V75" s="2">
        <f>'Vehicle '!$F$9-'Duty Cycle '!U75</f>
        <v>4.698230304639166</v>
      </c>
      <c r="W75" s="2">
        <f t="shared" si="17"/>
        <v>8.7245884873071429</v>
      </c>
      <c r="X75" s="41">
        <f t="shared" si="26"/>
        <v>13.885613841975735</v>
      </c>
      <c r="Y75" s="41">
        <f t="shared" si="18"/>
        <v>14</v>
      </c>
      <c r="Z75" s="2">
        <f>T75*D75</f>
        <v>525450.45913208264</v>
      </c>
      <c r="AA75" s="2">
        <f t="shared" si="27"/>
        <v>6011269.9026083862</v>
      </c>
      <c r="AB75" s="2">
        <f>INDEX('BSFC '!$D$5:$AD$27,MATCH('Duty Cycle '!Y75,'BSFC '!$B$5:$B$27,0),MATCH('Duty Cycle '!K75,'BSFC '!$D$28:$AD$28,0))</f>
        <v>356.11311296580016</v>
      </c>
      <c r="AC75" s="2">
        <f>U75*AB75/3600</f>
        <v>0.86303899043347998</v>
      </c>
      <c r="AD75" s="2">
        <f t="shared" si="28"/>
        <v>45.539351350240672</v>
      </c>
      <c r="AE75" s="2">
        <f t="shared" si="29"/>
        <v>2.6667904804394529</v>
      </c>
      <c r="AF75" s="2">
        <f>0.5*'Vehicle '!$F$38*'Duty Cycle '!L75^2/1000</f>
        <v>44.118838060960073</v>
      </c>
      <c r="AG75" s="2">
        <f t="shared" si="19"/>
        <v>525494.57797014364</v>
      </c>
    </row>
    <row r="76" spans="2:33" ht="30" customHeight="1" x14ac:dyDescent="0.25">
      <c r="B76" s="39">
        <f t="shared" si="20"/>
        <v>73</v>
      </c>
      <c r="C76" s="2" t="s">
        <v>97</v>
      </c>
      <c r="D76" s="2">
        <f>SUM($L$3:L76)</f>
        <v>751.88614197006359</v>
      </c>
      <c r="E76" s="2">
        <f t="shared" si="21"/>
        <v>11.776756133733102</v>
      </c>
      <c r="F76" s="40" t="s">
        <v>147</v>
      </c>
      <c r="G76" s="2">
        <v>4</v>
      </c>
      <c r="H76" s="2">
        <f t="shared" si="22"/>
        <v>0.39999999999999991</v>
      </c>
      <c r="I76" s="2">
        <f t="shared" si="23"/>
        <v>1.9453153749783254</v>
      </c>
      <c r="J76" s="2">
        <v>3</v>
      </c>
      <c r="K76" s="2">
        <v>5750</v>
      </c>
      <c r="L76" s="2">
        <f>IF(J76=1,VLOOKUP('Duty Cycle '!K76,'Gearing '!$L$3:$O$28,2),IF(J76=2,VLOOKUP('Duty Cycle '!K76,'Gearing '!$L$2:$O$28,3),IF(J76=3,VLOOKUP('Duty Cycle '!K76,'Gearing '!$L$2:$O$28,4))))</f>
        <v>11.776756133733098</v>
      </c>
      <c r="M76" s="2">
        <f t="shared" si="15"/>
        <v>26.344603471160941</v>
      </c>
      <c r="N76" s="2">
        <f t="shared" si="24"/>
        <v>-0.51203287537969722</v>
      </c>
      <c r="O76" s="2">
        <f>IF(J76=1,'Gearing '!$C$17*'Duty Cycle '!N76,IF(J76=2,'Gearing '!$C$18*'Duty Cycle '!N76,IF(J76=3,'Gearing '!$C$19*'Duty Cycle '!N76)))</f>
        <v>-308.33784926570394</v>
      </c>
      <c r="P76" s="2">
        <f>IF(F76='Track '!$B$60,'Track '!$F$53,IF(F76='Track '!$B$61,'Track '!$F$54,IF(F76='Track '!$B$62,'Track '!$F$55)))</f>
        <v>0.06</v>
      </c>
      <c r="Q76" s="2">
        <f>P76*'Vehicle '!$F$38*9.81</f>
        <v>343.91897999999992</v>
      </c>
      <c r="R76" s="2">
        <f>0.5*'Vehicle '!$F$51*'Vehicle '!$F$25*'Track '!$F$57*'Duty Cycle '!L76^2</f>
        <v>52.997729910959706</v>
      </c>
      <c r="S76" s="2">
        <f>'Vehicle '!$F$38*9.81*SIN(RADIANS('Duty Cycle '!I76))</f>
        <v>194.57580621753229</v>
      </c>
      <c r="T76" s="2">
        <f t="shared" si="16"/>
        <v>283.15466686278802</v>
      </c>
      <c r="U76" s="2">
        <f t="shared" si="25"/>
        <v>3.3346434597714909</v>
      </c>
      <c r="V76" s="2">
        <f>'Vehicle '!$F$9-'Duty Cycle '!U76</f>
        <v>10.088175332174817</v>
      </c>
      <c r="W76" s="2">
        <f t="shared" si="17"/>
        <v>3.3346434597714909</v>
      </c>
      <c r="X76" s="41">
        <f t="shared" si="26"/>
        <v>5.5379998964002706</v>
      </c>
      <c r="Y76" s="41">
        <f t="shared" si="18"/>
        <v>6</v>
      </c>
      <c r="Z76" s="2">
        <f>T76*D76</f>
        <v>212900.07004828029</v>
      </c>
      <c r="AA76" s="2">
        <f t="shared" si="27"/>
        <v>6224169.9726566663</v>
      </c>
      <c r="AB76" s="2">
        <f>INDEX('BSFC '!$D$5:$AD$27,MATCH('Duty Cycle '!Y76,'BSFC '!$B$5:$B$27,0),MATCH('Duty Cycle '!K76,'BSFC '!$D$28:$AD$28,0))</f>
        <v>555.63421520579993</v>
      </c>
      <c r="AC76" s="2">
        <f>U76*AB76/3600</f>
        <v>0.51467833382257944</v>
      </c>
      <c r="AD76" s="2">
        <f t="shared" si="28"/>
        <v>46.054029684063252</v>
      </c>
      <c r="AE76" s="2">
        <f t="shared" si="29"/>
        <v>1.5903560515117703</v>
      </c>
      <c r="AF76" s="2">
        <f>0.5*'Vehicle '!$F$38*'Duty Cycle '!L76^2/1000</f>
        <v>40.518863427513693</v>
      </c>
      <c r="AG76" s="2">
        <f t="shared" si="19"/>
        <v>212940.5889117078</v>
      </c>
    </row>
    <row r="77" spans="2:33" ht="30" customHeight="1" x14ac:dyDescent="0.25">
      <c r="B77" s="39">
        <f t="shared" si="20"/>
        <v>74</v>
      </c>
      <c r="C77" s="2" t="s">
        <v>106</v>
      </c>
      <c r="D77" s="2">
        <f>SUM($L$3:L77)</f>
        <v>762.63883235303729</v>
      </c>
      <c r="E77" s="2">
        <f t="shared" si="21"/>
        <v>10.752690382973697</v>
      </c>
      <c r="F77" s="40" t="s">
        <v>147</v>
      </c>
      <c r="G77" s="2">
        <v>4.8</v>
      </c>
      <c r="H77" s="2">
        <f t="shared" si="22"/>
        <v>0.79999999999999982</v>
      </c>
      <c r="I77" s="2">
        <f t="shared" si="23"/>
        <v>4.2549657553087838</v>
      </c>
      <c r="J77" s="2">
        <v>3</v>
      </c>
      <c r="K77" s="2">
        <v>5250</v>
      </c>
      <c r="L77" s="2">
        <f>IF(J77=1,VLOOKUP('Duty Cycle '!K77,'Gearing '!$L$3:$O$28,2),IF(J77=2,VLOOKUP('Duty Cycle '!K77,'Gearing '!$L$2:$O$28,3),IF(J77=3,VLOOKUP('Duty Cycle '!K77,'Gearing '!$L$2:$O$28,4))))</f>
        <v>10.752690382973697</v>
      </c>
      <c r="M77" s="2">
        <f t="shared" si="15"/>
        <v>24.053768386712161</v>
      </c>
      <c r="N77" s="2">
        <f t="shared" si="24"/>
        <v>-1.0240657507594015</v>
      </c>
      <c r="O77" s="2">
        <f>IF(J77=1,'Gearing '!$C$17*'Duty Cycle '!N77,IF(J77=2,'Gearing '!$C$18*'Duty Cycle '!N77,IF(J77=3,'Gearing '!$C$19*'Duty Cycle '!N77)))</f>
        <v>-616.67569853141219</v>
      </c>
      <c r="P77" s="2">
        <f>IF(F77='Track '!$B$60,'Track '!$F$53,IF(F77='Track '!$B$61,'Track '!$F$54,IF(F77='Track '!$B$62,'Track '!$F$55)))</f>
        <v>0.06</v>
      </c>
      <c r="Q77" s="2">
        <f>P77*'Vehicle '!$F$38*9.81</f>
        <v>343.91897999999992</v>
      </c>
      <c r="R77" s="2">
        <f>0.5*'Vehicle '!$F$51*'Vehicle '!$F$25*'Track '!$F$57*'Duty Cycle '!L77^2</f>
        <v>44.181472383238614</v>
      </c>
      <c r="S77" s="2">
        <f>'Vehicle '!$F$38*9.81*SIN(RADIANS('Duty Cycle '!I77))</f>
        <v>425.28402226922145</v>
      </c>
      <c r="T77" s="2">
        <f t="shared" si="16"/>
        <v>196.70877612104778</v>
      </c>
      <c r="U77" s="2">
        <f t="shared" si="25"/>
        <v>2.1151485652433162</v>
      </c>
      <c r="V77" s="2">
        <f>'Vehicle '!$F$9-'Duty Cycle '!U77</f>
        <v>11.307670226702992</v>
      </c>
      <c r="W77" s="2">
        <f t="shared" si="17"/>
        <v>2.1151485652433162</v>
      </c>
      <c r="X77" s="41">
        <f t="shared" si="26"/>
        <v>3.8472725660823324</v>
      </c>
      <c r="Y77" s="41">
        <f t="shared" si="18"/>
        <v>4</v>
      </c>
      <c r="Z77" s="2">
        <f>T77*D77</f>
        <v>150017.75133455091</v>
      </c>
      <c r="AA77" s="2">
        <f t="shared" si="27"/>
        <v>6374187.7239912171</v>
      </c>
      <c r="AB77" s="2">
        <f>INDEX('BSFC '!$D$5:$AD$27,MATCH('Duty Cycle '!Y77,'BSFC '!$B$5:$B$27,0),MATCH('Duty Cycle '!K77,'BSFC '!$D$28:$AD$28,0))</f>
        <v>708.77069296579998</v>
      </c>
      <c r="AC77" s="2">
        <f>U77*AB77/3600</f>
        <v>0.41643203175364518</v>
      </c>
      <c r="AD77" s="2">
        <f t="shared" si="28"/>
        <v>46.470461715816896</v>
      </c>
      <c r="AE77" s="2">
        <f t="shared" si="29"/>
        <v>1.2867749781187636</v>
      </c>
      <c r="AF77" s="2">
        <f>0.5*'Vehicle '!$F$38*'Duty Cycle '!L77^2/1000</f>
        <v>33.77848539042256</v>
      </c>
      <c r="AG77" s="2">
        <f t="shared" si="19"/>
        <v>150051.52981994132</v>
      </c>
    </row>
    <row r="78" spans="2:33" ht="30" customHeight="1" x14ac:dyDescent="0.25">
      <c r="B78" s="39">
        <f t="shared" si="20"/>
        <v>75</v>
      </c>
      <c r="C78" s="2" t="s">
        <v>106</v>
      </c>
      <c r="D78" s="2">
        <f>SUM($L$3:L78)</f>
        <v>772.36745698525158</v>
      </c>
      <c r="E78" s="2">
        <f t="shared" si="21"/>
        <v>9.7286246322142915</v>
      </c>
      <c r="F78" s="40" t="s">
        <v>147</v>
      </c>
      <c r="G78" s="2">
        <v>5.8</v>
      </c>
      <c r="H78" s="2">
        <f t="shared" si="22"/>
        <v>1</v>
      </c>
      <c r="I78" s="2">
        <f t="shared" si="23"/>
        <v>5.8687904876692611</v>
      </c>
      <c r="J78" s="2">
        <v>3</v>
      </c>
      <c r="K78" s="2">
        <v>4750</v>
      </c>
      <c r="L78" s="2">
        <f>IF(J78=1,VLOOKUP('Duty Cycle '!K78,'Gearing '!$L$3:$O$28,2),IF(J78=2,VLOOKUP('Duty Cycle '!K78,'Gearing '!$L$2:$O$28,3),IF(J78=3,VLOOKUP('Duty Cycle '!K78,'Gearing '!$L$2:$O$28,4))))</f>
        <v>9.7286246322142969</v>
      </c>
      <c r="M78" s="2">
        <f t="shared" si="15"/>
        <v>21.762933302263384</v>
      </c>
      <c r="N78" s="2">
        <f t="shared" si="24"/>
        <v>-1.0240657507593998</v>
      </c>
      <c r="O78" s="2">
        <f>IF(J78=1,'Gearing '!$C$17*'Duty Cycle '!N78,IF(J78=2,'Gearing '!$C$18*'Duty Cycle '!N78,IF(J78=3,'Gearing '!$C$19*'Duty Cycle '!N78)))</f>
        <v>-616.67569853141106</v>
      </c>
      <c r="P78" s="2">
        <f>IF(F78='Track '!$B$60,'Track '!$F$53,IF(F78='Track '!$B$61,'Track '!$F$54,IF(F78='Track '!$B$62,'Track '!$F$55)))</f>
        <v>0.06</v>
      </c>
      <c r="Q78" s="2">
        <f>P78*'Vehicle '!$F$38*9.81</f>
        <v>343.91897999999992</v>
      </c>
      <c r="R78" s="2">
        <f>0.5*'Vehicle '!$F$51*'Vehicle '!$F$25*'Track '!$F$57*'Duty Cycle '!L78^2</f>
        <v>36.166692812583079</v>
      </c>
      <c r="S78" s="2">
        <f>'Vehicle '!$F$38*9.81*SIN(RADIANS('Duty Cycle '!I78))</f>
        <v>586.09926403903387</v>
      </c>
      <c r="T78" s="2">
        <f t="shared" si="16"/>
        <v>349.50923832020578</v>
      </c>
      <c r="U78" s="2">
        <f t="shared" si="25"/>
        <v>3.4002441851084111</v>
      </c>
      <c r="V78" s="2">
        <f>'Vehicle '!$F$9-'Duty Cycle '!U78</f>
        <v>10.022574606837898</v>
      </c>
      <c r="W78" s="2">
        <f t="shared" si="17"/>
        <v>3.4002441851084111</v>
      </c>
      <c r="X78" s="41">
        <f t="shared" si="26"/>
        <v>6.8357768814249749</v>
      </c>
      <c r="Y78" s="41">
        <f t="shared" si="18"/>
        <v>7</v>
      </c>
      <c r="Z78" s="2">
        <f>T78*D78</f>
        <v>269949.5615942296</v>
      </c>
      <c r="AA78" s="2">
        <f t="shared" si="27"/>
        <v>6644137.2855854463</v>
      </c>
      <c r="AB78" s="2">
        <f>INDEX('BSFC '!$D$5:$AD$27,MATCH('Duty Cycle '!Y78,'BSFC '!$B$5:$B$27,0),MATCH('Duty Cycle '!K78,'BSFC '!$D$28:$AD$28,0))</f>
        <v>561.71778280767512</v>
      </c>
      <c r="AC78" s="2">
        <f>U78*AB78/3600</f>
        <v>0.53054934018438515</v>
      </c>
      <c r="AD78" s="2">
        <f t="shared" si="28"/>
        <v>47.001011056001282</v>
      </c>
      <c r="AE78" s="2">
        <f t="shared" si="29"/>
        <v>1.6393974611697502</v>
      </c>
      <c r="AF78" s="2">
        <f>0.5*'Vehicle '!$F$38*'Duty Cycle '!L78^2/1000</f>
        <v>27.65086899306699</v>
      </c>
      <c r="AG78" s="2">
        <f t="shared" si="19"/>
        <v>269977.21246322268</v>
      </c>
    </row>
    <row r="79" spans="2:33" ht="30" customHeight="1" x14ac:dyDescent="0.25">
      <c r="B79" s="39">
        <f t="shared" si="20"/>
        <v>76</v>
      </c>
      <c r="C79" s="2" t="s">
        <v>106</v>
      </c>
      <c r="D79" s="2">
        <f>SUM($L$3:L79)</f>
        <v>781.58404874208622</v>
      </c>
      <c r="E79" s="2">
        <f t="shared" si="21"/>
        <v>9.2165917568346458</v>
      </c>
      <c r="F79" s="40" t="s">
        <v>147</v>
      </c>
      <c r="G79" s="2">
        <v>7</v>
      </c>
      <c r="H79" s="2">
        <f t="shared" si="22"/>
        <v>1.2000000000000002</v>
      </c>
      <c r="I79" s="2">
        <f t="shared" si="23"/>
        <v>7.4181790465535071</v>
      </c>
      <c r="J79" s="2">
        <v>3</v>
      </c>
      <c r="K79" s="2">
        <v>4500</v>
      </c>
      <c r="L79" s="2">
        <f>IF(J79=1,VLOOKUP('Duty Cycle '!K79,'Gearing '!$L$3:$O$28,2),IF(J79=2,VLOOKUP('Duty Cycle '!K79,'Gearing '!$L$2:$O$28,3),IF(J79=3,VLOOKUP('Duty Cycle '!K79,'Gearing '!$L$2:$O$28,4))))</f>
        <v>9.2165917568345979</v>
      </c>
      <c r="M79" s="2">
        <f t="shared" si="15"/>
        <v>20.617515760038998</v>
      </c>
      <c r="N79" s="2">
        <f t="shared" si="24"/>
        <v>-0.51203287537969899</v>
      </c>
      <c r="O79" s="2">
        <f>IF(J79=1,'Gearing '!$C$17*'Duty Cycle '!N79,IF(J79=2,'Gearing '!$C$18*'Duty Cycle '!N79,IF(J79=3,'Gearing '!$C$19*'Duty Cycle '!N79)))</f>
        <v>-308.33784926570502</v>
      </c>
      <c r="P79" s="2">
        <f>IF(F79='Track '!$B$60,'Track '!$F$53,IF(F79='Track '!$B$61,'Track '!$F$54,IF(F79='Track '!$B$62,'Track '!$F$55)))</f>
        <v>0.06</v>
      </c>
      <c r="Q79" s="2">
        <f>P79*'Vehicle '!$F$38*9.81</f>
        <v>343.91897999999992</v>
      </c>
      <c r="R79" s="2">
        <f>0.5*'Vehicle '!$F$51*'Vehicle '!$F$25*'Track '!$F$57*'Duty Cycle '!L79^2</f>
        <v>32.459857261154902</v>
      </c>
      <c r="S79" s="2">
        <f>'Vehicle '!$F$38*9.81*SIN(RADIANS('Duty Cycle '!I79))</f>
        <v>740.05765321849481</v>
      </c>
      <c r="T79" s="2">
        <f t="shared" si="16"/>
        <v>808.09864121394457</v>
      </c>
      <c r="U79" s="2">
        <f t="shared" si="25"/>
        <v>7.4479152753216802</v>
      </c>
      <c r="V79" s="2">
        <f>'Vehicle '!$F$9-'Duty Cycle '!U79</f>
        <v>5.9749035166246287</v>
      </c>
      <c r="W79" s="2">
        <f t="shared" si="17"/>
        <v>7.4479152753216802</v>
      </c>
      <c r="X79" s="41">
        <f t="shared" si="26"/>
        <v>15.804967090627732</v>
      </c>
      <c r="Y79" s="41">
        <f t="shared" si="18"/>
        <v>16</v>
      </c>
      <c r="Z79" s="2">
        <f>T79*D79</f>
        <v>631597.00778297335</v>
      </c>
      <c r="AA79" s="2">
        <f t="shared" si="27"/>
        <v>7275734.2933684196</v>
      </c>
      <c r="AB79" s="2">
        <f>INDEX('BSFC '!$D$5:$AD$27,MATCH('Duty Cycle '!Y79,'BSFC '!$B$5:$B$27,0),MATCH('Duty Cycle '!K79,'BSFC '!$D$28:$AD$28,0))</f>
        <v>481.37702852580003</v>
      </c>
      <c r="AC79" s="2">
        <f>U79*AB79/3600</f>
        <v>0.99590425665174065</v>
      </c>
      <c r="AD79" s="2">
        <f t="shared" si="28"/>
        <v>47.996915312653023</v>
      </c>
      <c r="AE79" s="2">
        <f t="shared" si="29"/>
        <v>3.0773441530538785</v>
      </c>
      <c r="AF79" s="2">
        <f>0.5*'Vehicle '!$F$38*'Duty Cycle '!L79^2/1000</f>
        <v>24.816846409290047</v>
      </c>
      <c r="AG79" s="2">
        <f t="shared" si="19"/>
        <v>631621.8246293827</v>
      </c>
    </row>
    <row r="80" spans="2:33" ht="30" customHeight="1" x14ac:dyDescent="0.25">
      <c r="B80" s="39">
        <f t="shared" si="20"/>
        <v>77</v>
      </c>
      <c r="C80" s="2" t="s">
        <v>106</v>
      </c>
      <c r="D80" s="2">
        <f>SUM($L$3:L80)</f>
        <v>790.2203365734905</v>
      </c>
      <c r="E80" s="2">
        <f t="shared" si="21"/>
        <v>8.6362878314042746</v>
      </c>
      <c r="F80" s="40" t="s">
        <v>147</v>
      </c>
      <c r="G80" s="2">
        <v>8.1999999999999993</v>
      </c>
      <c r="H80" s="2">
        <f t="shared" si="22"/>
        <v>1.1999999999999993</v>
      </c>
      <c r="I80" s="2">
        <f t="shared" si="23"/>
        <v>7.9105184511964683</v>
      </c>
      <c r="J80" s="2">
        <v>2</v>
      </c>
      <c r="K80" s="2">
        <v>5500</v>
      </c>
      <c r="L80" s="2">
        <f>IF(J80=1,VLOOKUP('Duty Cycle '!K80,'Gearing '!$L$3:$O$28,2),IF(J80=2,VLOOKUP('Duty Cycle '!K80,'Gearing '!$L$2:$O$28,3),IF(J80=3,VLOOKUP('Duty Cycle '!K80,'Gearing '!$L$2:$O$28,4))))</f>
        <v>8.6362878314042693</v>
      </c>
      <c r="M80" s="2">
        <f t="shared" si="15"/>
        <v>19.31937587885135</v>
      </c>
      <c r="N80" s="2">
        <f t="shared" si="24"/>
        <v>-0.5803039254303286</v>
      </c>
      <c r="O80" s="2">
        <f>IF(J80=1,'Gearing '!$C$17*'Duty Cycle '!N80,IF(J80=2,'Gearing '!$C$18*'Duty Cycle '!N80,IF(J80=3,'Gearing '!$C$19*'Duty Cycle '!N80)))</f>
        <v>-350.92913669314743</v>
      </c>
      <c r="P80" s="2">
        <f>IF(F80='Track '!$B$60,'Track '!$F$53,IF(F80='Track '!$B$61,'Track '!$F$54,IF(F80='Track '!$B$62,'Track '!$F$55)))</f>
        <v>0.06</v>
      </c>
      <c r="Q80" s="2">
        <f>P80*'Vehicle '!$F$38*9.81</f>
        <v>343.91897999999992</v>
      </c>
      <c r="R80" s="2">
        <f>0.5*'Vehicle '!$F$51*'Vehicle '!$F$25*'Track '!$F$57*'Duty Cycle '!L80^2</f>
        <v>28.501001418782764</v>
      </c>
      <c r="S80" s="2">
        <f>'Vehicle '!$F$38*9.81*SIN(RADIANS('Duty Cycle '!I80))</f>
        <v>788.87208792327044</v>
      </c>
      <c r="T80" s="2">
        <f t="shared" si="16"/>
        <v>810.3629326489056</v>
      </c>
      <c r="U80" s="2">
        <f t="shared" si="25"/>
        <v>6.9985275342568212</v>
      </c>
      <c r="V80" s="2">
        <f>'Vehicle '!$F$9-'Duty Cycle '!U80</f>
        <v>6.4242912576894877</v>
      </c>
      <c r="W80" s="2">
        <f t="shared" si="17"/>
        <v>6.9985275342568212</v>
      </c>
      <c r="X80" s="41">
        <f t="shared" si="26"/>
        <v>12.151093652091351</v>
      </c>
      <c r="Y80" s="41">
        <f t="shared" si="18"/>
        <v>13</v>
      </c>
      <c r="Z80" s="2">
        <f>T80*D80</f>
        <v>640365.26938449894</v>
      </c>
      <c r="AA80" s="2">
        <f t="shared" si="27"/>
        <v>7916099.5627529183</v>
      </c>
      <c r="AB80" s="2">
        <f>INDEX('BSFC '!$D$5:$AD$27,MATCH('Duty Cycle '!Y80,'BSFC '!$B$5:$B$27,0),MATCH('Duty Cycle '!K80,'BSFC '!$D$28:$AD$28,0))</f>
        <v>306.74480096579998</v>
      </c>
      <c r="AC80" s="2">
        <f>U80*AB80/3600</f>
        <v>0.59632275987479977</v>
      </c>
      <c r="AD80" s="2">
        <f t="shared" si="28"/>
        <v>48.593238072527825</v>
      </c>
      <c r="AE80" s="2">
        <f t="shared" si="29"/>
        <v>1.8426373280131312</v>
      </c>
      <c r="AF80" s="2">
        <f>0.5*'Vehicle '!$F$38*'Duty Cycle '!L80^2/1000</f>
        <v>21.790144332129575</v>
      </c>
      <c r="AG80" s="2">
        <f t="shared" si="19"/>
        <v>640387.05952883104</v>
      </c>
    </row>
    <row r="81" spans="2:33" ht="30" customHeight="1" x14ac:dyDescent="0.25">
      <c r="B81" s="39">
        <f t="shared" si="20"/>
        <v>78</v>
      </c>
      <c r="C81" s="2" t="s">
        <v>106</v>
      </c>
      <c r="D81" s="2">
        <f>SUM($L$3:L81)</f>
        <v>798.85662440489477</v>
      </c>
      <c r="E81" s="2">
        <f t="shared" si="21"/>
        <v>8.6362878314042746</v>
      </c>
      <c r="F81" s="40" t="s">
        <v>147</v>
      </c>
      <c r="G81" s="2">
        <v>9.4</v>
      </c>
      <c r="H81" s="2">
        <f t="shared" si="22"/>
        <v>1.2000000000000011</v>
      </c>
      <c r="I81" s="2">
        <f t="shared" si="23"/>
        <v>7.910518451196479</v>
      </c>
      <c r="J81" s="2">
        <v>2</v>
      </c>
      <c r="K81" s="2">
        <v>5500</v>
      </c>
      <c r="L81" s="2">
        <f>IF(J81=1,VLOOKUP('Duty Cycle '!K81,'Gearing '!$L$3:$O$28,2),IF(J81=2,VLOOKUP('Duty Cycle '!K81,'Gearing '!$L$2:$O$28,3),IF(J81=3,VLOOKUP('Duty Cycle '!K81,'Gearing '!$L$2:$O$28,4))))</f>
        <v>8.6362878314042693</v>
      </c>
      <c r="M81" s="2">
        <f t="shared" si="15"/>
        <v>19.31937587885135</v>
      </c>
      <c r="N81" s="2">
        <f t="shared" si="24"/>
        <v>0</v>
      </c>
      <c r="O81" s="2">
        <f>IF(J81=1,'Gearing '!$C$17*'Duty Cycle '!N81,IF(J81=2,'Gearing '!$C$18*'Duty Cycle '!N81,IF(J81=3,'Gearing '!$C$19*'Duty Cycle '!N81)))</f>
        <v>0</v>
      </c>
      <c r="P81" s="2">
        <f>IF(F81='Track '!$B$60,'Track '!$F$53,IF(F81='Track '!$B$61,'Track '!$F$54,IF(F81='Track '!$B$62,'Track '!$F$55)))</f>
        <v>0.06</v>
      </c>
      <c r="Q81" s="2">
        <f>P81*'Vehicle '!$F$38*9.81</f>
        <v>343.91897999999992</v>
      </c>
      <c r="R81" s="2">
        <f>0.5*'Vehicle '!$F$51*'Vehicle '!$F$25*'Track '!$F$57*'Duty Cycle '!L81^2</f>
        <v>28.501001418782764</v>
      </c>
      <c r="S81" s="2">
        <f>'Vehicle '!$F$38*9.81*SIN(RADIANS('Duty Cycle '!I81))</f>
        <v>788.87208792327158</v>
      </c>
      <c r="T81" s="2">
        <f t="shared" si="16"/>
        <v>1161.2920693420542</v>
      </c>
      <c r="U81" s="2">
        <f t="shared" si="25"/>
        <v>10.029252567165065</v>
      </c>
      <c r="V81" s="2">
        <f>'Vehicle '!$F$9-'Duty Cycle '!U81</f>
        <v>3.3935662247812441</v>
      </c>
      <c r="W81" s="2">
        <f t="shared" si="17"/>
        <v>10.029252567165065</v>
      </c>
      <c r="X81" s="41">
        <f t="shared" si="26"/>
        <v>17.413146780888017</v>
      </c>
      <c r="Y81" s="41">
        <f t="shared" si="18"/>
        <v>18</v>
      </c>
      <c r="Z81" s="2">
        <f>T81*D81</f>
        <v>927705.86246276845</v>
      </c>
      <c r="AA81" s="2">
        <f t="shared" si="27"/>
        <v>8843805.4252156876</v>
      </c>
      <c r="AB81" s="2">
        <f>INDEX('BSFC '!$D$5:$AD$27,MATCH('Duty Cycle '!Y81,'BSFC '!$B$5:$B$27,0),MATCH('Duty Cycle '!K81,'BSFC '!$D$28:$AD$28,0))</f>
        <v>401.39179760580015</v>
      </c>
      <c r="AC81" s="2">
        <f>U81*AB81/3600</f>
        <v>1.1182388101602698</v>
      </c>
      <c r="AD81" s="2">
        <f t="shared" si="28"/>
        <v>49.711476882688096</v>
      </c>
      <c r="AE81" s="2">
        <f t="shared" si="29"/>
        <v>3.4553579233952334</v>
      </c>
      <c r="AF81" s="2">
        <f>0.5*'Vehicle '!$F$38*'Duty Cycle '!L81^2/1000</f>
        <v>21.790144332129575</v>
      </c>
      <c r="AG81" s="2">
        <f t="shared" si="19"/>
        <v>927727.65260710055</v>
      </c>
    </row>
    <row r="82" spans="2:33" ht="30" customHeight="1" x14ac:dyDescent="0.25">
      <c r="B82" s="39">
        <f t="shared" si="20"/>
        <v>79</v>
      </c>
      <c r="C82" s="2" t="s">
        <v>106</v>
      </c>
      <c r="D82" s="2">
        <f>SUM($L$3:L82)</f>
        <v>807.49291223629905</v>
      </c>
      <c r="E82" s="2">
        <f t="shared" si="21"/>
        <v>8.6362878314042746</v>
      </c>
      <c r="F82" s="40" t="s">
        <v>147</v>
      </c>
      <c r="G82" s="2">
        <v>10.6</v>
      </c>
      <c r="H82" s="2">
        <f t="shared" si="22"/>
        <v>1.1999999999999993</v>
      </c>
      <c r="I82" s="2">
        <f t="shared" si="23"/>
        <v>7.9105184511964683</v>
      </c>
      <c r="J82" s="2">
        <v>2</v>
      </c>
      <c r="K82" s="2">
        <v>5500</v>
      </c>
      <c r="L82" s="2">
        <f>IF(J82=1,VLOOKUP('Duty Cycle '!K82,'Gearing '!$L$3:$O$28,2),IF(J82=2,VLOOKUP('Duty Cycle '!K82,'Gearing '!$L$2:$O$28,3),IF(J82=3,VLOOKUP('Duty Cycle '!K82,'Gearing '!$L$2:$O$28,4))))</f>
        <v>8.6362878314042693</v>
      </c>
      <c r="M82" s="2">
        <f t="shared" si="15"/>
        <v>19.31937587885135</v>
      </c>
      <c r="N82" s="2">
        <f t="shared" si="24"/>
        <v>0</v>
      </c>
      <c r="O82" s="2">
        <f>IF(J82=1,'Gearing '!$C$17*'Duty Cycle '!N82,IF(J82=2,'Gearing '!$C$18*'Duty Cycle '!N82,IF(J82=3,'Gearing '!$C$19*'Duty Cycle '!N82)))</f>
        <v>0</v>
      </c>
      <c r="P82" s="2">
        <f>IF(F82='Track '!$B$60,'Track '!$F$53,IF(F82='Track '!$B$61,'Track '!$F$54,IF(F82='Track '!$B$62,'Track '!$F$55)))</f>
        <v>0.06</v>
      </c>
      <c r="Q82" s="2">
        <f>P82*'Vehicle '!$F$38*9.81</f>
        <v>343.91897999999992</v>
      </c>
      <c r="R82" s="2">
        <f>0.5*'Vehicle '!$F$51*'Vehicle '!$F$25*'Track '!$F$57*'Duty Cycle '!L82^2</f>
        <v>28.501001418782764</v>
      </c>
      <c r="S82" s="2">
        <f>'Vehicle '!$F$38*9.81*SIN(RADIANS('Duty Cycle '!I82))</f>
        <v>788.87208792327044</v>
      </c>
      <c r="T82" s="2">
        <f t="shared" si="16"/>
        <v>1161.2920693420531</v>
      </c>
      <c r="U82" s="2">
        <f t="shared" si="25"/>
        <v>10.029252567165056</v>
      </c>
      <c r="V82" s="2">
        <f>'Vehicle '!$F$9-'Duty Cycle '!U82</f>
        <v>3.393566224781253</v>
      </c>
      <c r="W82" s="2">
        <f t="shared" si="17"/>
        <v>10.029252567165056</v>
      </c>
      <c r="X82" s="41">
        <f t="shared" si="26"/>
        <v>17.413146780888002</v>
      </c>
      <c r="Y82" s="41">
        <f t="shared" si="18"/>
        <v>18</v>
      </c>
      <c r="Z82" s="2">
        <f>T82*D82</f>
        <v>937735.11502993258</v>
      </c>
      <c r="AA82" s="2">
        <f t="shared" si="27"/>
        <v>9781540.5402456205</v>
      </c>
      <c r="AB82" s="2">
        <f>INDEX('BSFC '!$D$5:$AD$27,MATCH('Duty Cycle '!Y82,'BSFC '!$B$5:$B$27,0),MATCH('Duty Cycle '!K82,'BSFC '!$D$28:$AD$28,0))</f>
        <v>401.39179760580015</v>
      </c>
      <c r="AC82" s="2">
        <f>U82*AB82/3600</f>
        <v>1.1182388101602687</v>
      </c>
      <c r="AD82" s="2">
        <f t="shared" si="28"/>
        <v>50.829715692848367</v>
      </c>
      <c r="AE82" s="2">
        <f t="shared" si="29"/>
        <v>3.4553579233952303</v>
      </c>
      <c r="AF82" s="2">
        <f>0.5*'Vehicle '!$F$38*'Duty Cycle '!L82^2/1000</f>
        <v>21.790144332129575</v>
      </c>
      <c r="AG82" s="2">
        <f t="shared" si="19"/>
        <v>937756.90517426468</v>
      </c>
    </row>
    <row r="83" spans="2:33" ht="30" customHeight="1" x14ac:dyDescent="0.25">
      <c r="B83" s="39">
        <f t="shared" si="20"/>
        <v>80</v>
      </c>
      <c r="C83" s="2" t="s">
        <v>106</v>
      </c>
      <c r="D83" s="2">
        <f>SUM($L$3:L83)</f>
        <v>816.12920006770332</v>
      </c>
      <c r="E83" s="2">
        <f t="shared" si="21"/>
        <v>8.6362878314042746</v>
      </c>
      <c r="F83" s="40" t="s">
        <v>147</v>
      </c>
      <c r="G83" s="2">
        <v>11.8</v>
      </c>
      <c r="H83" s="2">
        <f t="shared" si="22"/>
        <v>1.2000000000000011</v>
      </c>
      <c r="I83" s="2">
        <f t="shared" si="23"/>
        <v>7.910518451196479</v>
      </c>
      <c r="J83" s="2">
        <v>2</v>
      </c>
      <c r="K83" s="2">
        <v>5500</v>
      </c>
      <c r="L83" s="2">
        <f>IF(J83=1,VLOOKUP('Duty Cycle '!K83,'Gearing '!$L$3:$O$28,2),IF(J83=2,VLOOKUP('Duty Cycle '!K83,'Gearing '!$L$2:$O$28,3),IF(J83=3,VLOOKUP('Duty Cycle '!K83,'Gearing '!$L$2:$O$28,4))))</f>
        <v>8.6362878314042693</v>
      </c>
      <c r="M83" s="2">
        <f t="shared" si="15"/>
        <v>19.31937587885135</v>
      </c>
      <c r="N83" s="2">
        <f t="shared" si="24"/>
        <v>0</v>
      </c>
      <c r="O83" s="2">
        <f>IF(J83=1,'Gearing '!$C$17*'Duty Cycle '!N83,IF(J83=2,'Gearing '!$C$18*'Duty Cycle '!N83,IF(J83=3,'Gearing '!$C$19*'Duty Cycle '!N83)))</f>
        <v>0</v>
      </c>
      <c r="P83" s="2">
        <f>IF(F83='Track '!$B$60,'Track '!$F$53,IF(F83='Track '!$B$61,'Track '!$F$54,IF(F83='Track '!$B$62,'Track '!$F$55)))</f>
        <v>0.06</v>
      </c>
      <c r="Q83" s="2">
        <f>P83*'Vehicle '!$F$38*9.81</f>
        <v>343.91897999999992</v>
      </c>
      <c r="R83" s="2">
        <f>0.5*'Vehicle '!$F$51*'Vehicle '!$F$25*'Track '!$F$57*'Duty Cycle '!L83^2</f>
        <v>28.501001418782764</v>
      </c>
      <c r="S83" s="2">
        <f>'Vehicle '!$F$38*9.81*SIN(RADIANS('Duty Cycle '!I83))</f>
        <v>788.87208792327158</v>
      </c>
      <c r="T83" s="2">
        <f t="shared" si="16"/>
        <v>1161.2920693420542</v>
      </c>
      <c r="U83" s="2">
        <f t="shared" si="25"/>
        <v>10.029252567165065</v>
      </c>
      <c r="V83" s="2">
        <f>'Vehicle '!$F$9-'Duty Cycle '!U83</f>
        <v>3.3935662247812441</v>
      </c>
      <c r="W83" s="2">
        <f t="shared" si="17"/>
        <v>10.029252567165065</v>
      </c>
      <c r="X83" s="41">
        <f t="shared" si="26"/>
        <v>17.413146780888017</v>
      </c>
      <c r="Y83" s="41">
        <f t="shared" si="18"/>
        <v>18</v>
      </c>
      <c r="Z83" s="2">
        <f>T83*D83</f>
        <v>947764.36759709858</v>
      </c>
      <c r="AA83" s="2">
        <f t="shared" si="27"/>
        <v>10729304.90784272</v>
      </c>
      <c r="AB83" s="2">
        <f>INDEX('BSFC '!$D$5:$AD$27,MATCH('Duty Cycle '!Y83,'BSFC '!$B$5:$B$27,0),MATCH('Duty Cycle '!K83,'BSFC '!$D$28:$AD$28,0))</f>
        <v>401.39179760580015</v>
      </c>
      <c r="AC83" s="2">
        <f>U83*AB83/3600</f>
        <v>1.1182388101602698</v>
      </c>
      <c r="AD83" s="2">
        <f t="shared" si="28"/>
        <v>51.947954503008638</v>
      </c>
      <c r="AE83" s="2">
        <f t="shared" si="29"/>
        <v>3.4553579233952334</v>
      </c>
      <c r="AF83" s="2">
        <f>0.5*'Vehicle '!$F$38*'Duty Cycle '!L83^2/1000</f>
        <v>21.790144332129575</v>
      </c>
      <c r="AG83" s="2">
        <f t="shared" si="19"/>
        <v>947786.15774143068</v>
      </c>
    </row>
    <row r="84" spans="2:33" ht="30" customHeight="1" x14ac:dyDescent="0.25">
      <c r="B84" s="39">
        <f t="shared" si="20"/>
        <v>81</v>
      </c>
      <c r="C84" s="2" t="s">
        <v>106</v>
      </c>
      <c r="D84" s="2">
        <f>SUM($L$3:L84)</f>
        <v>824.7654878991076</v>
      </c>
      <c r="E84" s="2">
        <f t="shared" si="21"/>
        <v>8.6362878314042746</v>
      </c>
      <c r="F84" s="40" t="s">
        <v>147</v>
      </c>
      <c r="G84" s="2">
        <v>13</v>
      </c>
      <c r="H84" s="2">
        <f t="shared" si="22"/>
        <v>1.1999999999999993</v>
      </c>
      <c r="I84" s="2">
        <f t="shared" si="23"/>
        <v>7.9105184511964683</v>
      </c>
      <c r="J84" s="2">
        <v>2</v>
      </c>
      <c r="K84" s="2">
        <v>5500</v>
      </c>
      <c r="L84" s="2">
        <f>IF(J84=1,VLOOKUP('Duty Cycle '!K84,'Gearing '!$L$3:$O$28,2),IF(J84=2,VLOOKUP('Duty Cycle '!K84,'Gearing '!$L$2:$O$28,3),IF(J84=3,VLOOKUP('Duty Cycle '!K84,'Gearing '!$L$2:$O$28,4))))</f>
        <v>8.6362878314042693</v>
      </c>
      <c r="M84" s="2">
        <f t="shared" si="15"/>
        <v>19.31937587885135</v>
      </c>
      <c r="N84" s="2">
        <f t="shared" si="24"/>
        <v>0</v>
      </c>
      <c r="O84" s="2">
        <f>IF(J84=1,'Gearing '!$C$17*'Duty Cycle '!N84,IF(J84=2,'Gearing '!$C$18*'Duty Cycle '!N84,IF(J84=3,'Gearing '!$C$19*'Duty Cycle '!N84)))</f>
        <v>0</v>
      </c>
      <c r="P84" s="2">
        <f>IF(F84='Track '!$B$60,'Track '!$F$53,IF(F84='Track '!$B$61,'Track '!$F$54,IF(F84='Track '!$B$62,'Track '!$F$55)))</f>
        <v>0.06</v>
      </c>
      <c r="Q84" s="2">
        <f>P84*'Vehicle '!$F$38*9.81</f>
        <v>343.91897999999992</v>
      </c>
      <c r="R84" s="2">
        <f>0.5*'Vehicle '!$F$51*'Vehicle '!$F$25*'Track '!$F$57*'Duty Cycle '!L84^2</f>
        <v>28.501001418782764</v>
      </c>
      <c r="S84" s="2">
        <f>'Vehicle '!$F$38*9.81*SIN(RADIANS('Duty Cycle '!I84))</f>
        <v>788.87208792327044</v>
      </c>
      <c r="T84" s="2">
        <f t="shared" si="16"/>
        <v>1161.2920693420531</v>
      </c>
      <c r="U84" s="2">
        <f t="shared" si="25"/>
        <v>10.029252567165056</v>
      </c>
      <c r="V84" s="2">
        <f>'Vehicle '!$F$9-'Duty Cycle '!U84</f>
        <v>3.393566224781253</v>
      </c>
      <c r="W84" s="2">
        <f t="shared" si="17"/>
        <v>10.029252567165056</v>
      </c>
      <c r="X84" s="41">
        <f t="shared" si="26"/>
        <v>17.413146780888002</v>
      </c>
      <c r="Y84" s="41">
        <f t="shared" si="18"/>
        <v>18</v>
      </c>
      <c r="Z84" s="2">
        <f>T84*D84</f>
        <v>957793.62016426271</v>
      </c>
      <c r="AA84" s="2">
        <f t="shared" si="27"/>
        <v>11687098.528006982</v>
      </c>
      <c r="AB84" s="2">
        <f>INDEX('BSFC '!$D$5:$AD$27,MATCH('Duty Cycle '!Y84,'BSFC '!$B$5:$B$27,0),MATCH('Duty Cycle '!K84,'BSFC '!$D$28:$AD$28,0))</f>
        <v>401.39179760580015</v>
      </c>
      <c r="AC84" s="2">
        <f>U84*AB84/3600</f>
        <v>1.1182388101602687</v>
      </c>
      <c r="AD84" s="2">
        <f t="shared" si="28"/>
        <v>53.06619331316891</v>
      </c>
      <c r="AE84" s="2">
        <f t="shared" si="29"/>
        <v>3.4553579233952303</v>
      </c>
      <c r="AF84" s="2">
        <f>0.5*'Vehicle '!$F$38*'Duty Cycle '!L84^2/1000</f>
        <v>21.790144332129575</v>
      </c>
      <c r="AG84" s="2">
        <f t="shared" si="19"/>
        <v>957815.41030859482</v>
      </c>
    </row>
    <row r="85" spans="2:33" ht="30" customHeight="1" x14ac:dyDescent="0.25">
      <c r="B85" s="39">
        <f t="shared" si="20"/>
        <v>82</v>
      </c>
      <c r="C85" s="2" t="s">
        <v>106</v>
      </c>
      <c r="D85" s="2">
        <f>SUM($L$3:L85)</f>
        <v>833.40177573051187</v>
      </c>
      <c r="E85" s="2">
        <f t="shared" si="21"/>
        <v>8.6362878314042746</v>
      </c>
      <c r="F85" s="40" t="s">
        <v>147</v>
      </c>
      <c r="G85" s="2">
        <v>14.2</v>
      </c>
      <c r="H85" s="2">
        <f t="shared" si="22"/>
        <v>1.1999999999999993</v>
      </c>
      <c r="I85" s="2">
        <f t="shared" si="23"/>
        <v>7.9105184511964683</v>
      </c>
      <c r="J85" s="2">
        <v>2</v>
      </c>
      <c r="K85" s="2">
        <v>5500</v>
      </c>
      <c r="L85" s="2">
        <f>IF(J85=1,VLOOKUP('Duty Cycle '!K85,'Gearing '!$L$3:$O$28,2),IF(J85=2,VLOOKUP('Duty Cycle '!K85,'Gearing '!$L$2:$O$28,3),IF(J85=3,VLOOKUP('Duty Cycle '!K85,'Gearing '!$L$2:$O$28,4))))</f>
        <v>8.6362878314042693</v>
      </c>
      <c r="M85" s="2">
        <f t="shared" si="15"/>
        <v>19.31937587885135</v>
      </c>
      <c r="N85" s="2">
        <f t="shared" si="24"/>
        <v>0</v>
      </c>
      <c r="O85" s="2">
        <f>IF(J85=1,'Gearing '!$C$17*'Duty Cycle '!N85,IF(J85=2,'Gearing '!$C$18*'Duty Cycle '!N85,IF(J85=3,'Gearing '!$C$19*'Duty Cycle '!N85)))</f>
        <v>0</v>
      </c>
      <c r="P85" s="2">
        <f>IF(F85='Track '!$B$60,'Track '!$F$53,IF(F85='Track '!$B$61,'Track '!$F$54,IF(F85='Track '!$B$62,'Track '!$F$55)))</f>
        <v>0.06</v>
      </c>
      <c r="Q85" s="2">
        <f>P85*'Vehicle '!$F$38*9.81</f>
        <v>343.91897999999992</v>
      </c>
      <c r="R85" s="2">
        <f>0.5*'Vehicle '!$F$51*'Vehicle '!$F$25*'Track '!$F$57*'Duty Cycle '!L85^2</f>
        <v>28.501001418782764</v>
      </c>
      <c r="S85" s="2">
        <f>'Vehicle '!$F$38*9.81*SIN(RADIANS('Duty Cycle '!I85))</f>
        <v>788.87208792327044</v>
      </c>
      <c r="T85" s="2">
        <f t="shared" si="16"/>
        <v>1161.2920693420531</v>
      </c>
      <c r="U85" s="2">
        <f t="shared" si="25"/>
        <v>10.029252567165056</v>
      </c>
      <c r="V85" s="2">
        <f>'Vehicle '!$F$9-'Duty Cycle '!U85</f>
        <v>3.393566224781253</v>
      </c>
      <c r="W85" s="2">
        <f t="shared" si="17"/>
        <v>10.029252567165056</v>
      </c>
      <c r="X85" s="41">
        <f t="shared" si="26"/>
        <v>17.413146780888002</v>
      </c>
      <c r="Y85" s="41">
        <f t="shared" si="18"/>
        <v>18</v>
      </c>
      <c r="Z85" s="2">
        <f>T85*D85</f>
        <v>967822.87273142778</v>
      </c>
      <c r="AA85" s="2">
        <f t="shared" si="27"/>
        <v>12654921.400738411</v>
      </c>
      <c r="AB85" s="2">
        <f>INDEX('BSFC '!$D$5:$AD$27,MATCH('Duty Cycle '!Y85,'BSFC '!$B$5:$B$27,0),MATCH('Duty Cycle '!K85,'BSFC '!$D$28:$AD$28,0))</f>
        <v>401.39179760580015</v>
      </c>
      <c r="AC85" s="2">
        <f>U85*AB85/3600</f>
        <v>1.1182388101602687</v>
      </c>
      <c r="AD85" s="2">
        <f t="shared" si="28"/>
        <v>54.184432123329181</v>
      </c>
      <c r="AE85" s="2">
        <f t="shared" si="29"/>
        <v>3.4553579233952303</v>
      </c>
      <c r="AF85" s="2">
        <f>0.5*'Vehicle '!$F$38*'Duty Cycle '!L85^2/1000</f>
        <v>21.790144332129575</v>
      </c>
      <c r="AG85" s="2">
        <f t="shared" si="19"/>
        <v>967844.66287575988</v>
      </c>
    </row>
    <row r="86" spans="2:33" ht="30" customHeight="1" x14ac:dyDescent="0.25">
      <c r="B86" s="39">
        <f t="shared" si="20"/>
        <v>83</v>
      </c>
      <c r="C86" s="2" t="s">
        <v>106</v>
      </c>
      <c r="D86" s="2">
        <f>SUM($L$3:L86)</f>
        <v>842.43062209970719</v>
      </c>
      <c r="E86" s="2">
        <f t="shared" si="21"/>
        <v>9.0288463691953211</v>
      </c>
      <c r="F86" s="40" t="s">
        <v>147</v>
      </c>
      <c r="G86" s="2">
        <v>15</v>
      </c>
      <c r="H86" s="2">
        <f t="shared" si="22"/>
        <v>0.80000000000000071</v>
      </c>
      <c r="I86" s="2">
        <f t="shared" si="23"/>
        <v>5.0634634606197553</v>
      </c>
      <c r="J86" s="2">
        <v>2</v>
      </c>
      <c r="K86" s="2">
        <v>5750</v>
      </c>
      <c r="L86" s="2">
        <f>IF(J86=1,VLOOKUP('Duty Cycle '!K86,'Gearing '!$L$3:$O$28,2),IF(J86=2,VLOOKUP('Duty Cycle '!K86,'Gearing '!$L$2:$O$28,3),IF(J86=3,VLOOKUP('Duty Cycle '!K86,'Gearing '!$L$2:$O$28,4))))</f>
        <v>9.0288463691953762</v>
      </c>
      <c r="M86" s="2">
        <f t="shared" si="15"/>
        <v>20.197529327890056</v>
      </c>
      <c r="N86" s="2">
        <f t="shared" si="24"/>
        <v>0.39255853779110694</v>
      </c>
      <c r="O86" s="2">
        <f>IF(J86=1,'Gearing '!$C$17*'Duty Cycle '!N86,IF(J86=2,'Gearing '!$C$18*'Duty Cycle '!N86,IF(J86=3,'Gearing '!$C$19*'Duty Cycle '!N86)))</f>
        <v>237.39323952771878</v>
      </c>
      <c r="P86" s="2">
        <f>IF(F86='Track '!$B$60,'Track '!$F$53,IF(F86='Track '!$B$61,'Track '!$F$54,IF(F86='Track '!$B$62,'Track '!$F$55)))</f>
        <v>0.06</v>
      </c>
      <c r="Q86" s="2">
        <f>P86*'Vehicle '!$F$38*9.81</f>
        <v>343.91897999999992</v>
      </c>
      <c r="R86" s="2">
        <f>0.5*'Vehicle '!$F$51*'Vehicle '!$F$25*'Track '!$F$57*'Duty Cycle '!L86^2</f>
        <v>31.15088791433077</v>
      </c>
      <c r="S86" s="2">
        <f>'Vehicle '!$F$38*9.81*SIN(RADIANS('Duty Cycle '!I86))</f>
        <v>505.89977813461161</v>
      </c>
      <c r="T86" s="2">
        <f t="shared" si="16"/>
        <v>1118.362885576661</v>
      </c>
      <c r="U86" s="2">
        <f t="shared" si="25"/>
        <v>10.097526678881701</v>
      </c>
      <c r="V86" s="2">
        <f>'Vehicle '!$F$9-'Duty Cycle '!U86</f>
        <v>3.3252921130646076</v>
      </c>
      <c r="W86" s="2">
        <f t="shared" si="17"/>
        <v>10.097526678881701</v>
      </c>
      <c r="X86" s="41">
        <f t="shared" si="26"/>
        <v>16.769439484657166</v>
      </c>
      <c r="Y86" s="41">
        <f t="shared" si="18"/>
        <v>17</v>
      </c>
      <c r="Z86" s="2">
        <f>T86*D86</f>
        <v>942143.14142957015</v>
      </c>
      <c r="AA86" s="2">
        <f t="shared" si="27"/>
        <v>13597064.54216798</v>
      </c>
      <c r="AB86" s="2">
        <f>INDEX('BSFC '!$D$5:$AD$27,MATCH('Duty Cycle '!Y86,'BSFC '!$B$5:$B$27,0),MATCH('Duty Cycle '!K86,'BSFC '!$D$28:$AD$28,0))</f>
        <v>415.46130302580013</v>
      </c>
      <c r="AC86" s="2">
        <f>U86*AB86/3600</f>
        <v>1.1653143309294367</v>
      </c>
      <c r="AD86" s="2">
        <f t="shared" si="28"/>
        <v>55.349746454258614</v>
      </c>
      <c r="AE86" s="2">
        <f t="shared" si="29"/>
        <v>3.6008212825719594</v>
      </c>
      <c r="AF86" s="2">
        <f>0.5*'Vehicle '!$F$38*'Duty Cycle '!L86^2/1000</f>
        <v>23.816087503505273</v>
      </c>
      <c r="AG86" s="2">
        <f t="shared" si="19"/>
        <v>942166.95751707361</v>
      </c>
    </row>
    <row r="87" spans="2:33" ht="30" customHeight="1" x14ac:dyDescent="0.25">
      <c r="B87" s="39">
        <f t="shared" si="20"/>
        <v>84</v>
      </c>
      <c r="C87" s="2" t="s">
        <v>106</v>
      </c>
      <c r="D87" s="2">
        <f>SUM($L$3:L87)</f>
        <v>852.24458554448472</v>
      </c>
      <c r="E87" s="2">
        <f t="shared" si="21"/>
        <v>9.8139634447775279</v>
      </c>
      <c r="F87" s="40" t="s">
        <v>147</v>
      </c>
      <c r="G87" s="2">
        <v>15.6</v>
      </c>
      <c r="H87" s="2">
        <f t="shared" si="22"/>
        <v>0.59999999999999964</v>
      </c>
      <c r="I87" s="2">
        <f t="shared" si="23"/>
        <v>3.4985591610986533</v>
      </c>
      <c r="J87" s="2">
        <v>2</v>
      </c>
      <c r="K87" s="2">
        <v>6250</v>
      </c>
      <c r="L87" s="2">
        <f>IF(J87=1,VLOOKUP('Duty Cycle '!K87,'Gearing '!$L$3:$O$28,2),IF(J87=2,VLOOKUP('Duty Cycle '!K87,'Gearing '!$L$2:$O$28,3),IF(J87=3,VLOOKUP('Duty Cycle '!K87,'Gearing '!$L$2:$O$28,4))))</f>
        <v>9.8139634447775812</v>
      </c>
      <c r="M87" s="2">
        <f t="shared" si="15"/>
        <v>21.95383622596745</v>
      </c>
      <c r="N87" s="2">
        <f t="shared" si="24"/>
        <v>0.785117075582205</v>
      </c>
      <c r="O87" s="2">
        <f>IF(J87=1,'Gearing '!$C$17*'Duty Cycle '!N87,IF(J87=2,'Gearing '!$C$18*'Duty Cycle '!N87,IF(J87=3,'Gearing '!$C$19*'Duty Cycle '!N87)))</f>
        <v>474.78647905543221</v>
      </c>
      <c r="P87" s="2">
        <f>IF(F87='Track '!$B$60,'Track '!$F$53,IF(F87='Track '!$B$61,'Track '!$F$54,IF(F87='Track '!$B$62,'Track '!$F$55)))</f>
        <v>0.06</v>
      </c>
      <c r="Q87" s="2">
        <f>P87*'Vehicle '!$F$38*9.81</f>
        <v>343.91897999999992</v>
      </c>
      <c r="R87" s="2">
        <f>0.5*'Vehicle '!$F$51*'Vehicle '!$F$25*'Track '!$F$57*'Duty Cycle '!L87^2</f>
        <v>36.803979104833125</v>
      </c>
      <c r="S87" s="2">
        <f>'Vehicle '!$F$38*9.81*SIN(RADIANS('Duty Cycle '!I87))</f>
        <v>349.78531516548975</v>
      </c>
      <c r="T87" s="2">
        <f t="shared" si="16"/>
        <v>1205.294753325755</v>
      </c>
      <c r="U87" s="2">
        <f t="shared" si="25"/>
        <v>11.828718649321171</v>
      </c>
      <c r="V87" s="2">
        <f>'Vehicle '!$F$9-'Duty Cycle '!U87</f>
        <v>1.5941001426251376</v>
      </c>
      <c r="W87" s="2">
        <f t="shared" si="17"/>
        <v>11.828718649321171</v>
      </c>
      <c r="X87" s="41">
        <f t="shared" si="26"/>
        <v>18.072950817434421</v>
      </c>
      <c r="Y87" s="41">
        <f t="shared" si="18"/>
        <v>19</v>
      </c>
      <c r="Z87" s="2">
        <f>T87*D87</f>
        <v>1027205.92750705</v>
      </c>
      <c r="AA87" s="2">
        <f t="shared" si="27"/>
        <v>14624270.469675031</v>
      </c>
      <c r="AB87" s="2">
        <f>INDEX('BSFC '!$D$5:$AD$27,MATCH('Duty Cycle '!Y87,'BSFC '!$B$5:$B$27,0),MATCH('Duty Cycle '!K87,'BSFC '!$D$28:$AD$28,0))</f>
        <v>525.75212712580003</v>
      </c>
      <c r="AC87" s="2">
        <f>U87*AB87/3600</f>
        <v>1.7274927752925628</v>
      </c>
      <c r="AD87" s="2">
        <f t="shared" si="28"/>
        <v>57.077239229551175</v>
      </c>
      <c r="AE87" s="2">
        <f t="shared" si="29"/>
        <v>5.3379526756540185</v>
      </c>
      <c r="AF87" s="2">
        <f>0.5*'Vehicle '!$F$38*'Duty Cycle '!L87^2/1000</f>
        <v>28.138099602440061</v>
      </c>
      <c r="AG87" s="2">
        <f t="shared" si="19"/>
        <v>1027234.0656066524</v>
      </c>
    </row>
    <row r="88" spans="2:33" ht="30" customHeight="1" x14ac:dyDescent="0.25">
      <c r="B88" s="39">
        <f t="shared" si="20"/>
        <v>85</v>
      </c>
      <c r="C88" s="2" t="s">
        <v>98</v>
      </c>
      <c r="D88" s="2">
        <f>SUM($L$3:L88)</f>
        <v>862.48524305207877</v>
      </c>
      <c r="E88" s="2">
        <f t="shared" si="21"/>
        <v>10.240657507594051</v>
      </c>
      <c r="F88" s="40" t="s">
        <v>147</v>
      </c>
      <c r="G88" s="2">
        <v>16.2</v>
      </c>
      <c r="H88" s="2">
        <f t="shared" si="22"/>
        <v>0.59999999999999964</v>
      </c>
      <c r="I88" s="2">
        <f t="shared" si="23"/>
        <v>3.3531256823493867</v>
      </c>
      <c r="J88" s="2">
        <v>3</v>
      </c>
      <c r="K88" s="2">
        <v>5000</v>
      </c>
      <c r="L88" s="2">
        <f>IF(J88=1,VLOOKUP('Duty Cycle '!K88,'Gearing '!$L$3:$O$28,2),IF(J88=2,VLOOKUP('Duty Cycle '!K88,'Gearing '!$L$2:$O$28,3),IF(J88=3,VLOOKUP('Duty Cycle '!K88,'Gearing '!$L$2:$O$28,4))))</f>
        <v>10.240657507593998</v>
      </c>
      <c r="M88" s="2">
        <f t="shared" si="15"/>
        <v>22.908350844487774</v>
      </c>
      <c r="N88" s="2">
        <f t="shared" si="24"/>
        <v>0.42669406281641642</v>
      </c>
      <c r="O88" s="2">
        <f>IF(J88=1,'Gearing '!$C$17*'Duty Cycle '!N88,IF(J88=2,'Gearing '!$C$18*'Duty Cycle '!N88,IF(J88=3,'Gearing '!$C$19*'Duty Cycle '!N88)))</f>
        <v>256.94820772142123</v>
      </c>
      <c r="P88" s="2">
        <f>IF(F88='Track '!$B$60,'Track '!$F$53,IF(F88='Track '!$B$61,'Track '!$F$54,IF(F88='Track '!$B$62,'Track '!$F$55)))</f>
        <v>0.06</v>
      </c>
      <c r="Q88" s="2">
        <f>P88*'Vehicle '!$F$38*9.81</f>
        <v>343.91897999999992</v>
      </c>
      <c r="R88" s="2">
        <f>0.5*'Vehicle '!$F$51*'Vehicle '!$F$25*'Track '!$F$57*'Duty Cycle '!L88^2</f>
        <v>40.073897853277657</v>
      </c>
      <c r="S88" s="2">
        <f>'Vehicle '!$F$38*9.81*SIN(RADIANS('Duty Cycle '!I88))</f>
        <v>335.26186667581743</v>
      </c>
      <c r="T88" s="2">
        <f t="shared" si="16"/>
        <v>976.2029522505162</v>
      </c>
      <c r="U88" s="2">
        <f t="shared" si="25"/>
        <v>9.9969600918996733</v>
      </c>
      <c r="V88" s="2">
        <f>'Vehicle '!$F$9-'Duty Cycle '!U88</f>
        <v>3.4258587000466356</v>
      </c>
      <c r="W88" s="2">
        <f t="shared" si="17"/>
        <v>9.9969600918996733</v>
      </c>
      <c r="X88" s="41">
        <f t="shared" si="26"/>
        <v>19.092787374218894</v>
      </c>
      <c r="Y88" s="41">
        <f t="shared" si="18"/>
        <v>20</v>
      </c>
      <c r="Z88" s="2">
        <f>T88*D88</f>
        <v>841960.64053994336</v>
      </c>
      <c r="AA88" s="2">
        <f t="shared" si="27"/>
        <v>15466231.110214975</v>
      </c>
      <c r="AB88" s="2">
        <f>INDEX('BSFC '!$D$5:$AD$27,MATCH('Duty Cycle '!Y88,'BSFC '!$B$5:$B$27,0),MATCH('Duty Cycle '!K88,'BSFC '!$D$28:$AD$28,0))</f>
        <v>500.44923776579998</v>
      </c>
      <c r="AC88" s="2">
        <f>U88*AB88/3600</f>
        <v>1.3897141827684203</v>
      </c>
      <c r="AD88" s="2">
        <f t="shared" si="28"/>
        <v>58.466953412319597</v>
      </c>
      <c r="AE88" s="2">
        <f t="shared" si="29"/>
        <v>4.2942168247544181</v>
      </c>
      <c r="AF88" s="2">
        <f>0.5*'Vehicle '!$F$38*'Duty Cycle '!L88^2/1000</f>
        <v>30.638081986777838</v>
      </c>
      <c r="AG88" s="2">
        <f t="shared" si="19"/>
        <v>841991.27862193016</v>
      </c>
    </row>
    <row r="89" spans="2:33" ht="30" customHeight="1" x14ac:dyDescent="0.25">
      <c r="B89" s="39">
        <f t="shared" si="20"/>
        <v>86</v>
      </c>
      <c r="C89" s="2" t="s">
        <v>98</v>
      </c>
      <c r="D89" s="2">
        <f>SUM($L$3:L89)</f>
        <v>872.72590055967282</v>
      </c>
      <c r="E89" s="2">
        <f t="shared" si="21"/>
        <v>10.240657507594051</v>
      </c>
      <c r="F89" s="40" t="s">
        <v>147</v>
      </c>
      <c r="G89" s="2">
        <v>16.8</v>
      </c>
      <c r="H89" s="2">
        <f t="shared" si="22"/>
        <v>0.60000000000000142</v>
      </c>
      <c r="I89" s="2">
        <f t="shared" si="23"/>
        <v>3.3531256823493969</v>
      </c>
      <c r="J89" s="2">
        <v>3</v>
      </c>
      <c r="K89" s="2">
        <v>5000</v>
      </c>
      <c r="L89" s="2">
        <f>IF(J89=1,VLOOKUP('Duty Cycle '!K89,'Gearing '!$L$3:$O$28,2),IF(J89=2,VLOOKUP('Duty Cycle '!K89,'Gearing '!$L$2:$O$28,3),IF(J89=3,VLOOKUP('Duty Cycle '!K89,'Gearing '!$L$2:$O$28,4))))</f>
        <v>10.240657507593998</v>
      </c>
      <c r="M89" s="2">
        <f t="shared" si="15"/>
        <v>22.908350844487774</v>
      </c>
      <c r="N89" s="2">
        <f t="shared" si="24"/>
        <v>0</v>
      </c>
      <c r="O89" s="2">
        <f>IF(J89=1,'Gearing '!$C$17*'Duty Cycle '!N89,IF(J89=2,'Gearing '!$C$18*'Duty Cycle '!N89,IF(J89=3,'Gearing '!$C$19*'Duty Cycle '!N89)))</f>
        <v>0</v>
      </c>
      <c r="P89" s="2">
        <f>IF(F89='Track '!$B$60,'Track '!$F$53,IF(F89='Track '!$B$61,'Track '!$F$54,IF(F89='Track '!$B$62,'Track '!$F$55)))</f>
        <v>0.06</v>
      </c>
      <c r="Q89" s="2">
        <f>P89*'Vehicle '!$F$38*9.81</f>
        <v>343.91897999999992</v>
      </c>
      <c r="R89" s="2">
        <f>0.5*'Vehicle '!$F$51*'Vehicle '!$F$25*'Track '!$F$57*'Duty Cycle '!L89^2</f>
        <v>40.073897853277657</v>
      </c>
      <c r="S89" s="2">
        <f>'Vehicle '!$F$38*9.81*SIN(RADIANS('Duty Cycle '!I89))</f>
        <v>335.26186667581845</v>
      </c>
      <c r="T89" s="2">
        <f t="shared" si="16"/>
        <v>719.25474452909612</v>
      </c>
      <c r="U89" s="2">
        <f t="shared" si="25"/>
        <v>7.3656414994344903</v>
      </c>
      <c r="V89" s="2">
        <f>'Vehicle '!$F$9-'Duty Cycle '!U89</f>
        <v>6.0571772925118186</v>
      </c>
      <c r="W89" s="2">
        <f t="shared" si="17"/>
        <v>7.3656414994344903</v>
      </c>
      <c r="X89" s="41">
        <f t="shared" si="26"/>
        <v>14.067339044133588</v>
      </c>
      <c r="Y89" s="41">
        <f t="shared" si="18"/>
        <v>15</v>
      </c>
      <c r="Z89" s="2">
        <f>T89*D89</f>
        <v>627712.24465097277</v>
      </c>
      <c r="AA89" s="2">
        <f t="shared" si="27"/>
        <v>16093943.354865948</v>
      </c>
      <c r="AB89" s="2">
        <f>INDEX('BSFC '!$D$5:$AD$27,MATCH('Duty Cycle '!Y89,'BSFC '!$B$5:$B$27,0),MATCH('Duty Cycle '!K89,'BSFC '!$D$28:$AD$28,0))</f>
        <v>378.56401472579995</v>
      </c>
      <c r="AC89" s="2">
        <f>U89*AB89/3600</f>
        <v>0.77454633807135598</v>
      </c>
      <c r="AD89" s="2">
        <f t="shared" si="28"/>
        <v>59.24149975039095</v>
      </c>
      <c r="AE89" s="2">
        <f t="shared" si="29"/>
        <v>2.39334818464049</v>
      </c>
      <c r="AF89" s="2">
        <f>0.5*'Vehicle '!$F$38*'Duty Cycle '!L89^2/1000</f>
        <v>30.638081986777838</v>
      </c>
      <c r="AG89" s="2">
        <f t="shared" si="19"/>
        <v>627742.88273295958</v>
      </c>
    </row>
    <row r="90" spans="2:33" ht="30" customHeight="1" x14ac:dyDescent="0.25">
      <c r="B90" s="39">
        <f t="shared" si="20"/>
        <v>87</v>
      </c>
      <c r="C90" s="2" t="s">
        <v>98</v>
      </c>
      <c r="D90" s="2">
        <f>SUM($L$3:L90)</f>
        <v>882.53986400445035</v>
      </c>
      <c r="E90" s="2">
        <f t="shared" si="21"/>
        <v>9.8139634447775279</v>
      </c>
      <c r="F90" s="40" t="s">
        <v>147</v>
      </c>
      <c r="G90" s="2">
        <v>17.399999999999999</v>
      </c>
      <c r="H90" s="2">
        <f t="shared" si="22"/>
        <v>0.59999999999999787</v>
      </c>
      <c r="I90" s="2">
        <f t="shared" si="23"/>
        <v>3.4985591610986426</v>
      </c>
      <c r="J90" s="2">
        <v>2</v>
      </c>
      <c r="K90" s="2">
        <v>6250</v>
      </c>
      <c r="L90" s="2">
        <f>IF(J90=1,VLOOKUP('Duty Cycle '!K90,'Gearing '!$L$3:$O$28,2),IF(J90=2,VLOOKUP('Duty Cycle '!K90,'Gearing '!$L$2:$O$28,3),IF(J90=3,VLOOKUP('Duty Cycle '!K90,'Gearing '!$L$2:$O$28,4))))</f>
        <v>9.8139634447775812</v>
      </c>
      <c r="M90" s="2">
        <f t="shared" si="15"/>
        <v>21.95383622596745</v>
      </c>
      <c r="N90" s="2">
        <f t="shared" si="24"/>
        <v>-0.42669406281641642</v>
      </c>
      <c r="O90" s="2">
        <f>IF(J90=1,'Gearing '!$C$17*'Duty Cycle '!N90,IF(J90=2,'Gearing '!$C$18*'Duty Cycle '!N90,IF(J90=3,'Gearing '!$C$19*'Duty Cycle '!N90)))</f>
        <v>-258.03612992143093</v>
      </c>
      <c r="P90" s="2">
        <f>IF(F90='Track '!$B$60,'Track '!$F$53,IF(F90='Track '!$B$61,'Track '!$F$54,IF(F90='Track '!$B$62,'Track '!$F$55)))</f>
        <v>0.06</v>
      </c>
      <c r="Q90" s="2">
        <f>P90*'Vehicle '!$F$38*9.81</f>
        <v>343.91897999999992</v>
      </c>
      <c r="R90" s="2">
        <f>0.5*'Vehicle '!$F$51*'Vehicle '!$F$25*'Track '!$F$57*'Duty Cycle '!L90^2</f>
        <v>36.803979104833125</v>
      </c>
      <c r="S90" s="2">
        <f>'Vehicle '!$F$38*9.81*SIN(RADIANS('Duty Cycle '!I90))</f>
        <v>349.78531516548867</v>
      </c>
      <c r="T90" s="2">
        <f t="shared" si="16"/>
        <v>472.47214434889071</v>
      </c>
      <c r="U90" s="2">
        <f t="shared" si="25"/>
        <v>4.6368243533156903</v>
      </c>
      <c r="V90" s="2">
        <f>'Vehicle '!$F$9-'Duty Cycle '!U90</f>
        <v>8.7859944386306186</v>
      </c>
      <c r="W90" s="2">
        <f t="shared" si="17"/>
        <v>4.6368243533156903</v>
      </c>
      <c r="X90" s="41">
        <f t="shared" si="26"/>
        <v>7.0845457543591017</v>
      </c>
      <c r="Y90" s="41">
        <f t="shared" si="18"/>
        <v>8</v>
      </c>
      <c r="Z90" s="2">
        <f>T90*D90</f>
        <v>416975.50201956101</v>
      </c>
      <c r="AA90" s="2">
        <f t="shared" si="27"/>
        <v>16510918.85688551</v>
      </c>
      <c r="AB90" s="2">
        <f>INDEX('BSFC '!$D$5:$AD$27,MATCH('Duty Cycle '!Y90,'BSFC '!$B$5:$B$27,0),MATCH('Duty Cycle '!K90,'BSFC '!$D$28:$AD$28,0))</f>
        <v>565.9273430457996</v>
      </c>
      <c r="AC90" s="2">
        <f>U90*AB90/3600</f>
        <v>0.72891824623389068</v>
      </c>
      <c r="AD90" s="2">
        <f t="shared" si="28"/>
        <v>59.970417996624839</v>
      </c>
      <c r="AE90" s="2">
        <f t="shared" si="29"/>
        <v>2.2523573808627222</v>
      </c>
      <c r="AF90" s="2">
        <f>0.5*'Vehicle '!$F$38*'Duty Cycle '!L90^2/1000</f>
        <v>28.138099602440061</v>
      </c>
      <c r="AG90" s="2">
        <f t="shared" si="19"/>
        <v>417003.64011916344</v>
      </c>
    </row>
    <row r="91" spans="2:33" ht="30" customHeight="1" x14ac:dyDescent="0.25">
      <c r="B91" s="39">
        <f t="shared" si="20"/>
        <v>88</v>
      </c>
      <c r="C91" s="2" t="s">
        <v>107</v>
      </c>
      <c r="D91" s="2">
        <f>SUM($L$3:L91)</f>
        <v>891.56871037364567</v>
      </c>
      <c r="E91" s="2">
        <f t="shared" si="21"/>
        <v>9.0288463691953211</v>
      </c>
      <c r="F91" s="40" t="s">
        <v>147</v>
      </c>
      <c r="G91" s="2">
        <v>18</v>
      </c>
      <c r="H91" s="2">
        <f t="shared" si="22"/>
        <v>0.60000000000000142</v>
      </c>
      <c r="I91" s="2">
        <f t="shared" si="23"/>
        <v>3.8019249965042432</v>
      </c>
      <c r="J91" s="2">
        <v>2</v>
      </c>
      <c r="K91" s="2">
        <v>5750</v>
      </c>
      <c r="L91" s="2">
        <f>IF(J91=1,VLOOKUP('Duty Cycle '!K91,'Gearing '!$L$3:$O$28,2),IF(J91=2,VLOOKUP('Duty Cycle '!K91,'Gearing '!$L$2:$O$28,3),IF(J91=3,VLOOKUP('Duty Cycle '!K91,'Gearing '!$L$2:$O$28,4))))</f>
        <v>9.0288463691953762</v>
      </c>
      <c r="M91" s="2">
        <f t="shared" si="15"/>
        <v>20.197529327890056</v>
      </c>
      <c r="N91" s="2">
        <f t="shared" si="24"/>
        <v>-0.785117075582205</v>
      </c>
      <c r="O91" s="2">
        <f>IF(J91=1,'Gearing '!$C$17*'Duty Cycle '!N91,IF(J91=2,'Gearing '!$C$18*'Duty Cycle '!N91,IF(J91=3,'Gearing '!$C$19*'Duty Cycle '!N91)))</f>
        <v>-474.78647905543221</v>
      </c>
      <c r="P91" s="2">
        <f>IF(F91='Track '!$B$60,'Track '!$F$53,IF(F91='Track '!$B$61,'Track '!$F$54,IF(F91='Track '!$B$62,'Track '!$F$55)))</f>
        <v>0.06</v>
      </c>
      <c r="Q91" s="2">
        <f>P91*'Vehicle '!$F$38*9.81</f>
        <v>343.91897999999992</v>
      </c>
      <c r="R91" s="2">
        <f>0.5*'Vehicle '!$F$51*'Vehicle '!$F$25*'Track '!$F$57*'Duty Cycle '!L91^2</f>
        <v>31.15088791433077</v>
      </c>
      <c r="S91" s="2">
        <f>'Vehicle '!$F$38*9.81*SIN(RADIANS('Duty Cycle '!I91))</f>
        <v>380.07302728193241</v>
      </c>
      <c r="T91" s="2">
        <f t="shared" si="16"/>
        <v>280.3564161408309</v>
      </c>
      <c r="U91" s="2">
        <f t="shared" si="25"/>
        <v>2.531295009953769</v>
      </c>
      <c r="V91" s="2">
        <f>'Vehicle '!$F$9-'Duty Cycle '!U91</f>
        <v>10.891523781992539</v>
      </c>
      <c r="W91" s="2">
        <f t="shared" si="17"/>
        <v>2.531295009953769</v>
      </c>
      <c r="X91" s="41">
        <f t="shared" si="26"/>
        <v>4.2038411818225114</v>
      </c>
      <c r="Y91" s="41">
        <f t="shared" si="18"/>
        <v>5</v>
      </c>
      <c r="Z91" s="2">
        <f>T91*D91</f>
        <v>249957.00838365775</v>
      </c>
      <c r="AA91" s="2">
        <f t="shared" si="27"/>
        <v>16760875.865269167</v>
      </c>
      <c r="AB91" s="2">
        <f>INDEX('BSFC '!$D$5:$AD$27,MATCH('Duty Cycle '!Y91,'BSFC '!$B$5:$B$27,0),MATCH('Duty Cycle '!K91,'BSFC '!$D$28:$AD$28,0))</f>
        <v>645.7726546458</v>
      </c>
      <c r="AC91" s="2">
        <f>U91*AB91/3600</f>
        <v>0.45406697174153116</v>
      </c>
      <c r="AD91" s="2">
        <f t="shared" si="28"/>
        <v>60.424484968366372</v>
      </c>
      <c r="AE91" s="2">
        <f t="shared" si="29"/>
        <v>1.4030669426813311</v>
      </c>
      <c r="AF91" s="2">
        <f>0.5*'Vehicle '!$F$38*'Duty Cycle '!L91^2/1000</f>
        <v>23.816087503505273</v>
      </c>
      <c r="AG91" s="2">
        <f t="shared" si="19"/>
        <v>249980.82447116126</v>
      </c>
    </row>
    <row r="92" spans="2:33" ht="30" customHeight="1" x14ac:dyDescent="0.25">
      <c r="B92" s="39">
        <f t="shared" si="20"/>
        <v>89</v>
      </c>
      <c r="C92" s="2" t="s">
        <v>107</v>
      </c>
      <c r="D92" s="2">
        <f>SUM($L$3:L92)</f>
        <v>900.20499820504995</v>
      </c>
      <c r="E92" s="2">
        <f t="shared" si="21"/>
        <v>8.6362878314042746</v>
      </c>
      <c r="F92" s="40" t="s">
        <v>147</v>
      </c>
      <c r="G92" s="2">
        <v>18.600000000000001</v>
      </c>
      <c r="H92" s="2">
        <f t="shared" si="22"/>
        <v>0.60000000000000142</v>
      </c>
      <c r="I92" s="2">
        <f t="shared" si="23"/>
        <v>3.9741979835003676</v>
      </c>
      <c r="J92" s="2">
        <v>2</v>
      </c>
      <c r="K92" s="2">
        <v>5500</v>
      </c>
      <c r="L92" s="2">
        <f>IF(J92=1,VLOOKUP('Duty Cycle '!K92,'Gearing '!$L$3:$O$28,2),IF(J92=2,VLOOKUP('Duty Cycle '!K92,'Gearing '!$L$2:$O$28,3),IF(J92=3,VLOOKUP('Duty Cycle '!K92,'Gearing '!$L$2:$O$28,4))))</f>
        <v>8.6362878314042693</v>
      </c>
      <c r="M92" s="2">
        <f t="shared" si="15"/>
        <v>19.31937587885135</v>
      </c>
      <c r="N92" s="2">
        <f t="shared" si="24"/>
        <v>-0.39255853779110694</v>
      </c>
      <c r="O92" s="2">
        <f>IF(J92=1,'Gearing '!$C$17*'Duty Cycle '!N92,IF(J92=2,'Gearing '!$C$18*'Duty Cycle '!N92,IF(J92=3,'Gearing '!$C$19*'Duty Cycle '!N92)))</f>
        <v>-237.39323952771878</v>
      </c>
      <c r="P92" s="2">
        <f>IF(F92='Track '!$B$60,'Track '!$F$53,IF(F92='Track '!$B$61,'Track '!$F$54,IF(F92='Track '!$B$62,'Track '!$F$55)))</f>
        <v>0.06</v>
      </c>
      <c r="Q92" s="2">
        <f>P92*'Vehicle '!$F$38*9.81</f>
        <v>343.91897999999992</v>
      </c>
      <c r="R92" s="2">
        <f>0.5*'Vehicle '!$F$51*'Vehicle '!$F$25*'Track '!$F$57*'Duty Cycle '!L92^2</f>
        <v>28.501001418782764</v>
      </c>
      <c r="S92" s="2">
        <f>'Vehicle '!$F$38*9.81*SIN(RADIANS('Duty Cycle '!I92))</f>
        <v>397.26788434873913</v>
      </c>
      <c r="T92" s="2">
        <f t="shared" si="16"/>
        <v>532.29462623980294</v>
      </c>
      <c r="U92" s="2">
        <f t="shared" si="25"/>
        <v>4.5970496033166937</v>
      </c>
      <c r="V92" s="2">
        <f>'Vehicle '!$F$9-'Duty Cycle '!U92</f>
        <v>8.8257691886296143</v>
      </c>
      <c r="W92" s="2">
        <f t="shared" si="17"/>
        <v>4.5970496033166937</v>
      </c>
      <c r="X92" s="41">
        <f t="shared" si="26"/>
        <v>7.9815618327980573</v>
      </c>
      <c r="Y92" s="41">
        <f t="shared" si="18"/>
        <v>8</v>
      </c>
      <c r="Z92" s="2">
        <f>T92*D92</f>
        <v>479174.28305875952</v>
      </c>
      <c r="AA92" s="2">
        <f t="shared" si="27"/>
        <v>17240050.148327928</v>
      </c>
      <c r="AB92" s="2">
        <f>INDEX('BSFC '!$D$5:$AD$27,MATCH('Duty Cycle '!Y92,'BSFC '!$B$5:$B$27,0),MATCH('Duty Cycle '!K92,'BSFC '!$D$28:$AD$28,0))</f>
        <v>466.20289136579999</v>
      </c>
      <c r="AC92" s="2">
        <f>U92*AB92/3600</f>
        <v>0.59532161578284626</v>
      </c>
      <c r="AD92" s="2">
        <f t="shared" si="28"/>
        <v>61.019806584149215</v>
      </c>
      <c r="AE92" s="2">
        <f t="shared" si="29"/>
        <v>1.8395437927689948</v>
      </c>
      <c r="AF92" s="2">
        <f>0.5*'Vehicle '!$F$38*'Duty Cycle '!L92^2/1000</f>
        <v>21.790144332129575</v>
      </c>
      <c r="AG92" s="2">
        <f t="shared" si="19"/>
        <v>479196.07320309163</v>
      </c>
    </row>
    <row r="93" spans="2:33" ht="30" customHeight="1" x14ac:dyDescent="0.25">
      <c r="B93" s="39">
        <f t="shared" si="20"/>
        <v>90</v>
      </c>
      <c r="C93" s="2" t="s">
        <v>107</v>
      </c>
      <c r="D93" s="2">
        <f>SUM($L$3:L93)</f>
        <v>908.44872749866306</v>
      </c>
      <c r="E93" s="2">
        <f t="shared" si="21"/>
        <v>8.2437292936131144</v>
      </c>
      <c r="F93" s="40" t="s">
        <v>147</v>
      </c>
      <c r="G93" s="2">
        <v>19.2</v>
      </c>
      <c r="H93" s="2">
        <f t="shared" si="22"/>
        <v>0.59999999999999787</v>
      </c>
      <c r="I93" s="2">
        <f t="shared" si="23"/>
        <v>4.162795264150069</v>
      </c>
      <c r="J93" s="2">
        <v>2</v>
      </c>
      <c r="K93" s="2">
        <v>5250</v>
      </c>
      <c r="L93" s="2">
        <f>IF(J93=1,VLOOKUP('Duty Cycle '!K93,'Gearing '!$L$3:$O$28,2),IF(J93=2,VLOOKUP('Duty Cycle '!K93,'Gearing '!$L$2:$O$28,3),IF(J93=3,VLOOKUP('Duty Cycle '!K93,'Gearing '!$L$2:$O$28,4))))</f>
        <v>8.2437292936131676</v>
      </c>
      <c r="M93" s="2">
        <f t="shared" si="15"/>
        <v>18.441222429812658</v>
      </c>
      <c r="N93" s="2">
        <f t="shared" si="24"/>
        <v>-0.39255853779110161</v>
      </c>
      <c r="O93" s="2">
        <f>IF(J93=1,'Gearing '!$C$17*'Duty Cycle '!N93,IF(J93=2,'Gearing '!$C$18*'Duty Cycle '!N93,IF(J93=3,'Gearing '!$C$19*'Duty Cycle '!N93)))</f>
        <v>-237.39323952771556</v>
      </c>
      <c r="P93" s="2">
        <f>IF(F93='Track '!$B$60,'Track '!$F$53,IF(F93='Track '!$B$61,'Track '!$F$54,IF(F93='Track '!$B$62,'Track '!$F$55)))</f>
        <v>0.06</v>
      </c>
      <c r="Q93" s="2">
        <f>P93*'Vehicle '!$F$38*9.81</f>
        <v>343.91897999999992</v>
      </c>
      <c r="R93" s="2">
        <f>0.5*'Vehicle '!$F$51*'Vehicle '!$F$25*'Track '!$F$57*'Duty Cycle '!L93^2</f>
        <v>25.968887656370253</v>
      </c>
      <c r="S93" s="2">
        <f>'Vehicle '!$F$38*9.81*SIN(RADIANS('Duty Cycle '!I93))</f>
        <v>416.08797296181029</v>
      </c>
      <c r="T93" s="2">
        <f t="shared" si="16"/>
        <v>548.58260109046489</v>
      </c>
      <c r="U93" s="2">
        <f t="shared" si="25"/>
        <v>4.5223664585759726</v>
      </c>
      <c r="V93" s="2">
        <f>'Vehicle '!$F$9-'Duty Cycle '!U93</f>
        <v>8.9004523333703354</v>
      </c>
      <c r="W93" s="2">
        <f t="shared" si="17"/>
        <v>4.5223664585759726</v>
      </c>
      <c r="X93" s="41">
        <f t="shared" si="26"/>
        <v>8.2257940154897735</v>
      </c>
      <c r="Y93" s="41">
        <f t="shared" si="18"/>
        <v>9</v>
      </c>
      <c r="Z93" s="2">
        <f>T93*D93</f>
        <v>498359.16588853952</v>
      </c>
      <c r="AA93" s="2">
        <f t="shared" si="27"/>
        <v>17738409.314216468</v>
      </c>
      <c r="AB93" s="2">
        <f>INDEX('BSFC '!$D$5:$AD$27,MATCH('Duty Cycle '!Y93,'BSFC '!$B$5:$B$27,0),MATCH('Duty Cycle '!K93,'BSFC '!$D$28:$AD$28,0))</f>
        <v>420.33360472580006</v>
      </c>
      <c r="AC93" s="2">
        <f>U93*AB93/3600</f>
        <v>0.52802849872896918</v>
      </c>
      <c r="AD93" s="2">
        <f t="shared" si="28"/>
        <v>61.547835082878187</v>
      </c>
      <c r="AE93" s="2">
        <f t="shared" si="29"/>
        <v>1.6316080610725148</v>
      </c>
      <c r="AF93" s="2">
        <f>0.5*'Vehicle '!$F$38*'Duty Cycle '!L93^2/1000</f>
        <v>19.854243079481705</v>
      </c>
      <c r="AG93" s="2">
        <f t="shared" si="19"/>
        <v>498379.02013161901</v>
      </c>
    </row>
    <row r="94" spans="2:33" ht="30" customHeight="1" x14ac:dyDescent="0.25">
      <c r="B94" s="39">
        <f t="shared" si="20"/>
        <v>91</v>
      </c>
      <c r="C94" s="2" t="s">
        <v>107</v>
      </c>
      <c r="D94" s="2">
        <f>SUM($L$3:L94)</f>
        <v>916.69245679227618</v>
      </c>
      <c r="E94" s="2">
        <f t="shared" si="21"/>
        <v>8.2437292936131144</v>
      </c>
      <c r="F94" s="40" t="s">
        <v>147</v>
      </c>
      <c r="G94" s="2">
        <v>19.5</v>
      </c>
      <c r="H94" s="2">
        <f t="shared" si="22"/>
        <v>0.30000000000000071</v>
      </c>
      <c r="I94" s="2">
        <f t="shared" si="23"/>
        <v>2.0841480152623637</v>
      </c>
      <c r="J94" s="2">
        <v>2</v>
      </c>
      <c r="K94" s="2">
        <v>5250</v>
      </c>
      <c r="L94" s="2">
        <f>IF(J94=1,VLOOKUP('Duty Cycle '!K94,'Gearing '!$L$3:$O$28,2),IF(J94=2,VLOOKUP('Duty Cycle '!K94,'Gearing '!$L$2:$O$28,3),IF(J94=3,VLOOKUP('Duty Cycle '!K94,'Gearing '!$L$2:$O$28,4))))</f>
        <v>8.2437292936131676</v>
      </c>
      <c r="M94" s="2">
        <f t="shared" si="15"/>
        <v>18.441222429812658</v>
      </c>
      <c r="N94" s="2">
        <f t="shared" si="24"/>
        <v>0</v>
      </c>
      <c r="O94" s="2">
        <f>IF(J94=1,'Gearing '!$C$17*'Duty Cycle '!N94,IF(J94=2,'Gearing '!$C$18*'Duty Cycle '!N94,IF(J94=3,'Gearing '!$C$19*'Duty Cycle '!N94)))</f>
        <v>0</v>
      </c>
      <c r="P94" s="2">
        <f>IF(F94='Track '!$B$60,'Track '!$F$53,IF(F94='Track '!$B$61,'Track '!$F$54,IF(F94='Track '!$B$62,'Track '!$F$55)))</f>
        <v>0.06</v>
      </c>
      <c r="Q94" s="2">
        <f>P94*'Vehicle '!$F$38*9.81</f>
        <v>343.91897999999992</v>
      </c>
      <c r="R94" s="2">
        <f>0.5*'Vehicle '!$F$51*'Vehicle '!$F$25*'Track '!$F$57*'Duty Cycle '!L94^2</f>
        <v>25.968887656370253</v>
      </c>
      <c r="S94" s="2">
        <f>'Vehicle '!$F$38*9.81*SIN(RADIANS('Duty Cycle '!I94))</f>
        <v>208.45630854333635</v>
      </c>
      <c r="T94" s="2">
        <f t="shared" si="16"/>
        <v>578.34417619970657</v>
      </c>
      <c r="U94" s="2">
        <f t="shared" si="25"/>
        <v>4.7677128271280962</v>
      </c>
      <c r="V94" s="2">
        <f>'Vehicle '!$F$9-'Duty Cycle '!U94</f>
        <v>8.6551059648182118</v>
      </c>
      <c r="W94" s="2">
        <f t="shared" si="17"/>
        <v>4.7677128271280962</v>
      </c>
      <c r="X94" s="41">
        <f t="shared" si="26"/>
        <v>8.6720578706293914</v>
      </c>
      <c r="Y94" s="41">
        <f t="shared" si="18"/>
        <v>9</v>
      </c>
      <c r="Z94" s="2">
        <f>T94*D94</f>
        <v>530163.74375201412</v>
      </c>
      <c r="AA94" s="2">
        <f t="shared" si="27"/>
        <v>18268573.057968482</v>
      </c>
      <c r="AB94" s="2">
        <f>INDEX('BSFC '!$D$5:$AD$27,MATCH('Duty Cycle '!Y94,'BSFC '!$B$5:$B$27,0),MATCH('Duty Cycle '!K94,'BSFC '!$D$28:$AD$28,0))</f>
        <v>420.33360472580006</v>
      </c>
      <c r="AC94" s="2">
        <f>U94*AB94/3600</f>
        <v>0.55667497747894112</v>
      </c>
      <c r="AD94" s="2">
        <f t="shared" si="28"/>
        <v>62.104510060357129</v>
      </c>
      <c r="AE94" s="2">
        <f t="shared" si="29"/>
        <v>1.7201256804099281</v>
      </c>
      <c r="AF94" s="2">
        <f>0.5*'Vehicle '!$F$38*'Duty Cycle '!L94^2/1000</f>
        <v>19.854243079481705</v>
      </c>
      <c r="AG94" s="2">
        <f t="shared" si="19"/>
        <v>530183.59799509356</v>
      </c>
    </row>
    <row r="95" spans="2:33" ht="30" customHeight="1" x14ac:dyDescent="0.25">
      <c r="B95" s="39">
        <f t="shared" si="20"/>
        <v>92</v>
      </c>
      <c r="C95" s="2" t="s">
        <v>107</v>
      </c>
      <c r="D95" s="2">
        <f>SUM($L$3:L95)</f>
        <v>924.93618608588929</v>
      </c>
      <c r="E95" s="2">
        <f t="shared" si="21"/>
        <v>8.2437292936131144</v>
      </c>
      <c r="F95" s="40" t="s">
        <v>147</v>
      </c>
      <c r="G95" s="2">
        <v>19.8</v>
      </c>
      <c r="H95" s="2">
        <f t="shared" si="22"/>
        <v>0.30000000000000071</v>
      </c>
      <c r="I95" s="2">
        <f t="shared" si="23"/>
        <v>2.0841480152623637</v>
      </c>
      <c r="J95" s="2">
        <v>2</v>
      </c>
      <c r="K95" s="2">
        <v>5250</v>
      </c>
      <c r="L95" s="2">
        <f>IF(J95=1,VLOOKUP('Duty Cycle '!K95,'Gearing '!$L$3:$O$28,2),IF(J95=2,VLOOKUP('Duty Cycle '!K95,'Gearing '!$L$2:$O$28,3),IF(J95=3,VLOOKUP('Duty Cycle '!K95,'Gearing '!$L$2:$O$28,4))))</f>
        <v>8.2437292936131676</v>
      </c>
      <c r="M95" s="2">
        <f t="shared" si="15"/>
        <v>18.441222429812658</v>
      </c>
      <c r="N95" s="2">
        <f t="shared" si="24"/>
        <v>0</v>
      </c>
      <c r="O95" s="2">
        <f>IF(J95=1,'Gearing '!$C$17*'Duty Cycle '!N95,IF(J95=2,'Gearing '!$C$18*'Duty Cycle '!N95,IF(J95=3,'Gearing '!$C$19*'Duty Cycle '!N95)))</f>
        <v>0</v>
      </c>
      <c r="P95" s="2">
        <f>IF(F95='Track '!$B$60,'Track '!$F$53,IF(F95='Track '!$B$61,'Track '!$F$54,IF(F95='Track '!$B$62,'Track '!$F$55)))</f>
        <v>0.06</v>
      </c>
      <c r="Q95" s="2">
        <f>P95*'Vehicle '!$F$38*9.81</f>
        <v>343.91897999999992</v>
      </c>
      <c r="R95" s="2">
        <f>0.5*'Vehicle '!$F$51*'Vehicle '!$F$25*'Track '!$F$57*'Duty Cycle '!L95^2</f>
        <v>25.968887656370253</v>
      </c>
      <c r="S95" s="2">
        <f>'Vehicle '!$F$38*9.81*SIN(RADIANS('Duty Cycle '!I95))</f>
        <v>208.45630854333635</v>
      </c>
      <c r="T95" s="2">
        <f t="shared" si="16"/>
        <v>578.34417619970657</v>
      </c>
      <c r="U95" s="2">
        <f t="shared" si="25"/>
        <v>4.7677128271280962</v>
      </c>
      <c r="V95" s="2">
        <f>'Vehicle '!$F$9-'Duty Cycle '!U95</f>
        <v>8.6551059648182118</v>
      </c>
      <c r="W95" s="2">
        <f t="shared" si="17"/>
        <v>4.7677128271280962</v>
      </c>
      <c r="X95" s="41">
        <f t="shared" si="26"/>
        <v>8.6720578706293914</v>
      </c>
      <c r="Y95" s="41">
        <f t="shared" si="18"/>
        <v>9</v>
      </c>
      <c r="Z95" s="2">
        <f>T95*D95</f>
        <v>534931.45657914213</v>
      </c>
      <c r="AA95" s="2">
        <f t="shared" si="27"/>
        <v>18803504.514547624</v>
      </c>
      <c r="AB95" s="2">
        <f>INDEX('BSFC '!$D$5:$AD$27,MATCH('Duty Cycle '!Y95,'BSFC '!$B$5:$B$27,0),MATCH('Duty Cycle '!K95,'BSFC '!$D$28:$AD$28,0))</f>
        <v>420.33360472580006</v>
      </c>
      <c r="AC95" s="2">
        <f>U95*AB95/3600</f>
        <v>0.55667497747894112</v>
      </c>
      <c r="AD95" s="2">
        <f t="shared" si="28"/>
        <v>62.66118503783607</v>
      </c>
      <c r="AE95" s="2">
        <f t="shared" si="29"/>
        <v>1.7201256804099281</v>
      </c>
      <c r="AF95" s="2">
        <f>0.5*'Vehicle '!$F$38*'Duty Cycle '!L95^2/1000</f>
        <v>19.854243079481705</v>
      </c>
      <c r="AG95" s="2">
        <f t="shared" si="19"/>
        <v>534951.31082222157</v>
      </c>
    </row>
    <row r="96" spans="2:33" ht="30" customHeight="1" x14ac:dyDescent="0.25">
      <c r="B96" s="39">
        <f t="shared" si="20"/>
        <v>93</v>
      </c>
      <c r="C96" s="2" t="s">
        <v>107</v>
      </c>
      <c r="D96" s="2">
        <f>SUM($L$3:L96)</f>
        <v>933.1799153795024</v>
      </c>
      <c r="E96" s="2">
        <f t="shared" si="21"/>
        <v>8.2437292936131144</v>
      </c>
      <c r="F96" s="40" t="s">
        <v>147</v>
      </c>
      <c r="G96" s="2">
        <v>20</v>
      </c>
      <c r="H96" s="2">
        <f t="shared" si="22"/>
        <v>0.19999999999999929</v>
      </c>
      <c r="I96" s="2">
        <f t="shared" si="23"/>
        <v>1.3897725218444077</v>
      </c>
      <c r="J96" s="2">
        <v>2</v>
      </c>
      <c r="K96" s="2">
        <v>5250</v>
      </c>
      <c r="L96" s="2">
        <f>IF(J96=1,VLOOKUP('Duty Cycle '!K96,'Gearing '!$L$3:$O$28,2),IF(J96=2,VLOOKUP('Duty Cycle '!K96,'Gearing '!$L$2:$O$28,3),IF(J96=3,VLOOKUP('Duty Cycle '!K96,'Gearing '!$L$2:$O$28,4))))</f>
        <v>8.2437292936131676</v>
      </c>
      <c r="M96" s="2">
        <f t="shared" si="15"/>
        <v>18.441222429812658</v>
      </c>
      <c r="N96" s="2">
        <f t="shared" si="24"/>
        <v>0</v>
      </c>
      <c r="O96" s="2">
        <f>IF(J96=1,'Gearing '!$C$17*'Duty Cycle '!N96,IF(J96=2,'Gearing '!$C$18*'Duty Cycle '!N96,IF(J96=3,'Gearing '!$C$19*'Duty Cycle '!N96)))</f>
        <v>0</v>
      </c>
      <c r="P96" s="2">
        <f>IF(F96='Track '!$B$60,'Track '!$F$53,IF(F96='Track '!$B$61,'Track '!$F$54,IF(F96='Track '!$B$62,'Track '!$F$55)))</f>
        <v>0.06</v>
      </c>
      <c r="Q96" s="2">
        <f>P96*'Vehicle '!$F$38*9.81</f>
        <v>343.91897999999992</v>
      </c>
      <c r="R96" s="2">
        <f>0.5*'Vehicle '!$F$51*'Vehicle '!$F$25*'Track '!$F$57*'Duty Cycle '!L96^2</f>
        <v>25.968887656370253</v>
      </c>
      <c r="S96" s="2">
        <f>'Vehicle '!$F$38*9.81*SIN(RADIANS('Duty Cycle '!I96))</f>
        <v>139.02195590271782</v>
      </c>
      <c r="T96" s="2">
        <f t="shared" si="16"/>
        <v>508.90982355908801</v>
      </c>
      <c r="U96" s="2">
        <f t="shared" si="25"/>
        <v>4.1953148202815624</v>
      </c>
      <c r="V96" s="2">
        <f>'Vehicle '!$F$9-'Duty Cycle '!U96</f>
        <v>9.2275039716647456</v>
      </c>
      <c r="W96" s="2">
        <f t="shared" si="17"/>
        <v>4.1953148202815624</v>
      </c>
      <c r="X96" s="41">
        <f t="shared" si="26"/>
        <v>7.6309153311371123</v>
      </c>
      <c r="Y96" s="41">
        <f t="shared" si="18"/>
        <v>8</v>
      </c>
      <c r="Z96" s="2">
        <f>T96*D96</f>
        <v>474904.42608466727</v>
      </c>
      <c r="AA96" s="2">
        <f t="shared" si="27"/>
        <v>19278408.940632291</v>
      </c>
      <c r="AB96" s="2">
        <f>INDEX('BSFC '!$D$5:$AD$27,MATCH('Duty Cycle '!Y96,'BSFC '!$B$5:$B$27,0),MATCH('Duty Cycle '!K96,'BSFC '!$D$28:$AD$28,0))</f>
        <v>443.86375696580012</v>
      </c>
      <c r="AC96" s="2">
        <f>U96*AB96/3600</f>
        <v>0.51726338827346519</v>
      </c>
      <c r="AD96" s="2">
        <f t="shared" si="28"/>
        <v>63.178448426109533</v>
      </c>
      <c r="AE96" s="2">
        <f t="shared" si="29"/>
        <v>1.5983438697650074</v>
      </c>
      <c r="AF96" s="2">
        <f>0.5*'Vehicle '!$F$38*'Duty Cycle '!L96^2/1000</f>
        <v>19.854243079481705</v>
      </c>
      <c r="AG96" s="2">
        <f t="shared" si="19"/>
        <v>474924.28032774676</v>
      </c>
    </row>
    <row r="97" spans="2:33" ht="30" customHeight="1" x14ac:dyDescent="0.25">
      <c r="B97" s="39">
        <f t="shared" si="20"/>
        <v>94</v>
      </c>
      <c r="C97" s="2" t="s">
        <v>107</v>
      </c>
      <c r="D97" s="2">
        <f>SUM($L$3:L97)</f>
        <v>941.42364467311552</v>
      </c>
      <c r="E97" s="2">
        <f t="shared" si="21"/>
        <v>8.2437292936131144</v>
      </c>
      <c r="F97" s="40" t="s">
        <v>147</v>
      </c>
      <c r="G97" s="2">
        <v>20</v>
      </c>
      <c r="H97" s="2">
        <f t="shared" si="22"/>
        <v>0</v>
      </c>
      <c r="I97" s="2">
        <f t="shared" si="23"/>
        <v>0</v>
      </c>
      <c r="J97" s="2">
        <v>2</v>
      </c>
      <c r="K97" s="2">
        <v>5250</v>
      </c>
      <c r="L97" s="2">
        <f>IF(J97=1,VLOOKUP('Duty Cycle '!K97,'Gearing '!$L$3:$O$28,2),IF(J97=2,VLOOKUP('Duty Cycle '!K97,'Gearing '!$L$2:$O$28,3),IF(J97=3,VLOOKUP('Duty Cycle '!K97,'Gearing '!$L$2:$O$28,4))))</f>
        <v>8.2437292936131676</v>
      </c>
      <c r="M97" s="2">
        <f t="shared" si="15"/>
        <v>18.441222429812658</v>
      </c>
      <c r="N97" s="2">
        <f t="shared" si="24"/>
        <v>0</v>
      </c>
      <c r="O97" s="2">
        <f>IF(J97=1,'Gearing '!$C$17*'Duty Cycle '!N97,IF(J97=2,'Gearing '!$C$18*'Duty Cycle '!N97,IF(J97=3,'Gearing '!$C$19*'Duty Cycle '!N97)))</f>
        <v>0</v>
      </c>
      <c r="P97" s="2">
        <f>IF(F97='Track '!$B$60,'Track '!$F$53,IF(F97='Track '!$B$61,'Track '!$F$54,IF(F97='Track '!$B$62,'Track '!$F$55)))</f>
        <v>0.06</v>
      </c>
      <c r="Q97" s="2">
        <f>P97*'Vehicle '!$F$38*9.81</f>
        <v>343.91897999999992</v>
      </c>
      <c r="R97" s="2">
        <f>0.5*'Vehicle '!$F$51*'Vehicle '!$F$25*'Track '!$F$57*'Duty Cycle '!L97^2</f>
        <v>25.968887656370253</v>
      </c>
      <c r="S97" s="2">
        <f>'Vehicle '!$F$38*9.81*SIN(RADIANS('Duty Cycle '!I97))</f>
        <v>0</v>
      </c>
      <c r="T97" s="2">
        <f t="shared" si="16"/>
        <v>369.88786765637019</v>
      </c>
      <c r="U97" s="2">
        <f t="shared" si="25"/>
        <v>3.0492554499509299</v>
      </c>
      <c r="V97" s="2">
        <f>'Vehicle '!$F$9-'Duty Cycle '!U97</f>
        <v>10.373563341995379</v>
      </c>
      <c r="W97" s="2">
        <f t="shared" si="17"/>
        <v>3.0492554499509299</v>
      </c>
      <c r="X97" s="41">
        <f t="shared" si="26"/>
        <v>5.5463323155381943</v>
      </c>
      <c r="Y97" s="41">
        <f t="shared" si="18"/>
        <v>6</v>
      </c>
      <c r="Z97" s="2">
        <f>T97*D97</f>
        <v>348221.18448942702</v>
      </c>
      <c r="AA97" s="2">
        <f t="shared" si="27"/>
        <v>19626630.125121716</v>
      </c>
      <c r="AB97" s="2">
        <f>INDEX('BSFC '!$D$5:$AD$27,MATCH('Duty Cycle '!Y97,'BSFC '!$B$5:$B$27,0),MATCH('Duty Cycle '!K97,'BSFC '!$D$28:$AD$28,0))</f>
        <v>536.61388912580014</v>
      </c>
      <c r="AC97" s="2">
        <f>U97*AB97/3600</f>
        <v>0.45452022942672504</v>
      </c>
      <c r="AD97" s="2">
        <f t="shared" si="28"/>
        <v>63.63296865553626</v>
      </c>
      <c r="AE97" s="2">
        <f t="shared" si="29"/>
        <v>1.4044675089285803</v>
      </c>
      <c r="AF97" s="2">
        <f>0.5*'Vehicle '!$F$38*'Duty Cycle '!L97^2/1000</f>
        <v>19.854243079481705</v>
      </c>
      <c r="AG97" s="2">
        <f t="shared" si="19"/>
        <v>348241.03873250651</v>
      </c>
    </row>
    <row r="98" spans="2:33" ht="30" customHeight="1" x14ac:dyDescent="0.25">
      <c r="B98" s="39">
        <f t="shared" si="20"/>
        <v>95</v>
      </c>
      <c r="C98" s="2" t="s">
        <v>99</v>
      </c>
      <c r="D98" s="2">
        <f>SUM($L$3:L98)</f>
        <v>950.45249104231084</v>
      </c>
      <c r="E98" s="2">
        <f t="shared" si="21"/>
        <v>9.0288463691953211</v>
      </c>
      <c r="F98" s="40" t="s">
        <v>90</v>
      </c>
      <c r="G98" s="2">
        <v>20</v>
      </c>
      <c r="H98" s="2">
        <f t="shared" si="22"/>
        <v>0</v>
      </c>
      <c r="I98" s="2">
        <f t="shared" si="23"/>
        <v>0</v>
      </c>
      <c r="J98" s="2">
        <v>2</v>
      </c>
      <c r="K98" s="2">
        <v>5750</v>
      </c>
      <c r="L98" s="2">
        <f>IF(J98=1,VLOOKUP('Duty Cycle '!K98,'Gearing '!$L$3:$O$28,2),IF(J98=2,VLOOKUP('Duty Cycle '!K98,'Gearing '!$L$2:$O$28,3),IF(J98=3,VLOOKUP('Duty Cycle '!K98,'Gearing '!$L$2:$O$28,4))))</f>
        <v>9.0288463691953762</v>
      </c>
      <c r="M98" s="2">
        <f t="shared" si="15"/>
        <v>20.197529327890056</v>
      </c>
      <c r="N98" s="2">
        <f t="shared" si="24"/>
        <v>0.78511707558220856</v>
      </c>
      <c r="O98" s="2">
        <f>IF(J98=1,'Gearing '!$C$17*'Duty Cycle '!N98,IF(J98=2,'Gearing '!$C$18*'Duty Cycle '!N98,IF(J98=3,'Gearing '!$C$19*'Duty Cycle '!N98)))</f>
        <v>474.78647905543431</v>
      </c>
      <c r="P98" s="2">
        <f>IF(F98='Track '!$B$60,'Track '!$F$53,IF(F98='Track '!$B$61,'Track '!$F$54,IF(F98='Track '!$B$62,'Track '!$F$55)))</f>
        <v>0.02</v>
      </c>
      <c r="Q98" s="2">
        <f>P98*'Vehicle '!$F$38*9.81</f>
        <v>114.63966000000001</v>
      </c>
      <c r="R98" s="2">
        <f>0.5*'Vehicle '!$F$51*'Vehicle '!$F$25*'Track '!$F$57*'Duty Cycle '!L98^2</f>
        <v>31.15088791433077</v>
      </c>
      <c r="S98" s="2">
        <f>'Vehicle '!$F$38*9.81*SIN(RADIANS('Duty Cycle '!I98))</f>
        <v>0</v>
      </c>
      <c r="T98" s="2">
        <f t="shared" si="16"/>
        <v>620.57702696976503</v>
      </c>
      <c r="U98" s="2">
        <f t="shared" si="25"/>
        <v>5.603094636762024</v>
      </c>
      <c r="V98" s="2">
        <f>'Vehicle '!$F$9-'Duty Cycle '!U98</f>
        <v>7.8197241551842849</v>
      </c>
      <c r="W98" s="2">
        <f t="shared" si="17"/>
        <v>5.603094636762024</v>
      </c>
      <c r="X98" s="41">
        <f t="shared" si="26"/>
        <v>9.3053239101116212</v>
      </c>
      <c r="Y98" s="41">
        <f t="shared" si="18"/>
        <v>10</v>
      </c>
      <c r="Z98" s="2">
        <f>T98*D98</f>
        <v>589828.98116704449</v>
      </c>
      <c r="AA98" s="2">
        <f t="shared" si="27"/>
        <v>20216459.106288761</v>
      </c>
      <c r="AB98" s="2">
        <f>INDEX('BSFC '!$D$5:$AD$27,MATCH('Duty Cycle '!Y98,'BSFC '!$B$5:$B$27,0),MATCH('Duty Cycle '!K98,'BSFC '!$D$28:$AD$28,0))</f>
        <v>415.54656848580015</v>
      </c>
      <c r="AC98" s="2">
        <f>U98*AB98/3600</f>
        <v>0.64676298589101378</v>
      </c>
      <c r="AD98" s="2">
        <f t="shared" si="28"/>
        <v>64.279731641427276</v>
      </c>
      <c r="AE98" s="2">
        <f t="shared" si="29"/>
        <v>1.9984976264032324</v>
      </c>
      <c r="AF98" s="2">
        <f>0.5*'Vehicle '!$F$38*'Duty Cycle '!L98^2/1000</f>
        <v>23.816087503505273</v>
      </c>
      <c r="AG98" s="2">
        <f t="shared" si="19"/>
        <v>589852.79725454794</v>
      </c>
    </row>
    <row r="99" spans="2:33" ht="30" customHeight="1" x14ac:dyDescent="0.25">
      <c r="B99" s="39">
        <f t="shared" si="20"/>
        <v>96</v>
      </c>
      <c r="C99" s="2" t="s">
        <v>99</v>
      </c>
      <c r="D99" s="2">
        <f>SUM($L$3:L99)</f>
        <v>960.65901302487953</v>
      </c>
      <c r="E99" s="2">
        <f t="shared" si="21"/>
        <v>10.206521982568688</v>
      </c>
      <c r="F99" s="40" t="s">
        <v>90</v>
      </c>
      <c r="G99" s="2">
        <v>20</v>
      </c>
      <c r="H99" s="2">
        <f t="shared" si="22"/>
        <v>0</v>
      </c>
      <c r="I99" s="2">
        <f t="shared" si="23"/>
        <v>0</v>
      </c>
      <c r="J99" s="2">
        <v>2</v>
      </c>
      <c r="K99" s="2">
        <v>6500</v>
      </c>
      <c r="L99" s="2">
        <f>IF(J99=1,VLOOKUP('Duty Cycle '!K99,'Gearing '!$L$3:$O$28,2),IF(J99=2,VLOOKUP('Duty Cycle '!K99,'Gearing '!$L$2:$O$28,3),IF(J99=3,VLOOKUP('Duty Cycle '!K99,'Gearing '!$L$2:$O$28,4))))</f>
        <v>10.206521982568686</v>
      </c>
      <c r="M99" s="2">
        <f t="shared" si="15"/>
        <v>22.831989675006152</v>
      </c>
      <c r="N99" s="2">
        <f t="shared" si="24"/>
        <v>1.1776756133733102</v>
      </c>
      <c r="O99" s="2">
        <f>IF(J99=1,'Gearing '!$C$17*'Duty Cycle '!N99,IF(J99=2,'Gearing '!$C$18*'Duty Cycle '!N99,IF(J99=3,'Gearing '!$C$19*'Duty Cycle '!N99)))</f>
        <v>712.17971858314991</v>
      </c>
      <c r="P99" s="2">
        <f>IF(F99='Track '!$B$60,'Track '!$F$53,IF(F99='Track '!$B$61,'Track '!$F$54,IF(F99='Track '!$B$62,'Track '!$F$55)))</f>
        <v>0.02</v>
      </c>
      <c r="Q99" s="2">
        <f>P99*'Vehicle '!$F$38*9.81</f>
        <v>114.63966000000001</v>
      </c>
      <c r="R99" s="2">
        <f>0.5*'Vehicle '!$F$51*'Vehicle '!$F$25*'Track '!$F$57*'Duty Cycle '!L99^2</f>
        <v>39.807183799787531</v>
      </c>
      <c r="S99" s="2">
        <f>'Vehicle '!$F$38*9.81*SIN(RADIANS('Duty Cycle '!I99))</f>
        <v>0</v>
      </c>
      <c r="T99" s="2">
        <f t="shared" si="16"/>
        <v>866.62656238293744</v>
      </c>
      <c r="U99" s="2">
        <f t="shared" si="25"/>
        <v>8.845243059639385</v>
      </c>
      <c r="V99" s="2">
        <f>'Vehicle '!$F$9-'Duty Cycle '!U99</f>
        <v>4.5775757323069239</v>
      </c>
      <c r="W99" s="2">
        <f t="shared" si="17"/>
        <v>8.845243059639385</v>
      </c>
      <c r="X99" s="41">
        <f t="shared" si="26"/>
        <v>12.994746053454355</v>
      </c>
      <c r="Y99" s="41">
        <f t="shared" si="18"/>
        <v>13</v>
      </c>
      <c r="Z99" s="2">
        <f>T99*D99</f>
        <v>832532.61807993683</v>
      </c>
      <c r="AA99" s="2">
        <f t="shared" si="27"/>
        <v>21048991.724368699</v>
      </c>
      <c r="AB99" s="2">
        <f>INDEX('BSFC '!$D$5:$AD$27,MATCH('Duty Cycle '!Y99,'BSFC '!$B$5:$B$27,0),MATCH('Duty Cycle '!K99,'BSFC '!$D$28:$AD$28,0))</f>
        <v>488.57748248579992</v>
      </c>
      <c r="AC99" s="2">
        <f>U99*AB99/3600</f>
        <v>1.2004407183482235</v>
      </c>
      <c r="AD99" s="2">
        <f t="shared" si="28"/>
        <v>65.480172359775494</v>
      </c>
      <c r="AE99" s="2">
        <f t="shared" si="29"/>
        <v>3.7093618196960105</v>
      </c>
      <c r="AF99" s="2">
        <f>0.5*'Vehicle '!$F$38*'Duty Cycle '!L99^2/1000</f>
        <v>30.434168529999184</v>
      </c>
      <c r="AG99" s="2">
        <f t="shared" si="19"/>
        <v>832563.05224846688</v>
      </c>
    </row>
    <row r="100" spans="2:33" ht="30" customHeight="1" x14ac:dyDescent="0.25">
      <c r="B100" s="39">
        <f t="shared" si="20"/>
        <v>97</v>
      </c>
      <c r="C100" s="2" t="s">
        <v>99</v>
      </c>
      <c r="D100" s="2">
        <f>SUM($L$3:L100)</f>
        <v>971.41170340785322</v>
      </c>
      <c r="E100" s="2">
        <f t="shared" si="21"/>
        <v>10.752690382973697</v>
      </c>
      <c r="F100" s="40" t="s">
        <v>90</v>
      </c>
      <c r="G100" s="2">
        <v>20</v>
      </c>
      <c r="H100" s="2">
        <f t="shared" si="22"/>
        <v>0</v>
      </c>
      <c r="I100" s="2">
        <f t="shared" si="23"/>
        <v>0</v>
      </c>
      <c r="J100" s="2">
        <v>3</v>
      </c>
      <c r="K100" s="2">
        <v>5250</v>
      </c>
      <c r="L100" s="2">
        <f>IF(J100=1,VLOOKUP('Duty Cycle '!K100,'Gearing '!$L$3:$O$28,2),IF(J100=2,VLOOKUP('Duty Cycle '!K100,'Gearing '!$L$2:$O$28,3),IF(J100=3,VLOOKUP('Duty Cycle '!K100,'Gearing '!$L$2:$O$28,4))))</f>
        <v>10.752690382973697</v>
      </c>
      <c r="M100" s="2">
        <f t="shared" si="15"/>
        <v>24.053768386712161</v>
      </c>
      <c r="N100" s="2">
        <f t="shared" si="24"/>
        <v>0.54616840040501025</v>
      </c>
      <c r="O100" s="2">
        <f>IF(J100=1,'Gearing '!$C$17*'Duty Cycle '!N100,IF(J100=2,'Gearing '!$C$18*'Duty Cycle '!N100,IF(J100=3,'Gearing '!$C$19*'Duty Cycle '!N100)))</f>
        <v>328.89370588341745</v>
      </c>
      <c r="P100" s="2">
        <f>IF(F100='Track '!$B$60,'Track '!$F$53,IF(F100='Track '!$B$61,'Track '!$F$54,IF(F100='Track '!$B$62,'Track '!$F$55)))</f>
        <v>0.02</v>
      </c>
      <c r="Q100" s="2">
        <f>P100*'Vehicle '!$F$38*9.81</f>
        <v>114.63966000000001</v>
      </c>
      <c r="R100" s="2">
        <f>0.5*'Vehicle '!$F$51*'Vehicle '!$F$25*'Track '!$F$57*'Duty Cycle '!L100^2</f>
        <v>44.181472383238614</v>
      </c>
      <c r="S100" s="2">
        <f>'Vehicle '!$F$38*9.81*SIN(RADIANS('Duty Cycle '!I100))</f>
        <v>0</v>
      </c>
      <c r="T100" s="2">
        <f t="shared" si="16"/>
        <v>487.7148382666561</v>
      </c>
      <c r="U100" s="2">
        <f t="shared" si="25"/>
        <v>5.2442466510634453</v>
      </c>
      <c r="V100" s="2">
        <f>'Vehicle '!$F$9-'Duty Cycle '!U100</f>
        <v>8.1785721408828636</v>
      </c>
      <c r="W100" s="2">
        <f t="shared" si="17"/>
        <v>5.2442466510634453</v>
      </c>
      <c r="X100" s="41">
        <f t="shared" si="26"/>
        <v>9.5388317406841754</v>
      </c>
      <c r="Y100" s="41">
        <f t="shared" si="18"/>
        <v>10</v>
      </c>
      <c r="Z100" s="2">
        <f>T100*D100</f>
        <v>473771.90181789803</v>
      </c>
      <c r="AA100" s="2">
        <f t="shared" si="27"/>
        <v>21522763.626186598</v>
      </c>
      <c r="AB100" s="2">
        <f>INDEX('BSFC '!$D$5:$AD$27,MATCH('Duty Cycle '!Y100,'BSFC '!$B$5:$B$27,0),MATCH('Duty Cycle '!K100,'BSFC '!$D$28:$AD$28,0))</f>
        <v>396.80345248580005</v>
      </c>
      <c r="AC100" s="2">
        <f>U100*AB100/3600</f>
        <v>0.57803754911918603</v>
      </c>
      <c r="AD100" s="2">
        <f t="shared" si="28"/>
        <v>66.058209908894682</v>
      </c>
      <c r="AE100" s="2">
        <f t="shared" si="29"/>
        <v>1.7861360267782849</v>
      </c>
      <c r="AF100" s="2">
        <f>0.5*'Vehicle '!$F$38*'Duty Cycle '!L100^2/1000</f>
        <v>33.77848539042256</v>
      </c>
      <c r="AG100" s="2">
        <f t="shared" si="19"/>
        <v>473805.68030328845</v>
      </c>
    </row>
    <row r="101" spans="2:33" ht="30" customHeight="1" x14ac:dyDescent="0.25">
      <c r="B101" s="39">
        <f t="shared" si="20"/>
        <v>98</v>
      </c>
      <c r="C101" s="2" t="s">
        <v>99</v>
      </c>
      <c r="D101" s="2">
        <f>SUM($L$3:L101)</f>
        <v>983.18845954158633</v>
      </c>
      <c r="E101" s="2">
        <f t="shared" si="21"/>
        <v>11.776756133733102</v>
      </c>
      <c r="F101" s="40" t="s">
        <v>90</v>
      </c>
      <c r="G101" s="2">
        <v>20</v>
      </c>
      <c r="H101" s="2">
        <f t="shared" si="22"/>
        <v>0</v>
      </c>
      <c r="I101" s="2">
        <f t="shared" si="23"/>
        <v>0</v>
      </c>
      <c r="J101" s="2">
        <v>3</v>
      </c>
      <c r="K101" s="2">
        <v>5750</v>
      </c>
      <c r="L101" s="2">
        <f>IF(J101=1,VLOOKUP('Duty Cycle '!K101,'Gearing '!$L$3:$O$28,2),IF(J101=2,VLOOKUP('Duty Cycle '!K101,'Gearing '!$L$2:$O$28,3),IF(J101=3,VLOOKUP('Duty Cycle '!K101,'Gearing '!$L$2:$O$28,4))))</f>
        <v>11.776756133733098</v>
      </c>
      <c r="M101" s="2">
        <f t="shared" si="15"/>
        <v>26.344603471160941</v>
      </c>
      <c r="N101" s="2">
        <f t="shared" si="24"/>
        <v>1.0240657507594015</v>
      </c>
      <c r="O101" s="2">
        <f>IF(J101=1,'Gearing '!$C$17*'Duty Cycle '!N101,IF(J101=2,'Gearing '!$C$18*'Duty Cycle '!N101,IF(J101=3,'Gearing '!$C$19*'Duty Cycle '!N101)))</f>
        <v>616.67569853141219</v>
      </c>
      <c r="P101" s="2">
        <f>IF(F101='Track '!$B$60,'Track '!$F$53,IF(F101='Track '!$B$61,'Track '!$F$54,IF(F101='Track '!$B$62,'Track '!$F$55)))</f>
        <v>0.02</v>
      </c>
      <c r="Q101" s="2">
        <f>P101*'Vehicle '!$F$38*9.81</f>
        <v>114.63966000000001</v>
      </c>
      <c r="R101" s="2">
        <f>0.5*'Vehicle '!$F$51*'Vehicle '!$F$25*'Track '!$F$57*'Duty Cycle '!L101^2</f>
        <v>52.997729910959706</v>
      </c>
      <c r="S101" s="2">
        <f>'Vehicle '!$F$38*9.81*SIN(RADIANS('Duty Cycle '!I101))</f>
        <v>0</v>
      </c>
      <c r="T101" s="2">
        <f t="shared" si="16"/>
        <v>784.31308844237196</v>
      </c>
      <c r="U101" s="2">
        <f t="shared" si="25"/>
        <v>9.2366639750808535</v>
      </c>
      <c r="V101" s="2">
        <f>'Vehicle '!$F$9-'Duty Cycle '!U101</f>
        <v>4.1861548168654554</v>
      </c>
      <c r="W101" s="2">
        <f t="shared" si="17"/>
        <v>9.2366639750808535</v>
      </c>
      <c r="X101" s="41">
        <f t="shared" si="26"/>
        <v>15.339764131961248</v>
      </c>
      <c r="Y101" s="41">
        <f t="shared" si="18"/>
        <v>16</v>
      </c>
      <c r="Z101" s="2">
        <f>T101*D101</f>
        <v>771127.57722395961</v>
      </c>
      <c r="AA101" s="2">
        <f t="shared" si="27"/>
        <v>22293891.203410558</v>
      </c>
      <c r="AB101" s="2">
        <f>INDEX('BSFC '!$D$5:$AD$27,MATCH('Duty Cycle '!Y101,'BSFC '!$B$5:$B$27,0),MATCH('Duty Cycle '!K101,'BSFC '!$D$28:$AD$28,0))</f>
        <v>403.63042844580013</v>
      </c>
      <c r="AC101" s="2">
        <f>U101*AB101/3600</f>
        <v>1.0356107326866033</v>
      </c>
      <c r="AD101" s="2">
        <f t="shared" si="28"/>
        <v>67.093820641581289</v>
      </c>
      <c r="AE101" s="2">
        <f t="shared" si="29"/>
        <v>3.2000371640016039</v>
      </c>
      <c r="AF101" s="2">
        <f>0.5*'Vehicle '!$F$38*'Duty Cycle '!L101^2/1000</f>
        <v>40.518863427513693</v>
      </c>
      <c r="AG101" s="2">
        <f t="shared" si="19"/>
        <v>771168.09608738718</v>
      </c>
    </row>
    <row r="102" spans="2:33" ht="30" customHeight="1" x14ac:dyDescent="0.25">
      <c r="B102" s="39">
        <f t="shared" si="20"/>
        <v>99</v>
      </c>
      <c r="C102" s="2" t="s">
        <v>99</v>
      </c>
      <c r="D102" s="2">
        <f>SUM($L$3:L102)</f>
        <v>995.98928142607883</v>
      </c>
      <c r="E102" s="2">
        <f t="shared" si="21"/>
        <v>12.800821884492507</v>
      </c>
      <c r="F102" s="40" t="s">
        <v>90</v>
      </c>
      <c r="G102" s="2">
        <v>20</v>
      </c>
      <c r="H102" s="2">
        <f t="shared" si="22"/>
        <v>0</v>
      </c>
      <c r="I102" s="2">
        <f t="shared" si="23"/>
        <v>0</v>
      </c>
      <c r="J102" s="2">
        <v>3</v>
      </c>
      <c r="K102" s="2">
        <v>6250</v>
      </c>
      <c r="L102" s="2">
        <f>IF(J102=1,VLOOKUP('Duty Cycle '!K102,'Gearing '!$L$3:$O$28,2),IF(J102=2,VLOOKUP('Duty Cycle '!K102,'Gearing '!$L$2:$O$28,3),IF(J102=3,VLOOKUP('Duty Cycle '!K102,'Gearing '!$L$2:$O$28,4))))</f>
        <v>12.800821884492496</v>
      </c>
      <c r="M102" s="2">
        <f t="shared" si="15"/>
        <v>28.635438555609714</v>
      </c>
      <c r="N102" s="2">
        <f t="shared" si="24"/>
        <v>1.024065750759398</v>
      </c>
      <c r="O102" s="2">
        <f>IF(J102=1,'Gearing '!$C$17*'Duty Cycle '!N102,IF(J102=2,'Gearing '!$C$18*'Duty Cycle '!N102,IF(J102=3,'Gearing '!$C$19*'Duty Cycle '!N102)))</f>
        <v>616.67569853141003</v>
      </c>
      <c r="P102" s="2">
        <f>IF(F102='Track '!$B$60,'Track '!$F$53,IF(F102='Track '!$B$61,'Track '!$F$54,IF(F102='Track '!$B$62,'Track '!$F$55)))</f>
        <v>0.02</v>
      </c>
      <c r="Q102" s="2">
        <f>P102*'Vehicle '!$F$38*9.81</f>
        <v>114.63966000000001</v>
      </c>
      <c r="R102" s="2">
        <f>0.5*'Vehicle '!$F$51*'Vehicle '!$F$25*'Track '!$F$57*'Duty Cycle '!L102^2</f>
        <v>62.615465395746334</v>
      </c>
      <c r="S102" s="2">
        <f>'Vehicle '!$F$38*9.81*SIN(RADIANS('Duty Cycle '!I102))</f>
        <v>0</v>
      </c>
      <c r="T102" s="2">
        <f t="shared" si="16"/>
        <v>793.93082392715633</v>
      </c>
      <c r="U102" s="2">
        <f t="shared" si="25"/>
        <v>10.162967065699901</v>
      </c>
      <c r="V102" s="2">
        <f>'Vehicle '!$F$9-'Duty Cycle '!U102</f>
        <v>3.2598517262464082</v>
      </c>
      <c r="W102" s="2">
        <f t="shared" si="17"/>
        <v>10.162967065699901</v>
      </c>
      <c r="X102" s="41">
        <f t="shared" si="26"/>
        <v>15.527869871868234</v>
      </c>
      <c r="Y102" s="41">
        <f t="shared" si="18"/>
        <v>16</v>
      </c>
      <c r="Z102" s="2">
        <f>T102*D102</f>
        <v>790746.59082522313</v>
      </c>
      <c r="AA102" s="2">
        <f t="shared" si="27"/>
        <v>23084637.794235781</v>
      </c>
      <c r="AB102" s="2">
        <f>INDEX('BSFC '!$D$5:$AD$27,MATCH('Duty Cycle '!Y102,'BSFC '!$B$5:$B$27,0),MATCH('Duty Cycle '!K102,'BSFC '!$D$28:$AD$28,0))</f>
        <v>428.84384376580005</v>
      </c>
      <c r="AC102" s="2">
        <f>U102*AB102/3600</f>
        <v>1.210646072366661</v>
      </c>
      <c r="AD102" s="2">
        <f t="shared" si="28"/>
        <v>68.304466713947946</v>
      </c>
      <c r="AE102" s="2">
        <f t="shared" si="29"/>
        <v>3.7408963636129822</v>
      </c>
      <c r="AF102" s="2">
        <f>0.5*'Vehicle '!$F$38*'Duty Cycle '!L102^2/1000</f>
        <v>47.872003104340365</v>
      </c>
      <c r="AG102" s="2">
        <f t="shared" si="19"/>
        <v>790794.46282832744</v>
      </c>
    </row>
    <row r="103" spans="2:33" ht="30" customHeight="1" x14ac:dyDescent="0.25">
      <c r="B103" s="39">
        <f t="shared" si="20"/>
        <v>100</v>
      </c>
      <c r="C103" s="2" t="s">
        <v>99</v>
      </c>
      <c r="D103" s="2">
        <f>SUM($L$3:L103)</f>
        <v>1009.302136185951</v>
      </c>
      <c r="E103" s="2">
        <f t="shared" si="21"/>
        <v>13.312854759872152</v>
      </c>
      <c r="F103" s="40" t="s">
        <v>90</v>
      </c>
      <c r="G103" s="2">
        <v>20</v>
      </c>
      <c r="H103" s="2">
        <f t="shared" si="22"/>
        <v>0</v>
      </c>
      <c r="I103" s="2">
        <f t="shared" si="23"/>
        <v>0</v>
      </c>
      <c r="J103" s="2">
        <v>3</v>
      </c>
      <c r="K103" s="2">
        <v>6500</v>
      </c>
      <c r="L103" s="2">
        <f>IF(J103=1,VLOOKUP('Duty Cycle '!K103,'Gearing '!$L$3:$O$28,2),IF(J103=2,VLOOKUP('Duty Cycle '!K103,'Gearing '!$L$2:$O$28,3),IF(J103=3,VLOOKUP('Duty Cycle '!K103,'Gearing '!$L$2:$O$28,4))))</f>
        <v>13.312854759872195</v>
      </c>
      <c r="M103" s="2">
        <f t="shared" si="15"/>
        <v>29.780856097834103</v>
      </c>
      <c r="N103" s="2">
        <f t="shared" si="24"/>
        <v>0.51203287537969899</v>
      </c>
      <c r="O103" s="2">
        <f>IF(J103=1,'Gearing '!$C$17*'Duty Cycle '!N103,IF(J103=2,'Gearing '!$C$18*'Duty Cycle '!N103,IF(J103=3,'Gearing '!$C$19*'Duty Cycle '!N103)))</f>
        <v>308.33784926570502</v>
      </c>
      <c r="P103" s="2">
        <f>IF(F103='Track '!$B$60,'Track '!$F$53,IF(F103='Track '!$B$61,'Track '!$F$54,IF(F103='Track '!$B$62,'Track '!$F$55)))</f>
        <v>0.02</v>
      </c>
      <c r="Q103" s="2">
        <f>P103*'Vehicle '!$F$38*9.81</f>
        <v>114.63966000000001</v>
      </c>
      <c r="R103" s="2">
        <f>0.5*'Vehicle '!$F$51*'Vehicle '!$F$25*'Track '!$F$57*'Duty Cycle '!L103^2</f>
        <v>67.724887372039234</v>
      </c>
      <c r="S103" s="2">
        <f>'Vehicle '!$F$38*9.81*SIN(RADIANS('Duty Cycle '!I103))</f>
        <v>0</v>
      </c>
      <c r="T103" s="2">
        <f t="shared" si="16"/>
        <v>490.70239663774424</v>
      </c>
      <c r="U103" s="2">
        <f t="shared" si="25"/>
        <v>6.5326497367594873</v>
      </c>
      <c r="V103" s="2">
        <f>'Vehicle '!$F$9-'Duty Cycle '!U103</f>
        <v>6.8901690551868215</v>
      </c>
      <c r="W103" s="2">
        <f t="shared" si="17"/>
        <v>6.5326497367594873</v>
      </c>
      <c r="X103" s="41">
        <f t="shared" si="26"/>
        <v>9.597263050091458</v>
      </c>
      <c r="Y103" s="41">
        <f t="shared" si="18"/>
        <v>10</v>
      </c>
      <c r="Z103" s="2">
        <f>T103*D103</f>
        <v>495266.97715804109</v>
      </c>
      <c r="AA103" s="2">
        <f t="shared" si="27"/>
        <v>23579904.771393821</v>
      </c>
      <c r="AB103" s="2">
        <f>INDEX('BSFC '!$D$5:$AD$27,MATCH('Duty Cycle '!Y103,'BSFC '!$B$5:$B$27,0),MATCH('Duty Cycle '!K103,'BSFC '!$D$28:$AD$28,0))</f>
        <v>546.94344188579976</v>
      </c>
      <c r="AC103" s="2">
        <f>U103*AB103/3600</f>
        <v>0.99249720323822166</v>
      </c>
      <c r="AD103" s="2">
        <f t="shared" si="28"/>
        <v>69.296963917186162</v>
      </c>
      <c r="AE103" s="2">
        <f t="shared" si="29"/>
        <v>3.066816358006105</v>
      </c>
      <c r="AF103" s="2">
        <f>0.5*'Vehicle '!$F$38*'Duty Cycle '!L103^2/1000</f>
        <v>51.778358557654528</v>
      </c>
      <c r="AG103" s="2">
        <f t="shared" si="19"/>
        <v>495318.75551659876</v>
      </c>
    </row>
    <row r="104" spans="2:33" ht="30" customHeight="1" x14ac:dyDescent="0.25">
      <c r="B104" s="39">
        <f t="shared" si="20"/>
        <v>101</v>
      </c>
      <c r="C104" s="2" t="s">
        <v>108</v>
      </c>
      <c r="D104" s="2">
        <f>SUM($L$3:L104)</f>
        <v>1021.0788923196841</v>
      </c>
      <c r="E104" s="2">
        <f t="shared" si="21"/>
        <v>11.776756133733102</v>
      </c>
      <c r="F104" s="40" t="s">
        <v>90</v>
      </c>
      <c r="G104" s="2">
        <v>20</v>
      </c>
      <c r="H104" s="2">
        <f t="shared" si="22"/>
        <v>0</v>
      </c>
      <c r="I104" s="2">
        <f t="shared" si="23"/>
        <v>0</v>
      </c>
      <c r="J104" s="2">
        <v>3</v>
      </c>
      <c r="K104" s="2">
        <v>5750</v>
      </c>
      <c r="L104" s="2">
        <f>IF(J104=1,VLOOKUP('Duty Cycle '!K104,'Gearing '!$L$3:$O$28,2),IF(J104=2,VLOOKUP('Duty Cycle '!K104,'Gearing '!$L$2:$O$28,3),IF(J104=3,VLOOKUP('Duty Cycle '!K104,'Gearing '!$L$2:$O$28,4))))</f>
        <v>11.776756133733098</v>
      </c>
      <c r="M104" s="2">
        <f t="shared" si="15"/>
        <v>26.344603471160941</v>
      </c>
      <c r="N104" s="2">
        <f t="shared" si="24"/>
        <v>-1.536098626139097</v>
      </c>
      <c r="O104" s="2">
        <f>IF(J104=1,'Gearing '!$C$17*'Duty Cycle '!N104,IF(J104=2,'Gearing '!$C$18*'Duty Cycle '!N104,IF(J104=3,'Gearing '!$C$19*'Duty Cycle '!N104)))</f>
        <v>-925.01354779711505</v>
      </c>
      <c r="P104" s="2">
        <f>IF(F104='Track '!$B$60,'Track '!$F$53,IF(F104='Track '!$B$61,'Track '!$F$54,IF(F104='Track '!$B$62,'Track '!$F$55)))</f>
        <v>0.02</v>
      </c>
      <c r="Q104" s="2">
        <f>P104*'Vehicle '!$F$38*9.81</f>
        <v>114.63966000000001</v>
      </c>
      <c r="R104" s="2">
        <f>0.5*'Vehicle '!$F$51*'Vehicle '!$F$25*'Track '!$F$57*'Duty Cycle '!L104^2</f>
        <v>52.997729910959706</v>
      </c>
      <c r="S104" s="2">
        <f>'Vehicle '!$F$38*9.81*SIN(RADIANS('Duty Cycle '!I104))</f>
        <v>0</v>
      </c>
      <c r="T104" s="2">
        <f t="shared" si="16"/>
        <v>-757.3761578861554</v>
      </c>
      <c r="U104" s="2">
        <f t="shared" si="25"/>
        <v>8.9194343129289884</v>
      </c>
      <c r="V104" s="2">
        <f>'Vehicle '!$F$9-'Duty Cycle '!U104</f>
        <v>4.5033844790173205</v>
      </c>
      <c r="W104" s="2">
        <f t="shared" si="17"/>
        <v>8.9194343129289884</v>
      </c>
      <c r="X104" s="41">
        <f t="shared" si="26"/>
        <v>14.81292584855073</v>
      </c>
      <c r="Y104" s="41">
        <f t="shared" si="18"/>
        <v>15</v>
      </c>
      <c r="Z104" s="2">
        <f>T104*D104</f>
        <v>-773340.8083637337</v>
      </c>
      <c r="AA104" s="2">
        <f t="shared" si="27"/>
        <v>22806563.963030089</v>
      </c>
      <c r="AB104" s="2">
        <f>INDEX('BSFC '!$D$5:$AD$27,MATCH('Duty Cycle '!Y104,'BSFC '!$B$5:$B$27,0),MATCH('Duty Cycle '!K104,'BSFC '!$D$28:$AD$28,0))</f>
        <v>377.94566864580003</v>
      </c>
      <c r="AC104" s="2">
        <f>U104*AB104/3600</f>
        <v>0.936405990372844</v>
      </c>
      <c r="AD104" s="2">
        <f t="shared" si="28"/>
        <v>70.233369907559009</v>
      </c>
      <c r="AE104" s="2">
        <f t="shared" si="29"/>
        <v>2.8934945102520877</v>
      </c>
      <c r="AF104" s="2">
        <f>0.5*'Vehicle '!$F$38*'Duty Cycle '!L104^2/1000</f>
        <v>40.518863427513693</v>
      </c>
      <c r="AG104" s="2">
        <f t="shared" si="19"/>
        <v>-773300.28950030613</v>
      </c>
    </row>
    <row r="105" spans="2:33" ht="30" customHeight="1" x14ac:dyDescent="0.25">
      <c r="B105" s="39">
        <f t="shared" si="20"/>
        <v>102</v>
      </c>
      <c r="C105" s="2" t="s">
        <v>108</v>
      </c>
      <c r="D105" s="2">
        <f>SUM($L$3:L105)</f>
        <v>1031.8315827026577</v>
      </c>
      <c r="E105" s="2">
        <f t="shared" si="21"/>
        <v>10.752690382973583</v>
      </c>
      <c r="F105" s="40" t="s">
        <v>90</v>
      </c>
      <c r="G105" s="2">
        <v>20</v>
      </c>
      <c r="H105" s="2">
        <f t="shared" si="22"/>
        <v>0</v>
      </c>
      <c r="I105" s="2">
        <f t="shared" si="23"/>
        <v>0</v>
      </c>
      <c r="J105" s="2">
        <v>3</v>
      </c>
      <c r="K105" s="2">
        <v>5250</v>
      </c>
      <c r="L105" s="2">
        <f>IF(J105=1,VLOOKUP('Duty Cycle '!K105,'Gearing '!$L$3:$O$28,2),IF(J105=2,VLOOKUP('Duty Cycle '!K105,'Gearing '!$L$2:$O$28,3),IF(J105=3,VLOOKUP('Duty Cycle '!K105,'Gearing '!$L$2:$O$28,4))))</f>
        <v>10.752690382973697</v>
      </c>
      <c r="M105" s="2">
        <f t="shared" si="15"/>
        <v>24.053768386712161</v>
      </c>
      <c r="N105" s="2">
        <f t="shared" si="24"/>
        <v>-1.0240657507594015</v>
      </c>
      <c r="O105" s="2">
        <f>IF(J105=1,'Gearing '!$C$17*'Duty Cycle '!N105,IF(J105=2,'Gearing '!$C$18*'Duty Cycle '!N105,IF(J105=3,'Gearing '!$C$19*'Duty Cycle '!N105)))</f>
        <v>-616.67569853141219</v>
      </c>
      <c r="P105" s="2">
        <f>IF(F105='Track '!$B$60,'Track '!$F$53,IF(F105='Track '!$B$61,'Track '!$F$54,IF(F105='Track '!$B$62,'Track '!$F$55)))</f>
        <v>0.02</v>
      </c>
      <c r="Q105" s="2">
        <f>P105*'Vehicle '!$F$38*9.81</f>
        <v>114.63966000000001</v>
      </c>
      <c r="R105" s="2">
        <f>0.5*'Vehicle '!$F$51*'Vehicle '!$F$25*'Track '!$F$57*'Duty Cycle '!L105^2</f>
        <v>44.181472383238614</v>
      </c>
      <c r="S105" s="2">
        <f>'Vehicle '!$F$38*9.81*SIN(RADIANS('Duty Cycle '!I105))</f>
        <v>0</v>
      </c>
      <c r="T105" s="2">
        <f t="shared" si="16"/>
        <v>-457.8545661481736</v>
      </c>
      <c r="U105" s="2">
        <f t="shared" si="25"/>
        <v>4.9231683902220604</v>
      </c>
      <c r="V105" s="2">
        <f>'Vehicle '!$F$9-'Duty Cycle '!U105</f>
        <v>8.4996504017242493</v>
      </c>
      <c r="W105" s="2">
        <f t="shared" si="17"/>
        <v>4.9231683902220604</v>
      </c>
      <c r="X105" s="41">
        <f t="shared" si="26"/>
        <v>8.9548181140298286</v>
      </c>
      <c r="Y105" s="41">
        <f t="shared" si="18"/>
        <v>9</v>
      </c>
      <c r="Z105" s="2">
        <f>T105*D105</f>
        <v>-472428.80163630866</v>
      </c>
      <c r="AA105" s="2">
        <f t="shared" si="27"/>
        <v>22334135.16139378</v>
      </c>
      <c r="AB105" s="2">
        <f>INDEX('BSFC '!$D$5:$AD$27,MATCH('Duty Cycle '!Y105,'BSFC '!$B$5:$B$27,0),MATCH('Duty Cycle '!K105,'BSFC '!$D$28:$AD$28,0))</f>
        <v>420.33360472580006</v>
      </c>
      <c r="AC105" s="2">
        <f>U105*AB105/3600</f>
        <v>0.57482586559282023</v>
      </c>
      <c r="AD105" s="2">
        <f t="shared" si="28"/>
        <v>70.808195773151823</v>
      </c>
      <c r="AE105" s="2">
        <f t="shared" si="29"/>
        <v>1.7762119246818144</v>
      </c>
      <c r="AF105" s="2">
        <f>0.5*'Vehicle '!$F$38*'Duty Cycle '!L105^2/1000</f>
        <v>33.77848539042256</v>
      </c>
      <c r="AG105" s="2">
        <f t="shared" si="19"/>
        <v>-472395.02315091825</v>
      </c>
    </row>
    <row r="106" spans="2:33" ht="30" customHeight="1" x14ac:dyDescent="0.25">
      <c r="B106" s="39">
        <f t="shared" si="20"/>
        <v>103</v>
      </c>
      <c r="C106" s="2" t="s">
        <v>108</v>
      </c>
      <c r="D106" s="2">
        <f>SUM($L$3:L106)</f>
        <v>1042.5842730856314</v>
      </c>
      <c r="E106" s="2">
        <f t="shared" si="21"/>
        <v>10.752690382973697</v>
      </c>
      <c r="F106" s="40" t="s">
        <v>90</v>
      </c>
      <c r="G106" s="2">
        <v>20</v>
      </c>
      <c r="H106" s="2">
        <f t="shared" si="22"/>
        <v>0</v>
      </c>
      <c r="I106" s="2">
        <f t="shared" si="23"/>
        <v>0</v>
      </c>
      <c r="J106" s="2">
        <v>3</v>
      </c>
      <c r="K106" s="2">
        <v>5250</v>
      </c>
      <c r="L106" s="2">
        <f>IF(J106=1,VLOOKUP('Duty Cycle '!K106,'Gearing '!$L$3:$O$28,2),IF(J106=2,VLOOKUP('Duty Cycle '!K106,'Gearing '!$L$2:$O$28,3),IF(J106=3,VLOOKUP('Duty Cycle '!K106,'Gearing '!$L$2:$O$28,4))))</f>
        <v>10.752690382973697</v>
      </c>
      <c r="M106" s="2">
        <f t="shared" si="15"/>
        <v>24.053768386712161</v>
      </c>
      <c r="N106" s="2">
        <f t="shared" si="24"/>
        <v>0</v>
      </c>
      <c r="O106" s="2">
        <f>IF(J106=1,'Gearing '!$C$17*'Duty Cycle '!N106,IF(J106=2,'Gearing '!$C$18*'Duty Cycle '!N106,IF(J106=3,'Gearing '!$C$19*'Duty Cycle '!N106)))</f>
        <v>0</v>
      </c>
      <c r="P106" s="2">
        <f>IF(F106='Track '!$B$60,'Track '!$F$53,IF(F106='Track '!$B$61,'Track '!$F$54,IF(F106='Track '!$B$62,'Track '!$F$55)))</f>
        <v>0.02</v>
      </c>
      <c r="Q106" s="2">
        <f>P106*'Vehicle '!$F$38*9.81</f>
        <v>114.63966000000001</v>
      </c>
      <c r="R106" s="2">
        <f>0.5*'Vehicle '!$F$51*'Vehicle '!$F$25*'Track '!$F$57*'Duty Cycle '!L106^2</f>
        <v>44.181472383238614</v>
      </c>
      <c r="S106" s="2">
        <f>'Vehicle '!$F$38*9.81*SIN(RADIANS('Duty Cycle '!I106))</f>
        <v>0</v>
      </c>
      <c r="T106" s="2">
        <f t="shared" si="16"/>
        <v>158.82113238323862</v>
      </c>
      <c r="U106" s="2">
        <f t="shared" si="25"/>
        <v>1.7077544627902423</v>
      </c>
      <c r="V106" s="2">
        <f>'Vehicle '!$F$9-'Duty Cycle '!U106</f>
        <v>11.715064329156066</v>
      </c>
      <c r="W106" s="2">
        <f t="shared" si="17"/>
        <v>1.7077544627902423</v>
      </c>
      <c r="X106" s="41">
        <f t="shared" si="26"/>
        <v>3.1062578781749868</v>
      </c>
      <c r="Y106" s="41">
        <f t="shared" si="18"/>
        <v>4</v>
      </c>
      <c r="Z106" s="2">
        <f>T106*D106</f>
        <v>165584.41485641568</v>
      </c>
      <c r="AA106" s="2">
        <f t="shared" si="27"/>
        <v>22499719.576250196</v>
      </c>
      <c r="AB106" s="2">
        <f>INDEX('BSFC '!$D$5:$AD$27,MATCH('Duty Cycle '!Y106,'BSFC '!$B$5:$B$27,0),MATCH('Duty Cycle '!K106,'BSFC '!$D$28:$AD$28,0))</f>
        <v>708.77069296579998</v>
      </c>
      <c r="AC106" s="2">
        <f>U106*AB106/3600</f>
        <v>0.33622397611313265</v>
      </c>
      <c r="AD106" s="2">
        <f t="shared" si="28"/>
        <v>71.144419749264955</v>
      </c>
      <c r="AE106" s="2">
        <f t="shared" si="29"/>
        <v>1.0389320861895799</v>
      </c>
      <c r="AF106" s="2">
        <f>0.5*'Vehicle '!$F$38*'Duty Cycle '!L106^2/1000</f>
        <v>33.77848539042256</v>
      </c>
      <c r="AG106" s="2">
        <f t="shared" si="19"/>
        <v>165618.19334180609</v>
      </c>
    </row>
    <row r="107" spans="2:33" ht="30" customHeight="1" x14ac:dyDescent="0.25">
      <c r="B107" s="39">
        <f t="shared" si="20"/>
        <v>104</v>
      </c>
      <c r="C107" s="2" t="s">
        <v>108</v>
      </c>
      <c r="D107" s="2">
        <f>SUM($L$3:L107)</f>
        <v>1053.3369634686051</v>
      </c>
      <c r="E107" s="2">
        <f t="shared" si="21"/>
        <v>10.752690382973697</v>
      </c>
      <c r="F107" s="40" t="s">
        <v>90</v>
      </c>
      <c r="G107" s="2">
        <v>20</v>
      </c>
      <c r="H107" s="2">
        <f t="shared" si="22"/>
        <v>0</v>
      </c>
      <c r="I107" s="2">
        <f t="shared" si="23"/>
        <v>0</v>
      </c>
      <c r="J107" s="2">
        <v>3</v>
      </c>
      <c r="K107" s="2">
        <v>5250</v>
      </c>
      <c r="L107" s="2">
        <f>IF(J107=1,VLOOKUP('Duty Cycle '!K107,'Gearing '!$L$3:$O$28,2),IF(J107=2,VLOOKUP('Duty Cycle '!K107,'Gearing '!$L$2:$O$28,3),IF(J107=3,VLOOKUP('Duty Cycle '!K107,'Gearing '!$L$2:$O$28,4))))</f>
        <v>10.752690382973697</v>
      </c>
      <c r="M107" s="2">
        <f t="shared" si="15"/>
        <v>24.053768386712161</v>
      </c>
      <c r="N107" s="2">
        <f t="shared" si="24"/>
        <v>0</v>
      </c>
      <c r="O107" s="2">
        <f>IF(J107=1,'Gearing '!$C$17*'Duty Cycle '!N107,IF(J107=2,'Gearing '!$C$18*'Duty Cycle '!N107,IF(J107=3,'Gearing '!$C$19*'Duty Cycle '!N107)))</f>
        <v>0</v>
      </c>
      <c r="P107" s="2">
        <f>IF(F107='Track '!$B$60,'Track '!$F$53,IF(F107='Track '!$B$61,'Track '!$F$54,IF(F107='Track '!$B$62,'Track '!$F$55)))</f>
        <v>0.02</v>
      </c>
      <c r="Q107" s="2">
        <f>P107*'Vehicle '!$F$38*9.81</f>
        <v>114.63966000000001</v>
      </c>
      <c r="R107" s="2">
        <f>0.5*'Vehicle '!$F$51*'Vehicle '!$F$25*'Track '!$F$57*'Duty Cycle '!L107^2</f>
        <v>44.181472383238614</v>
      </c>
      <c r="S107" s="2">
        <f>'Vehicle '!$F$38*9.81*SIN(RADIANS('Duty Cycle '!I107))</f>
        <v>0</v>
      </c>
      <c r="T107" s="2">
        <f t="shared" si="16"/>
        <v>158.82113238323862</v>
      </c>
      <c r="U107" s="2">
        <f t="shared" si="25"/>
        <v>1.7077544627902423</v>
      </c>
      <c r="V107" s="2">
        <f>'Vehicle '!$F$9-'Duty Cycle '!U107</f>
        <v>11.715064329156066</v>
      </c>
      <c r="W107" s="2">
        <f t="shared" si="17"/>
        <v>1.7077544627902423</v>
      </c>
      <c r="X107" s="41">
        <f t="shared" si="26"/>
        <v>3.1062578781749868</v>
      </c>
      <c r="Y107" s="41">
        <f t="shared" si="18"/>
        <v>4</v>
      </c>
      <c r="Z107" s="2">
        <f>T107*D107</f>
        <v>167292.16931920592</v>
      </c>
      <c r="AA107" s="2">
        <f t="shared" si="27"/>
        <v>22667011.7455694</v>
      </c>
      <c r="AB107" s="2">
        <f>INDEX('BSFC '!$D$5:$AD$27,MATCH('Duty Cycle '!Y107,'BSFC '!$B$5:$B$27,0),MATCH('Duty Cycle '!K107,'BSFC '!$D$28:$AD$28,0))</f>
        <v>708.77069296579998</v>
      </c>
      <c r="AC107" s="2">
        <f>U107*AB107/3600</f>
        <v>0.33622397611313265</v>
      </c>
      <c r="AD107" s="2">
        <f t="shared" si="28"/>
        <v>71.480643725378087</v>
      </c>
      <c r="AE107" s="2">
        <f t="shared" si="29"/>
        <v>1.0389320861895799</v>
      </c>
      <c r="AF107" s="2">
        <f>0.5*'Vehicle '!$F$38*'Duty Cycle '!L107^2/1000</f>
        <v>33.77848539042256</v>
      </c>
      <c r="AG107" s="2">
        <f t="shared" si="19"/>
        <v>167325.94780459633</v>
      </c>
    </row>
    <row r="108" spans="2:33" ht="30" customHeight="1" x14ac:dyDescent="0.25">
      <c r="B108" s="39">
        <f t="shared" si="20"/>
        <v>105</v>
      </c>
      <c r="C108" s="2" t="s">
        <v>108</v>
      </c>
      <c r="D108" s="2">
        <f>SUM($L$3:L108)</f>
        <v>1064.0896538515788</v>
      </c>
      <c r="E108" s="2">
        <f t="shared" si="21"/>
        <v>10.752690382973697</v>
      </c>
      <c r="F108" s="40" t="s">
        <v>90</v>
      </c>
      <c r="G108" s="2">
        <v>20</v>
      </c>
      <c r="H108" s="2">
        <f t="shared" si="22"/>
        <v>0</v>
      </c>
      <c r="I108" s="2">
        <f t="shared" si="23"/>
        <v>0</v>
      </c>
      <c r="J108" s="2">
        <v>3</v>
      </c>
      <c r="K108" s="2">
        <v>5250</v>
      </c>
      <c r="L108" s="2">
        <f>IF(J108=1,VLOOKUP('Duty Cycle '!K108,'Gearing '!$L$3:$O$28,2),IF(J108=2,VLOOKUP('Duty Cycle '!K108,'Gearing '!$L$2:$O$28,3),IF(J108=3,VLOOKUP('Duty Cycle '!K108,'Gearing '!$L$2:$O$28,4))))</f>
        <v>10.752690382973697</v>
      </c>
      <c r="M108" s="2">
        <f t="shared" si="15"/>
        <v>24.053768386712161</v>
      </c>
      <c r="N108" s="2">
        <f t="shared" si="24"/>
        <v>0</v>
      </c>
      <c r="O108" s="2">
        <f>IF(J108=1,'Gearing '!$C$17*'Duty Cycle '!N108,IF(J108=2,'Gearing '!$C$18*'Duty Cycle '!N108,IF(J108=3,'Gearing '!$C$19*'Duty Cycle '!N108)))</f>
        <v>0</v>
      </c>
      <c r="P108" s="2">
        <f>IF(F108='Track '!$B$60,'Track '!$F$53,IF(F108='Track '!$B$61,'Track '!$F$54,IF(F108='Track '!$B$62,'Track '!$F$55)))</f>
        <v>0.02</v>
      </c>
      <c r="Q108" s="2">
        <f>P108*'Vehicle '!$F$38*9.81</f>
        <v>114.63966000000001</v>
      </c>
      <c r="R108" s="2">
        <f>0.5*'Vehicle '!$F$51*'Vehicle '!$F$25*'Track '!$F$57*'Duty Cycle '!L108^2</f>
        <v>44.181472383238614</v>
      </c>
      <c r="S108" s="2">
        <f>'Vehicle '!$F$38*9.81*SIN(RADIANS('Duty Cycle '!I108))</f>
        <v>0</v>
      </c>
      <c r="T108" s="2">
        <f t="shared" si="16"/>
        <v>158.82113238323862</v>
      </c>
      <c r="U108" s="2">
        <f t="shared" si="25"/>
        <v>1.7077544627902423</v>
      </c>
      <c r="V108" s="2">
        <f>'Vehicle '!$F$9-'Duty Cycle '!U108</f>
        <v>11.715064329156066</v>
      </c>
      <c r="W108" s="2">
        <f t="shared" si="17"/>
        <v>1.7077544627902423</v>
      </c>
      <c r="X108" s="41">
        <f t="shared" si="26"/>
        <v>3.1062578781749868</v>
      </c>
      <c r="Y108" s="41">
        <f t="shared" si="18"/>
        <v>4</v>
      </c>
      <c r="Z108" s="2">
        <f>T108*D108</f>
        <v>168999.92378199616</v>
      </c>
      <c r="AA108" s="2">
        <f t="shared" si="27"/>
        <v>22836011.669351395</v>
      </c>
      <c r="AB108" s="2">
        <f>INDEX('BSFC '!$D$5:$AD$27,MATCH('Duty Cycle '!Y108,'BSFC '!$B$5:$B$27,0),MATCH('Duty Cycle '!K108,'BSFC '!$D$28:$AD$28,0))</f>
        <v>708.77069296579998</v>
      </c>
      <c r="AC108" s="2">
        <f>U108*AB108/3600</f>
        <v>0.33622397611313265</v>
      </c>
      <c r="AD108" s="2">
        <f t="shared" si="28"/>
        <v>71.816867701491219</v>
      </c>
      <c r="AE108" s="2">
        <f t="shared" si="29"/>
        <v>1.0389320861895799</v>
      </c>
      <c r="AF108" s="2">
        <f>0.5*'Vehicle '!$F$38*'Duty Cycle '!L108^2/1000</f>
        <v>33.77848539042256</v>
      </c>
      <c r="AG108" s="2">
        <f t="shared" si="19"/>
        <v>169033.70226738657</v>
      </c>
    </row>
    <row r="109" spans="2:33" ht="30" customHeight="1" x14ac:dyDescent="0.25">
      <c r="B109" s="39">
        <f t="shared" si="20"/>
        <v>106</v>
      </c>
      <c r="C109" s="2" t="s">
        <v>108</v>
      </c>
      <c r="D109" s="2">
        <f>SUM($L$3:L109)</f>
        <v>1075.3543771099321</v>
      </c>
      <c r="E109" s="2">
        <f t="shared" si="21"/>
        <v>11.264723258353342</v>
      </c>
      <c r="F109" s="40" t="s">
        <v>90</v>
      </c>
      <c r="G109" s="2">
        <v>20</v>
      </c>
      <c r="H109" s="2">
        <f t="shared" si="22"/>
        <v>0</v>
      </c>
      <c r="I109" s="2">
        <f t="shared" si="23"/>
        <v>0</v>
      </c>
      <c r="J109" s="2">
        <v>3</v>
      </c>
      <c r="K109" s="2">
        <v>5500</v>
      </c>
      <c r="L109" s="2">
        <f>IF(J109=1,VLOOKUP('Duty Cycle '!K109,'Gearing '!$L$3:$O$28,2),IF(J109=2,VLOOKUP('Duty Cycle '!K109,'Gearing '!$L$2:$O$28,3),IF(J109=3,VLOOKUP('Duty Cycle '!K109,'Gearing '!$L$2:$O$28,4))))</f>
        <v>11.264723258353396</v>
      </c>
      <c r="M109" s="2">
        <f t="shared" si="15"/>
        <v>25.199185928936547</v>
      </c>
      <c r="N109" s="2">
        <f t="shared" si="24"/>
        <v>0.51203287537969899</v>
      </c>
      <c r="O109" s="2">
        <f>IF(J109=1,'Gearing '!$C$17*'Duty Cycle '!N109,IF(J109=2,'Gearing '!$C$18*'Duty Cycle '!N109,IF(J109=3,'Gearing '!$C$19*'Duty Cycle '!N109)))</f>
        <v>308.33784926570502</v>
      </c>
      <c r="P109" s="2">
        <f>IF(F109='Track '!$B$60,'Track '!$F$53,IF(F109='Track '!$B$61,'Track '!$F$54,IF(F109='Track '!$B$62,'Track '!$F$55)))</f>
        <v>0.02</v>
      </c>
      <c r="Q109" s="2">
        <f>P109*'Vehicle '!$F$38*9.81</f>
        <v>114.63966000000001</v>
      </c>
      <c r="R109" s="2">
        <f>0.5*'Vehicle '!$F$51*'Vehicle '!$F$25*'Track '!$F$57*'Duty Cycle '!L109^2</f>
        <v>48.489416402465956</v>
      </c>
      <c r="S109" s="2">
        <f>'Vehicle '!$F$38*9.81*SIN(RADIANS('Duty Cycle '!I109))</f>
        <v>0</v>
      </c>
      <c r="T109" s="2">
        <f t="shared" si="16"/>
        <v>471.46692566817097</v>
      </c>
      <c r="U109" s="2">
        <f t="shared" si="25"/>
        <v>5.3109444431186175</v>
      </c>
      <c r="V109" s="2">
        <f>'Vehicle '!$F$9-'Duty Cycle '!U109</f>
        <v>8.1118743488276905</v>
      </c>
      <c r="W109" s="2">
        <f t="shared" si="17"/>
        <v>5.3109444431186175</v>
      </c>
      <c r="X109" s="41">
        <f t="shared" si="26"/>
        <v>9.2210515702773979</v>
      </c>
      <c r="Y109" s="41">
        <f t="shared" si="18"/>
        <v>10</v>
      </c>
      <c r="Z109" s="2">
        <f>T109*D109</f>
        <v>506994.02217983064</v>
      </c>
      <c r="AA109" s="2">
        <f t="shared" si="27"/>
        <v>23343005.691531226</v>
      </c>
      <c r="AB109" s="2">
        <f>INDEX('BSFC '!$D$5:$AD$27,MATCH('Duty Cycle '!Y109,'BSFC '!$B$5:$B$27,0),MATCH('Duty Cycle '!K109,'BSFC '!$D$28:$AD$28,0))</f>
        <v>389.64618848580011</v>
      </c>
      <c r="AC109" s="2">
        <f>U109*AB109/3600</f>
        <v>0.57483034986694714</v>
      </c>
      <c r="AD109" s="2">
        <f t="shared" si="28"/>
        <v>72.391698051358162</v>
      </c>
      <c r="AE109" s="2">
        <f t="shared" si="29"/>
        <v>1.7762257810888666</v>
      </c>
      <c r="AF109" s="2">
        <f>0.5*'Vehicle '!$F$38*'Duty Cycle '!L109^2/1000</f>
        <v>37.07207920400117</v>
      </c>
      <c r="AG109" s="2">
        <f t="shared" si="19"/>
        <v>507031.09425903467</v>
      </c>
    </row>
    <row r="110" spans="2:33" ht="30" customHeight="1" x14ac:dyDescent="0.25">
      <c r="B110" s="39">
        <f t="shared" si="20"/>
        <v>107</v>
      </c>
      <c r="C110" s="2" t="s">
        <v>108</v>
      </c>
      <c r="D110" s="2">
        <f>SUM($L$3:L110)</f>
        <v>1087.1311332436651</v>
      </c>
      <c r="E110" s="2">
        <f t="shared" si="21"/>
        <v>11.776756133732988</v>
      </c>
      <c r="F110" s="40" t="s">
        <v>90</v>
      </c>
      <c r="G110" s="2">
        <v>20</v>
      </c>
      <c r="H110" s="2">
        <f t="shared" si="22"/>
        <v>0</v>
      </c>
      <c r="I110" s="2">
        <f t="shared" si="23"/>
        <v>0</v>
      </c>
      <c r="J110" s="2">
        <v>3</v>
      </c>
      <c r="K110" s="2">
        <v>5750</v>
      </c>
      <c r="L110" s="2">
        <f>IF(J110=1,VLOOKUP('Duty Cycle '!K110,'Gearing '!$L$3:$O$28,2),IF(J110=2,VLOOKUP('Duty Cycle '!K110,'Gearing '!$L$2:$O$28,3),IF(J110=3,VLOOKUP('Duty Cycle '!K110,'Gearing '!$L$2:$O$28,4))))</f>
        <v>11.776756133733098</v>
      </c>
      <c r="M110" s="2">
        <f t="shared" si="15"/>
        <v>26.344603471160941</v>
      </c>
      <c r="N110" s="2">
        <f t="shared" si="24"/>
        <v>0.51203287537970255</v>
      </c>
      <c r="O110" s="2">
        <f>IF(J110=1,'Gearing '!$C$17*'Duty Cycle '!N110,IF(J110=2,'Gearing '!$C$18*'Duty Cycle '!N110,IF(J110=3,'Gearing '!$C$19*'Duty Cycle '!N110)))</f>
        <v>308.33784926570718</v>
      </c>
      <c r="P110" s="2">
        <f>IF(F110='Track '!$B$60,'Track '!$F$53,IF(F110='Track '!$B$61,'Track '!$F$54,IF(F110='Track '!$B$62,'Track '!$F$55)))</f>
        <v>0.02</v>
      </c>
      <c r="Q110" s="2">
        <f>P110*'Vehicle '!$F$38*9.81</f>
        <v>114.63966000000001</v>
      </c>
      <c r="R110" s="2">
        <f>0.5*'Vehicle '!$F$51*'Vehicle '!$F$25*'Track '!$F$57*'Duty Cycle '!L110^2</f>
        <v>52.997729910959706</v>
      </c>
      <c r="S110" s="2">
        <f>'Vehicle '!$F$38*9.81*SIN(RADIANS('Duty Cycle '!I110))</f>
        <v>0</v>
      </c>
      <c r="T110" s="2">
        <f t="shared" si="16"/>
        <v>475.97523917666689</v>
      </c>
      <c r="U110" s="2">
        <f t="shared" si="25"/>
        <v>5.6054443174788906</v>
      </c>
      <c r="V110" s="2">
        <f>'Vehicle '!$F$9-'Duty Cycle '!U110</f>
        <v>7.8173744744674183</v>
      </c>
      <c r="W110" s="2">
        <f t="shared" si="17"/>
        <v>5.6054443174788906</v>
      </c>
      <c r="X110" s="41">
        <f t="shared" si="26"/>
        <v>9.3092261358588608</v>
      </c>
      <c r="Y110" s="41">
        <f t="shared" si="18"/>
        <v>10</v>
      </c>
      <c r="Z110" s="2">
        <f>T110*D110</f>
        <v>517447.50116205442</v>
      </c>
      <c r="AA110" s="2">
        <f t="shared" si="27"/>
        <v>23860453.192693282</v>
      </c>
      <c r="AB110" s="2">
        <f>INDEX('BSFC '!$D$5:$AD$27,MATCH('Duty Cycle '!Y110,'BSFC '!$B$5:$B$27,0),MATCH('Duty Cycle '!K110,'BSFC '!$D$28:$AD$28,0))</f>
        <v>415.54656848580015</v>
      </c>
      <c r="AC110" s="2">
        <f>U110*AB110/3600</f>
        <v>0.64703420860182814</v>
      </c>
      <c r="AD110" s="2">
        <f t="shared" si="28"/>
        <v>73.038732259959986</v>
      </c>
      <c r="AE110" s="2">
        <f t="shared" si="29"/>
        <v>1.9993357045796489</v>
      </c>
      <c r="AF110" s="2">
        <f>0.5*'Vehicle '!$F$38*'Duty Cycle '!L110^2/1000</f>
        <v>40.518863427513693</v>
      </c>
      <c r="AG110" s="2">
        <f t="shared" si="19"/>
        <v>517488.02002548194</v>
      </c>
    </row>
    <row r="111" spans="2:33" ht="30" customHeight="1" x14ac:dyDescent="0.25">
      <c r="B111" s="39">
        <f t="shared" si="20"/>
        <v>108</v>
      </c>
      <c r="C111" s="2" t="s">
        <v>100</v>
      </c>
      <c r="D111" s="2">
        <f>SUM($L$3:L111)</f>
        <v>1099.419922252778</v>
      </c>
      <c r="E111" s="2">
        <f t="shared" si="21"/>
        <v>12.288789009112861</v>
      </c>
      <c r="F111" s="40" t="s">
        <v>90</v>
      </c>
      <c r="G111" s="2">
        <v>20</v>
      </c>
      <c r="H111" s="2">
        <f t="shared" si="22"/>
        <v>0</v>
      </c>
      <c r="I111" s="2">
        <f t="shared" si="23"/>
        <v>0</v>
      </c>
      <c r="J111" s="2">
        <v>3</v>
      </c>
      <c r="K111" s="2">
        <v>6000</v>
      </c>
      <c r="L111" s="2">
        <f>IF(J111=1,VLOOKUP('Duty Cycle '!K111,'Gearing '!$L$3:$O$28,2),IF(J111=2,VLOOKUP('Duty Cycle '!K111,'Gearing '!$L$2:$O$28,3),IF(J111=3,VLOOKUP('Duty Cycle '!K111,'Gearing '!$L$2:$O$28,4))))</f>
        <v>12.288789009112795</v>
      </c>
      <c r="M111" s="2">
        <f t="shared" si="15"/>
        <v>27.490021013385324</v>
      </c>
      <c r="N111" s="2">
        <f t="shared" si="24"/>
        <v>0.51203287537969722</v>
      </c>
      <c r="O111" s="2">
        <f>IF(J111=1,'Gearing '!$C$17*'Duty Cycle '!N111,IF(J111=2,'Gearing '!$C$18*'Duty Cycle '!N111,IF(J111=3,'Gearing '!$C$19*'Duty Cycle '!N111)))</f>
        <v>308.33784926570394</v>
      </c>
      <c r="P111" s="2">
        <f>IF(F111='Track '!$B$60,'Track '!$F$53,IF(F111='Track '!$B$61,'Track '!$F$54,IF(F111='Track '!$B$62,'Track '!$F$55)))</f>
        <v>0.02</v>
      </c>
      <c r="Q111" s="2">
        <f>P111*'Vehicle '!$F$38*9.81</f>
        <v>114.63966000000001</v>
      </c>
      <c r="R111" s="2">
        <f>0.5*'Vehicle '!$F$51*'Vehicle '!$F$25*'Track '!$F$57*'Duty Cycle '!L111^2</f>
        <v>57.70641290871982</v>
      </c>
      <c r="S111" s="2">
        <f>'Vehicle '!$F$38*9.81*SIN(RADIANS('Duty Cycle '!I111))</f>
        <v>0</v>
      </c>
      <c r="T111" s="2">
        <f t="shared" si="16"/>
        <v>480.68392217442374</v>
      </c>
      <c r="U111" s="2">
        <f t="shared" si="25"/>
        <v>5.9070232996742886</v>
      </c>
      <c r="V111" s="2">
        <f>'Vehicle '!$F$9-'Duty Cycle '!U111</f>
        <v>7.5157954922720203</v>
      </c>
      <c r="W111" s="2">
        <f t="shared" si="17"/>
        <v>5.9070232996742886</v>
      </c>
      <c r="X111" s="41">
        <f t="shared" si="26"/>
        <v>9.4013195710216131</v>
      </c>
      <c r="Y111" s="41">
        <f t="shared" si="18"/>
        <v>10</v>
      </c>
      <c r="Z111" s="2">
        <f>T111*D111</f>
        <v>528473.48034516536</v>
      </c>
      <c r="AA111" s="2">
        <f t="shared" si="27"/>
        <v>24388926.673038445</v>
      </c>
      <c r="AB111" s="2">
        <f>INDEX('BSFC '!$D$5:$AD$27,MATCH('Duty Cycle '!Y111,'BSFC '!$B$5:$B$27,0),MATCH('Duty Cycle '!K111,'BSFC '!$D$28:$AD$28,0))</f>
        <v>334.87072256580029</v>
      </c>
      <c r="AC111" s="2">
        <f>U111*AB111/3600</f>
        <v>0.5494692112708186</v>
      </c>
      <c r="AD111" s="2">
        <f t="shared" si="28"/>
        <v>73.588201471230803</v>
      </c>
      <c r="AE111" s="2">
        <f t="shared" si="29"/>
        <v>1.6978598628268293</v>
      </c>
      <c r="AF111" s="2">
        <f>0.5*'Vehicle '!$F$38*'Duty Cycle '!L111^2/1000</f>
        <v>44.118838060960073</v>
      </c>
      <c r="AG111" s="2">
        <f t="shared" si="19"/>
        <v>528517.59918322635</v>
      </c>
    </row>
    <row r="112" spans="2:33" ht="30" customHeight="1" x14ac:dyDescent="0.25">
      <c r="B112" s="39">
        <f t="shared" si="20"/>
        <v>109</v>
      </c>
      <c r="C112" s="2" t="s">
        <v>100</v>
      </c>
      <c r="D112" s="2">
        <f>SUM($L$3:L112)</f>
        <v>1112.7327770126501</v>
      </c>
      <c r="E112" s="2">
        <f t="shared" si="21"/>
        <v>13.312854759872152</v>
      </c>
      <c r="F112" s="40" t="s">
        <v>90</v>
      </c>
      <c r="G112" s="2">
        <v>20</v>
      </c>
      <c r="H112" s="2">
        <f t="shared" si="22"/>
        <v>0</v>
      </c>
      <c r="I112" s="2">
        <f t="shared" si="23"/>
        <v>0</v>
      </c>
      <c r="J112" s="2">
        <v>3</v>
      </c>
      <c r="K112" s="2">
        <v>6500</v>
      </c>
      <c r="L112" s="2">
        <f>IF(J112=1,VLOOKUP('Duty Cycle '!K112,'Gearing '!$L$3:$O$28,2),IF(J112=2,VLOOKUP('Duty Cycle '!K112,'Gearing '!$L$2:$O$28,3),IF(J112=3,VLOOKUP('Duty Cycle '!K112,'Gearing '!$L$2:$O$28,4))))</f>
        <v>13.312854759872195</v>
      </c>
      <c r="M112" s="2">
        <f t="shared" si="15"/>
        <v>29.780856097834103</v>
      </c>
      <c r="N112" s="2">
        <f t="shared" si="24"/>
        <v>1.0240657507593998</v>
      </c>
      <c r="O112" s="2">
        <f>IF(J112=1,'Gearing '!$C$17*'Duty Cycle '!N112,IF(J112=2,'Gearing '!$C$18*'Duty Cycle '!N112,IF(J112=3,'Gearing '!$C$19*'Duty Cycle '!N112)))</f>
        <v>616.67569853141106</v>
      </c>
      <c r="P112" s="2">
        <f>IF(F112='Track '!$B$60,'Track '!$F$53,IF(F112='Track '!$B$61,'Track '!$F$54,IF(F112='Track '!$B$62,'Track '!$F$55)))</f>
        <v>0.02</v>
      </c>
      <c r="Q112" s="2">
        <f>P112*'Vehicle '!$F$38*9.81</f>
        <v>114.63966000000001</v>
      </c>
      <c r="R112" s="2">
        <f>0.5*'Vehicle '!$F$51*'Vehicle '!$F$25*'Track '!$F$57*'Duty Cycle '!L112^2</f>
        <v>67.724887372039234</v>
      </c>
      <c r="S112" s="2">
        <f>'Vehicle '!$F$38*9.81*SIN(RADIANS('Duty Cycle '!I112))</f>
        <v>0</v>
      </c>
      <c r="T112" s="2">
        <f t="shared" si="16"/>
        <v>799.04024590345034</v>
      </c>
      <c r="U112" s="2">
        <f t="shared" si="25"/>
        <v>10.637506741005199</v>
      </c>
      <c r="V112" s="2">
        <f>'Vehicle '!$F$9-'Duty Cycle '!U112</f>
        <v>2.7853120509411102</v>
      </c>
      <c r="W112" s="2">
        <f t="shared" si="17"/>
        <v>10.637506741005199</v>
      </c>
      <c r="X112" s="41">
        <f t="shared" si="26"/>
        <v>15.627801046193865</v>
      </c>
      <c r="Y112" s="41">
        <f t="shared" si="18"/>
        <v>16</v>
      </c>
      <c r="Z112" s="2">
        <f>T112*D112</f>
        <v>889118.2717690171</v>
      </c>
      <c r="AA112" s="2">
        <f t="shared" si="27"/>
        <v>25278044.944807462</v>
      </c>
      <c r="AB112" s="2">
        <f>INDEX('BSFC '!$D$5:$AD$27,MATCH('Duty Cycle '!Y112,'BSFC '!$B$5:$B$27,0),MATCH('Duty Cycle '!K112,'BSFC '!$D$28:$AD$28,0))</f>
        <v>520.59524672580005</v>
      </c>
      <c r="AC112" s="2">
        <f>U112*AB112/3600</f>
        <v>1.5382876239947119</v>
      </c>
      <c r="AD112" s="2">
        <f t="shared" si="28"/>
        <v>75.126489095225509</v>
      </c>
      <c r="AE112" s="2">
        <f t="shared" si="29"/>
        <v>4.7533087581436595</v>
      </c>
      <c r="AF112" s="2">
        <f>0.5*'Vehicle '!$F$38*'Duty Cycle '!L112^2/1000</f>
        <v>51.778358557654528</v>
      </c>
      <c r="AG112" s="2">
        <f t="shared" si="19"/>
        <v>889170.05012757471</v>
      </c>
    </row>
    <row r="113" spans="2:33" ht="30" customHeight="1" x14ac:dyDescent="0.25">
      <c r="B113" s="39">
        <f t="shared" si="20"/>
        <v>110</v>
      </c>
      <c r="C113" s="2" t="s">
        <v>100</v>
      </c>
      <c r="D113" s="2">
        <f>SUM($L$3:L113)</f>
        <v>1126.0456317725223</v>
      </c>
      <c r="E113" s="2">
        <f t="shared" si="21"/>
        <v>13.312854759872152</v>
      </c>
      <c r="F113" s="40" t="s">
        <v>90</v>
      </c>
      <c r="G113" s="2">
        <v>20</v>
      </c>
      <c r="H113" s="2">
        <f t="shared" si="22"/>
        <v>0</v>
      </c>
      <c r="I113" s="2">
        <f t="shared" si="23"/>
        <v>0</v>
      </c>
      <c r="J113" s="2">
        <v>3</v>
      </c>
      <c r="K113" s="2">
        <v>6500</v>
      </c>
      <c r="L113" s="2">
        <f>IF(J113=1,VLOOKUP('Duty Cycle '!K113,'Gearing '!$L$3:$O$28,2),IF(J113=2,VLOOKUP('Duty Cycle '!K113,'Gearing '!$L$2:$O$28,3),IF(J113=3,VLOOKUP('Duty Cycle '!K113,'Gearing '!$L$2:$O$28,4))))</f>
        <v>13.312854759872195</v>
      </c>
      <c r="M113" s="2">
        <f t="shared" si="15"/>
        <v>29.780856097834103</v>
      </c>
      <c r="N113" s="2">
        <f t="shared" si="24"/>
        <v>0</v>
      </c>
      <c r="O113" s="2">
        <f>IF(J113=1,'Gearing '!$C$17*'Duty Cycle '!N113,IF(J113=2,'Gearing '!$C$18*'Duty Cycle '!N113,IF(J113=3,'Gearing '!$C$19*'Duty Cycle '!N113)))</f>
        <v>0</v>
      </c>
      <c r="P113" s="2">
        <f>IF(F113='Track '!$B$60,'Track '!$F$53,IF(F113='Track '!$B$61,'Track '!$F$54,IF(F113='Track '!$B$62,'Track '!$F$55)))</f>
        <v>0.02</v>
      </c>
      <c r="Q113" s="2">
        <f>P113*'Vehicle '!$F$38*9.81</f>
        <v>114.63966000000001</v>
      </c>
      <c r="R113" s="2">
        <f>0.5*'Vehicle '!$F$51*'Vehicle '!$F$25*'Track '!$F$57*'Duty Cycle '!L113^2</f>
        <v>67.724887372039234</v>
      </c>
      <c r="S113" s="2">
        <f>'Vehicle '!$F$38*9.81*SIN(RADIANS('Duty Cycle '!I113))</f>
        <v>0</v>
      </c>
      <c r="T113" s="2">
        <f t="shared" si="16"/>
        <v>182.36454737203923</v>
      </c>
      <c r="U113" s="2">
        <f t="shared" si="25"/>
        <v>2.4277927325137907</v>
      </c>
      <c r="V113" s="2">
        <f>'Vehicle '!$F$9-'Duty Cycle '!U113</f>
        <v>10.995026059432519</v>
      </c>
      <c r="W113" s="2">
        <f t="shared" si="17"/>
        <v>2.4277927325137907</v>
      </c>
      <c r="X113" s="41">
        <f t="shared" si="26"/>
        <v>3.5667250539890718</v>
      </c>
      <c r="Y113" s="41">
        <f t="shared" si="18"/>
        <v>4</v>
      </c>
      <c r="Z113" s="2">
        <f>T113*D113</f>
        <v>205350.80195845797</v>
      </c>
      <c r="AA113" s="2">
        <f t="shared" si="27"/>
        <v>25483395.746765919</v>
      </c>
      <c r="AB113" s="2">
        <f>INDEX('BSFC '!$D$5:$AD$27,MATCH('Duty Cycle '!Y113,'BSFC '!$B$5:$B$27,0),MATCH('Duty Cycle '!K113,'BSFC '!$D$28:$AD$28,0))</f>
        <v>799.26301568579993</v>
      </c>
      <c r="AC113" s="2">
        <f>U113*AB113/3600</f>
        <v>0.53901248356917808</v>
      </c>
      <c r="AD113" s="2">
        <f t="shared" si="28"/>
        <v>75.665501578794689</v>
      </c>
      <c r="AE113" s="2">
        <f t="shared" si="29"/>
        <v>1.6655485742287601</v>
      </c>
      <c r="AF113" s="2">
        <f>0.5*'Vehicle '!$F$38*'Duty Cycle '!L113^2/1000</f>
        <v>51.778358557654528</v>
      </c>
      <c r="AG113" s="2">
        <f t="shared" si="19"/>
        <v>205402.58031701564</v>
      </c>
    </row>
    <row r="114" spans="2:33" ht="30" customHeight="1" x14ac:dyDescent="0.25">
      <c r="B114" s="39">
        <f t="shared" si="20"/>
        <v>111</v>
      </c>
      <c r="C114" s="2" t="s">
        <v>100</v>
      </c>
      <c r="D114" s="2">
        <f>SUM($L$3:L114)</f>
        <v>1139.3584865323944</v>
      </c>
      <c r="E114" s="2">
        <f t="shared" si="21"/>
        <v>13.312854759872152</v>
      </c>
      <c r="F114" s="40" t="s">
        <v>90</v>
      </c>
      <c r="G114" s="2">
        <v>20</v>
      </c>
      <c r="H114" s="2">
        <f t="shared" si="22"/>
        <v>0</v>
      </c>
      <c r="I114" s="2">
        <f t="shared" si="23"/>
        <v>0</v>
      </c>
      <c r="J114" s="2">
        <v>3</v>
      </c>
      <c r="K114" s="2">
        <v>6500</v>
      </c>
      <c r="L114" s="2">
        <f>IF(J114=1,VLOOKUP('Duty Cycle '!K114,'Gearing '!$L$3:$O$28,2),IF(J114=2,VLOOKUP('Duty Cycle '!K114,'Gearing '!$L$2:$O$28,3),IF(J114=3,VLOOKUP('Duty Cycle '!K114,'Gearing '!$L$2:$O$28,4))))</f>
        <v>13.312854759872195</v>
      </c>
      <c r="M114" s="2">
        <f t="shared" si="15"/>
        <v>29.780856097834103</v>
      </c>
      <c r="N114" s="2">
        <f t="shared" si="24"/>
        <v>0</v>
      </c>
      <c r="O114" s="2">
        <f>IF(J114=1,'Gearing '!$C$17*'Duty Cycle '!N114,IF(J114=2,'Gearing '!$C$18*'Duty Cycle '!N114,IF(J114=3,'Gearing '!$C$19*'Duty Cycle '!N114)))</f>
        <v>0</v>
      </c>
      <c r="P114" s="2">
        <f>IF(F114='Track '!$B$60,'Track '!$F$53,IF(F114='Track '!$B$61,'Track '!$F$54,IF(F114='Track '!$B$62,'Track '!$F$55)))</f>
        <v>0.02</v>
      </c>
      <c r="Q114" s="2">
        <f>P114*'Vehicle '!$F$38*9.81</f>
        <v>114.63966000000001</v>
      </c>
      <c r="R114" s="2">
        <f>0.5*'Vehicle '!$F$51*'Vehicle '!$F$25*'Track '!$F$57*'Duty Cycle '!L114^2</f>
        <v>67.724887372039234</v>
      </c>
      <c r="S114" s="2">
        <f>'Vehicle '!$F$38*9.81*SIN(RADIANS('Duty Cycle '!I114))</f>
        <v>0</v>
      </c>
      <c r="T114" s="2">
        <f t="shared" si="16"/>
        <v>182.36454737203923</v>
      </c>
      <c r="U114" s="2">
        <f t="shared" si="25"/>
        <v>2.4277927325137907</v>
      </c>
      <c r="V114" s="2">
        <f>'Vehicle '!$F$9-'Duty Cycle '!U114</f>
        <v>10.995026059432519</v>
      </c>
      <c r="W114" s="2">
        <f t="shared" si="17"/>
        <v>2.4277927325137907</v>
      </c>
      <c r="X114" s="41">
        <f t="shared" si="26"/>
        <v>3.5667250539890718</v>
      </c>
      <c r="Y114" s="41">
        <f t="shared" si="18"/>
        <v>4</v>
      </c>
      <c r="Z114" s="2">
        <f>T114*D114</f>
        <v>207778.59469097175</v>
      </c>
      <c r="AA114" s="2">
        <f t="shared" si="27"/>
        <v>25691174.34145689</v>
      </c>
      <c r="AB114" s="2">
        <f>INDEX('BSFC '!$D$5:$AD$27,MATCH('Duty Cycle '!Y114,'BSFC '!$B$5:$B$27,0),MATCH('Duty Cycle '!K114,'BSFC '!$D$28:$AD$28,0))</f>
        <v>799.26301568579993</v>
      </c>
      <c r="AC114" s="2">
        <f>U114*AB114/3600</f>
        <v>0.53901248356917808</v>
      </c>
      <c r="AD114" s="2">
        <f t="shared" si="28"/>
        <v>76.20451406236387</v>
      </c>
      <c r="AE114" s="2">
        <f t="shared" si="29"/>
        <v>1.6655485742287601</v>
      </c>
      <c r="AF114" s="2">
        <f>0.5*'Vehicle '!$F$38*'Duty Cycle '!L114^2/1000</f>
        <v>51.778358557654528</v>
      </c>
      <c r="AG114" s="2">
        <f t="shared" si="19"/>
        <v>207830.37304952941</v>
      </c>
    </row>
    <row r="115" spans="2:33" ht="30" customHeight="1" x14ac:dyDescent="0.25">
      <c r="B115" s="39">
        <f t="shared" si="20"/>
        <v>112</v>
      </c>
      <c r="C115" s="2" t="s">
        <v>109</v>
      </c>
      <c r="D115" s="2">
        <f>SUM($L$3:L115)</f>
        <v>1151.1352426661274</v>
      </c>
      <c r="E115" s="2">
        <f t="shared" si="21"/>
        <v>11.776756133732988</v>
      </c>
      <c r="F115" s="40" t="s">
        <v>90</v>
      </c>
      <c r="G115" s="2">
        <v>20</v>
      </c>
      <c r="H115" s="2">
        <f t="shared" si="22"/>
        <v>0</v>
      </c>
      <c r="I115" s="2">
        <f t="shared" si="23"/>
        <v>0</v>
      </c>
      <c r="J115" s="2">
        <v>3</v>
      </c>
      <c r="K115" s="2">
        <v>5750</v>
      </c>
      <c r="L115" s="2">
        <f>IF(J115=1,VLOOKUP('Duty Cycle '!K115,'Gearing '!$L$3:$O$28,2),IF(J115=2,VLOOKUP('Duty Cycle '!K115,'Gearing '!$L$2:$O$28,3),IF(J115=3,VLOOKUP('Duty Cycle '!K115,'Gearing '!$L$2:$O$28,4))))</f>
        <v>11.776756133733098</v>
      </c>
      <c r="M115" s="2">
        <f t="shared" si="15"/>
        <v>26.344603471160941</v>
      </c>
      <c r="N115" s="2">
        <f t="shared" si="24"/>
        <v>-1.536098626139097</v>
      </c>
      <c r="O115" s="2">
        <f>IF(J115=1,'Gearing '!$C$17*'Duty Cycle '!N115,IF(J115=2,'Gearing '!$C$18*'Duty Cycle '!N115,IF(J115=3,'Gearing '!$C$19*'Duty Cycle '!N115)))</f>
        <v>-925.01354779711505</v>
      </c>
      <c r="P115" s="2">
        <f>IF(F115='Track '!$B$60,'Track '!$F$53,IF(F115='Track '!$B$61,'Track '!$F$54,IF(F115='Track '!$B$62,'Track '!$F$55)))</f>
        <v>0.02</v>
      </c>
      <c r="Q115" s="2">
        <f>P115*'Vehicle '!$F$38*9.81</f>
        <v>114.63966000000001</v>
      </c>
      <c r="R115" s="2">
        <f>0.5*'Vehicle '!$F$51*'Vehicle '!$F$25*'Track '!$F$57*'Duty Cycle '!L115^2</f>
        <v>52.997729910959706</v>
      </c>
      <c r="S115" s="2">
        <f>'Vehicle '!$F$38*9.81*SIN(RADIANS('Duty Cycle '!I115))</f>
        <v>0</v>
      </c>
      <c r="T115" s="2">
        <f t="shared" si="16"/>
        <v>-757.3761578861554</v>
      </c>
      <c r="U115" s="2">
        <f t="shared" si="25"/>
        <v>8.9194343129289884</v>
      </c>
      <c r="V115" s="2">
        <f>'Vehicle '!$F$9-'Duty Cycle '!U115</f>
        <v>4.5033844790173205</v>
      </c>
      <c r="W115" s="2">
        <f t="shared" si="17"/>
        <v>8.9194343129289884</v>
      </c>
      <c r="X115" s="41">
        <f t="shared" si="26"/>
        <v>14.81292584855073</v>
      </c>
      <c r="Y115" s="41">
        <f t="shared" si="18"/>
        <v>15</v>
      </c>
      <c r="Z115" s="2">
        <f>T115*D115</f>
        <v>-871842.38729781867</v>
      </c>
      <c r="AA115" s="2">
        <f t="shared" si="27"/>
        <v>24819331.95415907</v>
      </c>
      <c r="AB115" s="2">
        <f>INDEX('BSFC '!$D$5:$AD$27,MATCH('Duty Cycle '!Y115,'BSFC '!$B$5:$B$27,0),MATCH('Duty Cycle '!K115,'BSFC '!$D$28:$AD$28,0))</f>
        <v>377.94566864580003</v>
      </c>
      <c r="AC115" s="2">
        <f>U115*AB115/3600</f>
        <v>0.936405990372844</v>
      </c>
      <c r="AD115" s="2">
        <f t="shared" si="28"/>
        <v>77.140920052736718</v>
      </c>
      <c r="AE115" s="2">
        <f t="shared" si="29"/>
        <v>2.8934945102520877</v>
      </c>
      <c r="AF115" s="2">
        <f>0.5*'Vehicle '!$F$38*'Duty Cycle '!L115^2/1000</f>
        <v>40.518863427513693</v>
      </c>
      <c r="AG115" s="2">
        <f t="shared" si="19"/>
        <v>-871801.8684343911</v>
      </c>
    </row>
    <row r="116" spans="2:33" ht="30" customHeight="1" x14ac:dyDescent="0.25">
      <c r="B116" s="39">
        <f t="shared" si="20"/>
        <v>113</v>
      </c>
      <c r="C116" s="2" t="s">
        <v>109</v>
      </c>
      <c r="D116" s="2">
        <f>SUM($L$3:L116)</f>
        <v>1161.8879330491011</v>
      </c>
      <c r="E116" s="2">
        <f t="shared" si="21"/>
        <v>10.752690382973697</v>
      </c>
      <c r="F116" s="40" t="s">
        <v>90</v>
      </c>
      <c r="G116" s="2">
        <v>20</v>
      </c>
      <c r="H116" s="2">
        <f t="shared" si="22"/>
        <v>0</v>
      </c>
      <c r="I116" s="2">
        <f t="shared" si="23"/>
        <v>0</v>
      </c>
      <c r="J116" s="2">
        <v>3</v>
      </c>
      <c r="K116" s="2">
        <v>5250</v>
      </c>
      <c r="L116" s="2">
        <f>IF(J116=1,VLOOKUP('Duty Cycle '!K116,'Gearing '!$L$3:$O$28,2),IF(J116=2,VLOOKUP('Duty Cycle '!K116,'Gearing '!$L$2:$O$28,3),IF(J116=3,VLOOKUP('Duty Cycle '!K116,'Gearing '!$L$2:$O$28,4))))</f>
        <v>10.752690382973697</v>
      </c>
      <c r="M116" s="2">
        <f t="shared" si="15"/>
        <v>24.053768386712161</v>
      </c>
      <c r="N116" s="2">
        <f t="shared" si="24"/>
        <v>-1.0240657507594015</v>
      </c>
      <c r="O116" s="2">
        <f>IF(J116=1,'Gearing '!$C$17*'Duty Cycle '!N116,IF(J116=2,'Gearing '!$C$18*'Duty Cycle '!N116,IF(J116=3,'Gearing '!$C$19*'Duty Cycle '!N116)))</f>
        <v>-616.67569853141219</v>
      </c>
      <c r="P116" s="2">
        <f>IF(F116='Track '!$B$60,'Track '!$F$53,IF(F116='Track '!$B$61,'Track '!$F$54,IF(F116='Track '!$B$62,'Track '!$F$55)))</f>
        <v>0.02</v>
      </c>
      <c r="Q116" s="2">
        <f>P116*'Vehicle '!$F$38*9.81</f>
        <v>114.63966000000001</v>
      </c>
      <c r="R116" s="2">
        <f>0.5*'Vehicle '!$F$51*'Vehicle '!$F$25*'Track '!$F$57*'Duty Cycle '!L116^2</f>
        <v>44.181472383238614</v>
      </c>
      <c r="S116" s="2">
        <f>'Vehicle '!$F$38*9.81*SIN(RADIANS('Duty Cycle '!I116))</f>
        <v>0</v>
      </c>
      <c r="T116" s="2">
        <f t="shared" si="16"/>
        <v>-457.8545661481736</v>
      </c>
      <c r="U116" s="2">
        <f t="shared" si="25"/>
        <v>4.9231683902220604</v>
      </c>
      <c r="V116" s="2">
        <f>'Vehicle '!$F$9-'Duty Cycle '!U116</f>
        <v>8.4996504017242493</v>
      </c>
      <c r="W116" s="2">
        <f t="shared" si="17"/>
        <v>4.9231683902220604</v>
      </c>
      <c r="X116" s="41">
        <f t="shared" si="26"/>
        <v>8.9548181140298286</v>
      </c>
      <c r="Y116" s="41">
        <f t="shared" si="18"/>
        <v>9</v>
      </c>
      <c r="Z116" s="2">
        <f>T116*D116</f>
        <v>-531975.69549899432</v>
      </c>
      <c r="AA116" s="2">
        <f t="shared" si="27"/>
        <v>24287356.258660074</v>
      </c>
      <c r="AB116" s="2">
        <f>INDEX('BSFC '!$D$5:$AD$27,MATCH('Duty Cycle '!Y116,'BSFC '!$B$5:$B$27,0),MATCH('Duty Cycle '!K116,'BSFC '!$D$28:$AD$28,0))</f>
        <v>420.33360472580006</v>
      </c>
      <c r="AC116" s="2">
        <f>U116*AB116/3600</f>
        <v>0.57482586559282023</v>
      </c>
      <c r="AD116" s="2">
        <f t="shared" si="28"/>
        <v>77.715745918329532</v>
      </c>
      <c r="AE116" s="2">
        <f t="shared" si="29"/>
        <v>1.7762119246818144</v>
      </c>
      <c r="AF116" s="2">
        <f>0.5*'Vehicle '!$F$38*'Duty Cycle '!L116^2/1000</f>
        <v>33.77848539042256</v>
      </c>
      <c r="AG116" s="2">
        <f t="shared" si="19"/>
        <v>-531941.91701360384</v>
      </c>
    </row>
    <row r="117" spans="2:33" ht="30" customHeight="1" x14ac:dyDescent="0.25">
      <c r="B117" s="39">
        <f t="shared" si="20"/>
        <v>114</v>
      </c>
      <c r="C117" s="2" t="s">
        <v>109</v>
      </c>
      <c r="D117" s="2">
        <f>SUM($L$3:L117)</f>
        <v>1172.1285905566951</v>
      </c>
      <c r="E117" s="2">
        <f t="shared" si="21"/>
        <v>10.240657507594051</v>
      </c>
      <c r="F117" s="40" t="s">
        <v>90</v>
      </c>
      <c r="G117" s="2">
        <v>20</v>
      </c>
      <c r="H117" s="2">
        <f t="shared" si="22"/>
        <v>0</v>
      </c>
      <c r="I117" s="2">
        <f t="shared" si="23"/>
        <v>0</v>
      </c>
      <c r="J117" s="2">
        <v>3</v>
      </c>
      <c r="K117" s="2">
        <v>5000</v>
      </c>
      <c r="L117" s="2">
        <f>IF(J117=1,VLOOKUP('Duty Cycle '!K117,'Gearing '!$L$3:$O$28,2),IF(J117=2,VLOOKUP('Duty Cycle '!K117,'Gearing '!$L$2:$O$28,3),IF(J117=3,VLOOKUP('Duty Cycle '!K117,'Gearing '!$L$2:$O$28,4))))</f>
        <v>10.240657507593998</v>
      </c>
      <c r="M117" s="2">
        <f t="shared" si="15"/>
        <v>22.908350844487774</v>
      </c>
      <c r="N117" s="2">
        <f t="shared" si="24"/>
        <v>-0.51203287537969899</v>
      </c>
      <c r="O117" s="2">
        <f>IF(J117=1,'Gearing '!$C$17*'Duty Cycle '!N117,IF(J117=2,'Gearing '!$C$18*'Duty Cycle '!N117,IF(J117=3,'Gearing '!$C$19*'Duty Cycle '!N117)))</f>
        <v>-308.33784926570502</v>
      </c>
      <c r="P117" s="2">
        <f>IF(F117='Track '!$B$60,'Track '!$F$53,IF(F117='Track '!$B$61,'Track '!$F$54,IF(F117='Track '!$B$62,'Track '!$F$55)))</f>
        <v>0.02</v>
      </c>
      <c r="Q117" s="2">
        <f>P117*'Vehicle '!$F$38*9.81</f>
        <v>114.63966000000001</v>
      </c>
      <c r="R117" s="2">
        <f>0.5*'Vehicle '!$F$51*'Vehicle '!$F$25*'Track '!$F$57*'Duty Cycle '!L117^2</f>
        <v>40.073897853277657</v>
      </c>
      <c r="S117" s="2">
        <f>'Vehicle '!$F$38*9.81*SIN(RADIANS('Duty Cycle '!I117))</f>
        <v>0</v>
      </c>
      <c r="T117" s="2">
        <f t="shared" si="16"/>
        <v>-153.62429141242734</v>
      </c>
      <c r="U117" s="2">
        <f t="shared" si="25"/>
        <v>1.5732137532014823</v>
      </c>
      <c r="V117" s="2">
        <f>'Vehicle '!$F$9-'Duty Cycle '!U117</f>
        <v>11.849605038744826</v>
      </c>
      <c r="W117" s="2">
        <f t="shared" si="17"/>
        <v>1.5732137532014823</v>
      </c>
      <c r="X117" s="41">
        <f t="shared" si="26"/>
        <v>3.0046169443460276</v>
      </c>
      <c r="Y117" s="41">
        <f t="shared" si="18"/>
        <v>4</v>
      </c>
      <c r="Z117" s="2">
        <f>T117*D117</f>
        <v>-180067.42416851947</v>
      </c>
      <c r="AA117" s="2">
        <f t="shared" si="27"/>
        <v>24107288.834491555</v>
      </c>
      <c r="AB117" s="2">
        <f>INDEX('BSFC '!$D$5:$AD$27,MATCH('Duty Cycle '!Y117,'BSFC '!$B$5:$B$27,0),MATCH('Duty Cycle '!K117,'BSFC '!$D$28:$AD$28,0))</f>
        <v>716.25261296579993</v>
      </c>
      <c r="AC117" s="2">
        <f>U117*AB117/3600</f>
        <v>0.31300512819008192</v>
      </c>
      <c r="AD117" s="2">
        <f t="shared" si="28"/>
        <v>78.028751046519616</v>
      </c>
      <c r="AE117" s="2">
        <f t="shared" si="29"/>
        <v>0.96718584610735303</v>
      </c>
      <c r="AF117" s="2">
        <f>0.5*'Vehicle '!$F$38*'Duty Cycle '!L117^2/1000</f>
        <v>30.638081986777838</v>
      </c>
      <c r="AG117" s="2">
        <f t="shared" si="19"/>
        <v>-180036.78608653269</v>
      </c>
    </row>
    <row r="118" spans="2:33" ht="30" customHeight="1" x14ac:dyDescent="0.25">
      <c r="B118" s="39">
        <f t="shared" si="20"/>
        <v>115</v>
      </c>
      <c r="C118" s="2" t="s">
        <v>109</v>
      </c>
      <c r="D118" s="2">
        <f>SUM($L$3:L118)</f>
        <v>1182.3692480642892</v>
      </c>
      <c r="E118" s="2">
        <f t="shared" si="21"/>
        <v>10.240657507594051</v>
      </c>
      <c r="F118" s="40" t="s">
        <v>90</v>
      </c>
      <c r="G118" s="2">
        <v>20</v>
      </c>
      <c r="H118" s="2">
        <f t="shared" si="22"/>
        <v>0</v>
      </c>
      <c r="I118" s="2">
        <f t="shared" si="23"/>
        <v>0</v>
      </c>
      <c r="J118" s="2">
        <v>3</v>
      </c>
      <c r="K118" s="2">
        <v>5000</v>
      </c>
      <c r="L118" s="2">
        <f>IF(J118=1,VLOOKUP('Duty Cycle '!K118,'Gearing '!$L$3:$O$28,2),IF(J118=2,VLOOKUP('Duty Cycle '!K118,'Gearing '!$L$2:$O$28,3),IF(J118=3,VLOOKUP('Duty Cycle '!K118,'Gearing '!$L$2:$O$28,4))))</f>
        <v>10.240657507593998</v>
      </c>
      <c r="M118" s="2">
        <f t="shared" si="15"/>
        <v>22.908350844487774</v>
      </c>
      <c r="N118" s="2">
        <f t="shared" si="24"/>
        <v>0</v>
      </c>
      <c r="O118" s="2">
        <f>IF(J118=1,'Gearing '!$C$17*'Duty Cycle '!N118,IF(J118=2,'Gearing '!$C$18*'Duty Cycle '!N118,IF(J118=3,'Gearing '!$C$19*'Duty Cycle '!N118)))</f>
        <v>0</v>
      </c>
      <c r="P118" s="2">
        <f>IF(F118='Track '!$B$60,'Track '!$F$53,IF(F118='Track '!$B$61,'Track '!$F$54,IF(F118='Track '!$B$62,'Track '!$F$55)))</f>
        <v>0.02</v>
      </c>
      <c r="Q118" s="2">
        <f>P118*'Vehicle '!$F$38*9.81</f>
        <v>114.63966000000001</v>
      </c>
      <c r="R118" s="2">
        <f>0.5*'Vehicle '!$F$51*'Vehicle '!$F$25*'Track '!$F$57*'Duty Cycle '!L118^2</f>
        <v>40.073897853277657</v>
      </c>
      <c r="S118" s="2">
        <f>'Vehicle '!$F$38*9.81*SIN(RADIANS('Duty Cycle '!I118))</f>
        <v>0</v>
      </c>
      <c r="T118" s="2">
        <f t="shared" si="16"/>
        <v>154.71355785327768</v>
      </c>
      <c r="U118" s="2">
        <f t="shared" si="25"/>
        <v>1.5843685577567463</v>
      </c>
      <c r="V118" s="2">
        <f>'Vehicle '!$F$9-'Duty Cycle '!U118</f>
        <v>11.838450234189562</v>
      </c>
      <c r="W118" s="2">
        <f t="shared" si="17"/>
        <v>1.5843685577567463</v>
      </c>
      <c r="X118" s="41">
        <f t="shared" si="26"/>
        <v>3.0259210517563595</v>
      </c>
      <c r="Y118" s="41">
        <f t="shared" si="18"/>
        <v>4</v>
      </c>
      <c r="Z118" s="2">
        <f>T118*D118</f>
        <v>182928.55306433083</v>
      </c>
      <c r="AA118" s="2">
        <f t="shared" si="27"/>
        <v>24290217.387555886</v>
      </c>
      <c r="AB118" s="2">
        <f>INDEX('BSFC '!$D$5:$AD$27,MATCH('Duty Cycle '!Y118,'BSFC '!$B$5:$B$27,0),MATCH('Duty Cycle '!K118,'BSFC '!$D$28:$AD$28,0))</f>
        <v>716.25261296579993</v>
      </c>
      <c r="AC118" s="2">
        <f>U118*AB118/3600</f>
        <v>0.3152244776094793</v>
      </c>
      <c r="AD118" s="2">
        <f t="shared" si="28"/>
        <v>78.343975524129092</v>
      </c>
      <c r="AE118" s="2">
        <f t="shared" si="29"/>
        <v>0.97404363581329101</v>
      </c>
      <c r="AF118" s="2">
        <f>0.5*'Vehicle '!$F$38*'Duty Cycle '!L118^2/1000</f>
        <v>30.638081986777838</v>
      </c>
      <c r="AG118" s="2">
        <f t="shared" si="19"/>
        <v>182959.19114631761</v>
      </c>
    </row>
    <row r="119" spans="2:33" ht="30" customHeight="1" x14ac:dyDescent="0.25">
      <c r="B119" s="39">
        <f t="shared" si="20"/>
        <v>116</v>
      </c>
      <c r="C119" s="2" t="s">
        <v>109</v>
      </c>
      <c r="D119" s="2">
        <f>SUM($L$3:L119)</f>
        <v>1193.6339713226425</v>
      </c>
      <c r="E119" s="2">
        <f t="shared" si="21"/>
        <v>11.264723258353342</v>
      </c>
      <c r="F119" s="40" t="s">
        <v>90</v>
      </c>
      <c r="G119" s="2">
        <v>20</v>
      </c>
      <c r="H119" s="2">
        <f t="shared" si="22"/>
        <v>0</v>
      </c>
      <c r="I119" s="2">
        <f t="shared" si="23"/>
        <v>0</v>
      </c>
      <c r="J119" s="2">
        <v>3</v>
      </c>
      <c r="K119" s="2">
        <v>5500</v>
      </c>
      <c r="L119" s="2">
        <f>IF(J119=1,VLOOKUP('Duty Cycle '!K119,'Gearing '!$L$3:$O$28,2),IF(J119=2,VLOOKUP('Duty Cycle '!K119,'Gearing '!$L$2:$O$28,3),IF(J119=3,VLOOKUP('Duty Cycle '!K119,'Gearing '!$L$2:$O$28,4))))</f>
        <v>11.264723258353396</v>
      </c>
      <c r="M119" s="2">
        <f t="shared" si="15"/>
        <v>25.199185928936547</v>
      </c>
      <c r="N119" s="2">
        <f t="shared" si="24"/>
        <v>1.024065750759398</v>
      </c>
      <c r="O119" s="2">
        <f>IF(J119=1,'Gearing '!$C$17*'Duty Cycle '!N119,IF(J119=2,'Gearing '!$C$18*'Duty Cycle '!N119,IF(J119=3,'Gearing '!$C$19*'Duty Cycle '!N119)))</f>
        <v>616.67569853141003</v>
      </c>
      <c r="P119" s="2">
        <f>IF(F119='Track '!$B$60,'Track '!$F$53,IF(F119='Track '!$B$61,'Track '!$F$54,IF(F119='Track '!$B$62,'Track '!$F$55)))</f>
        <v>0.02</v>
      </c>
      <c r="Q119" s="2">
        <f>P119*'Vehicle '!$F$38*9.81</f>
        <v>114.63966000000001</v>
      </c>
      <c r="R119" s="2">
        <f>0.5*'Vehicle '!$F$51*'Vehicle '!$F$25*'Track '!$F$57*'Duty Cycle '!L119^2</f>
        <v>48.489416402465956</v>
      </c>
      <c r="S119" s="2">
        <f>'Vehicle '!$F$38*9.81*SIN(RADIANS('Duty Cycle '!I119))</f>
        <v>0</v>
      </c>
      <c r="T119" s="2">
        <f t="shared" si="16"/>
        <v>779.80477493387593</v>
      </c>
      <c r="U119" s="2">
        <f t="shared" si="25"/>
        <v>8.7842849851726683</v>
      </c>
      <c r="V119" s="2">
        <f>'Vehicle '!$F$9-'Duty Cycle '!U119</f>
        <v>4.6385338067736406</v>
      </c>
      <c r="W119" s="2">
        <f t="shared" si="17"/>
        <v>8.7842849851726683</v>
      </c>
      <c r="X119" s="41">
        <f t="shared" si="26"/>
        <v>15.251589566379785</v>
      </c>
      <c r="Y119" s="41">
        <f t="shared" si="18"/>
        <v>16</v>
      </c>
      <c r="Z119" s="2">
        <f>T119*D119</f>
        <v>930801.47036068176</v>
      </c>
      <c r="AA119" s="2">
        <f t="shared" si="27"/>
        <v>25221018.857916567</v>
      </c>
      <c r="AB119" s="2">
        <f>INDEX('BSFC '!$D$5:$AD$27,MATCH('Duty Cycle '!Y119,'BSFC '!$B$5:$B$27,0),MATCH('Duty Cycle '!K119,'BSFC '!$D$28:$AD$28,0))</f>
        <v>377.73004844580009</v>
      </c>
      <c r="AC119" s="2">
        <f>U119*AB119/3600</f>
        <v>0.9216912202808295</v>
      </c>
      <c r="AD119" s="2">
        <f t="shared" si="28"/>
        <v>79.265666744409927</v>
      </c>
      <c r="AE119" s="2">
        <f t="shared" si="29"/>
        <v>2.848025870667763</v>
      </c>
      <c r="AF119" s="2">
        <f>0.5*'Vehicle '!$F$38*'Duty Cycle '!L119^2/1000</f>
        <v>37.07207920400117</v>
      </c>
      <c r="AG119" s="2">
        <f t="shared" si="19"/>
        <v>930838.54243988579</v>
      </c>
    </row>
    <row r="120" spans="2:33" ht="30" customHeight="1" x14ac:dyDescent="0.25">
      <c r="B120" s="39">
        <f t="shared" si="20"/>
        <v>117</v>
      </c>
      <c r="C120" s="2" t="s">
        <v>109</v>
      </c>
      <c r="D120" s="2">
        <f>SUM($L$3:L120)</f>
        <v>1205.9227603317554</v>
      </c>
      <c r="E120" s="2">
        <f t="shared" si="21"/>
        <v>12.288789009112861</v>
      </c>
      <c r="F120" s="40" t="s">
        <v>90</v>
      </c>
      <c r="G120" s="2">
        <v>20</v>
      </c>
      <c r="H120" s="2">
        <f t="shared" si="22"/>
        <v>0</v>
      </c>
      <c r="I120" s="2">
        <f t="shared" si="23"/>
        <v>0</v>
      </c>
      <c r="J120" s="2">
        <v>3</v>
      </c>
      <c r="K120" s="2">
        <v>6000</v>
      </c>
      <c r="L120" s="2">
        <f>IF(J120=1,VLOOKUP('Duty Cycle '!K120,'Gearing '!$L$3:$O$28,2),IF(J120=2,VLOOKUP('Duty Cycle '!K120,'Gearing '!$L$2:$O$28,3),IF(J120=3,VLOOKUP('Duty Cycle '!K120,'Gearing '!$L$2:$O$28,4))))</f>
        <v>12.288789009112795</v>
      </c>
      <c r="M120" s="2">
        <f t="shared" si="15"/>
        <v>27.490021013385324</v>
      </c>
      <c r="N120" s="2">
        <f t="shared" si="24"/>
        <v>1.0240657507593998</v>
      </c>
      <c r="O120" s="2">
        <f>IF(J120=1,'Gearing '!$C$17*'Duty Cycle '!N120,IF(J120=2,'Gearing '!$C$18*'Duty Cycle '!N120,IF(J120=3,'Gearing '!$C$19*'Duty Cycle '!N120)))</f>
        <v>616.67569853141106</v>
      </c>
      <c r="P120" s="2">
        <f>IF(F120='Track '!$B$60,'Track '!$F$53,IF(F120='Track '!$B$61,'Track '!$F$54,IF(F120='Track '!$B$62,'Track '!$F$55)))</f>
        <v>0.02</v>
      </c>
      <c r="Q120" s="2">
        <f>P120*'Vehicle '!$F$38*9.81</f>
        <v>114.63966000000001</v>
      </c>
      <c r="R120" s="2">
        <f>0.5*'Vehicle '!$F$51*'Vehicle '!$F$25*'Track '!$F$57*'Duty Cycle '!L120^2</f>
        <v>57.70641290871982</v>
      </c>
      <c r="S120" s="2">
        <f>'Vehicle '!$F$38*9.81*SIN(RADIANS('Duty Cycle '!I120))</f>
        <v>0</v>
      </c>
      <c r="T120" s="2">
        <f t="shared" si="16"/>
        <v>789.02177144013092</v>
      </c>
      <c r="U120" s="2">
        <f t="shared" si="25"/>
        <v>9.6961220728241901</v>
      </c>
      <c r="V120" s="2">
        <f>'Vehicle '!$F$9-'Duty Cycle '!U120</f>
        <v>3.7266967191221188</v>
      </c>
      <c r="W120" s="2">
        <f t="shared" si="17"/>
        <v>9.6961220728241901</v>
      </c>
      <c r="X120" s="41">
        <f t="shared" si="26"/>
        <v>15.431857567124041</v>
      </c>
      <c r="Y120" s="41">
        <f t="shared" si="18"/>
        <v>16</v>
      </c>
      <c r="Z120" s="2">
        <f>T120*D120</f>
        <v>951499.31257693411</v>
      </c>
      <c r="AA120" s="2">
        <f t="shared" si="27"/>
        <v>26172518.170493502</v>
      </c>
      <c r="AB120" s="2">
        <f>INDEX('BSFC '!$D$5:$AD$27,MATCH('Duty Cycle '!Y120,'BSFC '!$B$5:$B$27,0),MATCH('Duty Cycle '!K120,'BSFC '!$D$28:$AD$28,0))</f>
        <v>398.59789376580005</v>
      </c>
      <c r="AC120" s="2">
        <f>U120*AB120/3600</f>
        <v>1.0735705099788349</v>
      </c>
      <c r="AD120" s="2">
        <f t="shared" si="28"/>
        <v>80.339237254388763</v>
      </c>
      <c r="AE120" s="2">
        <f t="shared" si="29"/>
        <v>3.3173328758345995</v>
      </c>
      <c r="AF120" s="2">
        <f>0.5*'Vehicle '!$F$38*'Duty Cycle '!L120^2/1000</f>
        <v>44.118838060960073</v>
      </c>
      <c r="AG120" s="2">
        <f t="shared" si="19"/>
        <v>951543.43141499511</v>
      </c>
    </row>
    <row r="121" spans="2:33" ht="30" customHeight="1" x14ac:dyDescent="0.25">
      <c r="B121" s="39">
        <f t="shared" si="20"/>
        <v>118</v>
      </c>
      <c r="C121" s="2" t="s">
        <v>101</v>
      </c>
      <c r="D121" s="2">
        <f>SUM($L$3:L121)</f>
        <v>1219.2356150916276</v>
      </c>
      <c r="E121" s="2">
        <f t="shared" si="21"/>
        <v>13.312854759872152</v>
      </c>
      <c r="F121" s="40" t="s">
        <v>95</v>
      </c>
      <c r="G121" s="2">
        <v>19.5</v>
      </c>
      <c r="H121" s="2">
        <f t="shared" si="22"/>
        <v>-0.5</v>
      </c>
      <c r="I121" s="2">
        <f t="shared" si="23"/>
        <v>-2.1508858631944063</v>
      </c>
      <c r="J121" s="2">
        <v>3</v>
      </c>
      <c r="K121" s="2">
        <v>6500</v>
      </c>
      <c r="L121" s="2">
        <f>IF(J121=1,VLOOKUP('Duty Cycle '!K121,'Gearing '!$L$3:$O$28,2),IF(J121=2,VLOOKUP('Duty Cycle '!K121,'Gearing '!$L$2:$O$28,3),IF(J121=3,VLOOKUP('Duty Cycle '!K121,'Gearing '!$L$2:$O$28,4))))</f>
        <v>13.312854759872195</v>
      </c>
      <c r="M121" s="2">
        <f t="shared" si="15"/>
        <v>29.780856097834103</v>
      </c>
      <c r="N121" s="2">
        <f t="shared" si="24"/>
        <v>1.0240657507593998</v>
      </c>
      <c r="O121" s="2">
        <f>IF(J121=1,'Gearing '!$C$17*'Duty Cycle '!N121,IF(J121=2,'Gearing '!$C$18*'Duty Cycle '!N121,IF(J121=3,'Gearing '!$C$19*'Duty Cycle '!N121)))</f>
        <v>616.67569853141106</v>
      </c>
      <c r="P121" s="2">
        <f>IF(F121='Track '!$B$60,'Track '!$F$53,IF(F121='Track '!$B$61,'Track '!$F$54,IF(F121='Track '!$B$62,'Track '!$F$55)))</f>
        <v>0.04</v>
      </c>
      <c r="Q121" s="2">
        <f>P121*'Vehicle '!$F$38*9.81</f>
        <v>229.27932000000001</v>
      </c>
      <c r="R121" s="2">
        <f>0.5*'Vehicle '!$F$51*'Vehicle '!$F$25*'Track '!$F$57*'Duty Cycle '!L121^2</f>
        <v>67.724887372039234</v>
      </c>
      <c r="S121" s="2">
        <f>'Vehicle '!$F$38*9.81*SIN(RADIANS('Duty Cycle '!I121))</f>
        <v>-215.12833520194437</v>
      </c>
      <c r="T121" s="2">
        <f t="shared" si="16"/>
        <v>698.55157070150585</v>
      </c>
      <c r="U121" s="2">
        <f t="shared" si="25"/>
        <v>9.2997156030297408</v>
      </c>
      <c r="V121" s="2">
        <f>'Vehicle '!$F$9-'Duty Cycle '!U121</f>
        <v>4.1231031889165681</v>
      </c>
      <c r="W121" s="2">
        <f t="shared" si="17"/>
        <v>9.2997156030297408</v>
      </c>
      <c r="X121" s="41">
        <f t="shared" si="26"/>
        <v>13.662421916040088</v>
      </c>
      <c r="Y121" s="41">
        <f t="shared" si="18"/>
        <v>14</v>
      </c>
      <c r="Z121" s="2">
        <f>T121*D121</f>
        <v>851698.95397747308</v>
      </c>
      <c r="AA121" s="2">
        <f t="shared" si="27"/>
        <v>27024217.124470975</v>
      </c>
      <c r="AB121" s="2">
        <f>INDEX('BSFC '!$D$5:$AD$27,MATCH('Duty Cycle '!Y121,'BSFC '!$B$5:$B$27,0),MATCH('Duty Cycle '!K121,'BSFC '!$D$28:$AD$28,0))</f>
        <v>462.6988313658</v>
      </c>
      <c r="AC121" s="2">
        <f>U121*AB121/3600</f>
        <v>1.195268761543377</v>
      </c>
      <c r="AD121" s="2">
        <f t="shared" si="28"/>
        <v>81.534506015932138</v>
      </c>
      <c r="AE121" s="2">
        <f t="shared" si="29"/>
        <v>3.6933804731690349</v>
      </c>
      <c r="AF121" s="2">
        <f>0.5*'Vehicle '!$F$38*'Duty Cycle '!L121^2/1000</f>
        <v>51.778358557654528</v>
      </c>
      <c r="AG121" s="2">
        <f t="shared" si="19"/>
        <v>851750.73233603069</v>
      </c>
    </row>
    <row r="122" spans="2:33" ht="30" customHeight="1" x14ac:dyDescent="0.25">
      <c r="B122" s="39">
        <f t="shared" si="20"/>
        <v>119</v>
      </c>
      <c r="C122" s="2" t="s">
        <v>110</v>
      </c>
      <c r="D122" s="2">
        <f>SUM($L$3:L122)</f>
        <v>1232.5484698514997</v>
      </c>
      <c r="E122" s="2">
        <f t="shared" si="21"/>
        <v>13.312854759872152</v>
      </c>
      <c r="F122" s="40" t="s">
        <v>95</v>
      </c>
      <c r="G122" s="2">
        <v>18.5</v>
      </c>
      <c r="H122" s="2">
        <f t="shared" si="22"/>
        <v>-1</v>
      </c>
      <c r="I122" s="2">
        <f t="shared" si="23"/>
        <v>-4.2957264645771662</v>
      </c>
      <c r="J122" s="2">
        <v>3</v>
      </c>
      <c r="K122" s="2">
        <v>6500</v>
      </c>
      <c r="L122" s="2">
        <f>IF(J122=1,VLOOKUP('Duty Cycle '!K122,'Gearing '!$L$3:$O$28,2),IF(J122=2,VLOOKUP('Duty Cycle '!K122,'Gearing '!$L$2:$O$28,3),IF(J122=3,VLOOKUP('Duty Cycle '!K122,'Gearing '!$L$2:$O$28,4))))</f>
        <v>13.312854759872195</v>
      </c>
      <c r="M122" s="2">
        <f t="shared" si="15"/>
        <v>29.780856097834103</v>
      </c>
      <c r="N122" s="2">
        <f t="shared" si="24"/>
        <v>0</v>
      </c>
      <c r="O122" s="2">
        <f>IF(J122=1,'Gearing '!$C$17*'Duty Cycle '!N122,IF(J122=2,'Gearing '!$C$18*'Duty Cycle '!N122,IF(J122=3,'Gearing '!$C$19*'Duty Cycle '!N122)))</f>
        <v>0</v>
      </c>
      <c r="P122" s="2">
        <f>IF(F122='Track '!$B$60,'Track '!$F$53,IF(F122='Track '!$B$61,'Track '!$F$54,IF(F122='Track '!$B$62,'Track '!$F$55)))</f>
        <v>0.04</v>
      </c>
      <c r="Q122" s="2">
        <f>P122*'Vehicle '!$F$38*9.81</f>
        <v>229.27932000000001</v>
      </c>
      <c r="R122" s="2">
        <f>0.5*'Vehicle '!$F$51*'Vehicle '!$F$25*'Track '!$F$57*'Duty Cycle '!L122^2</f>
        <v>67.724887372039234</v>
      </c>
      <c r="S122" s="2">
        <f>'Vehicle '!$F$38*9.81*SIN(RADIANS('Duty Cycle '!I122))</f>
        <v>-429.35045685489166</v>
      </c>
      <c r="T122" s="2">
        <f t="shared" si="16"/>
        <v>-132.34624948285244</v>
      </c>
      <c r="U122" s="2">
        <f t="shared" si="25"/>
        <v>1.7619063973790252</v>
      </c>
      <c r="V122" s="2">
        <f>'Vehicle '!$F$9-'Duty Cycle '!U122</f>
        <v>11.660912394567283</v>
      </c>
      <c r="W122" s="2">
        <f t="shared" si="17"/>
        <v>1.7619063973790252</v>
      </c>
      <c r="X122" s="41">
        <f t="shared" si="26"/>
        <v>2.5884564222286626</v>
      </c>
      <c r="Y122" s="41">
        <f t="shared" si="18"/>
        <v>3</v>
      </c>
      <c r="Z122" s="2">
        <f>T122*D122</f>
        <v>-163123.16729067461</v>
      </c>
      <c r="AA122" s="2">
        <f t="shared" si="27"/>
        <v>26861093.957180299</v>
      </c>
      <c r="AB122" s="2">
        <f>INDEX('BSFC '!$D$5:$AD$27,MATCH('Duty Cycle '!Y122,'BSFC '!$B$5:$B$27,0),MATCH('Duty Cycle '!K122,'BSFC '!$D$28:$AD$28,0))</f>
        <v>846.27984386579999</v>
      </c>
      <c r="AC122" s="2">
        <f>U122*AB122/3600</f>
        <v>0.41418496413335432</v>
      </c>
      <c r="AD122" s="2">
        <f t="shared" si="28"/>
        <v>81.948690980065493</v>
      </c>
      <c r="AE122" s="2">
        <f t="shared" si="29"/>
        <v>1.2798315391720647</v>
      </c>
      <c r="AF122" s="2">
        <f>0.5*'Vehicle '!$F$38*'Duty Cycle '!L122^2/1000</f>
        <v>51.778358557654528</v>
      </c>
      <c r="AG122" s="2">
        <f t="shared" si="19"/>
        <v>-163071.38893211694</v>
      </c>
    </row>
    <row r="123" spans="2:33" ht="30" customHeight="1" x14ac:dyDescent="0.25">
      <c r="B123" s="39">
        <f t="shared" si="20"/>
        <v>120</v>
      </c>
      <c r="C123" s="2" t="s">
        <v>110</v>
      </c>
      <c r="D123" s="2">
        <f>SUM($L$3:L123)</f>
        <v>1245.3492917359922</v>
      </c>
      <c r="E123" s="2">
        <f t="shared" si="21"/>
        <v>12.800821884492507</v>
      </c>
      <c r="F123" s="40" t="s">
        <v>95</v>
      </c>
      <c r="G123" s="2">
        <v>17.2</v>
      </c>
      <c r="H123" s="2">
        <f t="shared" si="22"/>
        <v>-1.3000000000000007</v>
      </c>
      <c r="I123" s="2">
        <f t="shared" si="23"/>
        <v>-5.7988478243737358</v>
      </c>
      <c r="J123" s="2">
        <v>3</v>
      </c>
      <c r="K123" s="2">
        <v>6250</v>
      </c>
      <c r="L123" s="2">
        <f>IF(J123=1,VLOOKUP('Duty Cycle '!K123,'Gearing '!$L$3:$O$28,2),IF(J123=2,VLOOKUP('Duty Cycle '!K123,'Gearing '!$L$2:$O$28,3),IF(J123=3,VLOOKUP('Duty Cycle '!K123,'Gearing '!$L$2:$O$28,4))))</f>
        <v>12.800821884492496</v>
      </c>
      <c r="M123" s="2">
        <f t="shared" si="15"/>
        <v>28.635438555609714</v>
      </c>
      <c r="N123" s="2">
        <f t="shared" si="24"/>
        <v>-0.51203287537969899</v>
      </c>
      <c r="O123" s="2">
        <f>IF(J123=1,'Gearing '!$C$17*'Duty Cycle '!N123,IF(J123=2,'Gearing '!$C$18*'Duty Cycle '!N123,IF(J123=3,'Gearing '!$C$19*'Duty Cycle '!N123)))</f>
        <v>-308.33784926570502</v>
      </c>
      <c r="P123" s="2">
        <f>IF(F123='Track '!$B$60,'Track '!$F$53,IF(F123='Track '!$B$61,'Track '!$F$54,IF(F123='Track '!$B$62,'Track '!$F$55)))</f>
        <v>0.04</v>
      </c>
      <c r="Q123" s="2">
        <f>P123*'Vehicle '!$F$38*9.81</f>
        <v>229.27932000000001</v>
      </c>
      <c r="R123" s="2">
        <f>0.5*'Vehicle '!$F$51*'Vehicle '!$F$25*'Track '!$F$57*'Duty Cycle '!L123^2</f>
        <v>62.615465395746334</v>
      </c>
      <c r="S123" s="2">
        <f>'Vehicle '!$F$38*9.81*SIN(RADIANS('Duty Cycle '!I123))</f>
        <v>-579.13830153195181</v>
      </c>
      <c r="T123" s="2">
        <f t="shared" si="16"/>
        <v>-595.58136540191049</v>
      </c>
      <c r="U123" s="2">
        <f t="shared" si="25"/>
        <v>7.6239309762326979</v>
      </c>
      <c r="V123" s="2">
        <f>'Vehicle '!$F$9-'Duty Cycle '!U123</f>
        <v>5.798887815713611</v>
      </c>
      <c r="W123" s="2">
        <f t="shared" si="17"/>
        <v>7.6239309762326979</v>
      </c>
      <c r="X123" s="41">
        <f t="shared" si="26"/>
        <v>11.648508486324991</v>
      </c>
      <c r="Y123" s="41">
        <f t="shared" si="18"/>
        <v>12</v>
      </c>
      <c r="Z123" s="2">
        <f>T123*D123</f>
        <v>-741706.8315744244</v>
      </c>
      <c r="AA123" s="2">
        <f t="shared" si="27"/>
        <v>26119387.125605874</v>
      </c>
      <c r="AB123" s="2">
        <f>INDEX('BSFC '!$D$5:$AD$27,MATCH('Duty Cycle '!Y123,'BSFC '!$B$5:$B$27,0),MATCH('Duty Cycle '!K123,'BSFC '!$D$28:$AD$28,0))</f>
        <v>375.73786776580022</v>
      </c>
      <c r="AC123" s="2">
        <f>U123*AB123/3600</f>
        <v>0.79572210250091935</v>
      </c>
      <c r="AD123" s="2">
        <f t="shared" si="28"/>
        <v>82.74441308256641</v>
      </c>
      <c r="AE123" s="2">
        <f t="shared" si="29"/>
        <v>2.4587812967278406</v>
      </c>
      <c r="AF123" s="2">
        <f>0.5*'Vehicle '!$F$38*'Duty Cycle '!L123^2/1000</f>
        <v>47.872003104340365</v>
      </c>
      <c r="AG123" s="2">
        <f t="shared" si="19"/>
        <v>-741658.9595713201</v>
      </c>
    </row>
    <row r="124" spans="2:33" ht="30" customHeight="1" x14ac:dyDescent="0.25">
      <c r="B124" s="39">
        <f t="shared" si="20"/>
        <v>121</v>
      </c>
      <c r="C124" s="2" t="s">
        <v>110</v>
      </c>
      <c r="D124" s="2">
        <f>SUM($L$3:L124)</f>
        <v>1257.6380807451051</v>
      </c>
      <c r="E124" s="2">
        <f t="shared" si="21"/>
        <v>12.288789009112861</v>
      </c>
      <c r="F124" s="40" t="s">
        <v>95</v>
      </c>
      <c r="G124" s="2">
        <v>16</v>
      </c>
      <c r="H124" s="2">
        <f t="shared" si="22"/>
        <v>-1.1999999999999993</v>
      </c>
      <c r="I124" s="2">
        <f t="shared" si="23"/>
        <v>-5.5772492511100475</v>
      </c>
      <c r="J124" s="2">
        <v>3</v>
      </c>
      <c r="K124" s="2">
        <v>6000</v>
      </c>
      <c r="L124" s="2">
        <f>IF(J124=1,VLOOKUP('Duty Cycle '!K124,'Gearing '!$L$3:$O$28,2),IF(J124=2,VLOOKUP('Duty Cycle '!K124,'Gearing '!$L$2:$O$28,3),IF(J124=3,VLOOKUP('Duty Cycle '!K124,'Gearing '!$L$2:$O$28,4))))</f>
        <v>12.288789009112795</v>
      </c>
      <c r="M124" s="2">
        <f t="shared" si="15"/>
        <v>27.490021013385324</v>
      </c>
      <c r="N124" s="2">
        <f t="shared" si="24"/>
        <v>-0.51203287537970077</v>
      </c>
      <c r="O124" s="2">
        <f>IF(J124=1,'Gearing '!$C$17*'Duty Cycle '!N124,IF(J124=2,'Gearing '!$C$18*'Duty Cycle '!N124,IF(J124=3,'Gearing '!$C$19*'Duty Cycle '!N124)))</f>
        <v>-308.3378492657061</v>
      </c>
      <c r="P124" s="2">
        <f>IF(F124='Track '!$B$60,'Track '!$F$53,IF(F124='Track '!$B$61,'Track '!$F$54,IF(F124='Track '!$B$62,'Track '!$F$55)))</f>
        <v>0.04</v>
      </c>
      <c r="Q124" s="2">
        <f>P124*'Vehicle '!$F$38*9.81</f>
        <v>229.27932000000001</v>
      </c>
      <c r="R124" s="2">
        <f>0.5*'Vehicle '!$F$51*'Vehicle '!$F$25*'Track '!$F$57*'Duty Cycle '!L124^2</f>
        <v>57.70641290871982</v>
      </c>
      <c r="S124" s="2">
        <f>'Vehicle '!$F$38*9.81*SIN(RADIANS('Duty Cycle '!I124))</f>
        <v>-557.07831117949968</v>
      </c>
      <c r="T124" s="2">
        <f t="shared" si="16"/>
        <v>-578.43042753648592</v>
      </c>
      <c r="U124" s="2">
        <f t="shared" si="25"/>
        <v>7.1082094804467832</v>
      </c>
      <c r="V124" s="2">
        <f>'Vehicle '!$F$9-'Duty Cycle '!U124</f>
        <v>6.3146093114995256</v>
      </c>
      <c r="W124" s="2">
        <f t="shared" si="17"/>
        <v>7.1082094804467832</v>
      </c>
      <c r="X124" s="41">
        <f t="shared" si="26"/>
        <v>11.313066753457788</v>
      </c>
      <c r="Y124" s="41">
        <f t="shared" si="18"/>
        <v>12</v>
      </c>
      <c r="Z124" s="2">
        <f>T124*D124</f>
        <v>-727456.13273155678</v>
      </c>
      <c r="AA124" s="2">
        <f t="shared" si="27"/>
        <v>25391930.992874317</v>
      </c>
      <c r="AB124" s="2">
        <f>INDEX('BSFC '!$D$5:$AD$27,MATCH('Duty Cycle '!Y124,'BSFC '!$B$5:$B$27,0),MATCH('Duty Cycle '!K124,'BSFC '!$D$28:$AD$28,0))</f>
        <v>345.49191776580017</v>
      </c>
      <c r="AC124" s="2">
        <f>U124*AB124/3600</f>
        <v>0.68217470146683368</v>
      </c>
      <c r="AD124" s="2">
        <f t="shared" si="28"/>
        <v>83.426587784033245</v>
      </c>
      <c r="AE124" s="2">
        <f t="shared" si="29"/>
        <v>2.1079198275325162</v>
      </c>
      <c r="AF124" s="2">
        <f>0.5*'Vehicle '!$F$38*'Duty Cycle '!L124^2/1000</f>
        <v>44.118838060960073</v>
      </c>
      <c r="AG124" s="2">
        <f t="shared" si="19"/>
        <v>-727412.01389349578</v>
      </c>
    </row>
    <row r="125" spans="2:33" ht="30" customHeight="1" x14ac:dyDescent="0.25">
      <c r="B125" s="39">
        <f t="shared" si="20"/>
        <v>122</v>
      </c>
      <c r="C125" s="2" t="s">
        <v>110</v>
      </c>
      <c r="D125" s="2">
        <f>SUM($L$3:L125)</f>
        <v>1269.9268697542179</v>
      </c>
      <c r="E125" s="2">
        <f t="shared" si="21"/>
        <v>12.288789009112861</v>
      </c>
      <c r="F125" s="40" t="s">
        <v>95</v>
      </c>
      <c r="G125" s="2">
        <v>14.8</v>
      </c>
      <c r="H125" s="2">
        <f t="shared" si="22"/>
        <v>-1.1999999999999993</v>
      </c>
      <c r="I125" s="2">
        <f t="shared" si="23"/>
        <v>-5.5772492511100475</v>
      </c>
      <c r="J125" s="2">
        <v>3</v>
      </c>
      <c r="K125" s="2">
        <v>6000</v>
      </c>
      <c r="L125" s="2">
        <f>IF(J125=1,VLOOKUP('Duty Cycle '!K125,'Gearing '!$L$3:$O$28,2),IF(J125=2,VLOOKUP('Duty Cycle '!K125,'Gearing '!$L$2:$O$28,3),IF(J125=3,VLOOKUP('Duty Cycle '!K125,'Gearing '!$L$2:$O$28,4))))</f>
        <v>12.288789009112795</v>
      </c>
      <c r="M125" s="2">
        <f t="shared" si="15"/>
        <v>27.490021013385324</v>
      </c>
      <c r="N125" s="2">
        <f t="shared" si="24"/>
        <v>0</v>
      </c>
      <c r="O125" s="2">
        <f>IF(J125=1,'Gearing '!$C$17*'Duty Cycle '!N125,IF(J125=2,'Gearing '!$C$18*'Duty Cycle '!N125,IF(J125=3,'Gearing '!$C$19*'Duty Cycle '!N125)))</f>
        <v>0</v>
      </c>
      <c r="P125" s="2">
        <f>IF(F125='Track '!$B$60,'Track '!$F$53,IF(F125='Track '!$B$61,'Track '!$F$54,IF(F125='Track '!$B$62,'Track '!$F$55)))</f>
        <v>0.04</v>
      </c>
      <c r="Q125" s="2">
        <f>P125*'Vehicle '!$F$38*9.81</f>
        <v>229.27932000000001</v>
      </c>
      <c r="R125" s="2">
        <f>0.5*'Vehicle '!$F$51*'Vehicle '!$F$25*'Track '!$F$57*'Duty Cycle '!L125^2</f>
        <v>57.70641290871982</v>
      </c>
      <c r="S125" s="2">
        <f>'Vehicle '!$F$38*9.81*SIN(RADIANS('Duty Cycle '!I125))</f>
        <v>-557.07831117949968</v>
      </c>
      <c r="T125" s="2">
        <f t="shared" si="16"/>
        <v>-270.09257827077982</v>
      </c>
      <c r="U125" s="2">
        <f t="shared" si="25"/>
        <v>3.3191107072968968</v>
      </c>
      <c r="V125" s="2">
        <f>'Vehicle '!$F$9-'Duty Cycle '!U125</f>
        <v>10.103708084649412</v>
      </c>
      <c r="W125" s="2">
        <f t="shared" si="17"/>
        <v>3.3191107072968968</v>
      </c>
      <c r="X125" s="41">
        <f t="shared" si="26"/>
        <v>5.2825287573553803</v>
      </c>
      <c r="Y125" s="41">
        <f t="shared" si="18"/>
        <v>6</v>
      </c>
      <c r="Z125" s="2">
        <f>T125*D125</f>
        <v>-342997.8224672575</v>
      </c>
      <c r="AA125" s="2">
        <f t="shared" si="27"/>
        <v>25048933.170407061</v>
      </c>
      <c r="AB125" s="2">
        <f>INDEX('BSFC '!$D$5:$AD$27,MATCH('Duty Cycle '!Y125,'BSFC '!$B$5:$B$27,0),MATCH('Duty Cycle '!K125,'BSFC '!$D$28:$AD$28,0))</f>
        <v>637.48134416580001</v>
      </c>
      <c r="AC125" s="2">
        <f>U125*AB125/3600</f>
        <v>0.58774198753409035</v>
      </c>
      <c r="AD125" s="2">
        <f t="shared" si="28"/>
        <v>84.014329771567333</v>
      </c>
      <c r="AE125" s="2">
        <f t="shared" si="29"/>
        <v>1.8161227414803391</v>
      </c>
      <c r="AF125" s="2">
        <f>0.5*'Vehicle '!$F$38*'Duty Cycle '!L125^2/1000</f>
        <v>44.118838060960073</v>
      </c>
      <c r="AG125" s="2">
        <f t="shared" si="19"/>
        <v>-342953.70362919656</v>
      </c>
    </row>
    <row r="126" spans="2:33" ht="30" customHeight="1" x14ac:dyDescent="0.25">
      <c r="B126" s="39">
        <f t="shared" si="20"/>
        <v>123</v>
      </c>
      <c r="C126" s="2" t="s">
        <v>110</v>
      </c>
      <c r="D126" s="2">
        <f>SUM($L$3:L126)</f>
        <v>1282.2156587633308</v>
      </c>
      <c r="E126" s="2">
        <f t="shared" si="21"/>
        <v>12.288789009112861</v>
      </c>
      <c r="F126" s="40" t="s">
        <v>95</v>
      </c>
      <c r="G126" s="2">
        <v>13.6</v>
      </c>
      <c r="H126" s="2">
        <f t="shared" si="22"/>
        <v>-1.2000000000000011</v>
      </c>
      <c r="I126" s="2">
        <f t="shared" si="23"/>
        <v>-5.5772492511100555</v>
      </c>
      <c r="J126" s="2">
        <v>3</v>
      </c>
      <c r="K126" s="2">
        <v>6000</v>
      </c>
      <c r="L126" s="2">
        <f>IF(J126=1,VLOOKUP('Duty Cycle '!K126,'Gearing '!$L$3:$O$28,2),IF(J126=2,VLOOKUP('Duty Cycle '!K126,'Gearing '!$L$2:$O$28,3),IF(J126=3,VLOOKUP('Duty Cycle '!K126,'Gearing '!$L$2:$O$28,4))))</f>
        <v>12.288789009112795</v>
      </c>
      <c r="M126" s="2">
        <f t="shared" si="15"/>
        <v>27.490021013385324</v>
      </c>
      <c r="N126" s="2">
        <f t="shared" si="24"/>
        <v>0</v>
      </c>
      <c r="O126" s="2">
        <f>IF(J126=1,'Gearing '!$C$17*'Duty Cycle '!N126,IF(J126=2,'Gearing '!$C$18*'Duty Cycle '!N126,IF(J126=3,'Gearing '!$C$19*'Duty Cycle '!N126)))</f>
        <v>0</v>
      </c>
      <c r="P126" s="2">
        <f>IF(F126='Track '!$B$60,'Track '!$F$53,IF(F126='Track '!$B$61,'Track '!$F$54,IF(F126='Track '!$B$62,'Track '!$F$55)))</f>
        <v>0.04</v>
      </c>
      <c r="Q126" s="2">
        <f>P126*'Vehicle '!$F$38*9.81</f>
        <v>229.27932000000001</v>
      </c>
      <c r="R126" s="2">
        <f>0.5*'Vehicle '!$F$51*'Vehicle '!$F$25*'Track '!$F$57*'Duty Cycle '!L126^2</f>
        <v>57.70641290871982</v>
      </c>
      <c r="S126" s="2">
        <f>'Vehicle '!$F$38*9.81*SIN(RADIANS('Duty Cycle '!I126))</f>
        <v>-557.07831117950047</v>
      </c>
      <c r="T126" s="2">
        <f t="shared" si="16"/>
        <v>-270.09257827078062</v>
      </c>
      <c r="U126" s="2">
        <f t="shared" si="25"/>
        <v>3.3191107072969062</v>
      </c>
      <c r="V126" s="2">
        <f>'Vehicle '!$F$9-'Duty Cycle '!U126</f>
        <v>10.103708084649403</v>
      </c>
      <c r="W126" s="2">
        <f t="shared" si="17"/>
        <v>3.3191107072969062</v>
      </c>
      <c r="X126" s="41">
        <f t="shared" si="26"/>
        <v>5.2825287573553954</v>
      </c>
      <c r="Y126" s="41">
        <f t="shared" si="18"/>
        <v>6</v>
      </c>
      <c r="Z126" s="2">
        <f>T126*D126</f>
        <v>-346316.93317455548</v>
      </c>
      <c r="AA126" s="2">
        <f t="shared" si="27"/>
        <v>24702616.237232506</v>
      </c>
      <c r="AB126" s="2">
        <f>INDEX('BSFC '!$D$5:$AD$27,MATCH('Duty Cycle '!Y126,'BSFC '!$B$5:$B$27,0),MATCH('Duty Cycle '!K126,'BSFC '!$D$28:$AD$28,0))</f>
        <v>637.48134416580001</v>
      </c>
      <c r="AC126" s="2">
        <f>U126*AB126/3600</f>
        <v>0.58774198753409201</v>
      </c>
      <c r="AD126" s="2">
        <f t="shared" si="28"/>
        <v>84.60207175910142</v>
      </c>
      <c r="AE126" s="2">
        <f t="shared" si="29"/>
        <v>1.8161227414803442</v>
      </c>
      <c r="AF126" s="2">
        <f>0.5*'Vehicle '!$F$38*'Duty Cycle '!L126^2/1000</f>
        <v>44.118838060960073</v>
      </c>
      <c r="AG126" s="2">
        <f t="shared" si="19"/>
        <v>-346272.81433649454</v>
      </c>
    </row>
    <row r="127" spans="2:33" ht="30" customHeight="1" x14ac:dyDescent="0.25">
      <c r="B127" s="39">
        <f t="shared" si="20"/>
        <v>124</v>
      </c>
      <c r="C127" s="2" t="s">
        <v>110</v>
      </c>
      <c r="D127" s="2">
        <f>SUM($L$3:L127)</f>
        <v>1294.5044477724437</v>
      </c>
      <c r="E127" s="2">
        <f t="shared" si="21"/>
        <v>12.288789009112861</v>
      </c>
      <c r="F127" s="40" t="s">
        <v>95</v>
      </c>
      <c r="G127" s="2">
        <v>12.6</v>
      </c>
      <c r="H127" s="2">
        <f t="shared" si="22"/>
        <v>-1</v>
      </c>
      <c r="I127" s="2">
        <f t="shared" si="23"/>
        <v>-4.6521924040056239</v>
      </c>
      <c r="J127" s="2">
        <v>3</v>
      </c>
      <c r="K127" s="2">
        <v>6000</v>
      </c>
      <c r="L127" s="2">
        <f>IF(J127=1,VLOOKUP('Duty Cycle '!K127,'Gearing '!$L$3:$O$28,2),IF(J127=2,VLOOKUP('Duty Cycle '!K127,'Gearing '!$L$2:$O$28,3),IF(J127=3,VLOOKUP('Duty Cycle '!K127,'Gearing '!$L$2:$O$28,4))))</f>
        <v>12.288789009112795</v>
      </c>
      <c r="M127" s="2">
        <f t="shared" si="15"/>
        <v>27.490021013385324</v>
      </c>
      <c r="N127" s="2">
        <f t="shared" si="24"/>
        <v>0</v>
      </c>
      <c r="O127" s="2">
        <f>IF(J127=1,'Gearing '!$C$17*'Duty Cycle '!N127,IF(J127=2,'Gearing '!$C$18*'Duty Cycle '!N127,IF(J127=3,'Gearing '!$C$19*'Duty Cycle '!N127)))</f>
        <v>0</v>
      </c>
      <c r="P127" s="2">
        <f>IF(F127='Track '!$B$60,'Track '!$F$53,IF(F127='Track '!$B$61,'Track '!$F$54,IF(F127='Track '!$B$62,'Track '!$F$55)))</f>
        <v>0.04</v>
      </c>
      <c r="Q127" s="2">
        <f>P127*'Vehicle '!$F$38*9.81</f>
        <v>229.27932000000001</v>
      </c>
      <c r="R127" s="2">
        <f>0.5*'Vehicle '!$F$51*'Vehicle '!$F$25*'Track '!$F$57*'Duty Cycle '!L127^2</f>
        <v>57.70641290871982</v>
      </c>
      <c r="S127" s="2">
        <f>'Vehicle '!$F$38*9.81*SIN(RADIANS('Duty Cycle '!I127))</f>
        <v>-464.90329178951038</v>
      </c>
      <c r="T127" s="2">
        <f t="shared" si="16"/>
        <v>-177.91755888079052</v>
      </c>
      <c r="U127" s="2">
        <f t="shared" si="25"/>
        <v>2.186391342102437</v>
      </c>
      <c r="V127" s="2">
        <f>'Vehicle '!$F$9-'Duty Cycle '!U127</f>
        <v>11.236427449843871</v>
      </c>
      <c r="W127" s="2">
        <f t="shared" si="17"/>
        <v>2.186391342102437</v>
      </c>
      <c r="X127" s="41">
        <f t="shared" si="26"/>
        <v>3.4797498962892606</v>
      </c>
      <c r="Y127" s="41">
        <f t="shared" si="18"/>
        <v>4</v>
      </c>
      <c r="Z127" s="2">
        <f>T127*D127</f>
        <v>-230315.07130799897</v>
      </c>
      <c r="AA127" s="2">
        <f t="shared" si="27"/>
        <v>24472301.165924508</v>
      </c>
      <c r="AB127" s="2">
        <f>INDEX('BSFC '!$D$5:$AD$27,MATCH('Duty Cycle '!Y127,'BSFC '!$B$5:$B$27,0),MATCH('Duty Cycle '!K127,'BSFC '!$D$28:$AD$28,0))</f>
        <v>753.64326920579992</v>
      </c>
      <c r="AC127" s="2">
        <f>U127*AB127/3600</f>
        <v>0.45771086634037139</v>
      </c>
      <c r="AD127" s="2">
        <f t="shared" si="28"/>
        <v>85.059782625441798</v>
      </c>
      <c r="AE127" s="2">
        <f t="shared" si="29"/>
        <v>1.4143265769917475</v>
      </c>
      <c r="AF127" s="2">
        <f>0.5*'Vehicle '!$F$38*'Duty Cycle '!L127^2/1000</f>
        <v>44.118838060960073</v>
      </c>
      <c r="AG127" s="2">
        <f t="shared" si="19"/>
        <v>-230270.952469938</v>
      </c>
    </row>
    <row r="128" spans="2:33" ht="30" customHeight="1" x14ac:dyDescent="0.25">
      <c r="B128" s="39">
        <f t="shared" si="20"/>
        <v>125</v>
      </c>
      <c r="C128" s="2" t="s">
        <v>110</v>
      </c>
      <c r="D128" s="2">
        <f>SUM($L$3:L128)</f>
        <v>1306.7932367815565</v>
      </c>
      <c r="E128" s="2">
        <f t="shared" si="21"/>
        <v>12.288789009112861</v>
      </c>
      <c r="F128" s="40" t="s">
        <v>95</v>
      </c>
      <c r="G128" s="2">
        <v>11.6</v>
      </c>
      <c r="H128" s="2">
        <f t="shared" si="22"/>
        <v>-1</v>
      </c>
      <c r="I128" s="2">
        <f t="shared" si="23"/>
        <v>-4.6521924040056239</v>
      </c>
      <c r="J128" s="2">
        <v>3</v>
      </c>
      <c r="K128" s="2">
        <v>6000</v>
      </c>
      <c r="L128" s="2">
        <f>IF(J128=1,VLOOKUP('Duty Cycle '!K128,'Gearing '!$L$3:$O$28,2),IF(J128=2,VLOOKUP('Duty Cycle '!K128,'Gearing '!$L$2:$O$28,3),IF(J128=3,VLOOKUP('Duty Cycle '!K128,'Gearing '!$L$2:$O$28,4))))</f>
        <v>12.288789009112795</v>
      </c>
      <c r="M128" s="2">
        <f t="shared" si="15"/>
        <v>27.490021013385324</v>
      </c>
      <c r="N128" s="2">
        <f t="shared" si="24"/>
        <v>0</v>
      </c>
      <c r="O128" s="2">
        <f>IF(J128=1,'Gearing '!$C$17*'Duty Cycle '!N128,IF(J128=2,'Gearing '!$C$18*'Duty Cycle '!N128,IF(J128=3,'Gearing '!$C$19*'Duty Cycle '!N128)))</f>
        <v>0</v>
      </c>
      <c r="P128" s="2">
        <f>IF(F128='Track '!$B$60,'Track '!$F$53,IF(F128='Track '!$B$61,'Track '!$F$54,IF(F128='Track '!$B$62,'Track '!$F$55)))</f>
        <v>0.04</v>
      </c>
      <c r="Q128" s="2">
        <f>P128*'Vehicle '!$F$38*9.81</f>
        <v>229.27932000000001</v>
      </c>
      <c r="R128" s="2">
        <f>0.5*'Vehicle '!$F$51*'Vehicle '!$F$25*'Track '!$F$57*'Duty Cycle '!L128^2</f>
        <v>57.70641290871982</v>
      </c>
      <c r="S128" s="2">
        <f>'Vehicle '!$F$38*9.81*SIN(RADIANS('Duty Cycle '!I128))</f>
        <v>-464.90329178951038</v>
      </c>
      <c r="T128" s="2">
        <f t="shared" si="16"/>
        <v>-177.91755888079052</v>
      </c>
      <c r="U128" s="2">
        <f t="shared" si="25"/>
        <v>2.186391342102437</v>
      </c>
      <c r="V128" s="2">
        <f>'Vehicle '!$F$9-'Duty Cycle '!U128</f>
        <v>11.236427449843871</v>
      </c>
      <c r="W128" s="2">
        <f t="shared" si="17"/>
        <v>2.186391342102437</v>
      </c>
      <c r="X128" s="41">
        <f t="shared" si="26"/>
        <v>3.4797498962892606</v>
      </c>
      <c r="Y128" s="41">
        <f t="shared" si="18"/>
        <v>4</v>
      </c>
      <c r="Z128" s="2">
        <f>T128*D128</f>
        <v>-232501.4626501014</v>
      </c>
      <c r="AA128" s="2">
        <f t="shared" si="27"/>
        <v>24239799.703274406</v>
      </c>
      <c r="AB128" s="2">
        <f>INDEX('BSFC '!$D$5:$AD$27,MATCH('Duty Cycle '!Y128,'BSFC '!$B$5:$B$27,0),MATCH('Duty Cycle '!K128,'BSFC '!$D$28:$AD$28,0))</f>
        <v>753.64326920579992</v>
      </c>
      <c r="AC128" s="2">
        <f>U128*AB128/3600</f>
        <v>0.45771086634037139</v>
      </c>
      <c r="AD128" s="2">
        <f t="shared" si="28"/>
        <v>85.517493491782176</v>
      </c>
      <c r="AE128" s="2">
        <f t="shared" si="29"/>
        <v>1.4143265769917475</v>
      </c>
      <c r="AF128" s="2">
        <f>0.5*'Vehicle '!$F$38*'Duty Cycle '!L128^2/1000</f>
        <v>44.118838060960073</v>
      </c>
      <c r="AG128" s="2">
        <f t="shared" si="19"/>
        <v>-232457.34381204043</v>
      </c>
    </row>
    <row r="129" spans="2:33" ht="30" customHeight="1" x14ac:dyDescent="0.25">
      <c r="B129" s="39">
        <f t="shared" si="20"/>
        <v>126</v>
      </c>
      <c r="C129" s="2" t="s">
        <v>110</v>
      </c>
      <c r="D129" s="2">
        <f>SUM($L$3:L129)</f>
        <v>1319.0820257906694</v>
      </c>
      <c r="E129" s="2">
        <f t="shared" si="21"/>
        <v>12.288789009112861</v>
      </c>
      <c r="F129" s="40" t="s">
        <v>95</v>
      </c>
      <c r="G129" s="2">
        <v>10.6</v>
      </c>
      <c r="H129" s="2">
        <f t="shared" si="22"/>
        <v>-1</v>
      </c>
      <c r="I129" s="2">
        <f t="shared" si="23"/>
        <v>-4.6521924040056239</v>
      </c>
      <c r="J129" s="2">
        <v>3</v>
      </c>
      <c r="K129" s="2">
        <v>6000</v>
      </c>
      <c r="L129" s="2">
        <f>IF(J129=1,VLOOKUP('Duty Cycle '!K129,'Gearing '!$L$3:$O$28,2),IF(J129=2,VLOOKUP('Duty Cycle '!K129,'Gearing '!$L$2:$O$28,3),IF(J129=3,VLOOKUP('Duty Cycle '!K129,'Gearing '!$L$2:$O$28,4))))</f>
        <v>12.288789009112795</v>
      </c>
      <c r="M129" s="2">
        <f t="shared" si="15"/>
        <v>27.490021013385324</v>
      </c>
      <c r="N129" s="2">
        <f t="shared" si="24"/>
        <v>0</v>
      </c>
      <c r="O129" s="2">
        <f>IF(J129=1,'Gearing '!$C$17*'Duty Cycle '!N129,IF(J129=2,'Gearing '!$C$18*'Duty Cycle '!N129,IF(J129=3,'Gearing '!$C$19*'Duty Cycle '!N129)))</f>
        <v>0</v>
      </c>
      <c r="P129" s="2">
        <f>IF(F129='Track '!$B$60,'Track '!$F$53,IF(F129='Track '!$B$61,'Track '!$F$54,IF(F129='Track '!$B$62,'Track '!$F$55)))</f>
        <v>0.04</v>
      </c>
      <c r="Q129" s="2">
        <f>P129*'Vehicle '!$F$38*9.81</f>
        <v>229.27932000000001</v>
      </c>
      <c r="R129" s="2">
        <f>0.5*'Vehicle '!$F$51*'Vehicle '!$F$25*'Track '!$F$57*'Duty Cycle '!L129^2</f>
        <v>57.70641290871982</v>
      </c>
      <c r="S129" s="2">
        <f>'Vehicle '!$F$38*9.81*SIN(RADIANS('Duty Cycle '!I129))</f>
        <v>-464.90329178951038</v>
      </c>
      <c r="T129" s="2">
        <f t="shared" si="16"/>
        <v>-177.91755888079052</v>
      </c>
      <c r="U129" s="2">
        <f t="shared" si="25"/>
        <v>2.186391342102437</v>
      </c>
      <c r="V129" s="2">
        <f>'Vehicle '!$F$9-'Duty Cycle '!U129</f>
        <v>11.236427449843871</v>
      </c>
      <c r="W129" s="2">
        <f t="shared" si="17"/>
        <v>2.186391342102437</v>
      </c>
      <c r="X129" s="41">
        <f t="shared" si="26"/>
        <v>3.4797498962892606</v>
      </c>
      <c r="Y129" s="41">
        <f t="shared" si="18"/>
        <v>4</v>
      </c>
      <c r="Z129" s="2">
        <f>T129*D129</f>
        <v>-234687.85399220386</v>
      </c>
      <c r="AA129" s="2">
        <f t="shared" si="27"/>
        <v>24005111.849282201</v>
      </c>
      <c r="AB129" s="2">
        <f>INDEX('BSFC '!$D$5:$AD$27,MATCH('Duty Cycle '!Y129,'BSFC '!$B$5:$B$27,0),MATCH('Duty Cycle '!K129,'BSFC '!$D$28:$AD$28,0))</f>
        <v>753.64326920579992</v>
      </c>
      <c r="AC129" s="2">
        <f>U129*AB129/3600</f>
        <v>0.45771086634037139</v>
      </c>
      <c r="AD129" s="2">
        <f t="shared" si="28"/>
        <v>85.975204358122554</v>
      </c>
      <c r="AE129" s="2">
        <f t="shared" si="29"/>
        <v>1.4143265769917475</v>
      </c>
      <c r="AF129" s="2">
        <f>0.5*'Vehicle '!$F$38*'Duty Cycle '!L129^2/1000</f>
        <v>44.118838060960073</v>
      </c>
      <c r="AG129" s="2">
        <f t="shared" si="19"/>
        <v>-234643.73515414289</v>
      </c>
    </row>
    <row r="130" spans="2:33" ht="30" customHeight="1" x14ac:dyDescent="0.25">
      <c r="B130" s="39">
        <f t="shared" si="20"/>
        <v>127</v>
      </c>
      <c r="C130" s="2" t="s">
        <v>110</v>
      </c>
      <c r="D130" s="2">
        <f>SUM($L$3:L130)</f>
        <v>1331.8828476751619</v>
      </c>
      <c r="E130" s="2">
        <f t="shared" si="21"/>
        <v>12.800821884492507</v>
      </c>
      <c r="F130" s="40" t="s">
        <v>95</v>
      </c>
      <c r="G130" s="2">
        <v>10</v>
      </c>
      <c r="H130" s="2">
        <f t="shared" si="22"/>
        <v>-0.59999999999999964</v>
      </c>
      <c r="I130" s="2">
        <f t="shared" si="23"/>
        <v>-2.6836030979738985</v>
      </c>
      <c r="J130" s="2">
        <v>3</v>
      </c>
      <c r="K130" s="2">
        <v>6250</v>
      </c>
      <c r="L130" s="2">
        <f>IF(J130=1,VLOOKUP('Duty Cycle '!K130,'Gearing '!$L$3:$O$28,2),IF(J130=2,VLOOKUP('Duty Cycle '!K130,'Gearing '!$L$2:$O$28,3),IF(J130=3,VLOOKUP('Duty Cycle '!K130,'Gearing '!$L$2:$O$28,4))))</f>
        <v>12.800821884492496</v>
      </c>
      <c r="M130" s="2">
        <f t="shared" si="15"/>
        <v>28.635438555609714</v>
      </c>
      <c r="N130" s="2">
        <f t="shared" si="24"/>
        <v>0.51203287537970077</v>
      </c>
      <c r="O130" s="2">
        <f>IF(J130=1,'Gearing '!$C$17*'Duty Cycle '!N130,IF(J130=2,'Gearing '!$C$18*'Duty Cycle '!N130,IF(J130=3,'Gearing '!$C$19*'Duty Cycle '!N130)))</f>
        <v>308.3378492657061</v>
      </c>
      <c r="P130" s="2">
        <f>IF(F130='Track '!$B$60,'Track '!$F$53,IF(F130='Track '!$B$61,'Track '!$F$54,IF(F130='Track '!$B$62,'Track '!$F$55)))</f>
        <v>0.04</v>
      </c>
      <c r="Q130" s="2">
        <f>P130*'Vehicle '!$F$38*9.81</f>
        <v>229.27932000000001</v>
      </c>
      <c r="R130" s="2">
        <f>0.5*'Vehicle '!$F$51*'Vehicle '!$F$25*'Track '!$F$57*'Duty Cycle '!L130^2</f>
        <v>62.615465395746334</v>
      </c>
      <c r="S130" s="2">
        <f>'Vehicle '!$F$38*9.81*SIN(RADIANS('Duty Cycle '!I130))</f>
        <v>-268.37480616942105</v>
      </c>
      <c r="T130" s="2">
        <f t="shared" si="16"/>
        <v>331.85782849203139</v>
      </c>
      <c r="U130" s="2">
        <f t="shared" si="25"/>
        <v>4.2480529535009524</v>
      </c>
      <c r="V130" s="2">
        <f>'Vehicle '!$F$9-'Duty Cycle '!U130</f>
        <v>9.1747658384453565</v>
      </c>
      <c r="W130" s="2">
        <f t="shared" si="17"/>
        <v>4.2480529535009524</v>
      </c>
      <c r="X130" s="41">
        <f t="shared" si="26"/>
        <v>6.4905468102316997</v>
      </c>
      <c r="Y130" s="41">
        <f t="shared" si="18"/>
        <v>7</v>
      </c>
      <c r="Z130" s="2">
        <f>T130*D130</f>
        <v>441995.74963526224</v>
      </c>
      <c r="AA130" s="2">
        <f t="shared" si="27"/>
        <v>24447107.598917462</v>
      </c>
      <c r="AB130" s="2">
        <f>INDEX('BSFC '!$D$5:$AD$27,MATCH('Duty Cycle '!Y130,'BSFC '!$B$5:$B$27,0),MATCH('Duty Cycle '!K130,'BSFC '!$D$28:$AD$28,0))</f>
        <v>614.82066024580013</v>
      </c>
      <c r="AC130" s="2">
        <f>U130*AB130/3600</f>
        <v>0.72549742267516015</v>
      </c>
      <c r="AD130" s="2">
        <f t="shared" si="28"/>
        <v>86.700701780797715</v>
      </c>
      <c r="AE130" s="2">
        <f t="shared" si="29"/>
        <v>2.2417870360662446</v>
      </c>
      <c r="AF130" s="2">
        <f>0.5*'Vehicle '!$F$38*'Duty Cycle '!L130^2/1000</f>
        <v>47.872003104340365</v>
      </c>
      <c r="AG130" s="2">
        <f t="shared" si="19"/>
        <v>442043.6216383666</v>
      </c>
    </row>
    <row r="131" spans="2:33" ht="30" customHeight="1" x14ac:dyDescent="0.25">
      <c r="B131" s="39">
        <f t="shared" si="20"/>
        <v>128</v>
      </c>
      <c r="C131" s="2" t="s">
        <v>110</v>
      </c>
      <c r="D131" s="2">
        <f>SUM($L$3:L131)</f>
        <v>1345.195702435034</v>
      </c>
      <c r="E131" s="2">
        <f t="shared" si="21"/>
        <v>13.312854759872152</v>
      </c>
      <c r="F131" s="40" t="s">
        <v>95</v>
      </c>
      <c r="G131" s="2">
        <v>10</v>
      </c>
      <c r="H131" s="2">
        <f t="shared" si="22"/>
        <v>0</v>
      </c>
      <c r="I131" s="2">
        <f t="shared" si="23"/>
        <v>0</v>
      </c>
      <c r="J131" s="2">
        <v>3</v>
      </c>
      <c r="K131" s="2">
        <v>6500</v>
      </c>
      <c r="L131" s="2">
        <f>IF(J131=1,VLOOKUP('Duty Cycle '!K131,'Gearing '!$L$3:$O$28,2),IF(J131=2,VLOOKUP('Duty Cycle '!K131,'Gearing '!$L$2:$O$28,3),IF(J131=3,VLOOKUP('Duty Cycle '!K131,'Gearing '!$L$2:$O$28,4))))</f>
        <v>13.312854759872195</v>
      </c>
      <c r="M131" s="2">
        <f t="shared" si="15"/>
        <v>29.780856097834103</v>
      </c>
      <c r="N131" s="2">
        <f t="shared" si="24"/>
        <v>0.51203287537969899</v>
      </c>
      <c r="O131" s="2">
        <f>IF(J131=1,'Gearing '!$C$17*'Duty Cycle '!N131,IF(J131=2,'Gearing '!$C$18*'Duty Cycle '!N131,IF(J131=3,'Gearing '!$C$19*'Duty Cycle '!N131)))</f>
        <v>308.33784926570502</v>
      </c>
      <c r="P131" s="2">
        <f>IF(F131='Track '!$B$60,'Track '!$F$53,IF(F131='Track '!$B$61,'Track '!$F$54,IF(F131='Track '!$B$62,'Track '!$F$55)))</f>
        <v>0.04</v>
      </c>
      <c r="Q131" s="2">
        <f>P131*'Vehicle '!$F$38*9.81</f>
        <v>229.27932000000001</v>
      </c>
      <c r="R131" s="2">
        <f>0.5*'Vehicle '!$F$51*'Vehicle '!$F$25*'Track '!$F$57*'Duty Cycle '!L131^2</f>
        <v>67.724887372039234</v>
      </c>
      <c r="S131" s="2">
        <f>'Vehicle '!$F$38*9.81*SIN(RADIANS('Duty Cycle '!I131))</f>
        <v>0</v>
      </c>
      <c r="T131" s="2">
        <f t="shared" si="16"/>
        <v>605.34205663774424</v>
      </c>
      <c r="U131" s="2">
        <f t="shared" si="25"/>
        <v>8.0588308800606168</v>
      </c>
      <c r="V131" s="2">
        <f>'Vehicle '!$F$9-'Duty Cycle '!U131</f>
        <v>5.3639879118856921</v>
      </c>
      <c r="W131" s="2">
        <f t="shared" si="17"/>
        <v>8.0588308800606168</v>
      </c>
      <c r="X131" s="41">
        <f t="shared" si="26"/>
        <v>11.839410185568518</v>
      </c>
      <c r="Y131" s="41">
        <f t="shared" si="18"/>
        <v>12</v>
      </c>
      <c r="Z131" s="2">
        <f>T131*D131</f>
        <v>814303.53309227852</v>
      </c>
      <c r="AA131" s="2">
        <f t="shared" si="27"/>
        <v>25261411.132009741</v>
      </c>
      <c r="AB131" s="2">
        <f>INDEX('BSFC '!$D$5:$AD$27,MATCH('Duty Cycle '!Y131,'BSFC '!$B$5:$B$27,0),MATCH('Duty Cycle '!K131,'BSFC '!$D$28:$AD$28,0))</f>
        <v>514.45613360579978</v>
      </c>
      <c r="AC131" s="2">
        <f>U131*AB131/3600</f>
        <v>1.1516430488719471</v>
      </c>
      <c r="AD131" s="2">
        <f t="shared" si="28"/>
        <v>87.852344829669661</v>
      </c>
      <c r="AE131" s="2">
        <f t="shared" si="29"/>
        <v>3.5585770210143166</v>
      </c>
      <c r="AF131" s="2">
        <f>0.5*'Vehicle '!$F$38*'Duty Cycle '!L131^2/1000</f>
        <v>51.778358557654528</v>
      </c>
      <c r="AG131" s="2">
        <f t="shared" si="19"/>
        <v>814355.31145083613</v>
      </c>
    </row>
    <row r="132" spans="2:33" ht="30" customHeight="1" x14ac:dyDescent="0.25">
      <c r="B132" s="39">
        <f t="shared" si="20"/>
        <v>129</v>
      </c>
      <c r="C132" s="2" t="s">
        <v>102</v>
      </c>
      <c r="D132" s="2">
        <f>SUM($L$3:L132)</f>
        <v>1358.5085571949062</v>
      </c>
      <c r="E132" s="2">
        <f t="shared" si="21"/>
        <v>13.312854759872152</v>
      </c>
      <c r="F132" s="40" t="s">
        <v>95</v>
      </c>
      <c r="G132" s="2">
        <v>10.3</v>
      </c>
      <c r="H132" s="2">
        <f t="shared" si="22"/>
        <v>0.30000000000000071</v>
      </c>
      <c r="I132" s="2">
        <f t="shared" si="23"/>
        <v>1.2909196051976428</v>
      </c>
      <c r="J132" s="2">
        <v>3</v>
      </c>
      <c r="K132" s="2">
        <v>6500</v>
      </c>
      <c r="L132" s="2">
        <f>IF(J132=1,VLOOKUP('Duty Cycle '!K132,'Gearing '!$L$3:$O$28,2),IF(J132=2,VLOOKUP('Duty Cycle '!K132,'Gearing '!$L$2:$O$28,3),IF(J132=3,VLOOKUP('Duty Cycle '!K132,'Gearing '!$L$2:$O$28,4))))</f>
        <v>13.312854759872195</v>
      </c>
      <c r="M132" s="2">
        <f t="shared" ref="M132:M153" si="30">L132*2.237</f>
        <v>29.780856097834103</v>
      </c>
      <c r="N132" s="2">
        <f t="shared" si="24"/>
        <v>0</v>
      </c>
      <c r="O132" s="2">
        <f>IF(J132=1,'Gearing '!$C$17*'Duty Cycle '!N132,IF(J132=2,'Gearing '!$C$18*'Duty Cycle '!N132,IF(J132=3,'Gearing '!$C$19*'Duty Cycle '!N132)))</f>
        <v>0</v>
      </c>
      <c r="P132" s="2">
        <f>IF(F132='Track '!$B$60,'Track '!$F$53,IF(F132='Track '!$B$61,'Track '!$F$54,IF(F132='Track '!$B$62,'Track '!$F$55)))</f>
        <v>0.04</v>
      </c>
      <c r="Q132" s="2">
        <f>P132*'Vehicle '!$F$38*9.81</f>
        <v>229.27932000000001</v>
      </c>
      <c r="R132" s="2">
        <f>0.5*'Vehicle '!$F$51*'Vehicle '!$F$25*'Track '!$F$57*'Duty Cycle '!L132^2</f>
        <v>67.724887372039234</v>
      </c>
      <c r="S132" s="2">
        <f>'Vehicle '!$F$38*9.81*SIN(RADIANS('Duty Cycle '!I132))</f>
        <v>129.13522190512612</v>
      </c>
      <c r="T132" s="2">
        <f t="shared" ref="T132:T148" si="31">SUM(Q132:S132)+O132</f>
        <v>426.13942927716533</v>
      </c>
      <c r="U132" s="2">
        <f t="shared" si="25"/>
        <v>5.6731323294217306</v>
      </c>
      <c r="V132" s="2">
        <f>'Vehicle '!$F$9-'Duty Cycle '!U132</f>
        <v>7.7496864625245783</v>
      </c>
      <c r="W132" s="2">
        <f t="shared" ref="W132:W148" si="32">U132</f>
        <v>5.6731323294217306</v>
      </c>
      <c r="X132" s="41">
        <f t="shared" si="26"/>
        <v>8.334526643463759</v>
      </c>
      <c r="Y132" s="41">
        <f t="shared" ref="Y132:Y153" si="33">MIN(22,ROUNDUP(X132,0))</f>
        <v>9</v>
      </c>
      <c r="Z132" s="2">
        <f>T132*D132</f>
        <v>578914.06123118266</v>
      </c>
      <c r="AA132" s="2">
        <f t="shared" si="27"/>
        <v>25840325.193240922</v>
      </c>
      <c r="AB132" s="2">
        <f>INDEX('BSFC '!$D$5:$AD$27,MATCH('Duty Cycle '!Y132,'BSFC '!$B$5:$B$27,0),MATCH('Duty Cycle '!K132,'BSFC '!$D$28:$AD$28,0))</f>
        <v>553.55209904579965</v>
      </c>
      <c r="AC132" s="2">
        <f>U132*AB132/3600</f>
        <v>0.87232619697666269</v>
      </c>
      <c r="AD132" s="2">
        <f t="shared" si="28"/>
        <v>88.72467102664632</v>
      </c>
      <c r="AE132" s="2">
        <f t="shared" si="29"/>
        <v>2.6954879486578878</v>
      </c>
      <c r="AF132" s="2">
        <f>0.5*'Vehicle '!$F$38*'Duty Cycle '!L132^2/1000</f>
        <v>51.778358557654528</v>
      </c>
      <c r="AG132" s="2">
        <f t="shared" ref="AG132:AG148" si="34">Z132+AF132</f>
        <v>578965.83958974027</v>
      </c>
    </row>
    <row r="133" spans="2:33" ht="30" customHeight="1" x14ac:dyDescent="0.25">
      <c r="B133" s="39">
        <f t="shared" ref="B133:B148" si="35">B132+1</f>
        <v>130</v>
      </c>
      <c r="C133" s="2" t="s">
        <v>102</v>
      </c>
      <c r="D133" s="2">
        <f>SUM($L$3:L133)</f>
        <v>1371.8214119547783</v>
      </c>
      <c r="E133" s="2">
        <f t="shared" ref="E133:E153" si="36">D133-D132</f>
        <v>13.312854759872152</v>
      </c>
      <c r="F133" s="40" t="s">
        <v>95</v>
      </c>
      <c r="G133" s="2">
        <v>11</v>
      </c>
      <c r="H133" s="2">
        <f t="shared" ref="H133:H153" si="37">G133-G132</f>
        <v>0.69999999999999929</v>
      </c>
      <c r="I133" s="2">
        <f t="shared" ref="I133:I147" si="38">DEGREES(ATAN(H133/E133))</f>
        <v>3.0098837383204606</v>
      </c>
      <c r="J133" s="2">
        <v>3</v>
      </c>
      <c r="K133" s="2">
        <v>6500</v>
      </c>
      <c r="L133" s="2">
        <f>IF(J133=1,VLOOKUP('Duty Cycle '!K133,'Gearing '!$L$3:$O$28,2),IF(J133=2,VLOOKUP('Duty Cycle '!K133,'Gearing '!$L$2:$O$28,3),IF(J133=3,VLOOKUP('Duty Cycle '!K133,'Gearing '!$L$2:$O$28,4))))</f>
        <v>13.312854759872195</v>
      </c>
      <c r="M133" s="2">
        <f t="shared" si="30"/>
        <v>29.780856097834103</v>
      </c>
      <c r="N133" s="2">
        <f t="shared" ref="N133:N148" si="39">L133-L132</f>
        <v>0</v>
      </c>
      <c r="O133" s="2">
        <f>IF(J133=1,'Gearing '!$C$17*'Duty Cycle '!N133,IF(J133=2,'Gearing '!$C$18*'Duty Cycle '!N133,IF(J133=3,'Gearing '!$C$19*'Duty Cycle '!N133)))</f>
        <v>0</v>
      </c>
      <c r="P133" s="2">
        <f>IF(F133='Track '!$B$60,'Track '!$F$53,IF(F133='Track '!$B$61,'Track '!$F$54,IF(F133='Track '!$B$62,'Track '!$F$55)))</f>
        <v>0.04</v>
      </c>
      <c r="Q133" s="2">
        <f>P133*'Vehicle '!$F$38*9.81</f>
        <v>229.27932000000001</v>
      </c>
      <c r="R133" s="2">
        <f>0.5*'Vehicle '!$F$51*'Vehicle '!$F$25*'Track '!$F$57*'Duty Cycle '!L133^2</f>
        <v>67.724887372039234</v>
      </c>
      <c r="S133" s="2">
        <f>'Vehicle '!$F$38*9.81*SIN(RADIANS('Duty Cycle '!I133))</f>
        <v>300.97624061639641</v>
      </c>
      <c r="T133" s="2">
        <f t="shared" si="31"/>
        <v>597.98044798843557</v>
      </c>
      <c r="U133" s="2">
        <f t="shared" ref="U133:U148" si="40">ABS(((+T133)*(+L133)/1000))</f>
        <v>7.9608268533133524</v>
      </c>
      <c r="V133" s="2">
        <f>'Vehicle '!$F$9-'Duty Cycle '!U133</f>
        <v>5.4619919386329565</v>
      </c>
      <c r="W133" s="2">
        <f t="shared" si="32"/>
        <v>7.9608268533133524</v>
      </c>
      <c r="X133" s="41">
        <f t="shared" ref="X133:X152" si="41">ABS((W133*1000)/((2*PI()*K133)/60))</f>
        <v>11.695430259724789</v>
      </c>
      <c r="Y133" s="41">
        <f t="shared" si="33"/>
        <v>12</v>
      </c>
      <c r="Z133" s="2">
        <f>T133*D133</f>
        <v>820322.3824808466</v>
      </c>
      <c r="AA133" s="2">
        <f t="shared" ref="AA133:AA148" si="42">SUM(AA132,Z133)</f>
        <v>26660647.575721767</v>
      </c>
      <c r="AB133" s="2">
        <f>INDEX('BSFC '!$D$5:$AD$27,MATCH('Duty Cycle '!Y133,'BSFC '!$B$5:$B$27,0),MATCH('Duty Cycle '!K133,'BSFC '!$D$28:$AD$28,0))</f>
        <v>514.45613360579978</v>
      </c>
      <c r="AC133" s="2">
        <f>U133*AB133/3600</f>
        <v>1.1376378342391147</v>
      </c>
      <c r="AD133" s="2">
        <f t="shared" ref="AD133:AD153" si="43">AD132+AC133</f>
        <v>89.862308860885435</v>
      </c>
      <c r="AE133" s="2">
        <f t="shared" si="29"/>
        <v>3.5153009077988644</v>
      </c>
      <c r="AF133" s="2">
        <f>0.5*'Vehicle '!$F$38*'Duty Cycle '!L133^2/1000</f>
        <v>51.778358557654528</v>
      </c>
      <c r="AG133" s="2">
        <f t="shared" si="34"/>
        <v>820374.16083940421</v>
      </c>
    </row>
    <row r="134" spans="2:33" ht="30" customHeight="1" x14ac:dyDescent="0.25">
      <c r="B134" s="39">
        <f t="shared" si="35"/>
        <v>131</v>
      </c>
      <c r="C134" s="2" t="s">
        <v>102</v>
      </c>
      <c r="D134" s="2">
        <f>SUM($L$3:L134)</f>
        <v>1385.1342667146505</v>
      </c>
      <c r="E134" s="2">
        <f t="shared" si="36"/>
        <v>13.312854759872152</v>
      </c>
      <c r="F134" s="40" t="s">
        <v>95</v>
      </c>
      <c r="G134" s="2">
        <v>11.8</v>
      </c>
      <c r="H134" s="2">
        <f t="shared" si="37"/>
        <v>0.80000000000000071</v>
      </c>
      <c r="I134" s="2">
        <f t="shared" si="38"/>
        <v>3.4388994976109069</v>
      </c>
      <c r="J134" s="2">
        <v>3</v>
      </c>
      <c r="K134" s="2">
        <v>6500</v>
      </c>
      <c r="L134" s="2">
        <f>IF(J134=1,VLOOKUP('Duty Cycle '!K134,'Gearing '!$L$3:$O$28,2),IF(J134=2,VLOOKUP('Duty Cycle '!K134,'Gearing '!$L$2:$O$28,3),IF(J134=3,VLOOKUP('Duty Cycle '!K134,'Gearing '!$L$2:$O$28,4))))</f>
        <v>13.312854759872195</v>
      </c>
      <c r="M134" s="2">
        <f t="shared" si="30"/>
        <v>29.780856097834103</v>
      </c>
      <c r="N134" s="2">
        <f t="shared" si="39"/>
        <v>0</v>
      </c>
      <c r="O134" s="2">
        <f>IF(J134=1,'Gearing '!$C$17*'Duty Cycle '!N134,IF(J134=2,'Gearing '!$C$18*'Duty Cycle '!N134,IF(J134=3,'Gearing '!$C$19*'Duty Cycle '!N134)))</f>
        <v>0</v>
      </c>
      <c r="P134" s="2">
        <f>IF(F134='Track '!$B$60,'Track '!$F$53,IF(F134='Track '!$B$61,'Track '!$F$54,IF(F134='Track '!$B$62,'Track '!$F$55)))</f>
        <v>0.04</v>
      </c>
      <c r="Q134" s="2">
        <f>P134*'Vehicle '!$F$38*9.81</f>
        <v>229.27932000000001</v>
      </c>
      <c r="R134" s="2">
        <f>0.5*'Vehicle '!$F$51*'Vehicle '!$F$25*'Track '!$F$57*'Duty Cycle '!L134^2</f>
        <v>67.724887372039234</v>
      </c>
      <c r="S134" s="2">
        <f>'Vehicle '!$F$38*9.81*SIN(RADIANS('Duty Cycle '!I134))</f>
        <v>343.82777923631636</v>
      </c>
      <c r="T134" s="2">
        <f t="shared" si="31"/>
        <v>640.83198660835558</v>
      </c>
      <c r="U134" s="2">
        <f t="shared" si="40"/>
        <v>8.5313031631974017</v>
      </c>
      <c r="V134" s="2">
        <f>'Vehicle '!$F$9-'Duty Cycle '!U134</f>
        <v>4.8915156287489072</v>
      </c>
      <c r="W134" s="2">
        <f t="shared" si="32"/>
        <v>8.5313031631974017</v>
      </c>
      <c r="X134" s="41">
        <f t="shared" si="41"/>
        <v>12.533529871738976</v>
      </c>
      <c r="Y134" s="41">
        <f t="shared" si="33"/>
        <v>13</v>
      </c>
      <c r="Z134" s="2">
        <f>T134*D134</f>
        <v>887638.34385805728</v>
      </c>
      <c r="AA134" s="2">
        <f t="shared" si="42"/>
        <v>27548285.919579823</v>
      </c>
      <c r="AB134" s="2">
        <f>INDEX('BSFC '!$D$5:$AD$27,MATCH('Duty Cycle '!Y134,'BSFC '!$B$5:$B$27,0),MATCH('Duty Cycle '!K134,'BSFC '!$D$28:$AD$28,0))</f>
        <v>488.57748248579992</v>
      </c>
      <c r="AC134" s="2">
        <f>U134*AB134/3600</f>
        <v>1.1578340616105911</v>
      </c>
      <c r="AD134" s="2">
        <f t="shared" si="43"/>
        <v>91.020142922496021</v>
      </c>
      <c r="AE134" s="2">
        <f t="shared" ref="AE134:AE153" si="44">AC134*3.09</f>
        <v>3.5777072503767262</v>
      </c>
      <c r="AF134" s="2">
        <f>0.5*'Vehicle '!$F$38*'Duty Cycle '!L134^2/1000</f>
        <v>51.778358557654528</v>
      </c>
      <c r="AG134" s="2">
        <f t="shared" si="34"/>
        <v>887690.12221661489</v>
      </c>
    </row>
    <row r="135" spans="2:33" ht="30" customHeight="1" x14ac:dyDescent="0.25">
      <c r="B135" s="39">
        <f t="shared" si="35"/>
        <v>132</v>
      </c>
      <c r="C135" s="2" t="s">
        <v>102</v>
      </c>
      <c r="D135" s="2">
        <f>SUM($L$3:L135)</f>
        <v>1397.4230557237634</v>
      </c>
      <c r="E135" s="2">
        <f t="shared" si="36"/>
        <v>12.288789009112861</v>
      </c>
      <c r="F135" s="40" t="s">
        <v>95</v>
      </c>
      <c r="G135" s="2">
        <v>12.6</v>
      </c>
      <c r="H135" s="2">
        <f t="shared" si="37"/>
        <v>0.79999999999999893</v>
      </c>
      <c r="I135" s="2">
        <f t="shared" si="38"/>
        <v>3.7246986448367649</v>
      </c>
      <c r="J135" s="2">
        <v>3</v>
      </c>
      <c r="K135" s="2">
        <v>6000</v>
      </c>
      <c r="L135" s="2">
        <f>IF(J135=1,VLOOKUP('Duty Cycle '!K135,'Gearing '!$L$3:$O$28,2),IF(J135=2,VLOOKUP('Duty Cycle '!K135,'Gearing '!$L$2:$O$28,3),IF(J135=3,VLOOKUP('Duty Cycle '!K135,'Gearing '!$L$2:$O$28,4))))</f>
        <v>12.288789009112795</v>
      </c>
      <c r="M135" s="2">
        <f t="shared" si="30"/>
        <v>27.490021013385324</v>
      </c>
      <c r="N135" s="2">
        <f t="shared" si="39"/>
        <v>-1.0240657507593998</v>
      </c>
      <c r="O135" s="2">
        <f>IF(J135=1,'Gearing '!$C$17*'Duty Cycle '!N135,IF(J135=2,'Gearing '!$C$18*'Duty Cycle '!N135,IF(J135=3,'Gearing '!$C$19*'Duty Cycle '!N135)))</f>
        <v>-616.67569853141106</v>
      </c>
      <c r="P135" s="2">
        <f>IF(F135='Track '!$B$60,'Track '!$F$53,IF(F135='Track '!$B$61,'Track '!$F$54,IF(F135='Track '!$B$62,'Track '!$F$55)))</f>
        <v>0.04</v>
      </c>
      <c r="Q135" s="2">
        <f>P135*'Vehicle '!$F$38*9.81</f>
        <v>229.27932000000001</v>
      </c>
      <c r="R135" s="2">
        <f>0.5*'Vehicle '!$F$51*'Vehicle '!$F$25*'Track '!$F$57*'Duty Cycle '!L135^2</f>
        <v>57.70641290871982</v>
      </c>
      <c r="S135" s="2">
        <f>'Vehicle '!$F$38*9.81*SIN(RADIANS('Duty Cycle '!I135))</f>
        <v>372.36381034550345</v>
      </c>
      <c r="T135" s="2">
        <f t="shared" si="31"/>
        <v>42.673844722812305</v>
      </c>
      <c r="U135" s="2">
        <f t="shared" si="40"/>
        <v>0.52440987400628192</v>
      </c>
      <c r="V135" s="2">
        <f>'Vehicle '!$F$9-'Duty Cycle '!U135</f>
        <v>12.898408917940028</v>
      </c>
      <c r="W135" s="2">
        <f t="shared" si="32"/>
        <v>0.52440987400628192</v>
      </c>
      <c r="X135" s="41">
        <f t="shared" si="41"/>
        <v>0.83462423654297802</v>
      </c>
      <c r="Y135" s="41">
        <f t="shared" si="33"/>
        <v>1</v>
      </c>
      <c r="Z135" s="2">
        <f>T135*D135</f>
        <v>59633.414492033764</v>
      </c>
      <c r="AA135" s="2">
        <f t="shared" si="42"/>
        <v>27607919.334071856</v>
      </c>
      <c r="AB135" s="2">
        <f>INDEX('BSFC '!$D$5:$AD$27,MATCH('Duty Cycle '!Y135,'BSFC '!$B$5:$B$27,0),MATCH('Duty Cycle '!K135,'BSFC '!$D$28:$AD$28,0))</f>
        <v>932.65193792580044</v>
      </c>
      <c r="AC135" s="2">
        <f>U135*AB135/3600</f>
        <v>0.13585885701649547</v>
      </c>
      <c r="AD135" s="2">
        <f t="shared" si="43"/>
        <v>91.156001779512522</v>
      </c>
      <c r="AE135" s="2">
        <f t="shared" si="44"/>
        <v>0.41980386818097098</v>
      </c>
      <c r="AF135" s="2">
        <f>0.5*'Vehicle '!$F$38*'Duty Cycle '!L135^2/1000</f>
        <v>44.118838060960073</v>
      </c>
      <c r="AG135" s="2">
        <f t="shared" si="34"/>
        <v>59677.533330094724</v>
      </c>
    </row>
    <row r="136" spans="2:33" ht="30" customHeight="1" x14ac:dyDescent="0.25">
      <c r="B136" s="39">
        <f t="shared" si="35"/>
        <v>133</v>
      </c>
      <c r="C136" s="2" t="s">
        <v>102</v>
      </c>
      <c r="D136" s="2">
        <f>SUM($L$3:L136)</f>
        <v>1408.1757461067371</v>
      </c>
      <c r="E136" s="2">
        <f t="shared" si="36"/>
        <v>10.752690382973697</v>
      </c>
      <c r="F136" s="40" t="s">
        <v>95</v>
      </c>
      <c r="G136" s="2">
        <v>13.4</v>
      </c>
      <c r="H136" s="2">
        <f t="shared" si="37"/>
        <v>0.80000000000000071</v>
      </c>
      <c r="I136" s="2">
        <f t="shared" si="38"/>
        <v>4.2549657553087883</v>
      </c>
      <c r="J136" s="2">
        <v>3</v>
      </c>
      <c r="K136" s="2">
        <v>5250</v>
      </c>
      <c r="L136" s="2">
        <f>IF(J136=1,VLOOKUP('Duty Cycle '!K136,'Gearing '!$L$3:$O$28,2),IF(J136=2,VLOOKUP('Duty Cycle '!K136,'Gearing '!$L$2:$O$28,3),IF(J136=3,VLOOKUP('Duty Cycle '!K136,'Gearing '!$L$2:$O$28,4))))</f>
        <v>10.752690382973697</v>
      </c>
      <c r="M136" s="2">
        <f t="shared" si="30"/>
        <v>24.053768386712161</v>
      </c>
      <c r="N136" s="2">
        <f t="shared" si="39"/>
        <v>-1.5360986261390988</v>
      </c>
      <c r="O136" s="2">
        <f>IF(J136=1,'Gearing '!$C$17*'Duty Cycle '!N136,IF(J136=2,'Gearing '!$C$18*'Duty Cycle '!N136,IF(J136=3,'Gearing '!$C$19*'Duty Cycle '!N136)))</f>
        <v>-925.01354779711619</v>
      </c>
      <c r="P136" s="2">
        <f>IF(F136='Track '!$B$60,'Track '!$F$53,IF(F136='Track '!$B$61,'Track '!$F$54,IF(F136='Track '!$B$62,'Track '!$F$55)))</f>
        <v>0.04</v>
      </c>
      <c r="Q136" s="2">
        <f>P136*'Vehicle '!$F$38*9.81</f>
        <v>229.27932000000001</v>
      </c>
      <c r="R136" s="2">
        <f>0.5*'Vehicle '!$F$51*'Vehicle '!$F$25*'Track '!$F$57*'Duty Cycle '!L136^2</f>
        <v>44.181472383238614</v>
      </c>
      <c r="S136" s="2">
        <f>'Vehicle '!$F$38*9.81*SIN(RADIANS('Duty Cycle '!I136))</f>
        <v>425.28402226922196</v>
      </c>
      <c r="T136" s="2">
        <f t="shared" si="31"/>
        <v>-226.26873314465558</v>
      </c>
      <c r="U136" s="2">
        <f t="shared" si="40"/>
        <v>2.4329976308521801</v>
      </c>
      <c r="V136" s="2">
        <f>'Vehicle '!$F$9-'Duty Cycle '!U136</f>
        <v>10.989821161094129</v>
      </c>
      <c r="W136" s="2">
        <f t="shared" si="32"/>
        <v>2.4329976308521801</v>
      </c>
      <c r="X136" s="41">
        <f t="shared" si="41"/>
        <v>4.4254125654970853</v>
      </c>
      <c r="Y136" s="41">
        <f t="shared" si="33"/>
        <v>5</v>
      </c>
      <c r="Z136" s="2">
        <f>T136*D136</f>
        <v>-318626.14211660158</v>
      </c>
      <c r="AA136" s="2">
        <f t="shared" si="42"/>
        <v>27289293.191955253</v>
      </c>
      <c r="AB136" s="2">
        <f>INDEX('BSFC '!$D$5:$AD$27,MATCH('Duty Cycle '!Y136,'BSFC '!$B$5:$B$27,0),MATCH('Duty Cycle '!K136,'BSFC '!$D$28:$AD$28,0))</f>
        <v>631.19547664579989</v>
      </c>
      <c r="AC136" s="2">
        <f>U136*AB136/3600</f>
        <v>0.42658252757884546</v>
      </c>
      <c r="AD136" s="2">
        <f t="shared" si="43"/>
        <v>91.582584307091366</v>
      </c>
      <c r="AE136" s="2">
        <f t="shared" si="44"/>
        <v>1.3181400102186325</v>
      </c>
      <c r="AF136" s="2">
        <f>0.5*'Vehicle '!$F$38*'Duty Cycle '!L136^2/1000</f>
        <v>33.77848539042256</v>
      </c>
      <c r="AG136" s="2">
        <f t="shared" si="34"/>
        <v>-318592.36363121116</v>
      </c>
    </row>
    <row r="137" spans="2:33" ht="30" customHeight="1" x14ac:dyDescent="0.25">
      <c r="B137" s="39">
        <f t="shared" si="35"/>
        <v>134</v>
      </c>
      <c r="C137" s="2" t="s">
        <v>111</v>
      </c>
      <c r="D137" s="2">
        <f>SUM($L$3:L137)</f>
        <v>1417.9043707389515</v>
      </c>
      <c r="E137" s="2">
        <f t="shared" si="36"/>
        <v>9.7286246322144052</v>
      </c>
      <c r="F137" s="40" t="s">
        <v>147</v>
      </c>
      <c r="G137" s="2">
        <v>14.2</v>
      </c>
      <c r="H137" s="2">
        <f t="shared" si="37"/>
        <v>0.79999999999999893</v>
      </c>
      <c r="I137" s="2">
        <f t="shared" si="38"/>
        <v>4.700944511363069</v>
      </c>
      <c r="J137" s="2">
        <v>3</v>
      </c>
      <c r="K137" s="2">
        <v>4750</v>
      </c>
      <c r="L137" s="2">
        <f>IF(J137=1,VLOOKUP('Duty Cycle '!K137,'Gearing '!$L$3:$O$28,2),IF(J137=2,VLOOKUP('Duty Cycle '!K137,'Gearing '!$L$2:$O$28,3),IF(J137=3,VLOOKUP('Duty Cycle '!K137,'Gearing '!$L$2:$O$28,4))))</f>
        <v>9.7286246322142969</v>
      </c>
      <c r="M137" s="2">
        <f t="shared" si="30"/>
        <v>21.762933302263384</v>
      </c>
      <c r="N137" s="2">
        <f t="shared" si="39"/>
        <v>-1.0240657507593998</v>
      </c>
      <c r="O137" s="2">
        <f>IF(J137=1,'Gearing '!$C$17*'Duty Cycle '!N137,IF(J137=2,'Gearing '!$C$18*'Duty Cycle '!N137,IF(J137=3,'Gearing '!$C$19*'Duty Cycle '!N137)))</f>
        <v>-616.67569853141106</v>
      </c>
      <c r="P137" s="2">
        <f>IF(F137='Track '!$B$60,'Track '!$F$53,IF(F137='Track '!$B$61,'Track '!$F$54,IF(F137='Track '!$B$62,'Track '!$F$55)))</f>
        <v>0.06</v>
      </c>
      <c r="Q137" s="2">
        <f>P137*'Vehicle '!$F$38*9.81</f>
        <v>343.91897999999992</v>
      </c>
      <c r="R137" s="2">
        <f>0.5*'Vehicle '!$F$51*'Vehicle '!$F$25*'Track '!$F$57*'Duty Cycle '!L137^2</f>
        <v>36.166692812583079</v>
      </c>
      <c r="S137" s="2">
        <f>'Vehicle '!$F$38*9.81*SIN(RADIANS('Duty Cycle '!I137))</f>
        <v>469.76431149610755</v>
      </c>
      <c r="T137" s="2">
        <f t="shared" si="31"/>
        <v>233.17428577727947</v>
      </c>
      <c r="U137" s="2">
        <f t="shared" si="40"/>
        <v>2.2684651002118166</v>
      </c>
      <c r="V137" s="2">
        <f>'Vehicle '!$F$9-'Duty Cycle '!U137</f>
        <v>11.154353691734492</v>
      </c>
      <c r="W137" s="2">
        <f t="shared" si="32"/>
        <v>2.2684651002118166</v>
      </c>
      <c r="X137" s="41">
        <f t="shared" si="41"/>
        <v>4.5604728496441558</v>
      </c>
      <c r="Y137" s="41">
        <f t="shared" si="33"/>
        <v>5</v>
      </c>
      <c r="Z137" s="2">
        <f>T137*D137</f>
        <v>330618.83894753788</v>
      </c>
      <c r="AA137" s="2">
        <f t="shared" si="42"/>
        <v>27619912.030902792</v>
      </c>
      <c r="AB137" s="2">
        <f>INDEX('BSFC '!$D$5:$AD$27,MATCH('Duty Cycle '!Y137,'BSFC '!$B$5:$B$27,0),MATCH('Duty Cycle '!K137,'BSFC '!$D$28:$AD$28,0))</f>
        <v>665.13143872580008</v>
      </c>
      <c r="AC137" s="2">
        <f>U137*AB137/3600</f>
        <v>0.41911873772309777</v>
      </c>
      <c r="AD137" s="2">
        <f t="shared" si="43"/>
        <v>92.001703044814462</v>
      </c>
      <c r="AE137" s="2">
        <f t="shared" si="44"/>
        <v>1.295076899564372</v>
      </c>
      <c r="AF137" s="2">
        <f>0.5*'Vehicle '!$F$38*'Duty Cycle '!L137^2/1000</f>
        <v>27.65086899306699</v>
      </c>
      <c r="AG137" s="2">
        <f t="shared" si="34"/>
        <v>330646.48981653096</v>
      </c>
    </row>
    <row r="138" spans="2:33" ht="30" customHeight="1" x14ac:dyDescent="0.25">
      <c r="B138" s="39">
        <f t="shared" si="35"/>
        <v>135</v>
      </c>
      <c r="C138" s="2" t="s">
        <v>111</v>
      </c>
      <c r="D138" s="2">
        <f>SUM($L$3:L138)</f>
        <v>1427.6329953711659</v>
      </c>
      <c r="E138" s="2">
        <f t="shared" si="36"/>
        <v>9.7286246322144052</v>
      </c>
      <c r="F138" s="40" t="s">
        <v>147</v>
      </c>
      <c r="G138" s="2">
        <v>15</v>
      </c>
      <c r="H138" s="2">
        <f t="shared" si="37"/>
        <v>0.80000000000000071</v>
      </c>
      <c r="I138" s="2">
        <f t="shared" si="38"/>
        <v>4.7009445113630797</v>
      </c>
      <c r="J138" s="2">
        <v>3</v>
      </c>
      <c r="K138" s="2">
        <v>4750</v>
      </c>
      <c r="L138" s="2">
        <f>IF(J138=1,VLOOKUP('Duty Cycle '!K138,'Gearing '!$L$3:$O$28,2),IF(J138=2,VLOOKUP('Duty Cycle '!K138,'Gearing '!$L$2:$O$28,3),IF(J138=3,VLOOKUP('Duty Cycle '!K138,'Gearing '!$L$2:$O$28,4))))</f>
        <v>9.7286246322142969</v>
      </c>
      <c r="M138" s="2">
        <f t="shared" si="30"/>
        <v>21.762933302263384</v>
      </c>
      <c r="N138" s="2">
        <f t="shared" si="39"/>
        <v>0</v>
      </c>
      <c r="O138" s="2">
        <f>IF(J138=1,'Gearing '!$C$17*'Duty Cycle '!N138,IF(J138=2,'Gearing '!$C$18*'Duty Cycle '!N138,IF(J138=3,'Gearing '!$C$19*'Duty Cycle '!N138)))</f>
        <v>0</v>
      </c>
      <c r="P138" s="2">
        <f>IF(F138='Track '!$B$60,'Track '!$F$53,IF(F138='Track '!$B$61,'Track '!$F$54,IF(F138='Track '!$B$62,'Track '!$F$55)))</f>
        <v>0.06</v>
      </c>
      <c r="Q138" s="2">
        <f>P138*'Vehicle '!$F$38*9.81</f>
        <v>343.91897999999992</v>
      </c>
      <c r="R138" s="2">
        <f>0.5*'Vehicle '!$F$51*'Vehicle '!$F$25*'Track '!$F$57*'Duty Cycle '!L138^2</f>
        <v>36.166692812583079</v>
      </c>
      <c r="S138" s="2">
        <f>'Vehicle '!$F$38*9.81*SIN(RADIANS('Duty Cycle '!I138))</f>
        <v>469.76431149610858</v>
      </c>
      <c r="T138" s="2">
        <f t="shared" si="31"/>
        <v>849.84998430869155</v>
      </c>
      <c r="U138" s="2">
        <f t="shared" si="40"/>
        <v>8.2678714910324711</v>
      </c>
      <c r="V138" s="2">
        <f>'Vehicle '!$F$9-'Duty Cycle '!U138</f>
        <v>5.1549473009138378</v>
      </c>
      <c r="W138" s="2">
        <f t="shared" si="32"/>
        <v>8.2678714910324711</v>
      </c>
      <c r="X138" s="41">
        <f t="shared" si="41"/>
        <v>16.62154884184897</v>
      </c>
      <c r="Y138" s="41">
        <f t="shared" si="33"/>
        <v>17</v>
      </c>
      <c r="Z138" s="2">
        <f>T138*D138</f>
        <v>1213273.8787147556</v>
      </c>
      <c r="AA138" s="2">
        <f t="shared" si="42"/>
        <v>28833185.909617547</v>
      </c>
      <c r="AB138" s="2">
        <f>INDEX('BSFC '!$D$5:$AD$27,MATCH('Duty Cycle '!Y138,'BSFC '!$B$5:$B$27,0),MATCH('Duty Cycle '!K138,'BSFC '!$D$28:$AD$28,0))</f>
        <v>483.3844120057999</v>
      </c>
      <c r="AC138" s="2">
        <f>U138*AB138/3600</f>
        <v>1.1101556108978465</v>
      </c>
      <c r="AD138" s="2">
        <f t="shared" si="43"/>
        <v>93.111858655712311</v>
      </c>
      <c r="AE138" s="2">
        <f t="shared" si="44"/>
        <v>3.4303808376743454</v>
      </c>
      <c r="AF138" s="2">
        <f>0.5*'Vehicle '!$F$38*'Duty Cycle '!L138^2/1000</f>
        <v>27.65086899306699</v>
      </c>
      <c r="AG138" s="2">
        <f t="shared" si="34"/>
        <v>1213301.5295837487</v>
      </c>
    </row>
    <row r="139" spans="2:33" ht="30" customHeight="1" x14ac:dyDescent="0.25">
      <c r="B139" s="39">
        <f t="shared" si="35"/>
        <v>136</v>
      </c>
      <c r="C139" s="2" t="s">
        <v>111</v>
      </c>
      <c r="D139" s="2">
        <f>SUM($L$3:L139)</f>
        <v>1437.3616200033803</v>
      </c>
      <c r="E139" s="2">
        <f t="shared" si="36"/>
        <v>9.7286246322144052</v>
      </c>
      <c r="F139" s="40" t="s">
        <v>147</v>
      </c>
      <c r="G139" s="2">
        <v>15.8</v>
      </c>
      <c r="H139" s="2">
        <f t="shared" si="37"/>
        <v>0.80000000000000071</v>
      </c>
      <c r="I139" s="2">
        <f t="shared" si="38"/>
        <v>4.7009445113630797</v>
      </c>
      <c r="J139" s="2">
        <v>3</v>
      </c>
      <c r="K139" s="2">
        <v>4750</v>
      </c>
      <c r="L139" s="2">
        <f>IF(J139=1,VLOOKUP('Duty Cycle '!K139,'Gearing '!$L$3:$O$28,2),IF(J139=2,VLOOKUP('Duty Cycle '!K139,'Gearing '!$L$2:$O$28,3),IF(J139=3,VLOOKUP('Duty Cycle '!K139,'Gearing '!$L$2:$O$28,4))))</f>
        <v>9.7286246322142969</v>
      </c>
      <c r="M139" s="2">
        <f t="shared" si="30"/>
        <v>21.762933302263384</v>
      </c>
      <c r="N139" s="2">
        <f t="shared" si="39"/>
        <v>0</v>
      </c>
      <c r="O139" s="2">
        <f>IF(J139=1,'Gearing '!$C$17*'Duty Cycle '!N139,IF(J139=2,'Gearing '!$C$18*'Duty Cycle '!N139,IF(J139=3,'Gearing '!$C$19*'Duty Cycle '!N139)))</f>
        <v>0</v>
      </c>
      <c r="P139" s="2">
        <f>IF(F139='Track '!$B$60,'Track '!$F$53,IF(F139='Track '!$B$61,'Track '!$F$54,IF(F139='Track '!$B$62,'Track '!$F$55)))</f>
        <v>0.06</v>
      </c>
      <c r="Q139" s="2">
        <f>P139*'Vehicle '!$F$38*9.81</f>
        <v>343.91897999999992</v>
      </c>
      <c r="R139" s="2">
        <f>0.5*'Vehicle '!$F$51*'Vehicle '!$F$25*'Track '!$F$57*'Duty Cycle '!L139^2</f>
        <v>36.166692812583079</v>
      </c>
      <c r="S139" s="2">
        <f>'Vehicle '!$F$38*9.81*SIN(RADIANS('Duty Cycle '!I139))</f>
        <v>469.76431149610858</v>
      </c>
      <c r="T139" s="2">
        <f t="shared" si="31"/>
        <v>849.84998430869155</v>
      </c>
      <c r="U139" s="2">
        <f t="shared" si="40"/>
        <v>8.2678714910324711</v>
      </c>
      <c r="V139" s="2">
        <f>'Vehicle '!$F$9-'Duty Cycle '!U139</f>
        <v>5.1549473009138378</v>
      </c>
      <c r="W139" s="2">
        <f t="shared" si="32"/>
        <v>8.2678714910324711</v>
      </c>
      <c r="X139" s="41">
        <f t="shared" si="41"/>
        <v>16.62154884184897</v>
      </c>
      <c r="Y139" s="41">
        <f t="shared" si="33"/>
        <v>17</v>
      </c>
      <c r="Z139" s="2">
        <f>T139*D139</f>
        <v>1221541.7502057883</v>
      </c>
      <c r="AA139" s="2">
        <f t="shared" si="42"/>
        <v>30054727.659823336</v>
      </c>
      <c r="AB139" s="2">
        <f>INDEX('BSFC '!$D$5:$AD$27,MATCH('Duty Cycle '!Y139,'BSFC '!$B$5:$B$27,0),MATCH('Duty Cycle '!K139,'BSFC '!$D$28:$AD$28,0))</f>
        <v>483.3844120057999</v>
      </c>
      <c r="AC139" s="2">
        <f>U139*AB139/3600</f>
        <v>1.1101556108978465</v>
      </c>
      <c r="AD139" s="2">
        <f t="shared" si="43"/>
        <v>94.222014266610159</v>
      </c>
      <c r="AE139" s="2">
        <f t="shared" si="44"/>
        <v>3.4303808376743454</v>
      </c>
      <c r="AF139" s="2">
        <f>0.5*'Vehicle '!$F$38*'Duty Cycle '!L139^2/1000</f>
        <v>27.65086899306699</v>
      </c>
      <c r="AG139" s="2">
        <f t="shared" si="34"/>
        <v>1221569.4010747813</v>
      </c>
    </row>
    <row r="140" spans="2:33" ht="30" customHeight="1" x14ac:dyDescent="0.25">
      <c r="B140" s="39">
        <f t="shared" si="35"/>
        <v>137</v>
      </c>
      <c r="C140" s="2" t="s">
        <v>111</v>
      </c>
      <c r="D140" s="2">
        <f>SUM($L$3:L140)</f>
        <v>1447.0902446355947</v>
      </c>
      <c r="E140" s="2">
        <f t="shared" si="36"/>
        <v>9.7286246322144052</v>
      </c>
      <c r="F140" s="40" t="s">
        <v>147</v>
      </c>
      <c r="G140" s="2">
        <v>16.600000000000001</v>
      </c>
      <c r="H140" s="2">
        <f t="shared" si="37"/>
        <v>0.80000000000000071</v>
      </c>
      <c r="I140" s="2">
        <f t="shared" si="38"/>
        <v>4.7009445113630797</v>
      </c>
      <c r="J140" s="2">
        <v>3</v>
      </c>
      <c r="K140" s="2">
        <v>4750</v>
      </c>
      <c r="L140" s="2">
        <f>IF(J140=1,VLOOKUP('Duty Cycle '!K140,'Gearing '!$L$3:$O$28,2),IF(J140=2,VLOOKUP('Duty Cycle '!K140,'Gearing '!$L$2:$O$28,3),IF(J140=3,VLOOKUP('Duty Cycle '!K140,'Gearing '!$L$2:$O$28,4))))</f>
        <v>9.7286246322142969</v>
      </c>
      <c r="M140" s="2">
        <f t="shared" si="30"/>
        <v>21.762933302263384</v>
      </c>
      <c r="N140" s="2">
        <f t="shared" si="39"/>
        <v>0</v>
      </c>
      <c r="O140" s="2">
        <f>IF(J140=1,'Gearing '!$C$17*'Duty Cycle '!N140,IF(J140=2,'Gearing '!$C$18*'Duty Cycle '!N140,IF(J140=3,'Gearing '!$C$19*'Duty Cycle '!N140)))</f>
        <v>0</v>
      </c>
      <c r="P140" s="2">
        <f>IF(F140='Track '!$B$60,'Track '!$F$53,IF(F140='Track '!$B$61,'Track '!$F$54,IF(F140='Track '!$B$62,'Track '!$F$55)))</f>
        <v>0.06</v>
      </c>
      <c r="Q140" s="2">
        <f>P140*'Vehicle '!$F$38*9.81</f>
        <v>343.91897999999992</v>
      </c>
      <c r="R140" s="2">
        <f>0.5*'Vehicle '!$F$51*'Vehicle '!$F$25*'Track '!$F$57*'Duty Cycle '!L140^2</f>
        <v>36.166692812583079</v>
      </c>
      <c r="S140" s="2">
        <f>'Vehicle '!$F$38*9.81*SIN(RADIANS('Duty Cycle '!I140))</f>
        <v>469.76431149610858</v>
      </c>
      <c r="T140" s="2">
        <f t="shared" si="31"/>
        <v>849.84998430869155</v>
      </c>
      <c r="U140" s="2">
        <f t="shared" si="40"/>
        <v>8.2678714910324711</v>
      </c>
      <c r="V140" s="2">
        <f>'Vehicle '!$F$9-'Duty Cycle '!U140</f>
        <v>5.1549473009138378</v>
      </c>
      <c r="W140" s="2">
        <f t="shared" si="32"/>
        <v>8.2678714910324711</v>
      </c>
      <c r="X140" s="41">
        <f t="shared" si="41"/>
        <v>16.62154884184897</v>
      </c>
      <c r="Y140" s="41">
        <f t="shared" si="33"/>
        <v>17</v>
      </c>
      <c r="Z140" s="2">
        <f>T140*D140</f>
        <v>1229809.6216968207</v>
      </c>
      <c r="AA140" s="2">
        <f t="shared" si="42"/>
        <v>31284537.281520158</v>
      </c>
      <c r="AB140" s="2">
        <f>INDEX('BSFC '!$D$5:$AD$27,MATCH('Duty Cycle '!Y140,'BSFC '!$B$5:$B$27,0),MATCH('Duty Cycle '!K140,'BSFC '!$D$28:$AD$28,0))</f>
        <v>483.3844120057999</v>
      </c>
      <c r="AC140" s="2">
        <f>U140*AB140/3600</f>
        <v>1.1101556108978465</v>
      </c>
      <c r="AD140" s="2">
        <f t="shared" si="43"/>
        <v>95.332169877508008</v>
      </c>
      <c r="AE140" s="2">
        <f t="shared" si="44"/>
        <v>3.4303808376743454</v>
      </c>
      <c r="AF140" s="2">
        <f>0.5*'Vehicle '!$F$38*'Duty Cycle '!L140^2/1000</f>
        <v>27.65086899306699</v>
      </c>
      <c r="AG140" s="2">
        <f t="shared" si="34"/>
        <v>1229837.2725658137</v>
      </c>
    </row>
    <row r="141" spans="2:33" ht="30" customHeight="1" x14ac:dyDescent="0.25">
      <c r="B141" s="39">
        <f t="shared" si="35"/>
        <v>138</v>
      </c>
      <c r="C141" s="2" t="s">
        <v>111</v>
      </c>
      <c r="D141" s="2">
        <f>SUM($L$3:L141)</f>
        <v>1456.8188692678091</v>
      </c>
      <c r="E141" s="2">
        <f t="shared" si="36"/>
        <v>9.7286246322144052</v>
      </c>
      <c r="F141" s="40" t="s">
        <v>147</v>
      </c>
      <c r="G141" s="2">
        <v>17.2</v>
      </c>
      <c r="H141" s="2">
        <f t="shared" si="37"/>
        <v>0.59999999999999787</v>
      </c>
      <c r="I141" s="2">
        <f t="shared" si="38"/>
        <v>3.529171047805622</v>
      </c>
      <c r="J141" s="2">
        <v>3</v>
      </c>
      <c r="K141" s="2">
        <v>4750</v>
      </c>
      <c r="L141" s="2">
        <f>IF(J141=1,VLOOKUP('Duty Cycle '!K141,'Gearing '!$L$3:$O$28,2),IF(J141=2,VLOOKUP('Duty Cycle '!K141,'Gearing '!$L$2:$O$28,3),IF(J141=3,VLOOKUP('Duty Cycle '!K141,'Gearing '!$L$2:$O$28,4))))</f>
        <v>9.7286246322142969</v>
      </c>
      <c r="M141" s="2">
        <f t="shared" si="30"/>
        <v>21.762933302263384</v>
      </c>
      <c r="N141" s="2">
        <f t="shared" si="39"/>
        <v>0</v>
      </c>
      <c r="O141" s="2">
        <f>IF(J141=1,'Gearing '!$C$17*'Duty Cycle '!N141,IF(J141=2,'Gearing '!$C$18*'Duty Cycle '!N141,IF(J141=3,'Gearing '!$C$19*'Duty Cycle '!N141)))</f>
        <v>0</v>
      </c>
      <c r="P141" s="2">
        <f>IF(F141='Track '!$B$60,'Track '!$F$53,IF(F141='Track '!$B$61,'Track '!$F$54,IF(F141='Track '!$B$62,'Track '!$F$55)))</f>
        <v>0.06</v>
      </c>
      <c r="Q141" s="2">
        <f>P141*'Vehicle '!$F$38*9.81</f>
        <v>343.91897999999992</v>
      </c>
      <c r="R141" s="2">
        <f>0.5*'Vehicle '!$F$51*'Vehicle '!$F$25*'Track '!$F$57*'Duty Cycle '!L141^2</f>
        <v>36.166692812583079</v>
      </c>
      <c r="S141" s="2">
        <f>'Vehicle '!$F$38*9.81*SIN(RADIANS('Duty Cycle '!I141))</f>
        <v>352.8420313021262</v>
      </c>
      <c r="T141" s="2">
        <f t="shared" si="31"/>
        <v>732.92770411470917</v>
      </c>
      <c r="U141" s="2">
        <f t="shared" si="40"/>
        <v>7.1303785158826312</v>
      </c>
      <c r="V141" s="2">
        <f>'Vehicle '!$F$9-'Duty Cycle '!U141</f>
        <v>6.2924402760636777</v>
      </c>
      <c r="W141" s="2">
        <f t="shared" si="32"/>
        <v>7.1303785158826312</v>
      </c>
      <c r="X141" s="41">
        <f t="shared" si="41"/>
        <v>14.334757729502821</v>
      </c>
      <c r="Y141" s="41">
        <f t="shared" si="33"/>
        <v>15</v>
      </c>
      <c r="Z141" s="2">
        <f>T141*D141</f>
        <v>1067742.909163442</v>
      </c>
      <c r="AA141" s="2">
        <f t="shared" si="42"/>
        <v>32352280.1906836</v>
      </c>
      <c r="AB141" s="2">
        <f>INDEX('BSFC '!$D$5:$AD$27,MATCH('Duty Cycle '!Y141,'BSFC '!$B$5:$B$27,0),MATCH('Duty Cycle '!K141,'BSFC '!$D$28:$AD$28,0))</f>
        <v>468.63286448180003</v>
      </c>
      <c r="AC141" s="2">
        <f>U141*AB141/3600</f>
        <v>0.92820269687154544</v>
      </c>
      <c r="AD141" s="2">
        <f t="shared" si="43"/>
        <v>96.260372574379559</v>
      </c>
      <c r="AE141" s="2">
        <f t="shared" si="44"/>
        <v>2.8681463333330752</v>
      </c>
      <c r="AF141" s="2">
        <f>0.5*'Vehicle '!$F$38*'Duty Cycle '!L141^2/1000</f>
        <v>27.65086899306699</v>
      </c>
      <c r="AG141" s="2">
        <f t="shared" si="34"/>
        <v>1067770.560032435</v>
      </c>
    </row>
    <row r="142" spans="2:33" ht="30" customHeight="1" x14ac:dyDescent="0.25">
      <c r="B142" s="39">
        <f t="shared" si="35"/>
        <v>139</v>
      </c>
      <c r="C142" s="2" t="s">
        <v>111</v>
      </c>
      <c r="D142" s="2">
        <f>SUM($L$3:L142)</f>
        <v>1466.5474939000235</v>
      </c>
      <c r="E142" s="2">
        <f t="shared" si="36"/>
        <v>9.7286246322144052</v>
      </c>
      <c r="F142" s="40" t="s">
        <v>147</v>
      </c>
      <c r="G142" s="2">
        <v>17.5</v>
      </c>
      <c r="H142" s="2">
        <f t="shared" si="37"/>
        <v>0.30000000000000071</v>
      </c>
      <c r="I142" s="2">
        <f t="shared" si="38"/>
        <v>1.7662608327945308</v>
      </c>
      <c r="J142" s="2">
        <v>3</v>
      </c>
      <c r="K142" s="2">
        <v>4750</v>
      </c>
      <c r="L142" s="2">
        <f>IF(J142=1,VLOOKUP('Duty Cycle '!K142,'Gearing '!$L$3:$O$28,2),IF(J142=2,VLOOKUP('Duty Cycle '!K142,'Gearing '!$L$2:$O$28,3),IF(J142=3,VLOOKUP('Duty Cycle '!K142,'Gearing '!$L$2:$O$28,4))))</f>
        <v>9.7286246322142969</v>
      </c>
      <c r="M142" s="2">
        <f t="shared" si="30"/>
        <v>21.762933302263384</v>
      </c>
      <c r="N142" s="2">
        <f t="shared" si="39"/>
        <v>0</v>
      </c>
      <c r="O142" s="2">
        <f>IF(J142=1,'Gearing '!$C$17*'Duty Cycle '!N142,IF(J142=2,'Gearing '!$C$18*'Duty Cycle '!N142,IF(J142=3,'Gearing '!$C$19*'Duty Cycle '!N142)))</f>
        <v>0</v>
      </c>
      <c r="P142" s="2">
        <f>IF(F142='Track '!$B$60,'Track '!$F$53,IF(F142='Track '!$B$61,'Track '!$F$54,IF(F142='Track '!$B$62,'Track '!$F$55)))</f>
        <v>0.06</v>
      </c>
      <c r="Q142" s="2">
        <f>P142*'Vehicle '!$F$38*9.81</f>
        <v>343.91897999999992</v>
      </c>
      <c r="R142" s="2">
        <f>0.5*'Vehicle '!$F$51*'Vehicle '!$F$25*'Track '!$F$57*'Duty Cycle '!L142^2</f>
        <v>36.166692812583079</v>
      </c>
      <c r="S142" s="2">
        <f>'Vehicle '!$F$38*9.81*SIN(RADIANS('Duty Cycle '!I142))</f>
        <v>176.67223859854593</v>
      </c>
      <c r="T142" s="2">
        <f t="shared" si="31"/>
        <v>556.75791141112893</v>
      </c>
      <c r="U142" s="2">
        <f t="shared" si="40"/>
        <v>5.4164887311344945</v>
      </c>
      <c r="V142" s="2">
        <f>'Vehicle '!$F$9-'Duty Cycle '!U142</f>
        <v>8.0063300608118144</v>
      </c>
      <c r="W142" s="2">
        <f t="shared" si="32"/>
        <v>5.4164887311344945</v>
      </c>
      <c r="X142" s="41">
        <f t="shared" si="41"/>
        <v>10.889191020146564</v>
      </c>
      <c r="Y142" s="41">
        <f t="shared" si="33"/>
        <v>11</v>
      </c>
      <c r="Z142" s="2">
        <f>T142*D142</f>
        <v>816511.91968900245</v>
      </c>
      <c r="AA142" s="2">
        <f t="shared" si="42"/>
        <v>33168792.110372603</v>
      </c>
      <c r="AB142" s="2">
        <f>INDEX('BSFC '!$D$5:$AD$27,MATCH('Duty Cycle '!Y142,'BSFC '!$B$5:$B$27,0),MATCH('Duty Cycle '!K142,'BSFC '!$D$28:$AD$28,0))</f>
        <v>463.57245676580004</v>
      </c>
      <c r="AC142" s="2">
        <f>U142*AB142/3600</f>
        <v>0.69748194114896911</v>
      </c>
      <c r="AD142" s="2">
        <f t="shared" si="43"/>
        <v>96.957854515528524</v>
      </c>
      <c r="AE142" s="2">
        <f t="shared" si="44"/>
        <v>2.1552191981503146</v>
      </c>
      <c r="AF142" s="2">
        <f>0.5*'Vehicle '!$F$38*'Duty Cycle '!L142^2/1000</f>
        <v>27.65086899306699</v>
      </c>
      <c r="AG142" s="2">
        <f t="shared" si="34"/>
        <v>816539.57055799547</v>
      </c>
    </row>
    <row r="143" spans="2:33" ht="30" customHeight="1" x14ac:dyDescent="0.25">
      <c r="B143" s="39">
        <f t="shared" si="35"/>
        <v>140</v>
      </c>
      <c r="C143" s="2" t="s">
        <v>111</v>
      </c>
      <c r="D143" s="2">
        <f>SUM($L$3:L143)</f>
        <v>1476.2761185322379</v>
      </c>
      <c r="E143" s="2">
        <f t="shared" si="36"/>
        <v>9.7286246322144052</v>
      </c>
      <c r="F143" s="40" t="s">
        <v>147</v>
      </c>
      <c r="G143" s="2">
        <v>17.5</v>
      </c>
      <c r="H143" s="2">
        <f t="shared" si="37"/>
        <v>0</v>
      </c>
      <c r="I143" s="2">
        <f t="shared" si="38"/>
        <v>0</v>
      </c>
      <c r="J143" s="2">
        <v>3</v>
      </c>
      <c r="K143" s="2">
        <v>4750</v>
      </c>
      <c r="L143" s="2">
        <f>IF(J143=1,VLOOKUP('Duty Cycle '!K143,'Gearing '!$L$3:$O$28,2),IF(J143=2,VLOOKUP('Duty Cycle '!K143,'Gearing '!$L$2:$O$28,3),IF(J143=3,VLOOKUP('Duty Cycle '!K143,'Gearing '!$L$2:$O$28,4))))</f>
        <v>9.7286246322142969</v>
      </c>
      <c r="M143" s="2">
        <f t="shared" si="30"/>
        <v>21.762933302263384</v>
      </c>
      <c r="N143" s="2">
        <f t="shared" si="39"/>
        <v>0</v>
      </c>
      <c r="O143" s="2">
        <f>IF(J143=1,'Gearing '!$C$17*'Duty Cycle '!N143,IF(J143=2,'Gearing '!$C$18*'Duty Cycle '!N143,IF(J143=3,'Gearing '!$C$19*'Duty Cycle '!N143)))</f>
        <v>0</v>
      </c>
      <c r="P143" s="2">
        <f>IF(F143='Track '!$B$60,'Track '!$F$53,IF(F143='Track '!$B$61,'Track '!$F$54,IF(F143='Track '!$B$62,'Track '!$F$55)))</f>
        <v>0.06</v>
      </c>
      <c r="Q143" s="2">
        <f>P143*'Vehicle '!$F$38*9.81</f>
        <v>343.91897999999992</v>
      </c>
      <c r="R143" s="2">
        <f>0.5*'Vehicle '!$F$51*'Vehicle '!$F$25*'Track '!$F$57*'Duty Cycle '!L143^2</f>
        <v>36.166692812583079</v>
      </c>
      <c r="S143" s="2">
        <f>'Vehicle '!$F$38*9.81*SIN(RADIANS('Duty Cycle '!I143))</f>
        <v>0</v>
      </c>
      <c r="T143" s="2">
        <f t="shared" si="31"/>
        <v>380.08567281258297</v>
      </c>
      <c r="U143" s="2">
        <f t="shared" si="40"/>
        <v>3.6977108388762385</v>
      </c>
      <c r="V143" s="2">
        <f>'Vehicle '!$F$9-'Duty Cycle '!U143</f>
        <v>9.7251079530700704</v>
      </c>
      <c r="W143" s="2">
        <f t="shared" si="32"/>
        <v>3.6977108388762385</v>
      </c>
      <c r="X143" s="41">
        <f t="shared" si="41"/>
        <v>7.4337973658732501</v>
      </c>
      <c r="Y143" s="41">
        <f t="shared" si="33"/>
        <v>8</v>
      </c>
      <c r="Z143" s="2">
        <f>T143*D143</f>
        <v>561111.40176947415</v>
      </c>
      <c r="AA143" s="2">
        <f t="shared" si="42"/>
        <v>33729903.512142077</v>
      </c>
      <c r="AB143" s="2">
        <f>INDEX('BSFC '!$D$5:$AD$27,MATCH('Duty Cycle '!Y143,'BSFC '!$B$5:$B$27,0),MATCH('Duty Cycle '!K143,'BSFC '!$D$28:$AD$28,0))</f>
        <v>522.98284504955018</v>
      </c>
      <c r="AC143" s="2">
        <f>U143*AB143/3600</f>
        <v>0.53717759296834833</v>
      </c>
      <c r="AD143" s="2">
        <f t="shared" si="43"/>
        <v>97.495032108496872</v>
      </c>
      <c r="AE143" s="2">
        <f t="shared" si="44"/>
        <v>1.6598787622721962</v>
      </c>
      <c r="AF143" s="2">
        <f>0.5*'Vehicle '!$F$38*'Duty Cycle '!L143^2/1000</f>
        <v>27.65086899306699</v>
      </c>
      <c r="AG143" s="2">
        <f t="shared" si="34"/>
        <v>561139.05263846717</v>
      </c>
    </row>
    <row r="144" spans="2:33" ht="30" customHeight="1" x14ac:dyDescent="0.25">
      <c r="B144" s="39">
        <f t="shared" si="35"/>
        <v>141</v>
      </c>
      <c r="C144" s="2" t="s">
        <v>111</v>
      </c>
      <c r="D144" s="2">
        <f>SUM($L$3:L144)</f>
        <v>1486.0047431644523</v>
      </c>
      <c r="E144" s="2">
        <f t="shared" si="36"/>
        <v>9.7286246322144052</v>
      </c>
      <c r="F144" s="40" t="s">
        <v>147</v>
      </c>
      <c r="G144" s="2">
        <v>17.2</v>
      </c>
      <c r="H144" s="2">
        <f t="shared" si="37"/>
        <v>-0.30000000000000071</v>
      </c>
      <c r="I144" s="2">
        <f t="shared" si="38"/>
        <v>-1.7662608327945308</v>
      </c>
      <c r="J144" s="2">
        <v>3</v>
      </c>
      <c r="K144" s="2">
        <v>4750</v>
      </c>
      <c r="L144" s="2">
        <f>IF(J144=1,VLOOKUP('Duty Cycle '!K144,'Gearing '!$L$3:$O$28,2),IF(J144=2,VLOOKUP('Duty Cycle '!K144,'Gearing '!$L$2:$O$28,3),IF(J144=3,VLOOKUP('Duty Cycle '!K144,'Gearing '!$L$2:$O$28,4))))</f>
        <v>9.7286246322142969</v>
      </c>
      <c r="M144" s="2">
        <f t="shared" si="30"/>
        <v>21.762933302263384</v>
      </c>
      <c r="N144" s="2">
        <f t="shared" si="39"/>
        <v>0</v>
      </c>
      <c r="O144" s="2">
        <f>IF(J144=1,'Gearing '!$C$17*'Duty Cycle '!N144,IF(J144=2,'Gearing '!$C$18*'Duty Cycle '!N144,IF(J144=3,'Gearing '!$C$19*'Duty Cycle '!N144)))</f>
        <v>0</v>
      </c>
      <c r="P144" s="2">
        <f>IF(F144='Track '!$B$60,'Track '!$F$53,IF(F144='Track '!$B$61,'Track '!$F$54,IF(F144='Track '!$B$62,'Track '!$F$55)))</f>
        <v>0.06</v>
      </c>
      <c r="Q144" s="2">
        <f>P144*'Vehicle '!$F$38*9.81</f>
        <v>343.91897999999992</v>
      </c>
      <c r="R144" s="2">
        <f>0.5*'Vehicle '!$F$51*'Vehicle '!$F$25*'Track '!$F$57*'Duty Cycle '!L144^2</f>
        <v>36.166692812583079</v>
      </c>
      <c r="S144" s="2">
        <f>'Vehicle '!$F$38*9.81*SIN(RADIANS('Duty Cycle '!I144))</f>
        <v>-176.67223859854593</v>
      </c>
      <c r="T144" s="2">
        <f t="shared" si="31"/>
        <v>203.41343421403704</v>
      </c>
      <c r="U144" s="2">
        <f t="shared" si="40"/>
        <v>1.978932946617983</v>
      </c>
      <c r="V144" s="2">
        <f>'Vehicle '!$F$9-'Duty Cycle '!U144</f>
        <v>11.443885845328326</v>
      </c>
      <c r="W144" s="2">
        <f t="shared" si="32"/>
        <v>1.978932946617983</v>
      </c>
      <c r="X144" s="41">
        <f t="shared" si="41"/>
        <v>3.9784037115999396</v>
      </c>
      <c r="Y144" s="41">
        <f t="shared" si="33"/>
        <v>4</v>
      </c>
      <c r="Z144" s="2">
        <f>T144*D144</f>
        <v>302273.32806542935</v>
      </c>
      <c r="AA144" s="2">
        <f t="shared" si="42"/>
        <v>34032176.84020751</v>
      </c>
      <c r="AB144" s="2">
        <f>INDEX('BSFC '!$D$5:$AD$27,MATCH('Duty Cycle '!Y144,'BSFC '!$B$5:$B$27,0),MATCH('Duty Cycle '!K144,'BSFC '!$D$28:$AD$28,0))</f>
        <v>729.8101568858001</v>
      </c>
      <c r="AC144" s="2">
        <f>U144*AB144/3600</f>
        <v>0.40117926784381913</v>
      </c>
      <c r="AD144" s="2">
        <f t="shared" si="43"/>
        <v>97.896211376340688</v>
      </c>
      <c r="AE144" s="2">
        <f t="shared" si="44"/>
        <v>1.2396439376374011</v>
      </c>
      <c r="AF144" s="2">
        <f>0.5*'Vehicle '!$F$38*'Duty Cycle '!L144^2/1000</f>
        <v>27.65086899306699</v>
      </c>
      <c r="AG144" s="2">
        <f t="shared" si="34"/>
        <v>302300.97893442243</v>
      </c>
    </row>
    <row r="145" spans="2:33" ht="30" customHeight="1" x14ac:dyDescent="0.25">
      <c r="B145" s="39">
        <f t="shared" si="35"/>
        <v>142</v>
      </c>
      <c r="C145" s="2" t="s">
        <v>111</v>
      </c>
      <c r="D145" s="2">
        <f>SUM($L$3:L145)</f>
        <v>1495.7333677966667</v>
      </c>
      <c r="E145" s="2">
        <f t="shared" si="36"/>
        <v>9.7286246322144052</v>
      </c>
      <c r="F145" s="40" t="s">
        <v>147</v>
      </c>
      <c r="G145" s="2">
        <v>16.5</v>
      </c>
      <c r="H145" s="2">
        <f t="shared" si="37"/>
        <v>-0.69999999999999929</v>
      </c>
      <c r="I145" s="2">
        <f t="shared" si="38"/>
        <v>-4.1154888377874128</v>
      </c>
      <c r="J145" s="2">
        <v>3</v>
      </c>
      <c r="K145" s="2">
        <v>4750</v>
      </c>
      <c r="L145" s="2">
        <f>IF(J145=1,VLOOKUP('Duty Cycle '!K145,'Gearing '!$L$3:$O$28,2),IF(J145=2,VLOOKUP('Duty Cycle '!K145,'Gearing '!$L$2:$O$28,3),IF(J145=3,VLOOKUP('Duty Cycle '!K145,'Gearing '!$L$2:$O$28,4))))</f>
        <v>9.7286246322142969</v>
      </c>
      <c r="M145" s="2">
        <f t="shared" si="30"/>
        <v>21.762933302263384</v>
      </c>
      <c r="N145" s="2">
        <f t="shared" si="39"/>
        <v>0</v>
      </c>
      <c r="O145" s="2">
        <f>IF(J145=1,'Gearing '!$C$17*'Duty Cycle '!N145,IF(J145=2,'Gearing '!$C$18*'Duty Cycle '!N145,IF(J145=3,'Gearing '!$C$19*'Duty Cycle '!N145)))</f>
        <v>0</v>
      </c>
      <c r="P145" s="2">
        <f>IF(F145='Track '!$B$60,'Track '!$F$53,IF(F145='Track '!$B$61,'Track '!$F$54,IF(F145='Track '!$B$62,'Track '!$F$55)))</f>
        <v>0.06</v>
      </c>
      <c r="Q145" s="2">
        <f>P145*'Vehicle '!$F$38*9.81</f>
        <v>343.91897999999992</v>
      </c>
      <c r="R145" s="2">
        <f>0.5*'Vehicle '!$F$51*'Vehicle '!$F$25*'Track '!$F$57*'Duty Cycle '!L145^2</f>
        <v>36.166692812583079</v>
      </c>
      <c r="S145" s="2">
        <f>'Vehicle '!$F$38*9.81*SIN(RADIANS('Duty Cycle '!I145))</f>
        <v>-411.36768880966417</v>
      </c>
      <c r="T145" s="2">
        <f t="shared" si="31"/>
        <v>-31.282015997081203</v>
      </c>
      <c r="U145" s="2">
        <f t="shared" si="40"/>
        <v>0.30433099137452585</v>
      </c>
      <c r="V145" s="2">
        <f>'Vehicle '!$F$9-'Duty Cycle '!U145</f>
        <v>13.118487800571783</v>
      </c>
      <c r="W145" s="2">
        <f t="shared" si="32"/>
        <v>0.30433099137452585</v>
      </c>
      <c r="X145" s="41">
        <f t="shared" si="41"/>
        <v>0.61182039932605592</v>
      </c>
      <c r="Y145" s="41">
        <f t="shared" si="33"/>
        <v>1</v>
      </c>
      <c r="Z145" s="2">
        <f>T145*D145</f>
        <v>-46789.555138783471</v>
      </c>
      <c r="AA145" s="2">
        <f t="shared" si="42"/>
        <v>33985387.285068728</v>
      </c>
      <c r="AB145" s="2">
        <f>INDEX('BSFC '!$D$5:$AD$27,MATCH('Duty Cycle '!Y145,'BSFC '!$B$5:$B$27,0),MATCH('Duty Cycle '!K145,'BSFC '!$D$28:$AD$28,0))</f>
        <v>987.84238672579977</v>
      </c>
      <c r="AC145" s="2">
        <f>U145*AB145/3600</f>
        <v>8.350862579834456E-2</v>
      </c>
      <c r="AD145" s="2">
        <f t="shared" si="43"/>
        <v>97.979720002139032</v>
      </c>
      <c r="AE145" s="2">
        <f t="shared" si="44"/>
        <v>0.2580416537168847</v>
      </c>
      <c r="AF145" s="2">
        <f>0.5*'Vehicle '!$F$38*'Duty Cycle '!L145^2/1000</f>
        <v>27.65086899306699</v>
      </c>
      <c r="AG145" s="2">
        <f t="shared" si="34"/>
        <v>-46761.904269790401</v>
      </c>
    </row>
    <row r="146" spans="2:33" ht="30" customHeight="1" x14ac:dyDescent="0.25">
      <c r="B146" s="39">
        <f t="shared" si="35"/>
        <v>143</v>
      </c>
      <c r="C146" s="2" t="s">
        <v>111</v>
      </c>
      <c r="D146" s="2">
        <f>SUM($L$3:L146)</f>
        <v>1505.4619924288811</v>
      </c>
      <c r="E146" s="2">
        <f t="shared" si="36"/>
        <v>9.7286246322144052</v>
      </c>
      <c r="F146" s="40" t="s">
        <v>147</v>
      </c>
      <c r="G146" s="2">
        <v>15.5</v>
      </c>
      <c r="H146" s="2">
        <f t="shared" si="37"/>
        <v>-1</v>
      </c>
      <c r="I146" s="2">
        <f t="shared" si="38"/>
        <v>-5.8687904876691928</v>
      </c>
      <c r="J146" s="2">
        <v>3</v>
      </c>
      <c r="K146" s="2">
        <v>4750</v>
      </c>
      <c r="L146" s="2">
        <f>IF(J146=1,VLOOKUP('Duty Cycle '!K146,'Gearing '!$L$3:$O$28,2),IF(J146=2,VLOOKUP('Duty Cycle '!K146,'Gearing '!$L$2:$O$28,3),IF(J146=3,VLOOKUP('Duty Cycle '!K146,'Gearing '!$L$2:$O$28,4))))</f>
        <v>9.7286246322142969</v>
      </c>
      <c r="M146" s="2">
        <f t="shared" si="30"/>
        <v>21.762933302263384</v>
      </c>
      <c r="N146" s="2">
        <f t="shared" si="39"/>
        <v>0</v>
      </c>
      <c r="O146" s="2">
        <f>IF(J146=1,'Gearing '!$C$17*'Duty Cycle '!N146,IF(J146=2,'Gearing '!$C$18*'Duty Cycle '!N146,IF(J146=3,'Gearing '!$C$19*'Duty Cycle '!N146)))</f>
        <v>0</v>
      </c>
      <c r="P146" s="2">
        <f>IF(F146='Track '!$B$60,'Track '!$F$53,IF(F146='Track '!$B$61,'Track '!$F$54,IF(F146='Track '!$B$62,'Track '!$F$55)))</f>
        <v>0.06</v>
      </c>
      <c r="Q146" s="2">
        <f>P146*'Vehicle '!$F$38*9.81</f>
        <v>343.91897999999992</v>
      </c>
      <c r="R146" s="2">
        <f>0.5*'Vehicle '!$F$51*'Vehicle '!$F$25*'Track '!$F$57*'Duty Cycle '!L146^2</f>
        <v>36.166692812583079</v>
      </c>
      <c r="S146" s="2">
        <f>'Vehicle '!$F$38*9.81*SIN(RADIANS('Duty Cycle '!I146))</f>
        <v>-586.09926403902716</v>
      </c>
      <c r="T146" s="2">
        <f t="shared" si="31"/>
        <v>-206.01359122644419</v>
      </c>
      <c r="U146" s="2">
        <f t="shared" si="40"/>
        <v>2.0042288981765122</v>
      </c>
      <c r="V146" s="2">
        <f>'Vehicle '!$F$9-'Duty Cycle '!U146</f>
        <v>11.418589893769797</v>
      </c>
      <c r="W146" s="2">
        <f t="shared" si="32"/>
        <v>2.0042288981765122</v>
      </c>
      <c r="X146" s="41">
        <f t="shared" si="41"/>
        <v>4.029258141883135</v>
      </c>
      <c r="Y146" s="41">
        <f t="shared" si="33"/>
        <v>5</v>
      </c>
      <c r="Z146" s="2">
        <f>T146*D146</f>
        <v>-310145.63151519175</v>
      </c>
      <c r="AA146" s="2">
        <f t="shared" si="42"/>
        <v>33675241.653553538</v>
      </c>
      <c r="AB146" s="2">
        <f>INDEX('BSFC '!$D$5:$AD$27,MATCH('Duty Cycle '!Y146,'BSFC '!$B$5:$B$27,0),MATCH('Duty Cycle '!K146,'BSFC '!$D$28:$AD$28,0))</f>
        <v>665.13143872580008</v>
      </c>
      <c r="AC146" s="2">
        <f>U146*AB146/3600</f>
        <v>0.37029879182776904</v>
      </c>
      <c r="AD146" s="2">
        <f t="shared" si="43"/>
        <v>98.350018793966797</v>
      </c>
      <c r="AE146" s="2">
        <f t="shared" si="44"/>
        <v>1.1442232667478063</v>
      </c>
      <c r="AF146" s="2">
        <f>0.5*'Vehicle '!$F$38*'Duty Cycle '!L146^2/1000</f>
        <v>27.65086899306699</v>
      </c>
      <c r="AG146" s="2">
        <f t="shared" si="34"/>
        <v>-310117.98064619867</v>
      </c>
    </row>
    <row r="147" spans="2:33" ht="30" customHeight="1" x14ac:dyDescent="0.25">
      <c r="B147" s="39">
        <f t="shared" si="35"/>
        <v>144</v>
      </c>
      <c r="C147" s="2" t="s">
        <v>111</v>
      </c>
      <c r="D147" s="2">
        <f>SUM($L$3:L147)</f>
        <v>1515.1906170610955</v>
      </c>
      <c r="E147" s="2">
        <f t="shared" si="36"/>
        <v>9.7286246322144052</v>
      </c>
      <c r="F147" s="40" t="s">
        <v>147</v>
      </c>
      <c r="G147" s="2">
        <v>14.5</v>
      </c>
      <c r="H147" s="2">
        <f t="shared" si="37"/>
        <v>-1</v>
      </c>
      <c r="I147" s="2">
        <f t="shared" si="38"/>
        <v>-5.8687904876691928</v>
      </c>
      <c r="J147" s="2">
        <v>3</v>
      </c>
      <c r="K147" s="2">
        <v>4750</v>
      </c>
      <c r="L147" s="2">
        <f>IF(J147=1,VLOOKUP('Duty Cycle '!K147,'Gearing '!$L$3:$O$28,2),IF(J147=2,VLOOKUP('Duty Cycle '!K147,'Gearing '!$L$2:$O$28,3),IF(J147=3,VLOOKUP('Duty Cycle '!K147,'Gearing '!$L$2:$O$28,4))))</f>
        <v>9.7286246322142969</v>
      </c>
      <c r="M147" s="2">
        <f t="shared" si="30"/>
        <v>21.762933302263384</v>
      </c>
      <c r="N147" s="2">
        <f t="shared" si="39"/>
        <v>0</v>
      </c>
      <c r="O147" s="2">
        <f>IF(J147=1,'Gearing '!$C$17*'Duty Cycle '!N147,IF(J147=2,'Gearing '!$C$18*'Duty Cycle '!N147,IF(J147=3,'Gearing '!$C$19*'Duty Cycle '!N147)))</f>
        <v>0</v>
      </c>
      <c r="P147" s="2">
        <f>IF(F147='Track '!$B$60,'Track '!$F$53,IF(F147='Track '!$B$61,'Track '!$F$54,IF(F147='Track '!$B$62,'Track '!$F$55)))</f>
        <v>0.06</v>
      </c>
      <c r="Q147" s="2">
        <f>P147*'Vehicle '!$F$38*9.81</f>
        <v>343.91897999999992</v>
      </c>
      <c r="R147" s="2">
        <f>0.5*'Vehicle '!$F$51*'Vehicle '!$F$25*'Track '!$F$57*'Duty Cycle '!L147^2</f>
        <v>36.166692812583079</v>
      </c>
      <c r="S147" s="2">
        <f>'Vehicle '!$F$38*9.81*SIN(RADIANS('Duty Cycle '!I147))</f>
        <v>-586.09926403902716</v>
      </c>
      <c r="T147" s="2">
        <f t="shared" si="31"/>
        <v>-206.01359122644419</v>
      </c>
      <c r="U147" s="2">
        <f t="shared" si="40"/>
        <v>2.0042288981765122</v>
      </c>
      <c r="V147" s="2">
        <f>'Vehicle '!$F$9-'Duty Cycle '!U147</f>
        <v>11.418589893769797</v>
      </c>
      <c r="W147" s="2">
        <f t="shared" si="32"/>
        <v>2.0042288981765122</v>
      </c>
      <c r="X147" s="41">
        <f t="shared" si="41"/>
        <v>4.029258141883135</v>
      </c>
      <c r="Y147" s="41">
        <f t="shared" si="33"/>
        <v>5</v>
      </c>
      <c r="Z147" s="2">
        <f>T147*D147</f>
        <v>-312149.86041336827</v>
      </c>
      <c r="AA147" s="2">
        <f t="shared" si="42"/>
        <v>33363091.793140169</v>
      </c>
      <c r="AB147" s="2">
        <f>INDEX('BSFC '!$D$5:$AD$27,MATCH('Duty Cycle '!Y147,'BSFC '!$B$5:$B$27,0),MATCH('Duty Cycle '!K147,'BSFC '!$D$28:$AD$28,0))</f>
        <v>665.13143872580008</v>
      </c>
      <c r="AC147" s="2">
        <f>U147*AB147/3600</f>
        <v>0.37029879182776904</v>
      </c>
      <c r="AD147" s="2">
        <f t="shared" si="43"/>
        <v>98.720317585794561</v>
      </c>
      <c r="AE147" s="2">
        <f t="shared" si="44"/>
        <v>1.1442232667478063</v>
      </c>
      <c r="AF147" s="2">
        <f>0.5*'Vehicle '!$F$38*'Duty Cycle '!L147^2/1000</f>
        <v>27.65086899306699</v>
      </c>
      <c r="AG147" s="2">
        <f t="shared" si="34"/>
        <v>-312122.20954437519</v>
      </c>
    </row>
    <row r="148" spans="2:33" ht="30" customHeight="1" x14ac:dyDescent="0.25">
      <c r="B148" s="39">
        <f t="shared" si="35"/>
        <v>145</v>
      </c>
      <c r="C148" s="2" t="s">
        <v>111</v>
      </c>
      <c r="D148" s="2">
        <f>SUM($L$3:L148)</f>
        <v>1525.4312745686896</v>
      </c>
      <c r="E148" s="2">
        <f t="shared" si="36"/>
        <v>10.240657507594051</v>
      </c>
      <c r="F148" s="40" t="s">
        <v>147</v>
      </c>
      <c r="G148" s="2">
        <v>13.5</v>
      </c>
      <c r="H148" s="2">
        <f t="shared" si="37"/>
        <v>-1</v>
      </c>
      <c r="I148" s="2">
        <v>0</v>
      </c>
      <c r="J148" s="2">
        <v>3</v>
      </c>
      <c r="K148" s="2">
        <v>5000</v>
      </c>
      <c r="L148" s="2">
        <f>IF(J148=1,VLOOKUP('Duty Cycle '!K148,'Gearing '!$L$3:$O$28,2),IF(J148=2,VLOOKUP('Duty Cycle '!K148,'Gearing '!$L$2:$O$28,3),IF(J148=3,VLOOKUP('Duty Cycle '!K148,'Gearing '!$L$2:$O$28,4))))</f>
        <v>10.240657507593998</v>
      </c>
      <c r="M148" s="2">
        <f t="shared" si="30"/>
        <v>22.908350844487774</v>
      </c>
      <c r="N148" s="2">
        <f t="shared" si="39"/>
        <v>0.51203287537970077</v>
      </c>
      <c r="O148" s="2">
        <f>IF(J148=1,'Gearing '!$C$17*'Duty Cycle '!N148,IF(J148=2,'Gearing '!$C$18*'Duty Cycle '!N148,IF(J148=3,'Gearing '!$C$19*'Duty Cycle '!N148)))</f>
        <v>308.3378492657061</v>
      </c>
      <c r="P148" s="2">
        <f>IF(F148='Track '!$B$60,'Track '!$F$53,IF(F148='Track '!$B$61,'Track '!$F$54,IF(F148='Track '!$B$62,'Track '!$F$55)))</f>
        <v>0.06</v>
      </c>
      <c r="Q148" s="2">
        <f>P148*'Vehicle '!$F$38*9.81</f>
        <v>343.91897999999992</v>
      </c>
      <c r="R148" s="2">
        <f>0.5*'Vehicle '!$F$51*'Vehicle '!$F$25*'Track '!$F$57*'Duty Cycle '!L148^2</f>
        <v>40.073897853277657</v>
      </c>
      <c r="S148" s="2">
        <f>'Vehicle '!$F$38*9.81*SIN(RADIANS('Duty Cycle '!I148))</f>
        <v>0</v>
      </c>
      <c r="T148" s="2">
        <f t="shared" si="31"/>
        <v>692.33072711898376</v>
      </c>
      <c r="U148" s="2">
        <f t="shared" si="40"/>
        <v>7.0899218584090322</v>
      </c>
      <c r="V148" s="2">
        <f>'Vehicle '!$F$9-'Duty Cycle '!U148</f>
        <v>6.3328969335372767</v>
      </c>
      <c r="W148" s="2">
        <f t="shared" si="32"/>
        <v>7.0899218584090322</v>
      </c>
      <c r="X148" s="41">
        <f t="shared" si="41"/>
        <v>13.540753318812893</v>
      </c>
      <c r="Y148" s="41">
        <f t="shared" si="33"/>
        <v>14</v>
      </c>
      <c r="Z148" s="2">
        <f>T148*D148</f>
        <v>1056102.943492179</v>
      </c>
      <c r="AA148" s="2">
        <f t="shared" si="42"/>
        <v>34419194.736632347</v>
      </c>
      <c r="AB148" s="2">
        <f>INDEX('BSFC '!$D$5:$AD$27,MATCH('Duty Cycle '!Y148,'BSFC '!$B$5:$B$27,0),MATCH('Duty Cycle '!K148,'BSFC '!$D$28:$AD$28,0))</f>
        <v>357.50227808580001</v>
      </c>
      <c r="AC148" s="2">
        <f>U148*AB148/3600</f>
        <v>0.70407311550876051</v>
      </c>
      <c r="AD148" s="2">
        <f t="shared" si="43"/>
        <v>99.424390701303324</v>
      </c>
      <c r="AE148" s="2">
        <f t="shared" si="44"/>
        <v>2.1755859269220696</v>
      </c>
      <c r="AF148" s="2">
        <f>0.5*'Vehicle '!$F$38*'Duty Cycle '!L148^2/1000</f>
        <v>30.638081986777838</v>
      </c>
      <c r="AG148" s="2">
        <f t="shared" si="34"/>
        <v>1056133.5815741657</v>
      </c>
    </row>
    <row r="149" spans="2:33" ht="30" customHeight="1" x14ac:dyDescent="0.25">
      <c r="B149" s="39">
        <f t="shared" ref="B149:B156" si="45">B148+1</f>
        <v>146</v>
      </c>
      <c r="C149" s="2" t="s">
        <v>111</v>
      </c>
      <c r="D149" s="2">
        <f>SUM($L$3:L149)</f>
        <v>1536.6959978270429</v>
      </c>
      <c r="E149" s="2">
        <f t="shared" si="36"/>
        <v>11.264723258353342</v>
      </c>
      <c r="F149" s="40" t="s">
        <v>147</v>
      </c>
      <c r="G149" s="2">
        <v>12.5</v>
      </c>
      <c r="H149" s="2">
        <f t="shared" si="37"/>
        <v>-1</v>
      </c>
      <c r="I149" s="2">
        <v>0</v>
      </c>
      <c r="J149" s="2">
        <v>3</v>
      </c>
      <c r="K149" s="2">
        <v>5500</v>
      </c>
      <c r="L149" s="2">
        <f>IF(J149=1,VLOOKUP('Duty Cycle '!K149,'Gearing '!$L$3:$O$28,2),IF(J149=2,VLOOKUP('Duty Cycle '!K149,'Gearing '!$L$2:$O$28,3),IF(J149=3,VLOOKUP('Duty Cycle '!K149,'Gearing '!$L$2:$O$28,4))))</f>
        <v>11.264723258353396</v>
      </c>
      <c r="M149" s="2">
        <f t="shared" si="30"/>
        <v>25.199185928936547</v>
      </c>
      <c r="N149" s="2">
        <f t="shared" ref="N149:N152" si="46">L149-L148</f>
        <v>1.024065750759398</v>
      </c>
      <c r="O149" s="2">
        <f>IF(J149=1,'Gearing '!$C$17*'Duty Cycle '!N149,IF(J149=2,'Gearing '!$C$18*'Duty Cycle '!N149,IF(J149=3,'Gearing '!$C$19*'Duty Cycle '!N149)))</f>
        <v>616.67569853141003</v>
      </c>
      <c r="P149" s="2">
        <f>IF(F149='Track '!$B$60,'Track '!$F$53,IF(F149='Track '!$B$61,'Track '!$F$54,IF(F149='Track '!$B$62,'Track '!$F$55)))</f>
        <v>0.06</v>
      </c>
      <c r="Q149" s="2">
        <f>P149*'Vehicle '!$F$38*9.81</f>
        <v>343.91897999999992</v>
      </c>
      <c r="R149" s="2">
        <f>0.5*'Vehicle '!$F$51*'Vehicle '!$F$25*'Track '!$F$57*'Duty Cycle '!L149^2</f>
        <v>48.489416402465956</v>
      </c>
      <c r="S149" s="2">
        <f>'Vehicle '!$F$38*9.81*SIN(RADIANS('Duty Cycle '!I149))</f>
        <v>0</v>
      </c>
      <c r="T149" s="2">
        <f t="shared" ref="T149:T152" si="47">SUM(Q149:S149)+O149</f>
        <v>1009.0840949338759</v>
      </c>
      <c r="U149" s="2">
        <f t="shared" ref="U149:U152" si="48">ABS(((+T149)*(+L149)/1000))</f>
        <v>11.367053073836118</v>
      </c>
      <c r="V149" s="2">
        <f>'Vehicle '!$F$9-'Duty Cycle '!U149</f>
        <v>2.0557657181101909</v>
      </c>
      <c r="W149" s="2">
        <f t="shared" ref="W149:W156" si="49">U149</f>
        <v>11.367053073836118</v>
      </c>
      <c r="X149" s="41">
        <f t="shared" si="41"/>
        <v>19.735883837333908</v>
      </c>
      <c r="Y149" s="41">
        <f t="shared" si="33"/>
        <v>20</v>
      </c>
      <c r="Z149" s="2">
        <f>T149*D149</f>
        <v>1550655.490155811</v>
      </c>
      <c r="AA149" s="2">
        <f t="shared" ref="AA149:AA156" si="50">SUM(AA148,Z149)</f>
        <v>35969850.226788156</v>
      </c>
      <c r="AB149" s="2">
        <f>INDEX('BSFC '!$D$5:$AD$27,MATCH('Duty Cycle '!Y149,'BSFC '!$B$5:$B$27,0),MATCH('Duty Cycle '!K149,'BSFC '!$D$28:$AD$28,0))</f>
        <v>448.71529592580009</v>
      </c>
      <c r="AC149" s="2">
        <f>U149*AB149/3600</f>
        <v>1.4168251621751804</v>
      </c>
      <c r="AD149" s="2">
        <f t="shared" si="43"/>
        <v>100.84121586347851</v>
      </c>
      <c r="AE149" s="2">
        <f t="shared" si="44"/>
        <v>4.3779897511213068</v>
      </c>
      <c r="AF149" s="2">
        <f>0.5*'Vehicle '!$F$38*'Duty Cycle '!L149^2/1000</f>
        <v>37.07207920400117</v>
      </c>
      <c r="AG149" s="2">
        <f t="shared" ref="AG149:AG156" si="51">Z149+AF149</f>
        <v>1550692.562235015</v>
      </c>
    </row>
    <row r="150" spans="2:33" ht="30" customHeight="1" x14ac:dyDescent="0.25">
      <c r="B150" s="39">
        <f t="shared" si="45"/>
        <v>147</v>
      </c>
      <c r="C150" s="2" t="s">
        <v>111</v>
      </c>
      <c r="D150" s="2">
        <f>SUM($L$3:L150)</f>
        <v>1548.4727539607759</v>
      </c>
      <c r="E150" s="2">
        <f t="shared" si="36"/>
        <v>11.776756133732988</v>
      </c>
      <c r="F150" s="40" t="s">
        <v>147</v>
      </c>
      <c r="G150" s="2">
        <v>11.5</v>
      </c>
      <c r="H150" s="2">
        <f t="shared" si="37"/>
        <v>-1</v>
      </c>
      <c r="I150" s="2">
        <v>0</v>
      </c>
      <c r="J150" s="2">
        <v>3</v>
      </c>
      <c r="K150" s="2">
        <v>5750</v>
      </c>
      <c r="L150" s="2">
        <f>IF(J150=1,VLOOKUP('Duty Cycle '!K150,'Gearing '!$L$3:$O$28,2),IF(J150=2,VLOOKUP('Duty Cycle '!K150,'Gearing '!$L$2:$O$28,3),IF(J150=3,VLOOKUP('Duty Cycle '!K150,'Gearing '!$L$2:$O$28,4))))</f>
        <v>11.776756133733098</v>
      </c>
      <c r="M150" s="2">
        <f t="shared" si="30"/>
        <v>26.344603471160941</v>
      </c>
      <c r="N150" s="2">
        <f t="shared" si="46"/>
        <v>0.51203287537970255</v>
      </c>
      <c r="O150" s="2">
        <f>IF(J150=1,'Gearing '!$C$17*'Duty Cycle '!N150,IF(J150=2,'Gearing '!$C$18*'Duty Cycle '!N150,IF(J150=3,'Gearing '!$C$19*'Duty Cycle '!N150)))</f>
        <v>308.33784926570718</v>
      </c>
      <c r="P150" s="2">
        <f>IF(F150='Track '!$B$60,'Track '!$F$53,IF(F150='Track '!$B$61,'Track '!$F$54,IF(F150='Track '!$B$62,'Track '!$F$55)))</f>
        <v>0.06</v>
      </c>
      <c r="Q150" s="2">
        <f>P150*'Vehicle '!$F$38*9.81</f>
        <v>343.91897999999992</v>
      </c>
      <c r="R150" s="2">
        <f>0.5*'Vehicle '!$F$51*'Vehicle '!$F$25*'Track '!$F$57*'Duty Cycle '!L150^2</f>
        <v>52.997729910959706</v>
      </c>
      <c r="S150" s="2">
        <f>'Vehicle '!$F$38*9.81*SIN(RADIANS('Duty Cycle '!I150))</f>
        <v>0</v>
      </c>
      <c r="T150" s="2">
        <f t="shared" si="47"/>
        <v>705.25455917666682</v>
      </c>
      <c r="U150" s="2">
        <f t="shared" si="48"/>
        <v>8.3056109556270439</v>
      </c>
      <c r="V150" s="2">
        <f>'Vehicle '!$F$9-'Duty Cycle '!U150</f>
        <v>5.117207836319265</v>
      </c>
      <c r="W150" s="2">
        <f t="shared" si="49"/>
        <v>8.3056109556270439</v>
      </c>
      <c r="X150" s="41">
        <f t="shared" si="41"/>
        <v>13.793520406812986</v>
      </c>
      <c r="Y150" s="41">
        <f t="shared" si="33"/>
        <v>14</v>
      </c>
      <c r="Z150" s="2">
        <f>T150*D150</f>
        <v>1092067.4694916862</v>
      </c>
      <c r="AA150" s="2">
        <f t="shared" si="50"/>
        <v>37061917.696279839</v>
      </c>
      <c r="AB150" s="2">
        <f>INDEX('BSFC '!$D$5:$AD$27,MATCH('Duty Cycle '!Y150,'BSFC '!$B$5:$B$27,0),MATCH('Duty Cycle '!K150,'BSFC '!$D$28:$AD$28,0))</f>
        <v>356.30693012580002</v>
      </c>
      <c r="AC150" s="2">
        <f>U150*AB150/3600</f>
        <v>0.82204076178296781</v>
      </c>
      <c r="AD150" s="2">
        <f t="shared" si="43"/>
        <v>101.66325662526148</v>
      </c>
      <c r="AE150" s="2">
        <f t="shared" si="44"/>
        <v>2.5401059539093702</v>
      </c>
      <c r="AF150" s="2">
        <f>0.5*'Vehicle '!$F$38*'Duty Cycle '!L150^2/1000</f>
        <v>40.518863427513693</v>
      </c>
      <c r="AG150" s="2">
        <f t="shared" si="51"/>
        <v>1092107.9883551137</v>
      </c>
    </row>
    <row r="151" spans="2:33" ht="30" customHeight="1" x14ac:dyDescent="0.25">
      <c r="B151" s="39">
        <f t="shared" si="45"/>
        <v>148</v>
      </c>
      <c r="C151" s="2" t="s">
        <v>111</v>
      </c>
      <c r="D151" s="2">
        <f>SUM($L$3:L151)</f>
        <v>1560.7615429698888</v>
      </c>
      <c r="E151" s="2">
        <f t="shared" si="36"/>
        <v>12.288789009112861</v>
      </c>
      <c r="F151" s="40" t="s">
        <v>147</v>
      </c>
      <c r="G151" s="2">
        <v>10.5</v>
      </c>
      <c r="H151" s="2">
        <f t="shared" si="37"/>
        <v>-1</v>
      </c>
      <c r="I151" s="2">
        <v>0</v>
      </c>
      <c r="J151" s="2">
        <v>3</v>
      </c>
      <c r="K151" s="2">
        <v>6000</v>
      </c>
      <c r="L151" s="2">
        <f>IF(J151=1,VLOOKUP('Duty Cycle '!K151,'Gearing '!$L$3:$O$28,2),IF(J151=2,VLOOKUP('Duty Cycle '!K151,'Gearing '!$L$2:$O$28,3),IF(J151=3,VLOOKUP('Duty Cycle '!K151,'Gearing '!$L$2:$O$28,4))))</f>
        <v>12.288789009112795</v>
      </c>
      <c r="M151" s="2">
        <f t="shared" si="30"/>
        <v>27.490021013385324</v>
      </c>
      <c r="N151" s="2">
        <f t="shared" si="46"/>
        <v>0.51203287537969722</v>
      </c>
      <c r="O151" s="2">
        <f>IF(J151=1,'Gearing '!$C$17*'Duty Cycle '!N151,IF(J151=2,'Gearing '!$C$18*'Duty Cycle '!N151,IF(J151=3,'Gearing '!$C$19*'Duty Cycle '!N151)))</f>
        <v>308.33784926570394</v>
      </c>
      <c r="P151" s="2">
        <f>IF(F151='Track '!$B$60,'Track '!$F$53,IF(F151='Track '!$B$61,'Track '!$F$54,IF(F151='Track '!$B$62,'Track '!$F$55)))</f>
        <v>0.06</v>
      </c>
      <c r="Q151" s="2">
        <f>P151*'Vehicle '!$F$38*9.81</f>
        <v>343.91897999999992</v>
      </c>
      <c r="R151" s="2">
        <f>0.5*'Vehicle '!$F$51*'Vehicle '!$F$25*'Track '!$F$57*'Duty Cycle '!L151^2</f>
        <v>57.70641290871982</v>
      </c>
      <c r="S151" s="2">
        <f>'Vehicle '!$F$38*9.81*SIN(RADIANS('Duty Cycle '!I151))</f>
        <v>0</v>
      </c>
      <c r="T151" s="2">
        <f t="shared" si="47"/>
        <v>709.96324217442361</v>
      </c>
      <c r="U151" s="2">
        <f t="shared" si="48"/>
        <v>8.7245884873071429</v>
      </c>
      <c r="V151" s="2">
        <f>'Vehicle '!$F$9-'Duty Cycle '!U151</f>
        <v>4.698230304639166</v>
      </c>
      <c r="W151" s="2">
        <f t="shared" si="49"/>
        <v>8.7245884873071429</v>
      </c>
      <c r="X151" s="41">
        <f t="shared" si="41"/>
        <v>13.885613841975735</v>
      </c>
      <c r="Y151" s="41">
        <f t="shared" si="33"/>
        <v>14</v>
      </c>
      <c r="Z151" s="2">
        <f>T151*D151</f>
        <v>1108083.3253080582</v>
      </c>
      <c r="AA151" s="2">
        <f t="shared" si="50"/>
        <v>38170001.021587893</v>
      </c>
      <c r="AB151" s="2">
        <f>INDEX('BSFC '!$D$5:$AD$27,MATCH('Duty Cycle '!Y151,'BSFC '!$B$5:$B$27,0),MATCH('Duty Cycle '!K151,'BSFC '!$D$28:$AD$28,0))</f>
        <v>356.11311296580016</v>
      </c>
      <c r="AC151" s="2">
        <f>U151*AB151/3600</f>
        <v>0.86303899043347998</v>
      </c>
      <c r="AD151" s="2">
        <f t="shared" si="43"/>
        <v>102.52629561569496</v>
      </c>
      <c r="AE151" s="2">
        <f t="shared" si="44"/>
        <v>2.6667904804394529</v>
      </c>
      <c r="AF151" s="2">
        <f>0.5*'Vehicle '!$F$38*'Duty Cycle '!L151^2/1000</f>
        <v>44.118838060960073</v>
      </c>
      <c r="AG151" s="2">
        <f t="shared" si="51"/>
        <v>1108127.4441461191</v>
      </c>
    </row>
    <row r="152" spans="2:33" ht="30" customHeight="1" x14ac:dyDescent="0.25">
      <c r="B152" s="39">
        <f t="shared" si="45"/>
        <v>149</v>
      </c>
      <c r="C152" s="2" t="s">
        <v>111</v>
      </c>
      <c r="D152" s="2">
        <f>SUM($L$3:L152)</f>
        <v>1573.5623648543813</v>
      </c>
      <c r="E152" s="2">
        <f t="shared" si="36"/>
        <v>12.800821884492507</v>
      </c>
      <c r="F152" s="40" t="s">
        <v>147</v>
      </c>
      <c r="G152" s="2">
        <v>10</v>
      </c>
      <c r="H152" s="2">
        <f t="shared" si="37"/>
        <v>-0.5</v>
      </c>
      <c r="I152" s="2">
        <v>0</v>
      </c>
      <c r="J152" s="2">
        <v>3</v>
      </c>
      <c r="K152" s="2">
        <v>6250</v>
      </c>
      <c r="L152" s="2">
        <f>IF(J152=1,VLOOKUP('Duty Cycle '!K152,'Gearing '!$L$3:$O$28,2),IF(J152=2,VLOOKUP('Duty Cycle '!K152,'Gearing '!$L$2:$O$28,3),IF(J152=3,VLOOKUP('Duty Cycle '!K152,'Gearing '!$L$2:$O$28,4))))</f>
        <v>12.800821884492496</v>
      </c>
      <c r="M152" s="2">
        <f t="shared" si="30"/>
        <v>28.635438555609714</v>
      </c>
      <c r="N152" s="2">
        <f t="shared" si="46"/>
        <v>0.51203287537970077</v>
      </c>
      <c r="O152" s="2">
        <f>IF(J152=1,'Gearing '!$C$17*'Duty Cycle '!N152,IF(J152=2,'Gearing '!$C$18*'Duty Cycle '!N152,IF(J152=3,'Gearing '!$C$19*'Duty Cycle '!N152)))</f>
        <v>308.3378492657061</v>
      </c>
      <c r="P152" s="2">
        <f>IF(F152='Track '!$B$60,'Track '!$F$53,IF(F152='Track '!$B$61,'Track '!$F$54,IF(F152='Track '!$B$62,'Track '!$F$55)))</f>
        <v>0.06</v>
      </c>
      <c r="Q152" s="2">
        <f>P152*'Vehicle '!$F$38*9.81</f>
        <v>343.91897999999992</v>
      </c>
      <c r="R152" s="2">
        <f>0.5*'Vehicle '!$F$51*'Vehicle '!$F$25*'Track '!$F$57*'Duty Cycle '!L152^2</f>
        <v>62.615465395746334</v>
      </c>
      <c r="S152" s="2">
        <f>'Vehicle '!$F$38*9.81*SIN(RADIANS('Duty Cycle '!I152))</f>
        <v>0</v>
      </c>
      <c r="T152" s="2">
        <f t="shared" si="47"/>
        <v>714.87229466145232</v>
      </c>
      <c r="U152" s="2">
        <f t="shared" si="48"/>
        <v>9.1509529141196868</v>
      </c>
      <c r="V152" s="2">
        <f>'Vehicle '!$F$9-'Duty Cycle '!U152</f>
        <v>4.2718658778266221</v>
      </c>
      <c r="W152" s="2">
        <f t="shared" si="49"/>
        <v>9.1509529141196868</v>
      </c>
      <c r="X152" s="41">
        <f t="shared" si="41"/>
        <v>13.981626146719995</v>
      </c>
      <c r="Y152" s="41">
        <f t="shared" si="33"/>
        <v>14</v>
      </c>
      <c r="Z152" s="2">
        <f>T152*D152</f>
        <v>1124896.138556353</v>
      </c>
      <c r="AA152" s="2">
        <f t="shared" si="50"/>
        <v>39294897.160144247</v>
      </c>
      <c r="AB152" s="2">
        <f>INDEX('BSFC '!$D$5:$AD$27,MATCH('Duty Cycle '!Y152,'BSFC '!$B$5:$B$27,0),MATCH('Duty Cycle '!K152,'BSFC '!$D$28:$AD$28,0))</f>
        <v>386.35906296580015</v>
      </c>
      <c r="AC152" s="2">
        <f>U152*AB152/3600</f>
        <v>0.98209822031762239</v>
      </c>
      <c r="AD152" s="2">
        <f t="shared" si="43"/>
        <v>103.50839383601259</v>
      </c>
      <c r="AE152" s="2">
        <f t="shared" si="44"/>
        <v>3.034683500781453</v>
      </c>
      <c r="AF152" s="2">
        <f>0.5*'Vehicle '!$F$38*'Duty Cycle '!L152^2/1000</f>
        <v>47.872003104340365</v>
      </c>
      <c r="AG152" s="2">
        <f t="shared" si="51"/>
        <v>1124944.0105594574</v>
      </c>
    </row>
    <row r="153" spans="2:33" ht="30" customHeight="1" x14ac:dyDescent="0.25">
      <c r="B153" s="39">
        <f t="shared" ref="B153" si="52">B152+1</f>
        <v>150</v>
      </c>
      <c r="C153" s="2" t="s">
        <v>111</v>
      </c>
      <c r="D153" s="2">
        <f>SUM($L$3:L153)</f>
        <v>1586.3631867388738</v>
      </c>
      <c r="E153" s="2">
        <f t="shared" si="36"/>
        <v>12.800821884492507</v>
      </c>
      <c r="F153" s="40" t="s">
        <v>147</v>
      </c>
      <c r="G153" s="2">
        <v>11</v>
      </c>
      <c r="H153" s="2">
        <f t="shared" si="37"/>
        <v>1</v>
      </c>
      <c r="I153" s="2">
        <v>0</v>
      </c>
      <c r="J153" s="2">
        <v>3</v>
      </c>
      <c r="K153" s="2">
        <v>6250</v>
      </c>
      <c r="L153" s="2">
        <f>IF(J153=1,VLOOKUP('Duty Cycle '!K153,'Gearing '!$L$3:$O$28,2),IF(J153=2,VLOOKUP('Duty Cycle '!K153,'Gearing '!$L$2:$O$28,3),IF(J153=3,VLOOKUP('Duty Cycle '!K153,'Gearing '!$L$2:$O$28,4))))</f>
        <v>12.800821884492496</v>
      </c>
      <c r="M153" s="2">
        <f t="shared" si="30"/>
        <v>28.635438555609714</v>
      </c>
      <c r="N153" s="2">
        <f t="shared" ref="N153" si="53">L153-L152</f>
        <v>0</v>
      </c>
      <c r="O153" s="2">
        <f>IF(J153=1,'Gearing '!$C$17*'Duty Cycle '!N153,IF(J153=2,'Gearing '!$C$18*'Duty Cycle '!N153,IF(J153=3,'Gearing '!$C$19*'Duty Cycle '!N153)))</f>
        <v>0</v>
      </c>
      <c r="P153" s="2">
        <f>IF(F153='Track '!$B$60,'Track '!$F$53,IF(F153='Track '!$B$61,'Track '!$F$54,IF(F153='Track '!$B$62,'Track '!$F$55)))</f>
        <v>0.06</v>
      </c>
      <c r="Q153" s="2">
        <f>P153*'Vehicle '!$F$38*9.81</f>
        <v>343.91897999999992</v>
      </c>
      <c r="R153" s="2">
        <f>0.5*'Vehicle '!$F$51*'Vehicle '!$F$25*'Track '!$F$57*'Duty Cycle '!L153^2</f>
        <v>62.615465395746334</v>
      </c>
      <c r="S153" s="2">
        <f>'Vehicle '!$F$38*9.81*SIN(RADIANS('Duty Cycle '!I153))</f>
        <v>0</v>
      </c>
      <c r="T153" s="2">
        <f t="shared" ref="T153" si="54">SUM(Q153:S153)+O153</f>
        <v>406.53444539574627</v>
      </c>
      <c r="U153" s="2">
        <f t="shared" ref="U153" si="55">ABS(((+T153)*(+L153)/1000))</f>
        <v>5.2039750254218893</v>
      </c>
      <c r="V153" s="2">
        <f>'Vehicle '!$F$9-'Duty Cycle '!U153</f>
        <v>8.2188437665244187</v>
      </c>
      <c r="W153" s="2">
        <f t="shared" ref="W153" si="56">U153</f>
        <v>5.2039750254218893</v>
      </c>
      <c r="X153" s="41">
        <f t="shared" ref="X153" si="57">ABS((W153*1000)/((2*PI()*K153)/60))</f>
        <v>7.9510881506175872</v>
      </c>
      <c r="Y153" s="41">
        <f t="shared" si="33"/>
        <v>8</v>
      </c>
      <c r="Z153" s="2">
        <f>T153*D153</f>
        <v>644911.27831711678</v>
      </c>
      <c r="AA153" s="2">
        <f t="shared" ref="AA153" si="58">SUM(AA152,Z153)</f>
        <v>39939808.438461363</v>
      </c>
      <c r="AB153" s="2">
        <f>INDEX('BSFC '!$D$5:$AD$27,MATCH('Duty Cycle '!Y153,'BSFC '!$B$5:$B$27,0),MATCH('Duty Cycle '!K153,'BSFC '!$D$28:$AD$28,0))</f>
        <v>565.9273430457996</v>
      </c>
      <c r="AC153" s="2">
        <f>U153*AB153/3600</f>
        <v>0.81807548872602975</v>
      </c>
      <c r="AD153" s="2">
        <f t="shared" si="43"/>
        <v>104.32646932473861</v>
      </c>
      <c r="AE153" s="2">
        <f t="shared" si="44"/>
        <v>2.527853260163432</v>
      </c>
      <c r="AF153" s="2">
        <f>0.5*'Vehicle '!$F$38*'Duty Cycle '!L153^2/1000</f>
        <v>47.872003104340365</v>
      </c>
      <c r="AG153" s="2">
        <f t="shared" ref="AG153" si="59">Z153+AF153</f>
        <v>644959.15032022109</v>
      </c>
    </row>
  </sheetData>
  <mergeCells count="28">
    <mergeCell ref="A54:A55"/>
    <mergeCell ref="A56:A57"/>
    <mergeCell ref="A30:A31"/>
    <mergeCell ref="A32:A33"/>
    <mergeCell ref="A34:A35"/>
    <mergeCell ref="A36:A37"/>
    <mergeCell ref="A50:A51"/>
    <mergeCell ref="A52:A53"/>
    <mergeCell ref="A38:A39"/>
    <mergeCell ref="A42:A43"/>
    <mergeCell ref="A40:A41"/>
    <mergeCell ref="A44:A45"/>
    <mergeCell ref="A46:A47"/>
    <mergeCell ref="A48:A49"/>
    <mergeCell ref="A18:A19"/>
    <mergeCell ref="A20:A21"/>
    <mergeCell ref="A22:A23"/>
    <mergeCell ref="A26:A27"/>
    <mergeCell ref="A24:A25"/>
    <mergeCell ref="A28:A29"/>
    <mergeCell ref="A2:A3"/>
    <mergeCell ref="A4:A5"/>
    <mergeCell ref="A10:A11"/>
    <mergeCell ref="A12:A13"/>
    <mergeCell ref="A14:A15"/>
    <mergeCell ref="A16:A17"/>
    <mergeCell ref="A6:A7"/>
    <mergeCell ref="A8:A9"/>
  </mergeCells>
  <phoneticPr fontId="10" type="noConversion"/>
  <conditionalFormatting sqref="E3:E153">
    <cfRule type="colorScale" priority="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3:D153">
    <cfRule type="colorScale" priority="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3:G153"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3:H153">
    <cfRule type="colorScale" priority="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3:I153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3:J153">
    <cfRule type="colorScale" priority="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3:K153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L3:L153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3:M153">
    <cfRule type="colorScale" priority="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3:N153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3:O153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P3:P153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Q3:Q153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R3:R153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S3:S153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T3:T153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U3:U153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V3:V153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W3:W153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Y3:Y153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Z3:Z153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3:AA153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3:AB153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C3:AD153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E3:AE153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F3:AF153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3:AG153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X3:X15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1">
    <dataValidation type="list" allowBlank="1" showInputMessage="1" showErrorMessage="1" sqref="J3:J156" xr:uid="{C340F932-3F6E-444D-AAE6-EF793A7466BB}">
      <formula1>$AN$3:$AN$5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4973CA-886D-48DA-945C-E59A5BD09CD4}">
          <x14:formula1>
            <xm:f>'Gearing '!$L$3:$L$28</xm:f>
          </x14:formula1>
          <xm:sqref>K3:K156</xm:sqref>
        </x14:dataValidation>
        <x14:dataValidation type="list" allowBlank="1" showInputMessage="1" showErrorMessage="1" xr:uid="{7079AE8E-F0AF-40AE-B9F0-D227FCECC0C2}">
          <x14:formula1>
            <xm:f>'Track '!$B$60:$B$62</xm:f>
          </x14:formula1>
          <xm:sqref>F3:F156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AE619-9909-4896-8A91-F0749F44F374}">
  <dimension ref="A15:A30"/>
  <sheetViews>
    <sheetView topLeftCell="AI1" workbookViewId="0">
      <selection activeCell="AN49" sqref="AN49"/>
    </sheetView>
  </sheetViews>
  <sheetFormatPr defaultRowHeight="15" x14ac:dyDescent="0.25"/>
  <cols>
    <col min="1" max="16384" width="9.140625" style="30"/>
  </cols>
  <sheetData>
    <row r="15" s="30" customFormat="1" x14ac:dyDescent="0.25"/>
    <row r="16" s="30" customFormat="1" x14ac:dyDescent="0.25"/>
    <row r="17" s="30" customFormat="1" x14ac:dyDescent="0.25"/>
    <row r="18" s="30" customFormat="1" x14ac:dyDescent="0.25"/>
    <row r="19" s="30" customFormat="1" x14ac:dyDescent="0.25"/>
    <row r="20" s="30" customFormat="1" x14ac:dyDescent="0.25"/>
    <row r="21" s="30" customFormat="1" x14ac:dyDescent="0.25"/>
    <row r="22" s="30" customFormat="1" x14ac:dyDescent="0.25"/>
    <row r="23" s="30" customFormat="1" x14ac:dyDescent="0.25"/>
    <row r="24" s="30" customFormat="1" x14ac:dyDescent="0.25"/>
    <row r="25" s="30" customFormat="1" x14ac:dyDescent="0.25"/>
    <row r="26" s="30" customFormat="1" x14ac:dyDescent="0.25"/>
    <row r="27" s="30" customFormat="1" x14ac:dyDescent="0.25"/>
    <row r="28" s="30" customFormat="1" x14ac:dyDescent="0.25"/>
    <row r="29" s="30" customFormat="1" x14ac:dyDescent="0.25"/>
    <row r="30" s="30" customForma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Vehicle </vt:lpstr>
      <vt:lpstr>Gearing </vt:lpstr>
      <vt:lpstr>BSFC </vt:lpstr>
      <vt:lpstr>Track </vt:lpstr>
      <vt:lpstr>Duty Cycle 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Jon</cp:lastModifiedBy>
  <dcterms:created xsi:type="dcterms:W3CDTF">2021-11-24T00:07:17Z</dcterms:created>
  <dcterms:modified xsi:type="dcterms:W3CDTF">2021-12-07T10:41:10Z</dcterms:modified>
</cp:coreProperties>
</file>