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ff\Documents\University Wales Trinity Saint David\Year 3\Dynamics\Assignment 2\"/>
    </mc:Choice>
  </mc:AlternateContent>
  <xr:revisionPtr revIDLastSave="0" documentId="13_ncr:1_{5DE70834-C41A-47B1-AD35-8F9290475791}" xr6:coauthVersionLast="46" xr6:coauthVersionMax="46" xr10:uidLastSave="{00000000-0000-0000-0000-000000000000}"/>
  <bookViews>
    <workbookView xWindow="-120" yWindow="-120" windowWidth="20730" windowHeight="11160" tabRatio="717" activeTab="3" xr2:uid="{B8A4D7B1-D79F-4E88-A01A-455A9D7D41A3}"/>
  </bookViews>
  <sheets>
    <sheet name="Ferrari FF Base Data" sheetId="1" r:id="rId1"/>
    <sheet name="Lumped Mass Model" sheetId="2" r:id="rId2"/>
    <sheet name="Clutch Pack, Axial, Power loss" sheetId="3" r:id="rId3"/>
    <sheet name="Longitudinal Acceleration + Yaw" sheetId="4" r:id="rId4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3" l="1"/>
  <c r="L12" i="3" s="1"/>
  <c r="L13" i="3" s="1"/>
  <c r="L8" i="3"/>
  <c r="L10" i="3" s="1"/>
  <c r="L11" i="3" s="1"/>
  <c r="L7" i="3"/>
  <c r="L6" i="3"/>
  <c r="L5" i="3"/>
  <c r="L4" i="3"/>
  <c r="H8" i="3"/>
  <c r="H10" i="3"/>
  <c r="H11" i="3" s="1"/>
  <c r="H12" i="3" s="1"/>
  <c r="H7" i="3"/>
  <c r="H9" i="3"/>
  <c r="H5" i="3"/>
  <c r="H6" i="3"/>
  <c r="U14" i="4"/>
  <c r="U10" i="4"/>
  <c r="U5" i="4"/>
  <c r="P20" i="4"/>
  <c r="Q14" i="4"/>
  <c r="C15" i="2"/>
  <c r="C14" i="2"/>
  <c r="U6" i="4"/>
  <c r="U7" i="4"/>
  <c r="H22" i="4"/>
  <c r="H23" i="4" s="1"/>
  <c r="D12" i="4"/>
  <c r="D11" i="4"/>
  <c r="D12" i="3"/>
  <c r="D16" i="3"/>
  <c r="D14" i="3"/>
  <c r="D19" i="3" s="1"/>
  <c r="C16" i="2"/>
  <c r="L14" i="3" l="1"/>
  <c r="D14" i="4"/>
  <c r="D13" i="4"/>
  <c r="D21" i="3"/>
  <c r="D20" i="3"/>
  <c r="G8" i="2"/>
  <c r="C17" i="2"/>
  <c r="D3" i="4" s="1"/>
  <c r="G3" i="2" l="1"/>
  <c r="C7" i="2"/>
  <c r="C8" i="2" s="1"/>
  <c r="D5" i="4"/>
  <c r="L3" i="4" s="1"/>
  <c r="L4" i="4" s="1"/>
  <c r="L6" i="4" s="1"/>
  <c r="D4" i="4"/>
  <c r="H3" i="4" s="1"/>
  <c r="H4" i="4" s="1"/>
  <c r="H6" i="4" s="1"/>
  <c r="G11" i="2"/>
  <c r="D7" i="4" s="1"/>
  <c r="L8" i="4" l="1"/>
  <c r="Q10" i="4" s="1"/>
  <c r="L7" i="4"/>
  <c r="Q9" i="4" s="1"/>
  <c r="H7" i="4"/>
  <c r="Q5" i="4" s="1"/>
  <c r="H8" i="4"/>
  <c r="G14" i="2"/>
  <c r="C9" i="2"/>
  <c r="G17" i="2" s="1"/>
  <c r="Q11" i="4" l="1"/>
  <c r="Q17" i="4" s="1"/>
  <c r="H9" i="4"/>
  <c r="H12" i="4" s="1"/>
  <c r="Q6" i="4"/>
  <c r="Q7" i="4" s="1"/>
  <c r="L9" i="4"/>
  <c r="H13" i="4" s="1"/>
  <c r="U11" i="4" l="1"/>
  <c r="U17" i="4"/>
  <c r="U18" i="4" s="1"/>
  <c r="H14" i="4"/>
  <c r="H18" i="4" s="1"/>
</calcChain>
</file>

<file path=xl/sharedStrings.xml><?xml version="1.0" encoding="utf-8"?>
<sst xmlns="http://schemas.openxmlformats.org/spreadsheetml/2006/main" count="325" uniqueCount="197">
  <si>
    <t xml:space="preserve">Length </t>
  </si>
  <si>
    <t>Width</t>
  </si>
  <si>
    <t>Height</t>
  </si>
  <si>
    <t>Wheelbase</t>
  </si>
  <si>
    <t>Rear</t>
  </si>
  <si>
    <t>Front track</t>
  </si>
  <si>
    <t>Rear track</t>
  </si>
  <si>
    <t>Kerb Weight</t>
  </si>
  <si>
    <t>Dry Weight</t>
  </si>
  <si>
    <t>Weight Distribution</t>
  </si>
  <si>
    <t xml:space="preserve">Front </t>
  </si>
  <si>
    <t>Boot Capacity</t>
  </si>
  <si>
    <t>Fuel Tank Capacity</t>
  </si>
  <si>
    <t>Front Rim</t>
  </si>
  <si>
    <t>Front Tyre</t>
  </si>
  <si>
    <t xml:space="preserve">Rear Tyre </t>
  </si>
  <si>
    <t>Rear Rim</t>
  </si>
  <si>
    <t>295/35 ZR 20</t>
  </si>
  <si>
    <t>285/35 ZR 20</t>
  </si>
  <si>
    <t>Rear Winter Rim</t>
  </si>
  <si>
    <t>Rear Winter Tyre</t>
  </si>
  <si>
    <t>245/35 ZR 20</t>
  </si>
  <si>
    <t>8.5J x 20"</t>
  </si>
  <si>
    <t>10.5J x 20"</t>
  </si>
  <si>
    <t>Engine- V12</t>
  </si>
  <si>
    <t xml:space="preserve">Displacement </t>
  </si>
  <si>
    <t>cc</t>
  </si>
  <si>
    <t>Bore</t>
  </si>
  <si>
    <t>Stroke</t>
  </si>
  <si>
    <t>mm</t>
  </si>
  <si>
    <t>Max Power @8000rpm</t>
  </si>
  <si>
    <t>Max Torque @8000rpm</t>
  </si>
  <si>
    <t>CV (HP)</t>
  </si>
  <si>
    <t>Nm</t>
  </si>
  <si>
    <t>Specific Output</t>
  </si>
  <si>
    <t>CV/ Litre</t>
  </si>
  <si>
    <t>RPM</t>
  </si>
  <si>
    <t>Max Revs per minute</t>
  </si>
  <si>
    <t>Compression Ratio</t>
  </si>
  <si>
    <t>12.3:1</t>
  </si>
  <si>
    <t>Vehicle Dimensions</t>
  </si>
  <si>
    <t>Max Speed</t>
  </si>
  <si>
    <t>mph</t>
  </si>
  <si>
    <t>0-62mph</t>
  </si>
  <si>
    <t>s</t>
  </si>
  <si>
    <t>0-124mph</t>
  </si>
  <si>
    <t>m</t>
  </si>
  <si>
    <t>Dry Weight/Power Ratio</t>
  </si>
  <si>
    <t>kg/CV</t>
  </si>
  <si>
    <t>Fuel Consumption</t>
  </si>
  <si>
    <t>L/100km</t>
  </si>
  <si>
    <t>g/km</t>
  </si>
  <si>
    <t xml:space="preserve">Gearbox </t>
  </si>
  <si>
    <t>4RM 7-Speed F1 Dual-Clutch gearbox</t>
  </si>
  <si>
    <t>kg</t>
  </si>
  <si>
    <t>L</t>
  </si>
  <si>
    <t>Engine Specifications</t>
  </si>
  <si>
    <t>Performance Figures</t>
  </si>
  <si>
    <t>Tyre &amp; Rim Sizes</t>
  </si>
  <si>
    <r>
      <t>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Released</t>
    </r>
  </si>
  <si>
    <t xml:space="preserve">Steering Ratio </t>
  </si>
  <si>
    <t>11.5:1</t>
  </si>
  <si>
    <r>
      <t>m</t>
    </r>
    <r>
      <rPr>
        <vertAlign val="subscript"/>
        <sz val="11"/>
        <color theme="1"/>
        <rFont val="Calibri"/>
        <family val="2"/>
        <scheme val="minor"/>
      </rPr>
      <t>1</t>
    </r>
  </si>
  <si>
    <t xml:space="preserve">Engine Weight </t>
  </si>
  <si>
    <t>G</t>
  </si>
  <si>
    <t>F</t>
  </si>
  <si>
    <t>Inertial Conjugate</t>
  </si>
  <si>
    <t>Dynamic Index</t>
  </si>
  <si>
    <t>a</t>
  </si>
  <si>
    <t>b</t>
  </si>
  <si>
    <r>
      <t>m</t>
    </r>
    <r>
      <rPr>
        <vertAlign val="subscript"/>
        <sz val="11"/>
        <color theme="1"/>
        <rFont val="Calibri"/>
        <family val="2"/>
        <scheme val="minor"/>
      </rPr>
      <t>total</t>
    </r>
  </si>
  <si>
    <t>Power Transfer Unit</t>
  </si>
  <si>
    <t>Lumped Mass Model</t>
  </si>
  <si>
    <t>Front</t>
  </si>
  <si>
    <t>Passengers</t>
  </si>
  <si>
    <r>
      <t>m</t>
    </r>
    <r>
      <rPr>
        <vertAlign val="subscript"/>
        <sz val="11"/>
        <color theme="1"/>
        <rFont val="Calibri"/>
        <family val="2"/>
        <scheme val="minor"/>
      </rPr>
      <t>2</t>
    </r>
  </si>
  <si>
    <r>
      <t>m</t>
    </r>
    <r>
      <rPr>
        <vertAlign val="subscript"/>
        <sz val="11"/>
        <color theme="1"/>
        <rFont val="Calibri"/>
        <family val="2"/>
        <scheme val="minor"/>
      </rPr>
      <t>3</t>
    </r>
  </si>
  <si>
    <t xml:space="preserve">Kerb Weight </t>
  </si>
  <si>
    <t>Masses</t>
  </si>
  <si>
    <t xml:space="preserve">Distances </t>
  </si>
  <si>
    <t xml:space="preserve">Centre of Gravity </t>
  </si>
  <si>
    <t>Moment of Inertia</t>
  </si>
  <si>
    <r>
      <rPr>
        <sz val="11"/>
        <color theme="1"/>
        <rFont val="Calibri"/>
        <family val="2"/>
        <scheme val="minor"/>
      </rPr>
      <t>k</t>
    </r>
    <r>
      <rPr>
        <vertAlign val="superscript"/>
        <sz val="11"/>
        <color theme="1"/>
        <rFont val="Calibri"/>
        <family val="2"/>
        <scheme val="minor"/>
      </rPr>
      <t>2</t>
    </r>
  </si>
  <si>
    <r>
      <t>kg.m</t>
    </r>
    <r>
      <rPr>
        <vertAlign val="superscript"/>
        <sz val="11"/>
        <color theme="1"/>
        <rFont val="Calibri"/>
        <family val="2"/>
        <scheme val="minor"/>
      </rPr>
      <t>2</t>
    </r>
  </si>
  <si>
    <t>Clutch Pack Data</t>
  </si>
  <si>
    <t>No of clutch packs</t>
  </si>
  <si>
    <t>No of clutch plates</t>
  </si>
  <si>
    <t>No of clutch faces</t>
  </si>
  <si>
    <t>Torque Capacity (20%)</t>
  </si>
  <si>
    <t>ω</t>
  </si>
  <si>
    <r>
      <t>Outer Radius r</t>
    </r>
    <r>
      <rPr>
        <vertAlign val="subscript"/>
        <sz val="11"/>
        <color theme="1"/>
        <rFont val="Calibri"/>
        <family val="2"/>
        <scheme val="minor"/>
      </rPr>
      <t>2</t>
    </r>
  </si>
  <si>
    <r>
      <t>Inner Radius r</t>
    </r>
    <r>
      <rPr>
        <vertAlign val="subscript"/>
        <sz val="11"/>
        <color theme="1"/>
        <rFont val="Calibri"/>
        <family val="2"/>
        <scheme val="minor"/>
      </rPr>
      <t>1</t>
    </r>
  </si>
  <si>
    <t>Friction 𝜇</t>
  </si>
  <si>
    <t>rpm</t>
  </si>
  <si>
    <t>Axial Force (W)</t>
  </si>
  <si>
    <t>N</t>
  </si>
  <si>
    <t>Uniform Wear</t>
  </si>
  <si>
    <t>Per Plate</t>
  </si>
  <si>
    <t>Per Face</t>
  </si>
  <si>
    <t>rads/s</t>
  </si>
  <si>
    <t xml:space="preserve">    &lt; Input</t>
  </si>
  <si>
    <t>Engine Torque</t>
  </si>
  <si>
    <t>Longitudinal Acceleration</t>
  </si>
  <si>
    <t>Vehicle Mass</t>
  </si>
  <si>
    <t>Track Width- Front</t>
  </si>
  <si>
    <t>Track Width- Rear</t>
  </si>
  <si>
    <t xml:space="preserve">Axle Mass- Front </t>
  </si>
  <si>
    <t>Axle Mass- Rear</t>
  </si>
  <si>
    <t xml:space="preserve">Rolling Radius Tyre- Front </t>
  </si>
  <si>
    <t xml:space="preserve">Rolling Radius Tyre- Rear </t>
  </si>
  <si>
    <t>Dry Asphalt</t>
  </si>
  <si>
    <t>Tyre Profile- Front</t>
  </si>
  <si>
    <t>Tyre Profile- Rear</t>
  </si>
  <si>
    <t>Wheel Diameter</t>
  </si>
  <si>
    <t>inch</t>
  </si>
  <si>
    <t>Gravel</t>
  </si>
  <si>
    <t>Front Axle Mass</t>
  </si>
  <si>
    <t>Per corner- Front</t>
  </si>
  <si>
    <t>Total Traction</t>
  </si>
  <si>
    <t>Wheel Radius</t>
  </si>
  <si>
    <t>Combined Traction</t>
  </si>
  <si>
    <t>Front Traction</t>
  </si>
  <si>
    <t>Rear Traction</t>
  </si>
  <si>
    <t>Input&gt;</t>
  </si>
  <si>
    <t>Surface</t>
  </si>
  <si>
    <t>Acceleration</t>
  </si>
  <si>
    <t>Wet Asphalt</t>
  </si>
  <si>
    <t>Snow</t>
  </si>
  <si>
    <t xml:space="preserve">Ice </t>
  </si>
  <si>
    <r>
      <t>Acceleration 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</si>
  <si>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F/m = a</t>
  </si>
  <si>
    <t>F= ma</t>
  </si>
  <si>
    <t>Friction 𝜇- FR</t>
  </si>
  <si>
    <t>Friction 𝜇- FL</t>
  </si>
  <si>
    <t>Friction 𝜇- RL</t>
  </si>
  <si>
    <t>Friction 𝜇- RR</t>
  </si>
  <si>
    <t>Load per corner</t>
  </si>
  <si>
    <t>Tractive Force- Right</t>
  </si>
  <si>
    <t>Tractive Force- Left</t>
  </si>
  <si>
    <t>Acceleration per Surface- All Wheels on same surface</t>
  </si>
  <si>
    <t>Front Left</t>
  </si>
  <si>
    <t xml:space="preserve">Front Right </t>
  </si>
  <si>
    <t>Delta Front</t>
  </si>
  <si>
    <t xml:space="preserve">Rear Left </t>
  </si>
  <si>
    <t>Rear Right</t>
  </si>
  <si>
    <t>Delta Rear</t>
  </si>
  <si>
    <t>Yaw Moment</t>
  </si>
  <si>
    <t xml:space="preserve">Rear </t>
  </si>
  <si>
    <t>N per degree</t>
  </si>
  <si>
    <t>Alpha 𝛼</t>
  </si>
  <si>
    <t xml:space="preserve">Moment of Inertia </t>
  </si>
  <si>
    <r>
      <t>rads/s</t>
    </r>
    <r>
      <rPr>
        <vertAlign val="superscript"/>
        <sz val="11"/>
        <color theme="1"/>
        <rFont val="Calibri"/>
        <family val="2"/>
        <scheme val="minor"/>
      </rPr>
      <t>2</t>
    </r>
  </si>
  <si>
    <r>
      <t>deg/s</t>
    </r>
    <r>
      <rPr>
        <vertAlign val="superscript"/>
        <sz val="11"/>
        <color theme="1"/>
        <rFont val="Calibri"/>
        <family val="2"/>
        <scheme val="minor"/>
      </rPr>
      <t>2</t>
    </r>
  </si>
  <si>
    <t>Cornering Stiffness</t>
  </si>
  <si>
    <t>Front Right</t>
  </si>
  <si>
    <t>Total Cornering Stiffness</t>
  </si>
  <si>
    <t>Degrees</t>
  </si>
  <si>
    <t>Degrees at Wheel</t>
  </si>
  <si>
    <t xml:space="preserve">Degrees </t>
  </si>
  <si>
    <t>Hand Wheel angle to road wheel angle</t>
  </si>
  <si>
    <t xml:space="preserve">Yaw Rate Increases </t>
  </si>
  <si>
    <t xml:space="preserve">Vehicle Mass and Moment of Inertia imported from Lumped Mass Model Sheet </t>
  </si>
  <si>
    <t>Angular Acceleration</t>
  </si>
  <si>
    <t>Brakes</t>
  </si>
  <si>
    <t>360x32</t>
  </si>
  <si>
    <t>398x38</t>
  </si>
  <si>
    <t>Tyre Loads</t>
  </si>
  <si>
    <t>Lateral Force</t>
  </si>
  <si>
    <t>Force</t>
  </si>
  <si>
    <t>m/s</t>
  </si>
  <si>
    <t>rad/s</t>
  </si>
  <si>
    <t>Power Loss at 35mph (1st to 2nd)</t>
  </si>
  <si>
    <t>Wheel Speed</t>
  </si>
  <si>
    <t>First Gear</t>
  </si>
  <si>
    <t>Final Drive</t>
  </si>
  <si>
    <t>:1</t>
  </si>
  <si>
    <t xml:space="preserve">Clutch Speed </t>
  </si>
  <si>
    <t>Wheel Speed, ω</t>
  </si>
  <si>
    <t>Front Wheels</t>
  </si>
  <si>
    <t xml:space="preserve">Power Loss </t>
  </si>
  <si>
    <t>Left 𝜇</t>
  </si>
  <si>
    <t>Right 𝜇</t>
  </si>
  <si>
    <t xml:space="preserve">Drive force left </t>
  </si>
  <si>
    <t>Torque Right</t>
  </si>
  <si>
    <t>Torque Left</t>
  </si>
  <si>
    <t>Power Left</t>
  </si>
  <si>
    <t>Power Right</t>
  </si>
  <si>
    <t xml:space="preserve">Drive force Right </t>
  </si>
  <si>
    <t>W</t>
  </si>
  <si>
    <t>kW</t>
  </si>
  <si>
    <t>Power Loss</t>
  </si>
  <si>
    <t>HP</t>
  </si>
  <si>
    <r>
      <t>r</t>
    </r>
    <r>
      <rPr>
        <vertAlign val="subscript"/>
        <sz val="11"/>
        <color theme="1"/>
        <rFont val="Calibri"/>
        <family val="2"/>
        <scheme val="minor"/>
      </rPr>
      <t>1</t>
    </r>
  </si>
  <si>
    <r>
      <t>r</t>
    </r>
    <r>
      <rPr>
        <vertAlign val="subscript"/>
        <sz val="11"/>
        <color theme="1"/>
        <rFont val="Calibri"/>
        <family val="2"/>
        <scheme val="minor"/>
      </rPr>
      <t>2</t>
    </r>
  </si>
  <si>
    <t>Rolling Radius</t>
  </si>
  <si>
    <t>Circumference</t>
  </si>
  <si>
    <t>Vehicle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</si>
</sst>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theme="1"/>
      <name val="Cambria Math"/>
      <family val="1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96F07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164" fontId="0" fillId="0" borderId="0" xfId="0" applyNumberForma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Border="1" applyAlignment="1">
      <alignment horizontal="right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9" fontId="0" fillId="0" borderId="5" xfId="0" applyNumberFormat="1" applyBorder="1"/>
    <xf numFmtId="9" fontId="0" fillId="0" borderId="8" xfId="0" applyNumberFormat="1" applyBorder="1"/>
    <xf numFmtId="0" fontId="0" fillId="0" borderId="6" xfId="0" applyBorder="1"/>
    <xf numFmtId="0" fontId="0" fillId="0" borderId="8" xfId="0" applyBorder="1"/>
    <xf numFmtId="0" fontId="0" fillId="0" borderId="8" xfId="0" applyBorder="1" applyAlignment="1">
      <alignment horizontal="right"/>
    </xf>
    <xf numFmtId="0" fontId="0" fillId="0" borderId="5" xfId="0" applyFill="1" applyBorder="1"/>
    <xf numFmtId="0" fontId="0" fillId="0" borderId="10" xfId="0" applyBorder="1"/>
    <xf numFmtId="0" fontId="0" fillId="0" borderId="11" xfId="0" applyBorder="1"/>
    <xf numFmtId="0" fontId="0" fillId="0" borderId="4" xfId="0" applyFill="1" applyBorder="1"/>
    <xf numFmtId="0" fontId="0" fillId="0" borderId="0" xfId="0" applyFill="1" applyBorder="1"/>
    <xf numFmtId="9" fontId="0" fillId="0" borderId="12" xfId="0" applyNumberFormat="1" applyBorder="1"/>
    <xf numFmtId="0" fontId="0" fillId="0" borderId="14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2" fontId="0" fillId="0" borderId="9" xfId="0" applyNumberFormat="1" applyBorder="1" applyAlignment="1">
      <alignment horizontal="right"/>
    </xf>
    <xf numFmtId="0" fontId="0" fillId="0" borderId="9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13" xfId="0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/>
    <xf numFmtId="0" fontId="0" fillId="0" borderId="6" xfId="0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0" fontId="0" fillId="0" borderId="10" xfId="0" applyBorder="1" applyAlignment="1"/>
    <xf numFmtId="0" fontId="0" fillId="0" borderId="11" xfId="0" applyBorder="1" applyAlignment="1"/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/>
    <xf numFmtId="2" fontId="0" fillId="0" borderId="0" xfId="0" applyNumberFormat="1" applyBorder="1" applyAlignment="1"/>
    <xf numFmtId="2" fontId="0" fillId="0" borderId="0" xfId="0" applyNumberFormat="1" applyBorder="1" applyAlignment="1">
      <alignment horizontal="center"/>
    </xf>
    <xf numFmtId="0" fontId="2" fillId="0" borderId="0" xfId="0" applyFont="1"/>
    <xf numFmtId="0" fontId="2" fillId="0" borderId="6" xfId="0" applyFont="1" applyBorder="1" applyAlignment="1">
      <alignment horizontal="center" vertical="top" wrapText="1"/>
    </xf>
    <xf numFmtId="2" fontId="0" fillId="0" borderId="10" xfId="0" applyNumberFormat="1" applyBorder="1" applyAlignment="1">
      <alignment horizontal="center"/>
    </xf>
    <xf numFmtId="2" fontId="0" fillId="0" borderId="11" xfId="0" applyNumberForma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0" fillId="0" borderId="9" xfId="0" applyBorder="1"/>
    <xf numFmtId="164" fontId="0" fillId="0" borderId="2" xfId="0" applyNumberFormat="1" applyBorder="1"/>
    <xf numFmtId="164" fontId="0" fillId="0" borderId="0" xfId="0" applyNumberFormat="1" applyBorder="1"/>
    <xf numFmtId="164" fontId="0" fillId="0" borderId="7" xfId="0" applyNumberFormat="1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13" borderId="0" xfId="0" applyFill="1"/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" xfId="0" applyFill="1" applyBorder="1"/>
    <xf numFmtId="0" fontId="0" fillId="0" borderId="2" xfId="0" applyBorder="1"/>
    <xf numFmtId="0" fontId="0" fillId="0" borderId="6" xfId="0" applyFill="1" applyBorder="1"/>
    <xf numFmtId="0" fontId="0" fillId="6" borderId="13" xfId="0" applyFill="1" applyBorder="1"/>
    <xf numFmtId="165" fontId="0" fillId="0" borderId="5" xfId="0" applyNumberFormat="1" applyBorder="1"/>
    <xf numFmtId="0" fontId="0" fillId="0" borderId="8" xfId="0" applyFill="1" applyBorder="1"/>
    <xf numFmtId="0" fontId="0" fillId="0" borderId="0" xfId="0" applyFill="1" applyBorder="1" applyAlignment="1">
      <alignment horizontal="center"/>
    </xf>
    <xf numFmtId="165" fontId="0" fillId="0" borderId="8" xfId="0" applyNumberFormat="1" applyBorder="1"/>
    <xf numFmtId="0" fontId="0" fillId="0" borderId="11" xfId="0" applyBorder="1" applyAlignment="1">
      <alignment horizontal="right"/>
    </xf>
    <xf numFmtId="1" fontId="0" fillId="0" borderId="7" xfId="0" applyNumberFormat="1" applyBorder="1"/>
    <xf numFmtId="164" fontId="0" fillId="0" borderId="6" xfId="0" applyNumberFormat="1" applyBorder="1" applyAlignment="1"/>
    <xf numFmtId="164" fontId="0" fillId="0" borderId="8" xfId="0" applyNumberFormat="1" applyBorder="1" applyAlignment="1"/>
    <xf numFmtId="2" fontId="0" fillId="0" borderId="2" xfId="0" applyNumberFormat="1" applyBorder="1"/>
    <xf numFmtId="0" fontId="0" fillId="0" borderId="0" xfId="0" applyFill="1"/>
    <xf numFmtId="0" fontId="0" fillId="9" borderId="1" xfId="0" applyFill="1" applyBorder="1" applyAlignment="1">
      <alignment horizontal="center"/>
    </xf>
    <xf numFmtId="0" fontId="0" fillId="9" borderId="3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9" borderId="10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15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11" borderId="1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0" fillId="12" borderId="3" xfId="0" applyFill="1" applyBorder="1" applyAlignment="1">
      <alignment horizontal="center"/>
    </xf>
    <xf numFmtId="0" fontId="0" fillId="13" borderId="1" xfId="0" applyFill="1" applyBorder="1" applyAlignment="1">
      <alignment horizontal="center" vertical="center"/>
    </xf>
    <xf numFmtId="0" fontId="0" fillId="13" borderId="3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14" borderId="10" xfId="0" applyFill="1" applyBorder="1" applyAlignment="1">
      <alignment horizontal="center"/>
    </xf>
    <xf numFmtId="0" fontId="0" fillId="14" borderId="9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4" fillId="6" borderId="15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11" borderId="10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2" fontId="0" fillId="0" borderId="0" xfId="0" applyNumberFormat="1" applyBorder="1"/>
    <xf numFmtId="0" fontId="0" fillId="0" borderId="4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96F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180974</xdr:colOff>
      <xdr:row>6</xdr:row>
      <xdr:rowOff>42861</xdr:rowOff>
    </xdr:from>
    <xdr:ext cx="1647826" cy="3465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21E70709-D96F-4FD0-B999-CFAF80D085F0}"/>
                </a:ext>
              </a:extLst>
            </xdr:cNvPr>
            <xdr:cNvSpPr txBox="1"/>
          </xdr:nvSpPr>
          <xdr:spPr>
            <a:xfrm>
              <a:off x="5029199" y="1300161"/>
              <a:ext cx="1647826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𝐹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𝐺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3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𝐿</m:t>
                        </m:r>
                      </m:num>
                      <m:den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+</m:t>
                        </m:r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3</m:t>
                            </m:r>
                          </m:sub>
                        </m:sSub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21E70709-D96F-4FD0-B999-CFAF80D085F0}"/>
                </a:ext>
              </a:extLst>
            </xdr:cNvPr>
            <xdr:cNvSpPr txBox="1"/>
          </xdr:nvSpPr>
          <xdr:spPr>
            <a:xfrm>
              <a:off x="5029199" y="1300161"/>
              <a:ext cx="1647826" cy="3465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𝐹=(𝑚_2 𝐺+𝑚_3 𝐿)/(𝑚_1+𝑚_2+𝑚_3 )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38100</xdr:colOff>
      <xdr:row>9</xdr:row>
      <xdr:rowOff>42862</xdr:rowOff>
    </xdr:from>
    <xdr:ext cx="622478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F3D2F1D-59C8-4DBA-A945-991DAEF0EFCD}"/>
                </a:ext>
              </a:extLst>
            </xdr:cNvPr>
            <xdr:cNvSpPr txBox="1"/>
          </xdr:nvSpPr>
          <xdr:spPr>
            <a:xfrm>
              <a:off x="5267325" y="1928812"/>
              <a:ext cx="622478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𝐼</m:t>
                    </m:r>
                    <m:r>
                      <a:rPr lang="en-GB" sz="1100" b="0" i="1" baseline="-25000">
                        <a:latin typeface="Cambria Math" panose="02040503050406030204" pitchFamily="18" charset="0"/>
                      </a:rPr>
                      <m:t>𝑧𝑧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𝑚</m:t>
                    </m:r>
                    <m:sSup>
                      <m:sSup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𝑟</m:t>
                        </m:r>
                      </m:e>
                      <m:sup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p>
                    </m:sSup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0F3D2F1D-59C8-4DBA-A945-991DAEF0EFCD}"/>
                </a:ext>
              </a:extLst>
            </xdr:cNvPr>
            <xdr:cNvSpPr txBox="1"/>
          </xdr:nvSpPr>
          <xdr:spPr>
            <a:xfrm>
              <a:off x="5267325" y="1928812"/>
              <a:ext cx="622478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𝐼</a:t>
              </a:r>
              <a:r>
                <a:rPr lang="en-GB" sz="1100" b="0" i="0" baseline="-25000">
                  <a:latin typeface="Cambria Math" panose="02040503050406030204" pitchFamily="18" charset="0"/>
                </a:rPr>
                <a:t>𝑧𝑧</a:t>
              </a:r>
              <a:r>
                <a:rPr lang="en-GB" sz="1100" b="0" i="0">
                  <a:latin typeface="Cambria Math" panose="02040503050406030204" pitchFamily="18" charset="0"/>
                </a:rPr>
                <a:t>=𝑚𝑟^2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85725</xdr:colOff>
      <xdr:row>10</xdr:row>
      <xdr:rowOff>33337</xdr:rowOff>
    </xdr:from>
    <xdr:ext cx="3411062" cy="175369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2E0647E7-D0B6-4330-AA0E-05DAEB63DCB6}"/>
                </a:ext>
              </a:extLst>
            </xdr:cNvPr>
            <xdr:cNvSpPr txBox="1"/>
          </xdr:nvSpPr>
          <xdr:spPr>
            <a:xfrm>
              <a:off x="5257800" y="2119312"/>
              <a:ext cx="3411062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𝐼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𝑧𝑧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=(</m:t>
                  </m:r>
                  <m:sSub>
                    <m:sSubPr>
                      <m:ctrlPr>
                        <a:rPr lang="en-GB" sz="1100" b="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</a:rPr>
                        <m:t>𝑚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</m:sSub>
                </m:oMath>
              </a14:m>
              <a:r>
                <a:rPr lang="en-GB" sz="1100"/>
                <a:t> </a:t>
              </a: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×</m:t>
                  </m:r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</m:t>
                  </m:r>
                  <m:sSup>
                    <m:sSup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𝐹</m:t>
                      </m:r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)+</m:t>
                  </m:r>
                  <m:d>
                    <m:d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dPr>
                    <m:e>
                      <m:sSub>
                        <m:sSubPr>
                          <m:ctrlP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𝑚</m:t>
                          </m:r>
                        </m:e>
                        <m:sub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2</m:t>
                          </m:r>
                        </m:sub>
                      </m:sSub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× </m:t>
                      </m:r>
                      <m:sSup>
                        <m:sSupPr>
                          <m:ctrlP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(</m:t>
                          </m:r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𝐺</m:t>
                          </m:r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−</m:t>
                          </m:r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𝐹</m:t>
                          </m:r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)</m:t>
                          </m:r>
                        </m:e>
                        <m:sup>
                          <m:r>
                            <a:rPr lang="en-GB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2</m:t>
                          </m:r>
                        </m:sup>
                      </m:sSup>
                    </m:e>
                  </m:d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+(</m:t>
                  </m:r>
                  <m:sSub>
                    <m:sSub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𝑚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3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 ×</m:t>
                  </m:r>
                  <m:sSup>
                    <m:sSupPr>
                      <m:ctrlP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pPr>
                    <m:e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(</m:t>
                      </m:r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𝐿</m:t>
                      </m:r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−</m:t>
                      </m:r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𝐹</m:t>
                      </m:r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)</m:t>
                      </m:r>
                    </m:e>
                    <m:sup>
                      <m:r>
                        <a:rPr lang="en-GB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2</m:t>
                      </m:r>
                    </m:sup>
                  </m:sSup>
                  <m:r>
                    <a:rPr lang="en-GB" sz="1100" b="0" i="1">
                      <a:latin typeface="Cambria Math" panose="02040503050406030204" pitchFamily="18" charset="0"/>
                      <a:ea typeface="Cambria Math" panose="02040503050406030204" pitchFamily="18" charset="0"/>
                    </a:rPr>
                    <m:t>)</m:t>
                  </m:r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2E0647E7-D0B6-4330-AA0E-05DAEB63DCB6}"/>
                </a:ext>
              </a:extLst>
            </xdr:cNvPr>
            <xdr:cNvSpPr txBox="1"/>
          </xdr:nvSpPr>
          <xdr:spPr>
            <a:xfrm>
              <a:off x="5257800" y="2119312"/>
              <a:ext cx="3411062" cy="175369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𝐼_𝑧𝑧=(𝑚_1</a:t>
              </a:r>
              <a:r>
                <a:rPr lang="en-GB" sz="1100"/>
                <a:t> </a:t>
              </a:r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×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 𝐹^2)+(𝑚_2  × 〖(𝐺−𝐹)〗^2 )+(𝑚_3  ×〖(𝐿−𝐹)〗^2)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885825</xdr:colOff>
      <xdr:row>12</xdr:row>
      <xdr:rowOff>42862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227FC05D-799D-40BC-8204-E9999F5F129C}"/>
            </a:ext>
          </a:extLst>
        </xdr:cNvPr>
        <xdr:cNvSpPr txBox="1"/>
      </xdr:nvSpPr>
      <xdr:spPr>
        <a:xfrm>
          <a:off x="6057900" y="23193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85725</xdr:colOff>
      <xdr:row>12</xdr:row>
      <xdr:rowOff>42862</xdr:rowOff>
    </xdr:from>
    <xdr:ext cx="1238994" cy="345544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D0404D8B-FA7D-4F6C-9FAD-C07807746363}"/>
                </a:ext>
              </a:extLst>
            </xdr:cNvPr>
            <xdr:cNvSpPr txBox="1"/>
          </xdr:nvSpPr>
          <xdr:spPr>
            <a:xfrm>
              <a:off x="5257800" y="2528887"/>
              <a:ext cx="1238994" cy="34554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𝐷𝐼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𝐼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𝑧𝑧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GB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𝑚</m:t>
                            </m:r>
                          </m:e>
                          <m:sub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𝑡𝑜𝑡𝑎𝑙</m:t>
                            </m:r>
                          </m:sub>
                        </m:sSub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𝑎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×</m:t>
                        </m:r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𝑏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D0404D8B-FA7D-4F6C-9FAD-C07807746363}"/>
                </a:ext>
              </a:extLst>
            </xdr:cNvPr>
            <xdr:cNvSpPr txBox="1"/>
          </xdr:nvSpPr>
          <xdr:spPr>
            <a:xfrm>
              <a:off x="5257800" y="2528887"/>
              <a:ext cx="1238994" cy="34554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𝐷𝐼=𝐼_𝑧𝑧/(𝑚_𝑡𝑜𝑡𝑎𝑙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×𝑎×𝑏)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200025</xdr:colOff>
      <xdr:row>15</xdr:row>
      <xdr:rowOff>33337</xdr:rowOff>
    </xdr:from>
    <xdr:ext cx="435119" cy="33970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B4572B1-7F93-4A28-87BF-7C278ED43706}"/>
                </a:ext>
              </a:extLst>
            </xdr:cNvPr>
            <xdr:cNvSpPr txBox="1"/>
          </xdr:nvSpPr>
          <xdr:spPr>
            <a:xfrm>
              <a:off x="5429250" y="3195637"/>
              <a:ext cx="435119" cy="3397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𝑐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p>
                          <m:sSupPr>
                            <m:ctrlPr>
                              <a:rPr lang="en-GB" sz="1100" i="1"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p>
                            <m:r>
                              <a:rPr lang="en-GB" sz="1100" b="0" i="1">
                                <a:latin typeface="Cambria Math" panose="02040503050406030204" pitchFamily="18" charset="0"/>
                              </a:rPr>
                              <m:t>2</m:t>
                            </m:r>
                          </m:sup>
                        </m:sSup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</a:rPr>
                          <m:t>𝑎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9B4572B1-7F93-4A28-87BF-7C278ED43706}"/>
                </a:ext>
              </a:extLst>
            </xdr:cNvPr>
            <xdr:cNvSpPr txBox="1"/>
          </xdr:nvSpPr>
          <xdr:spPr>
            <a:xfrm>
              <a:off x="5429250" y="3195637"/>
              <a:ext cx="435119" cy="33970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b="0" i="0">
                  <a:latin typeface="Cambria Math" panose="02040503050406030204" pitchFamily="18" charset="0"/>
                </a:rPr>
                <a:t>𝑐=𝑘^2/𝑎</a:t>
              </a:r>
              <a:endParaRPr lang="en-GB" sz="1100"/>
            </a:p>
          </xdr:txBody>
        </xdr:sp>
      </mc:Fallback>
    </mc:AlternateContent>
    <xdr:clientData/>
  </xdr:oneCellAnchor>
  <xdr:twoCellAnchor editAs="oneCell">
    <xdr:from>
      <xdr:col>9</xdr:col>
      <xdr:colOff>685799</xdr:colOff>
      <xdr:row>20</xdr:row>
      <xdr:rowOff>169665</xdr:rowOff>
    </xdr:from>
    <xdr:to>
      <xdr:col>20</xdr:col>
      <xdr:colOff>266699</xdr:colOff>
      <xdr:row>46</xdr:row>
      <xdr:rowOff>76201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E471DFEC-BEA3-4F24-8BA7-554AC04E74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7955" y="4384478"/>
          <a:ext cx="8629650" cy="48595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123825</xdr:colOff>
      <xdr:row>28</xdr:row>
      <xdr:rowOff>95251</xdr:rowOff>
    </xdr:from>
    <xdr:to>
      <xdr:col>17</xdr:col>
      <xdr:colOff>448478</xdr:colOff>
      <xdr:row>52</xdr:row>
      <xdr:rowOff>19678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2C4ACF3-D255-4C96-B51F-C5F618E15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alphaModFix amt="35000"/>
        </a:blip>
        <a:stretch>
          <a:fillRect/>
        </a:stretch>
      </xdr:blipFill>
      <xdr:spPr>
        <a:xfrm>
          <a:off x="7762875" y="5791201"/>
          <a:ext cx="5753903" cy="44964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858441</xdr:colOff>
      <xdr:row>9</xdr:row>
      <xdr:rowOff>18199</xdr:rowOff>
    </xdr:from>
    <xdr:ext cx="391517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B89D082-A442-48B1-9949-B3104FB0DDF7}"/>
                </a:ext>
              </a:extLst>
            </xdr:cNvPr>
            <xdr:cNvSpPr txBox="1"/>
          </xdr:nvSpPr>
          <xdr:spPr>
            <a:xfrm>
              <a:off x="17187012" y="1678270"/>
              <a:ext cx="391517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𝛼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𝑇</m:t>
                        </m:r>
                      </m:num>
                      <m:den>
                        <m: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𝑙</m:t>
                        </m:r>
                      </m:den>
                    </m:f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B89D082-A442-48B1-9949-B3104FB0DDF7}"/>
                </a:ext>
              </a:extLst>
            </xdr:cNvPr>
            <xdr:cNvSpPr txBox="1"/>
          </xdr:nvSpPr>
          <xdr:spPr>
            <a:xfrm>
              <a:off x="17187012" y="1678270"/>
              <a:ext cx="391517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𝛼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=𝑇/𝑙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14</xdr:col>
      <xdr:colOff>1656158</xdr:colOff>
      <xdr:row>20</xdr:row>
      <xdr:rowOff>84534</xdr:rowOff>
    </xdr:from>
    <xdr:ext cx="3487342" cy="38036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7C72BE4-D2AC-4C0D-97C6-CB10A2D403BD}"/>
                </a:ext>
              </a:extLst>
            </xdr:cNvPr>
            <xdr:cNvSpPr txBox="1"/>
          </xdr:nvSpPr>
          <xdr:spPr>
            <a:xfrm>
              <a:off x="14383939" y="4239815"/>
              <a:ext cx="3487342" cy="38036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1">
                        <a:latin typeface="Cambria Math" panose="02040503050406030204" pitchFamily="18" charset="0"/>
                      </a:rPr>
                      <m:t>𝑌𝑎𝑤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 baseline="-25000">
                        <a:latin typeface="Cambria Math" panose="02040503050406030204" pitchFamily="18" charset="0"/>
                      </a:rPr>
                      <m:t>𝑓𝑟𝑜𝑛𝑡</m:t>
                    </m:r>
                    <m:r>
                      <a:rPr lang="en-GB" sz="1100" b="0" i="1" baseline="-25000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 baseline="-25000">
                        <a:latin typeface="Cambria Math" panose="02040503050406030204" pitchFamily="18" charset="0"/>
                      </a:rPr>
                      <m:t>𝑎𝑛𝑑</m:t>
                    </m:r>
                    <m:r>
                      <a:rPr lang="en-GB" sz="1100" b="0" i="1" baseline="-25000">
                        <a:latin typeface="Cambria Math" panose="02040503050406030204" pitchFamily="18" charset="0"/>
                      </a:rPr>
                      <m:t> </m:t>
                    </m:r>
                    <m:r>
                      <a:rPr lang="en-GB" sz="1100" b="0" i="1" baseline="-25000">
                        <a:latin typeface="Cambria Math" panose="02040503050406030204" pitchFamily="18" charset="0"/>
                      </a:rPr>
                      <m:t>𝑟𝑒𝑎𝑟</m:t>
                    </m:r>
                    <m:r>
                      <a:rPr lang="en-GB" sz="1100" b="0" i="1">
                        <a:latin typeface="Cambria Math" panose="02040503050406030204" pitchFamily="18" charset="0"/>
                      </a:rPr>
                      <m:t>=∆ 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𝐹𝑜𝑟𝑐𝑒</m:t>
                    </m:r>
                    <m:r>
                      <a:rPr lang="en-GB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×</m:t>
                    </m:r>
                    <m:d>
                      <m:dPr>
                        <m:ctrlPr>
                          <a:rPr lang="en-GB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f>
                          <m:fPr>
                            <m:type m:val="noBar"/>
                            <m:ctrlP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𝑇𝑟𝑎𝑐𝑘</m:t>
                            </m:r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𝑊𝑖𝑑𝑡h</m:t>
                            </m:r>
                          </m:num>
                          <m:den>
                            <m:r>
                              <a:rPr lang="en-GB" sz="11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2</m:t>
                            </m:r>
                          </m:den>
                        </m:f>
                      </m:e>
                    </m:d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17C72BE4-D2AC-4C0D-97C6-CB10A2D403BD}"/>
                </a:ext>
              </a:extLst>
            </xdr:cNvPr>
            <xdr:cNvSpPr txBox="1"/>
          </xdr:nvSpPr>
          <xdr:spPr>
            <a:xfrm>
              <a:off x="14383939" y="4239815"/>
              <a:ext cx="3487342" cy="38036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𝑌𝑎𝑤 </a:t>
              </a:r>
              <a:r>
                <a:rPr lang="en-GB" sz="1100" b="0" i="0" baseline="-25000">
                  <a:latin typeface="Cambria Math" panose="02040503050406030204" pitchFamily="18" charset="0"/>
                </a:rPr>
                <a:t>𝑓𝑟𝑜𝑛𝑡 𝑎𝑛𝑑 𝑟𝑒𝑎𝑟</a:t>
              </a:r>
              <a:r>
                <a:rPr lang="en-GB" sz="1100" b="0" i="0">
                  <a:latin typeface="Cambria Math" panose="02040503050406030204" pitchFamily="18" charset="0"/>
                </a:rPr>
                <a:t>=∆ </a:t>
              </a:r>
              <a:r>
                <a:rPr lang="en-GB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𝐹𝑜𝑟𝑐𝑒 ×((𝑇𝑟𝑎𝑐𝑘 𝑊𝑖𝑑𝑡ℎ)¦2)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3A006-77A1-4297-ADC1-DEE1D8E779E9}">
  <dimension ref="C1:R31"/>
  <sheetViews>
    <sheetView zoomScale="50" zoomScaleNormal="50" workbookViewId="0">
      <selection activeCell="L21" sqref="L21"/>
    </sheetView>
  </sheetViews>
  <sheetFormatPr defaultRowHeight="15" x14ac:dyDescent="0.25"/>
  <cols>
    <col min="3" max="3" width="18.140625" customWidth="1"/>
    <col min="4" max="4" width="14.28515625" customWidth="1"/>
    <col min="5" max="5" width="7.85546875" customWidth="1"/>
    <col min="6" max="6" width="7.140625" customWidth="1"/>
    <col min="7" max="7" width="22.42578125" customWidth="1"/>
    <col min="8" max="8" width="16.140625" customWidth="1"/>
    <col min="10" max="10" width="17.5703125" customWidth="1"/>
    <col min="11" max="11" width="11.85546875" customWidth="1"/>
    <col min="14" max="14" width="5.42578125" customWidth="1"/>
    <col min="15" max="15" width="7.140625" customWidth="1"/>
    <col min="16" max="16" width="8.28515625" customWidth="1"/>
    <col min="17" max="17" width="9.42578125" customWidth="1"/>
  </cols>
  <sheetData>
    <row r="1" spans="3:18" ht="15.75" thickBot="1" x14ac:dyDescent="0.3"/>
    <row r="2" spans="3:18" x14ac:dyDescent="0.25">
      <c r="C2" s="78" t="s">
        <v>40</v>
      </c>
      <c r="D2" s="79"/>
      <c r="E2" s="80"/>
      <c r="G2" s="81" t="s">
        <v>56</v>
      </c>
      <c r="H2" s="82"/>
      <c r="I2" s="83"/>
    </row>
    <row r="3" spans="3:18" x14ac:dyDescent="0.25">
      <c r="C3" s="2" t="s">
        <v>0</v>
      </c>
      <c r="D3" s="3">
        <v>4907</v>
      </c>
      <c r="E3" s="4" t="s">
        <v>29</v>
      </c>
      <c r="G3" s="2" t="s">
        <v>24</v>
      </c>
      <c r="H3" s="3"/>
      <c r="I3" s="4"/>
    </row>
    <row r="4" spans="3:18" x14ac:dyDescent="0.25">
      <c r="C4" s="2" t="s">
        <v>1</v>
      </c>
      <c r="D4" s="3">
        <v>1953</v>
      </c>
      <c r="E4" s="4" t="s">
        <v>29</v>
      </c>
      <c r="F4" s="1"/>
      <c r="G4" s="2" t="s">
        <v>25</v>
      </c>
      <c r="H4" s="3">
        <v>6262</v>
      </c>
      <c r="I4" s="4" t="s">
        <v>26</v>
      </c>
    </row>
    <row r="5" spans="3:18" x14ac:dyDescent="0.25">
      <c r="C5" s="2" t="s">
        <v>2</v>
      </c>
      <c r="D5" s="3">
        <v>1379</v>
      </c>
      <c r="E5" s="4" t="s">
        <v>29</v>
      </c>
      <c r="F5" s="1"/>
      <c r="G5" s="2" t="s">
        <v>27</v>
      </c>
      <c r="H5" s="3">
        <v>94</v>
      </c>
      <c r="I5" s="4" t="s">
        <v>29</v>
      </c>
    </row>
    <row r="6" spans="3:18" x14ac:dyDescent="0.25">
      <c r="C6" s="2" t="s">
        <v>3</v>
      </c>
      <c r="D6" s="3">
        <v>2990</v>
      </c>
      <c r="E6" s="4" t="s">
        <v>29</v>
      </c>
      <c r="F6" s="1"/>
      <c r="G6" s="2" t="s">
        <v>28</v>
      </c>
      <c r="H6" s="3">
        <v>75.2</v>
      </c>
      <c r="I6" s="4" t="s">
        <v>29</v>
      </c>
    </row>
    <row r="7" spans="3:18" x14ac:dyDescent="0.25">
      <c r="C7" s="2" t="s">
        <v>5</v>
      </c>
      <c r="D7" s="3">
        <v>1676</v>
      </c>
      <c r="E7" s="4" t="s">
        <v>29</v>
      </c>
      <c r="F7" s="1"/>
      <c r="G7" s="2" t="s">
        <v>30</v>
      </c>
      <c r="H7" s="3">
        <v>660</v>
      </c>
      <c r="I7" s="4" t="s">
        <v>32</v>
      </c>
    </row>
    <row r="8" spans="3:18" x14ac:dyDescent="0.25">
      <c r="C8" s="2" t="s">
        <v>6</v>
      </c>
      <c r="D8" s="3">
        <v>1660</v>
      </c>
      <c r="E8" s="4" t="s">
        <v>29</v>
      </c>
      <c r="F8" s="1"/>
      <c r="G8" s="2" t="s">
        <v>31</v>
      </c>
      <c r="H8" s="3">
        <v>683</v>
      </c>
      <c r="I8" s="4" t="s">
        <v>33</v>
      </c>
      <c r="M8" s="18"/>
      <c r="N8" s="18"/>
      <c r="O8" s="18"/>
      <c r="P8" s="18"/>
      <c r="Q8" s="18"/>
      <c r="R8" s="18"/>
    </row>
    <row r="9" spans="3:18" x14ac:dyDescent="0.25">
      <c r="C9" s="2" t="s">
        <v>7</v>
      </c>
      <c r="D9" s="5">
        <v>1880</v>
      </c>
      <c r="E9" s="4" t="s">
        <v>54</v>
      </c>
      <c r="F9" s="1"/>
      <c r="G9" s="2" t="s">
        <v>34</v>
      </c>
      <c r="H9" s="3">
        <v>105</v>
      </c>
      <c r="I9" s="4" t="s">
        <v>35</v>
      </c>
      <c r="M9" s="18"/>
      <c r="N9" s="18"/>
      <c r="O9" s="18"/>
      <c r="P9" s="18"/>
      <c r="Q9" s="18"/>
      <c r="R9" s="18"/>
    </row>
    <row r="10" spans="3:18" x14ac:dyDescent="0.25">
      <c r="C10" s="2" t="s">
        <v>8</v>
      </c>
      <c r="D10" s="3">
        <v>1790</v>
      </c>
      <c r="E10" s="4" t="s">
        <v>54</v>
      </c>
      <c r="G10" s="2" t="s">
        <v>37</v>
      </c>
      <c r="H10" s="3">
        <v>8000</v>
      </c>
      <c r="I10" s="4" t="s">
        <v>36</v>
      </c>
      <c r="M10" s="18"/>
      <c r="N10" s="30"/>
      <c r="O10" s="30"/>
      <c r="P10" s="30"/>
      <c r="Q10" s="30"/>
      <c r="R10" s="18"/>
    </row>
    <row r="11" spans="3:18" x14ac:dyDescent="0.25">
      <c r="C11" s="2" t="s">
        <v>11</v>
      </c>
      <c r="D11" s="3">
        <v>450</v>
      </c>
      <c r="E11" s="4" t="s">
        <v>55</v>
      </c>
      <c r="G11" s="2" t="s">
        <v>38</v>
      </c>
      <c r="H11" s="5" t="s">
        <v>39</v>
      </c>
      <c r="I11" s="4"/>
      <c r="M11" s="18"/>
      <c r="N11" s="29"/>
      <c r="O11" s="29"/>
      <c r="P11" s="18"/>
      <c r="Q11" s="29"/>
      <c r="R11" s="18"/>
    </row>
    <row r="12" spans="3:18" ht="15.75" thickBot="1" x14ac:dyDescent="0.3">
      <c r="C12" s="6" t="s">
        <v>12</v>
      </c>
      <c r="D12" s="7">
        <v>91</v>
      </c>
      <c r="E12" s="8" t="s">
        <v>55</v>
      </c>
      <c r="G12" s="17" t="s">
        <v>63</v>
      </c>
      <c r="H12" s="18">
        <v>225</v>
      </c>
      <c r="I12" s="14" t="s">
        <v>54</v>
      </c>
      <c r="M12" s="18"/>
      <c r="N12" s="29"/>
      <c r="O12" s="29"/>
      <c r="P12" s="18"/>
      <c r="Q12" s="29"/>
      <c r="R12" s="18"/>
    </row>
    <row r="13" spans="3:18" ht="15.75" thickBot="1" x14ac:dyDescent="0.3">
      <c r="F13" s="4"/>
      <c r="G13" s="11" t="s">
        <v>71</v>
      </c>
      <c r="H13" s="7">
        <v>45</v>
      </c>
      <c r="I13" s="7" t="s">
        <v>54</v>
      </c>
      <c r="J13" s="2"/>
      <c r="M13" s="18"/>
      <c r="N13" s="29"/>
      <c r="O13" s="29"/>
      <c r="P13" s="18"/>
      <c r="Q13" s="29"/>
      <c r="R13" s="18"/>
    </row>
    <row r="14" spans="3:18" ht="15.75" thickBot="1" x14ac:dyDescent="0.3">
      <c r="C14" s="90" t="s">
        <v>163</v>
      </c>
      <c r="D14" s="91"/>
      <c r="E14" s="92"/>
      <c r="M14" s="18"/>
      <c r="N14" s="18"/>
      <c r="O14" s="30"/>
      <c r="P14" s="30"/>
      <c r="Q14" s="18"/>
      <c r="R14" s="18"/>
    </row>
    <row r="15" spans="3:18" x14ac:dyDescent="0.25">
      <c r="C15" s="2" t="s">
        <v>73</v>
      </c>
      <c r="D15" s="5" t="s">
        <v>165</v>
      </c>
      <c r="E15" s="4" t="s">
        <v>29</v>
      </c>
      <c r="G15" s="84" t="s">
        <v>57</v>
      </c>
      <c r="H15" s="85"/>
      <c r="I15" s="86"/>
      <c r="M15" s="18"/>
      <c r="N15" s="18"/>
      <c r="O15" s="18"/>
      <c r="P15" s="18"/>
      <c r="Q15" s="18"/>
      <c r="R15" s="18"/>
    </row>
    <row r="16" spans="3:18" ht="15.75" thickBot="1" x14ac:dyDescent="0.3">
      <c r="C16" s="11" t="s">
        <v>4</v>
      </c>
      <c r="D16" s="27" t="s">
        <v>164</v>
      </c>
      <c r="E16" s="12" t="s">
        <v>29</v>
      </c>
      <c r="G16" s="2" t="s">
        <v>41</v>
      </c>
      <c r="H16" s="3">
        <v>208</v>
      </c>
      <c r="I16" s="4" t="s">
        <v>42</v>
      </c>
      <c r="M16" s="18"/>
      <c r="N16" s="18"/>
      <c r="O16" s="18"/>
      <c r="P16" s="18"/>
      <c r="Q16" s="18"/>
      <c r="R16" s="18"/>
    </row>
    <row r="17" spans="3:18" ht="15.75" thickBot="1" x14ac:dyDescent="0.3">
      <c r="G17" s="2" t="s">
        <v>43</v>
      </c>
      <c r="H17" s="3">
        <v>3.7</v>
      </c>
      <c r="I17" s="4" t="s">
        <v>44</v>
      </c>
      <c r="M17" s="18"/>
      <c r="N17" s="30"/>
      <c r="O17" s="30"/>
      <c r="P17" s="30"/>
      <c r="Q17" s="30"/>
      <c r="R17" s="18"/>
    </row>
    <row r="18" spans="3:18" x14ac:dyDescent="0.25">
      <c r="C18" s="93" t="s">
        <v>58</v>
      </c>
      <c r="D18" s="94"/>
      <c r="G18" s="2" t="s">
        <v>45</v>
      </c>
      <c r="H18" s="3">
        <v>11</v>
      </c>
      <c r="I18" s="4" t="s">
        <v>44</v>
      </c>
      <c r="M18" s="18"/>
      <c r="N18" s="18"/>
      <c r="O18" s="18"/>
      <c r="P18" s="18"/>
      <c r="Q18" s="29"/>
      <c r="R18" s="18"/>
    </row>
    <row r="19" spans="3:18" x14ac:dyDescent="0.25">
      <c r="C19" s="2" t="s">
        <v>14</v>
      </c>
      <c r="D19" s="4" t="s">
        <v>21</v>
      </c>
      <c r="G19" s="2" t="s">
        <v>43</v>
      </c>
      <c r="H19" s="3">
        <v>35</v>
      </c>
      <c r="I19" s="4" t="s">
        <v>46</v>
      </c>
      <c r="M19" s="18"/>
      <c r="N19" s="18"/>
      <c r="O19" s="18"/>
      <c r="P19" s="18"/>
      <c r="Q19" s="29"/>
      <c r="R19" s="18"/>
    </row>
    <row r="20" spans="3:18" ht="15.75" thickBot="1" x14ac:dyDescent="0.3">
      <c r="C20" s="2" t="s">
        <v>13</v>
      </c>
      <c r="D20" s="4" t="s">
        <v>22</v>
      </c>
      <c r="G20" s="11" t="s">
        <v>47</v>
      </c>
      <c r="H20" s="7">
        <v>2.7</v>
      </c>
      <c r="I20" s="12" t="s">
        <v>48</v>
      </c>
      <c r="M20" s="18"/>
      <c r="N20" s="18"/>
      <c r="O20" s="18"/>
      <c r="P20" s="18"/>
      <c r="Q20" s="29"/>
      <c r="R20" s="18"/>
    </row>
    <row r="21" spans="3:18" ht="15.75" thickBot="1" x14ac:dyDescent="0.3">
      <c r="C21" s="2" t="s">
        <v>15</v>
      </c>
      <c r="D21" s="4" t="s">
        <v>17</v>
      </c>
      <c r="M21" s="18"/>
      <c r="N21" s="18"/>
      <c r="O21" s="18"/>
      <c r="P21" s="18"/>
      <c r="Q21" s="29"/>
      <c r="R21" s="18"/>
    </row>
    <row r="22" spans="3:18" x14ac:dyDescent="0.25">
      <c r="C22" s="2" t="s">
        <v>16</v>
      </c>
      <c r="D22" s="4" t="s">
        <v>23</v>
      </c>
      <c r="G22" s="87" t="s">
        <v>49</v>
      </c>
      <c r="H22" s="88"/>
      <c r="I22" s="89"/>
      <c r="M22" s="18"/>
      <c r="N22" s="30"/>
      <c r="O22" s="30"/>
      <c r="P22" s="30"/>
      <c r="Q22" s="18"/>
      <c r="R22" s="18"/>
    </row>
    <row r="23" spans="3:18" x14ac:dyDescent="0.25">
      <c r="C23" s="2" t="s">
        <v>20</v>
      </c>
      <c r="D23" s="4" t="s">
        <v>18</v>
      </c>
      <c r="G23" s="2" t="s">
        <v>49</v>
      </c>
      <c r="H23" s="3">
        <v>15.4</v>
      </c>
      <c r="I23" s="4" t="s">
        <v>50</v>
      </c>
      <c r="M23" s="18"/>
      <c r="N23" s="18"/>
      <c r="O23" s="18"/>
      <c r="P23" s="18"/>
      <c r="Q23" s="18"/>
      <c r="R23" s="18"/>
    </row>
    <row r="24" spans="3:18" ht="18.75" thickBot="1" x14ac:dyDescent="0.4">
      <c r="C24" s="11" t="s">
        <v>19</v>
      </c>
      <c r="D24" s="12" t="s">
        <v>23</v>
      </c>
      <c r="G24" s="11" t="s">
        <v>59</v>
      </c>
      <c r="H24" s="7">
        <v>360</v>
      </c>
      <c r="I24" s="12" t="s">
        <v>51</v>
      </c>
      <c r="M24" s="18"/>
      <c r="N24" s="18"/>
      <c r="O24" s="18"/>
      <c r="P24" s="18"/>
      <c r="Q24" s="18"/>
      <c r="R24" s="18"/>
    </row>
    <row r="25" spans="3:18" ht="15.75" thickBot="1" x14ac:dyDescent="0.3"/>
    <row r="26" spans="3:18" x14ac:dyDescent="0.25">
      <c r="C26" s="74" t="s">
        <v>9</v>
      </c>
      <c r="D26" s="75"/>
      <c r="G26" s="76" t="s">
        <v>52</v>
      </c>
      <c r="H26" s="77"/>
    </row>
    <row r="27" spans="3:18" ht="15.75" thickBot="1" x14ac:dyDescent="0.3">
      <c r="C27" s="2" t="s">
        <v>10</v>
      </c>
      <c r="D27" s="9">
        <v>0.47</v>
      </c>
      <c r="G27" s="11" t="s">
        <v>53</v>
      </c>
      <c r="H27" s="12"/>
    </row>
    <row r="28" spans="3:18" ht="15.75" thickBot="1" x14ac:dyDescent="0.3">
      <c r="C28" s="11" t="s">
        <v>4</v>
      </c>
      <c r="D28" s="10">
        <v>0.53</v>
      </c>
    </row>
    <row r="29" spans="3:18" ht="15.75" thickBot="1" x14ac:dyDescent="0.3"/>
    <row r="30" spans="3:18" x14ac:dyDescent="0.25">
      <c r="C30" s="72" t="s">
        <v>60</v>
      </c>
      <c r="D30" s="73"/>
    </row>
    <row r="31" spans="3:18" ht="15.75" thickBot="1" x14ac:dyDescent="0.3">
      <c r="C31" s="11" t="s">
        <v>60</v>
      </c>
      <c r="D31" s="13" t="s">
        <v>61</v>
      </c>
    </row>
  </sheetData>
  <mergeCells count="9">
    <mergeCell ref="C30:D30"/>
    <mergeCell ref="C26:D26"/>
    <mergeCell ref="G26:H26"/>
    <mergeCell ref="C2:E2"/>
    <mergeCell ref="G2:I2"/>
    <mergeCell ref="G15:I15"/>
    <mergeCell ref="G22:I22"/>
    <mergeCell ref="C14:E14"/>
    <mergeCell ref="C18:D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13F9D-4841-4BB3-94EB-5918F2D319A8}">
  <dimension ref="A1:P17"/>
  <sheetViews>
    <sheetView showGridLines="0" zoomScale="80" zoomScaleNormal="80" workbookViewId="0">
      <selection activeCell="N6" sqref="N6"/>
    </sheetView>
  </sheetViews>
  <sheetFormatPr defaultRowHeight="15" x14ac:dyDescent="0.25"/>
  <cols>
    <col min="2" max="2" width="11.85546875" customWidth="1"/>
    <col min="3" max="3" width="8" customWidth="1"/>
    <col min="4" max="4" width="10" customWidth="1"/>
    <col min="6" max="6" width="6.28515625" customWidth="1"/>
    <col min="7" max="7" width="18.28515625" customWidth="1"/>
    <col min="8" max="8" width="5.7109375" customWidth="1"/>
    <col min="10" max="10" width="18.28515625" customWidth="1"/>
    <col min="11" max="11" width="8.7109375" customWidth="1"/>
    <col min="12" max="12" width="17.28515625" customWidth="1"/>
    <col min="14" max="14" width="18.85546875" customWidth="1"/>
    <col min="16" max="16" width="17.85546875" customWidth="1"/>
  </cols>
  <sheetData>
    <row r="1" spans="1:16" ht="15.75" thickBot="1" x14ac:dyDescent="0.3"/>
    <row r="2" spans="1:16" ht="15.75" thickBot="1" x14ac:dyDescent="0.3">
      <c r="B2" s="97" t="s">
        <v>72</v>
      </c>
      <c r="C2" s="98"/>
      <c r="D2" s="99"/>
      <c r="F2" s="100" t="s">
        <v>79</v>
      </c>
      <c r="G2" s="101"/>
      <c r="H2" s="102"/>
    </row>
    <row r="3" spans="1:16" ht="15.75" thickBot="1" x14ac:dyDescent="0.3">
      <c r="B3" s="21"/>
      <c r="C3" s="21" t="s">
        <v>73</v>
      </c>
      <c r="D3" s="16" t="s">
        <v>4</v>
      </c>
      <c r="F3" s="28" t="s">
        <v>65</v>
      </c>
      <c r="G3" s="25">
        <f>G8</f>
        <v>1.615570515970516</v>
      </c>
      <c r="H3" s="16" t="s">
        <v>46</v>
      </c>
    </row>
    <row r="4" spans="1:16" ht="18.75" customHeight="1" thickBot="1" x14ac:dyDescent="0.3">
      <c r="B4" s="95" t="s">
        <v>9</v>
      </c>
      <c r="C4" s="19">
        <v>0.47</v>
      </c>
      <c r="D4" s="9">
        <v>0.53</v>
      </c>
      <c r="F4" s="28" t="s">
        <v>64</v>
      </c>
      <c r="G4" s="26">
        <v>1.99</v>
      </c>
      <c r="H4" s="16" t="s">
        <v>46</v>
      </c>
      <c r="M4" s="5"/>
      <c r="N4" s="23"/>
    </row>
    <row r="5" spans="1:16" ht="16.5" customHeight="1" thickBot="1" x14ac:dyDescent="0.3">
      <c r="B5" s="96"/>
      <c r="C5" s="20">
        <v>0.47</v>
      </c>
      <c r="D5" s="12">
        <v>0.53</v>
      </c>
      <c r="F5" s="22" t="s">
        <v>55</v>
      </c>
      <c r="G5" s="27">
        <v>2.99</v>
      </c>
      <c r="H5" s="12" t="s">
        <v>46</v>
      </c>
      <c r="M5" s="5"/>
    </row>
    <row r="6" spans="1:16" ht="16.5" customHeight="1" thickBot="1" x14ac:dyDescent="0.3">
      <c r="B6" s="31" t="s">
        <v>3</v>
      </c>
      <c r="C6" s="33">
        <v>2.99</v>
      </c>
      <c r="D6" s="34" t="s">
        <v>46</v>
      </c>
      <c r="F6" s="24"/>
      <c r="G6" s="5"/>
      <c r="H6" s="3"/>
      <c r="M6" s="5"/>
    </row>
    <row r="7" spans="1:16" ht="16.5" customHeight="1" thickBot="1" x14ac:dyDescent="0.3">
      <c r="B7" s="31" t="s">
        <v>68</v>
      </c>
      <c r="C7" s="103">
        <f>G8</f>
        <v>1.615570515970516</v>
      </c>
      <c r="D7" s="104"/>
      <c r="G7" s="106" t="s">
        <v>80</v>
      </c>
      <c r="H7" s="107"/>
      <c r="I7" s="3"/>
      <c r="M7" s="5"/>
    </row>
    <row r="8" spans="1:16" ht="16.5" customHeight="1" thickBot="1" x14ac:dyDescent="0.3">
      <c r="B8" s="31" t="s">
        <v>69</v>
      </c>
      <c r="C8" s="103">
        <f>2.99-C7</f>
        <v>1.3744294840294842</v>
      </c>
      <c r="D8" s="104"/>
      <c r="G8" s="41">
        <f>((C15*G4)+(C16*G5))/(C14+C15+C16)</f>
        <v>1.615570515970516</v>
      </c>
      <c r="H8" s="42" t="s">
        <v>46</v>
      </c>
      <c r="M8" s="5"/>
    </row>
    <row r="9" spans="1:16" ht="16.5" customHeight="1" thickBot="1" x14ac:dyDescent="0.3">
      <c r="A9" s="39"/>
      <c r="B9" s="40" t="s">
        <v>82</v>
      </c>
      <c r="C9" s="103">
        <f>G11/C17</f>
        <v>2.0689152691061214</v>
      </c>
      <c r="D9" s="105"/>
      <c r="E9" s="2"/>
      <c r="G9" s="38"/>
      <c r="H9" s="37"/>
      <c r="M9" s="5"/>
    </row>
    <row r="10" spans="1:16" ht="15.75" thickBot="1" x14ac:dyDescent="0.3">
      <c r="B10" s="15" t="s">
        <v>77</v>
      </c>
      <c r="C10" s="21">
        <v>1880</v>
      </c>
      <c r="D10" s="21" t="s">
        <v>54</v>
      </c>
      <c r="G10" s="108" t="s">
        <v>81</v>
      </c>
      <c r="H10" s="109"/>
      <c r="K10" s="3"/>
      <c r="L10" s="3"/>
      <c r="M10" s="3"/>
    </row>
    <row r="11" spans="1:16" ht="18" thickBot="1" x14ac:dyDescent="0.3">
      <c r="B11" s="15" t="s">
        <v>74</v>
      </c>
      <c r="C11" s="21">
        <v>2</v>
      </c>
      <c r="D11" s="54" t="s">
        <v>100</v>
      </c>
      <c r="G11" s="35">
        <f>(C14*(G8^2))+(C15*((G4-G8)^2)+(C16*(G4-G8+1)^2))</f>
        <v>4210.2425726309575</v>
      </c>
      <c r="H11" s="12" t="s">
        <v>83</v>
      </c>
    </row>
    <row r="12" spans="1:16" ht="15.75" thickBot="1" x14ac:dyDescent="0.3"/>
    <row r="13" spans="1:16" ht="15.75" thickBot="1" x14ac:dyDescent="0.3">
      <c r="B13" s="112" t="s">
        <v>78</v>
      </c>
      <c r="C13" s="113"/>
      <c r="D13" s="114"/>
      <c r="G13" s="76" t="s">
        <v>67</v>
      </c>
      <c r="H13" s="77"/>
      <c r="N13" s="3"/>
      <c r="O13" s="3"/>
      <c r="P13" s="3"/>
    </row>
    <row r="14" spans="1:16" ht="18.75" thickBot="1" x14ac:dyDescent="0.4">
      <c r="B14" s="2" t="s">
        <v>62</v>
      </c>
      <c r="C14" s="3">
        <f>C10*C5</f>
        <v>883.59999999999991</v>
      </c>
      <c r="D14" s="4" t="s">
        <v>54</v>
      </c>
      <c r="G14" s="35">
        <f>G11/(C17*C7*C8)</f>
        <v>0.93173910483128752</v>
      </c>
      <c r="H14" s="36"/>
      <c r="N14" s="3"/>
      <c r="O14" s="3"/>
      <c r="P14" s="3"/>
    </row>
    <row r="15" spans="1:16" ht="16.5" customHeight="1" thickBot="1" x14ac:dyDescent="0.4">
      <c r="B15" s="2" t="s">
        <v>75</v>
      </c>
      <c r="C15" s="3">
        <f>77.5*$C$11</f>
        <v>155</v>
      </c>
      <c r="D15" s="4" t="s">
        <v>54</v>
      </c>
      <c r="N15" s="3"/>
      <c r="O15" s="3"/>
      <c r="P15" s="3"/>
    </row>
    <row r="16" spans="1:16" ht="15.75" customHeight="1" thickBot="1" x14ac:dyDescent="0.4">
      <c r="B16" s="11" t="s">
        <v>76</v>
      </c>
      <c r="C16" s="7">
        <f>D5*C10</f>
        <v>996.40000000000009</v>
      </c>
      <c r="D16" s="12" t="s">
        <v>54</v>
      </c>
      <c r="G16" s="110" t="s">
        <v>66</v>
      </c>
      <c r="H16" s="111"/>
      <c r="N16" s="3"/>
      <c r="O16" s="3"/>
      <c r="P16" s="3"/>
    </row>
    <row r="17" spans="2:8" ht="18.75" thickBot="1" x14ac:dyDescent="0.4">
      <c r="B17" s="11" t="s">
        <v>70</v>
      </c>
      <c r="C17" s="7">
        <f>SUM(C14:C16)</f>
        <v>2035</v>
      </c>
      <c r="D17" s="12" t="s">
        <v>54</v>
      </c>
      <c r="G17" s="35">
        <f>C9/C7</f>
        <v>1.2806096971033598</v>
      </c>
      <c r="H17" s="32" t="s">
        <v>46</v>
      </c>
    </row>
  </sheetData>
  <mergeCells count="11">
    <mergeCell ref="C9:D9"/>
    <mergeCell ref="G7:H7"/>
    <mergeCell ref="G10:H10"/>
    <mergeCell ref="G13:H13"/>
    <mergeCell ref="G16:H16"/>
    <mergeCell ref="B13:D13"/>
    <mergeCell ref="B4:B5"/>
    <mergeCell ref="B2:D2"/>
    <mergeCell ref="F2:H2"/>
    <mergeCell ref="C7:D7"/>
    <mergeCell ref="C8:D8"/>
  </mergeCells>
  <dataValidations count="1">
    <dataValidation type="list" allowBlank="1" showInputMessage="1" showErrorMessage="1" sqref="C11" xr:uid="{3EABE1C1-C455-42C7-BD71-8FB2C122B00E}">
      <formula1>"1,2,3,4"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96C64-2782-4085-BCE9-8EAC54C22DCC}">
  <dimension ref="B2:M21"/>
  <sheetViews>
    <sheetView zoomScaleNormal="100" workbookViewId="0">
      <selection activeCell="G17" sqref="G17"/>
    </sheetView>
  </sheetViews>
  <sheetFormatPr defaultRowHeight="15" x14ac:dyDescent="0.25"/>
  <cols>
    <col min="3" max="3" width="20.28515625" customWidth="1"/>
    <col min="4" max="4" width="8.5703125" customWidth="1"/>
    <col min="5" max="5" width="7.42578125" customWidth="1"/>
    <col min="6" max="6" width="7.85546875" customWidth="1"/>
    <col min="7" max="7" width="17.5703125" customWidth="1"/>
    <col min="8" max="8" width="13.42578125" customWidth="1"/>
    <col min="9" max="9" width="6.28515625" customWidth="1"/>
    <col min="11" max="11" width="16" customWidth="1"/>
  </cols>
  <sheetData>
    <row r="2" spans="2:13" ht="15.75" thickBot="1" x14ac:dyDescent="0.3"/>
    <row r="3" spans="2:13" ht="15.75" thickBot="1" x14ac:dyDescent="0.3">
      <c r="C3" s="119" t="s">
        <v>84</v>
      </c>
      <c r="D3" s="120"/>
      <c r="E3" s="121"/>
      <c r="G3" s="129" t="s">
        <v>171</v>
      </c>
      <c r="H3" s="130"/>
      <c r="I3" s="131"/>
      <c r="K3" s="129" t="s">
        <v>179</v>
      </c>
      <c r="L3" s="130"/>
      <c r="M3" s="131"/>
    </row>
    <row r="4" spans="2:13" ht="15.75" thickBot="1" x14ac:dyDescent="0.3">
      <c r="C4" s="48"/>
      <c r="D4" s="48"/>
      <c r="E4" s="48"/>
      <c r="F4" s="3"/>
      <c r="G4" s="115" t="s">
        <v>178</v>
      </c>
      <c r="H4" s="116"/>
      <c r="I4" s="104"/>
      <c r="K4" s="2" t="s">
        <v>180</v>
      </c>
      <c r="L4" s="3">
        <f>'Longitudinal Acceleration + Yaw'!E16</f>
        <v>1</v>
      </c>
      <c r="M4" s="4"/>
    </row>
    <row r="5" spans="2:13" ht="18" x14ac:dyDescent="0.35">
      <c r="C5" s="2" t="s">
        <v>85</v>
      </c>
      <c r="D5" s="122">
        <v>2</v>
      </c>
      <c r="E5" s="123"/>
      <c r="G5" s="2" t="s">
        <v>192</v>
      </c>
      <c r="H5" s="3">
        <f>D14</f>
        <v>5.5E-2</v>
      </c>
      <c r="I5" s="4" t="s">
        <v>46</v>
      </c>
      <c r="K5" s="2" t="s">
        <v>181</v>
      </c>
      <c r="L5" s="3">
        <f>'Longitudinal Acceleration + Yaw'!E17</f>
        <v>0.7</v>
      </c>
      <c r="M5" s="4"/>
    </row>
    <row r="6" spans="2:13" ht="18" x14ac:dyDescent="0.35">
      <c r="C6" s="2" t="s">
        <v>86</v>
      </c>
      <c r="D6" s="124">
        <v>4</v>
      </c>
      <c r="E6" s="125"/>
      <c r="G6" s="2" t="s">
        <v>193</v>
      </c>
      <c r="H6" s="3">
        <f>D13</f>
        <v>0.08</v>
      </c>
      <c r="I6" s="4" t="s">
        <v>46</v>
      </c>
      <c r="K6" s="2" t="s">
        <v>182</v>
      </c>
      <c r="L6" s="3">
        <f>'Longitudinal Acceleration + Yaw'!H7</f>
        <v>4691.3872499999998</v>
      </c>
      <c r="M6" s="4" t="s">
        <v>95</v>
      </c>
    </row>
    <row r="7" spans="2:13" ht="15.75" thickBot="1" x14ac:dyDescent="0.3">
      <c r="C7" s="11" t="s">
        <v>87</v>
      </c>
      <c r="D7" s="117">
        <v>8</v>
      </c>
      <c r="E7" s="118"/>
      <c r="G7" s="2" t="s">
        <v>194</v>
      </c>
      <c r="H7" s="3">
        <f>'Longitudinal Acceleration + Yaw'!D13</f>
        <v>0.33975</v>
      </c>
      <c r="I7" s="4" t="s">
        <v>46</v>
      </c>
      <c r="K7" s="2" t="s">
        <v>187</v>
      </c>
      <c r="L7" s="3">
        <f>'Longitudinal Acceleration + Yaw'!H8</f>
        <v>3283.9710749999995</v>
      </c>
      <c r="M7" s="4" t="s">
        <v>95</v>
      </c>
    </row>
    <row r="8" spans="2:13" ht="15.75" thickBot="1" x14ac:dyDescent="0.3">
      <c r="C8" s="48"/>
      <c r="D8" s="7"/>
      <c r="E8" s="7"/>
      <c r="F8" s="3"/>
      <c r="G8" s="2" t="s">
        <v>195</v>
      </c>
      <c r="H8" s="138">
        <f>2*PI()*H7</f>
        <v>2.1347122081142644</v>
      </c>
      <c r="I8" s="4" t="s">
        <v>46</v>
      </c>
      <c r="K8" s="2" t="s">
        <v>184</v>
      </c>
      <c r="L8" s="3">
        <f>L6*H7</f>
        <v>1593.8988181875</v>
      </c>
      <c r="M8" s="4" t="s">
        <v>33</v>
      </c>
    </row>
    <row r="9" spans="2:13" ht="15.75" thickBot="1" x14ac:dyDescent="0.3">
      <c r="C9" s="15" t="s">
        <v>92</v>
      </c>
      <c r="D9" s="48">
        <v>0.1</v>
      </c>
      <c r="E9" s="16"/>
      <c r="G9" s="2" t="s">
        <v>196</v>
      </c>
      <c r="H9" s="3">
        <f>15.64</f>
        <v>15.64</v>
      </c>
      <c r="I9" s="4" t="s">
        <v>169</v>
      </c>
      <c r="K9" s="11" t="s">
        <v>183</v>
      </c>
      <c r="L9" s="7">
        <f>L7*H7</f>
        <v>1115.7291727312497</v>
      </c>
      <c r="M9" s="12" t="s">
        <v>33</v>
      </c>
    </row>
    <row r="10" spans="2:13" ht="15.75" thickBot="1" x14ac:dyDescent="0.3">
      <c r="C10" s="48"/>
      <c r="D10" s="48"/>
      <c r="E10" s="48"/>
      <c r="F10" s="3"/>
      <c r="G10" s="2" t="s">
        <v>172</v>
      </c>
      <c r="H10" s="50">
        <f>(H9/(H7*2*PI()))*60</f>
        <v>439.59087151562795</v>
      </c>
      <c r="I10" s="4" t="s">
        <v>93</v>
      </c>
      <c r="K10" s="2" t="s">
        <v>185</v>
      </c>
      <c r="L10" s="3">
        <f>L8*H11</f>
        <v>73373.30108887321</v>
      </c>
      <c r="M10" s="4" t="s">
        <v>188</v>
      </c>
    </row>
    <row r="11" spans="2:13" x14ac:dyDescent="0.25">
      <c r="B11" s="4"/>
      <c r="C11" s="18" t="s">
        <v>101</v>
      </c>
      <c r="D11">
        <v>683</v>
      </c>
      <c r="E11" s="44" t="s">
        <v>33</v>
      </c>
      <c r="G11" s="139" t="s">
        <v>177</v>
      </c>
      <c r="H11" s="3">
        <f>H10/9.549296</f>
        <v>46.033851240513222</v>
      </c>
      <c r="I11" s="4" t="s">
        <v>170</v>
      </c>
      <c r="K11" s="2"/>
      <c r="L11" s="3">
        <f>L10/1000</f>
        <v>73.373301088873205</v>
      </c>
      <c r="M11" s="4" t="s">
        <v>189</v>
      </c>
    </row>
    <row r="12" spans="2:13" ht="15" customHeight="1" x14ac:dyDescent="0.25">
      <c r="C12" s="2" t="s">
        <v>88</v>
      </c>
      <c r="D12" s="3">
        <f>D11*0.2</f>
        <v>136.6</v>
      </c>
      <c r="E12" s="4" t="s">
        <v>33</v>
      </c>
      <c r="G12" s="2" t="s">
        <v>176</v>
      </c>
      <c r="H12" s="3">
        <f>H15*H14*H11</f>
        <v>685.53611267372287</v>
      </c>
      <c r="I12" s="4" t="s">
        <v>99</v>
      </c>
      <c r="K12" s="2" t="s">
        <v>186</v>
      </c>
      <c r="L12" s="3">
        <f>L9*H11</f>
        <v>51361.310762211229</v>
      </c>
      <c r="M12" s="4" t="s">
        <v>188</v>
      </c>
    </row>
    <row r="13" spans="2:13" ht="14.25" customHeight="1" thickBot="1" x14ac:dyDescent="0.3">
      <c r="C13" s="45" t="s">
        <v>90</v>
      </c>
      <c r="D13" s="3">
        <v>0.08</v>
      </c>
      <c r="E13" s="4" t="s">
        <v>46</v>
      </c>
      <c r="G13" s="2"/>
      <c r="H13" s="3"/>
      <c r="I13" s="4"/>
      <c r="K13" s="2"/>
      <c r="L13" s="3">
        <f>L12/1000</f>
        <v>51.361310762211232</v>
      </c>
      <c r="M13" s="4" t="s">
        <v>189</v>
      </c>
    </row>
    <row r="14" spans="2:13" ht="15" customHeight="1" x14ac:dyDescent="0.25">
      <c r="C14" s="45" t="s">
        <v>91</v>
      </c>
      <c r="D14" s="3">
        <f>D13-0.025</f>
        <v>5.5E-2</v>
      </c>
      <c r="E14" s="4" t="s">
        <v>46</v>
      </c>
      <c r="G14" s="43" t="s">
        <v>173</v>
      </c>
      <c r="H14" s="59">
        <v>3.4</v>
      </c>
      <c r="I14" s="44" t="s">
        <v>175</v>
      </c>
      <c r="K14" s="43" t="s">
        <v>190</v>
      </c>
      <c r="L14" s="59">
        <f>L11-L13</f>
        <v>22.011990326661973</v>
      </c>
      <c r="M14" s="44" t="s">
        <v>189</v>
      </c>
    </row>
    <row r="15" spans="2:13" ht="15" customHeight="1" thickBot="1" x14ac:dyDescent="0.3">
      <c r="C15" s="46" t="s">
        <v>89</v>
      </c>
      <c r="D15" s="3">
        <v>6000</v>
      </c>
      <c r="E15" s="4" t="s">
        <v>93</v>
      </c>
      <c r="G15" s="11" t="s">
        <v>174</v>
      </c>
      <c r="H15" s="7">
        <v>4.38</v>
      </c>
      <c r="I15" s="12" t="s">
        <v>175</v>
      </c>
      <c r="K15" s="11"/>
      <c r="L15" s="7">
        <v>29</v>
      </c>
      <c r="M15" s="12" t="s">
        <v>191</v>
      </c>
    </row>
    <row r="16" spans="2:13" ht="16.5" customHeight="1" thickBot="1" x14ac:dyDescent="0.3">
      <c r="C16" s="47" t="s">
        <v>89</v>
      </c>
      <c r="D16" s="51">
        <f>(D15*2*PI()/60)</f>
        <v>628.31853071795865</v>
      </c>
      <c r="E16" s="12" t="s">
        <v>99</v>
      </c>
    </row>
    <row r="17" spans="3:5" ht="15" customHeight="1" thickBot="1" x14ac:dyDescent="0.3"/>
    <row r="18" spans="3:5" ht="15.75" thickBot="1" x14ac:dyDescent="0.3">
      <c r="C18" s="100" t="s">
        <v>94</v>
      </c>
      <c r="D18" s="101"/>
      <c r="E18" s="102"/>
    </row>
    <row r="19" spans="3:5" x14ac:dyDescent="0.25">
      <c r="C19" s="43" t="s">
        <v>96</v>
      </c>
      <c r="D19" s="49">
        <f>(2*D12)/(D9*(D13+D14))</f>
        <v>20237.037037037033</v>
      </c>
      <c r="E19" s="44" t="s">
        <v>95</v>
      </c>
    </row>
    <row r="20" spans="3:5" x14ac:dyDescent="0.25">
      <c r="C20" s="2" t="s">
        <v>97</v>
      </c>
      <c r="D20" s="50">
        <f>D19/D6</f>
        <v>5059.2592592592582</v>
      </c>
      <c r="E20" s="4" t="s">
        <v>95</v>
      </c>
    </row>
    <row r="21" spans="3:5" ht="15.75" thickBot="1" x14ac:dyDescent="0.3">
      <c r="C21" s="11" t="s">
        <v>98</v>
      </c>
      <c r="D21" s="51">
        <f>D19/D7</f>
        <v>2529.6296296296291</v>
      </c>
      <c r="E21" s="12" t="s">
        <v>95</v>
      </c>
    </row>
  </sheetData>
  <mergeCells count="8">
    <mergeCell ref="K3:M3"/>
    <mergeCell ref="G3:I3"/>
    <mergeCell ref="G4:I4"/>
    <mergeCell ref="D7:E7"/>
    <mergeCell ref="C3:E3"/>
    <mergeCell ref="C18:E18"/>
    <mergeCell ref="D5:E5"/>
    <mergeCell ref="D6:E6"/>
  </mergeCells>
  <dataValidations count="1">
    <dataValidation type="list" allowBlank="1" showInputMessage="1" showErrorMessage="1" sqref="D13" xr:uid="{8CFA765A-BE28-4DAD-975A-A969FD8116BF}">
      <formula1>"0.075,0.08,0.085"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C4944-59DC-4ED3-8811-2F895BC5B3F4}">
  <dimension ref="B1:W25"/>
  <sheetViews>
    <sheetView tabSelected="1" zoomScale="50" zoomScaleNormal="50" workbookViewId="0">
      <selection activeCell="F14" sqref="F14"/>
    </sheetView>
  </sheetViews>
  <sheetFormatPr defaultRowHeight="15" x14ac:dyDescent="0.25"/>
  <cols>
    <col min="2" max="2" width="13.28515625" customWidth="1"/>
    <col min="3" max="3" width="27.28515625" customWidth="1"/>
    <col min="4" max="4" width="13.140625" customWidth="1"/>
    <col min="7" max="7" width="22.42578125" customWidth="1"/>
    <col min="11" max="11" width="22.85546875" customWidth="1"/>
    <col min="12" max="12" width="10.5703125" customWidth="1"/>
    <col min="13" max="13" width="21.140625" customWidth="1"/>
    <col min="15" max="15" width="26.85546875" customWidth="1"/>
    <col min="16" max="16" width="13.7109375" customWidth="1"/>
    <col min="17" max="17" width="14.42578125" customWidth="1"/>
    <col min="18" max="18" width="6.85546875" customWidth="1"/>
    <col min="20" max="20" width="36.85546875" customWidth="1"/>
    <col min="22" max="22" width="17.7109375" customWidth="1"/>
  </cols>
  <sheetData>
    <row r="1" spans="2:23" ht="15.75" thickBot="1" x14ac:dyDescent="0.3"/>
    <row r="2" spans="2:23" ht="15.75" thickBot="1" x14ac:dyDescent="0.3">
      <c r="C2" s="135" t="s">
        <v>102</v>
      </c>
      <c r="D2" s="136"/>
      <c r="E2" s="137"/>
      <c r="G2" s="100" t="s">
        <v>73</v>
      </c>
      <c r="H2" s="101"/>
      <c r="I2" s="102"/>
      <c r="J2" s="56"/>
      <c r="K2" s="100" t="s">
        <v>4</v>
      </c>
      <c r="L2" s="101"/>
      <c r="M2" s="102"/>
      <c r="P2" s="129" t="s">
        <v>160</v>
      </c>
      <c r="Q2" s="130"/>
      <c r="R2" s="130"/>
      <c r="S2" s="130"/>
      <c r="T2" s="130"/>
      <c r="U2" s="130"/>
      <c r="V2" s="131"/>
    </row>
    <row r="3" spans="2:23" ht="16.5" customHeight="1" thickBot="1" x14ac:dyDescent="0.3">
      <c r="B3" s="132" t="s">
        <v>161</v>
      </c>
      <c r="C3" s="2" t="s">
        <v>103</v>
      </c>
      <c r="D3" s="3">
        <f>'Lumped Mass Model'!C17</f>
        <v>2035</v>
      </c>
      <c r="E3" s="4" t="s">
        <v>54</v>
      </c>
      <c r="G3" s="2" t="s">
        <v>116</v>
      </c>
      <c r="H3" s="50">
        <f>D4</f>
        <v>956.44999999999993</v>
      </c>
      <c r="I3" s="4" t="s">
        <v>54</v>
      </c>
      <c r="J3" s="3"/>
      <c r="K3" s="2" t="s">
        <v>116</v>
      </c>
      <c r="L3" s="50">
        <f>D5</f>
        <v>1078.55</v>
      </c>
      <c r="M3" s="4" t="s">
        <v>54</v>
      </c>
      <c r="P3" s="2"/>
      <c r="Q3" s="3"/>
      <c r="R3" s="3"/>
      <c r="S3" s="3"/>
      <c r="T3" s="3"/>
      <c r="U3" s="3"/>
      <c r="V3" s="4"/>
    </row>
    <row r="4" spans="2:23" ht="15.75" thickBot="1" x14ac:dyDescent="0.3">
      <c r="B4" s="133"/>
      <c r="C4" s="2" t="s">
        <v>106</v>
      </c>
      <c r="D4" s="3">
        <f>D3*0.47</f>
        <v>956.44999999999993</v>
      </c>
      <c r="E4" s="4" t="s">
        <v>54</v>
      </c>
      <c r="G4" s="2" t="s">
        <v>117</v>
      </c>
      <c r="H4" s="50">
        <f>H3/2</f>
        <v>478.22499999999997</v>
      </c>
      <c r="I4" s="4" t="s">
        <v>54</v>
      </c>
      <c r="J4" s="3"/>
      <c r="K4" s="2" t="s">
        <v>117</v>
      </c>
      <c r="L4" s="50">
        <f>L3/2</f>
        <v>539.27499999999998</v>
      </c>
      <c r="M4" s="4" t="s">
        <v>54</v>
      </c>
      <c r="P4" s="129" t="s">
        <v>166</v>
      </c>
      <c r="Q4" s="130"/>
      <c r="R4" s="131"/>
      <c r="S4" s="3"/>
      <c r="T4" s="129" t="s">
        <v>153</v>
      </c>
      <c r="U4" s="130"/>
      <c r="V4" s="131"/>
    </row>
    <row r="5" spans="2:23" ht="15.75" thickBot="1" x14ac:dyDescent="0.3">
      <c r="B5" s="133"/>
      <c r="C5" s="2" t="s">
        <v>107</v>
      </c>
      <c r="D5" s="3">
        <f>0.53*D3</f>
        <v>1078.55</v>
      </c>
      <c r="E5" s="4" t="s">
        <v>54</v>
      </c>
      <c r="G5" s="2"/>
      <c r="H5" s="3"/>
      <c r="I5" s="4"/>
      <c r="J5" s="3"/>
      <c r="K5" s="2"/>
      <c r="L5" s="3"/>
      <c r="M5" s="4"/>
      <c r="P5" s="2" t="s">
        <v>140</v>
      </c>
      <c r="Q5" s="50">
        <f>H7</f>
        <v>4691.3872499999998</v>
      </c>
      <c r="R5" s="4" t="s">
        <v>95</v>
      </c>
      <c r="S5" s="3"/>
      <c r="T5" s="2" t="s">
        <v>140</v>
      </c>
      <c r="U5" s="3">
        <f>867*E16</f>
        <v>867</v>
      </c>
      <c r="V5" s="4" t="s">
        <v>148</v>
      </c>
    </row>
    <row r="6" spans="2:23" ht="15.75" thickBot="1" x14ac:dyDescent="0.3">
      <c r="B6" s="133"/>
      <c r="C6" s="15"/>
      <c r="D6" s="48"/>
      <c r="E6" s="16"/>
      <c r="G6" s="2" t="s">
        <v>136</v>
      </c>
      <c r="H6" s="50">
        <f>H4*9.81</f>
        <v>4691.3872499999998</v>
      </c>
      <c r="I6" s="4" t="s">
        <v>95</v>
      </c>
      <c r="J6" s="3"/>
      <c r="K6" s="2" t="s">
        <v>136</v>
      </c>
      <c r="L6" s="50">
        <f>L4*9.81</f>
        <v>5290.2877500000004</v>
      </c>
      <c r="M6" s="4" t="s">
        <v>95</v>
      </c>
      <c r="P6" s="2" t="s">
        <v>141</v>
      </c>
      <c r="Q6" s="50">
        <f>H8</f>
        <v>3283.9710749999995</v>
      </c>
      <c r="R6" s="4" t="s">
        <v>95</v>
      </c>
      <c r="S6" s="3"/>
      <c r="T6" s="2" t="s">
        <v>154</v>
      </c>
      <c r="U6" s="3">
        <f>U5*E17</f>
        <v>606.9</v>
      </c>
      <c r="V6" s="4" t="s">
        <v>148</v>
      </c>
    </row>
    <row r="7" spans="2:23" ht="18" thickBot="1" x14ac:dyDescent="0.3">
      <c r="B7" s="133"/>
      <c r="C7" s="43" t="s">
        <v>150</v>
      </c>
      <c r="D7" s="70">
        <f>'Lumped Mass Model'!G11</f>
        <v>4210.2425726309575</v>
      </c>
      <c r="E7" s="44" t="s">
        <v>83</v>
      </c>
      <c r="G7" s="2" t="s">
        <v>138</v>
      </c>
      <c r="H7" s="50">
        <f>E16*H6</f>
        <v>4691.3872499999998</v>
      </c>
      <c r="I7" s="4" t="s">
        <v>95</v>
      </c>
      <c r="J7" s="3"/>
      <c r="K7" s="45" t="s">
        <v>138</v>
      </c>
      <c r="L7" s="50">
        <f>E18*L6</f>
        <v>5290.2877500000004</v>
      </c>
      <c r="M7" s="4" t="s">
        <v>95</v>
      </c>
      <c r="P7" s="2" t="s">
        <v>142</v>
      </c>
      <c r="Q7" s="50">
        <f>Q5-Q6</f>
        <v>1407.4161750000003</v>
      </c>
      <c r="R7" s="4" t="s">
        <v>95</v>
      </c>
      <c r="S7" s="3"/>
      <c r="T7" s="11" t="s">
        <v>155</v>
      </c>
      <c r="U7" s="7">
        <f>U5+U6</f>
        <v>1473.9</v>
      </c>
      <c r="V7" s="12" t="s">
        <v>148</v>
      </c>
    </row>
    <row r="8" spans="2:23" ht="15.75" thickBot="1" x14ac:dyDescent="0.3">
      <c r="B8" s="134"/>
      <c r="C8" s="2" t="s">
        <v>3</v>
      </c>
      <c r="D8" s="3">
        <v>2.99</v>
      </c>
      <c r="E8" s="4" t="s">
        <v>46</v>
      </c>
      <c r="G8" s="2" t="s">
        <v>137</v>
      </c>
      <c r="H8" s="50">
        <f>E17*H6</f>
        <v>3283.9710749999995</v>
      </c>
      <c r="I8" s="4" t="s">
        <v>95</v>
      </c>
      <c r="J8" s="3"/>
      <c r="K8" s="2" t="s">
        <v>137</v>
      </c>
      <c r="L8" s="50">
        <f>L6*E19</f>
        <v>3703.2014250000002</v>
      </c>
      <c r="M8" s="4" t="s">
        <v>95</v>
      </c>
      <c r="P8" s="2"/>
      <c r="Q8" s="3"/>
      <c r="R8" s="4"/>
      <c r="S8" s="3"/>
      <c r="T8" s="3"/>
      <c r="U8" s="3"/>
      <c r="V8" s="4"/>
    </row>
    <row r="9" spans="2:23" ht="15.75" thickBot="1" x14ac:dyDescent="0.3">
      <c r="C9" s="2" t="s">
        <v>104</v>
      </c>
      <c r="D9" s="3">
        <v>1.6759999999999999</v>
      </c>
      <c r="E9" s="4" t="s">
        <v>46</v>
      </c>
      <c r="G9" s="11" t="s">
        <v>118</v>
      </c>
      <c r="H9" s="51">
        <f>H8+H7</f>
        <v>7975.3583249999992</v>
      </c>
      <c r="I9" s="12" t="s">
        <v>95</v>
      </c>
      <c r="J9" s="3"/>
      <c r="K9" s="11" t="s">
        <v>118</v>
      </c>
      <c r="L9" s="51">
        <f>L8+L7</f>
        <v>8993.4891750000006</v>
      </c>
      <c r="M9" s="12" t="s">
        <v>95</v>
      </c>
      <c r="P9" s="2" t="s">
        <v>143</v>
      </c>
      <c r="Q9" s="50">
        <f>L7</f>
        <v>5290.2877500000004</v>
      </c>
      <c r="R9" s="4" t="s">
        <v>95</v>
      </c>
      <c r="S9" s="3"/>
      <c r="T9" s="129" t="s">
        <v>162</v>
      </c>
      <c r="U9" s="130"/>
      <c r="V9" s="131"/>
    </row>
    <row r="10" spans="2:23" ht="18" thickBot="1" x14ac:dyDescent="0.3">
      <c r="C10" s="2" t="s">
        <v>105</v>
      </c>
      <c r="D10" s="3">
        <v>1.66</v>
      </c>
      <c r="E10" s="4" t="s">
        <v>46</v>
      </c>
      <c r="J10" s="55"/>
      <c r="P10" s="2" t="s">
        <v>144</v>
      </c>
      <c r="Q10" s="50">
        <f>L8</f>
        <v>3703.2014250000002</v>
      </c>
      <c r="R10" s="4" t="s">
        <v>95</v>
      </c>
      <c r="S10" s="3"/>
      <c r="T10" s="43" t="s">
        <v>149</v>
      </c>
      <c r="U10" s="59">
        <f>P20/D7</f>
        <v>0.49456646864135839</v>
      </c>
      <c r="V10" s="44" t="s">
        <v>151</v>
      </c>
    </row>
    <row r="11" spans="2:23" ht="18" thickBot="1" x14ac:dyDescent="0.3">
      <c r="C11" s="2" t="s">
        <v>111</v>
      </c>
      <c r="D11" s="3">
        <f>0.245*0.35</f>
        <v>8.5749999999999993E-2</v>
      </c>
      <c r="E11" s="4" t="s">
        <v>46</v>
      </c>
      <c r="G11" s="126" t="s">
        <v>120</v>
      </c>
      <c r="H11" s="127"/>
      <c r="I11" s="128"/>
      <c r="K11" s="126" t="s">
        <v>139</v>
      </c>
      <c r="L11" s="127"/>
      <c r="M11" s="128"/>
      <c r="P11" s="11" t="s">
        <v>145</v>
      </c>
      <c r="Q11" s="51">
        <f>Q9-Q10</f>
        <v>1587.0863250000002</v>
      </c>
      <c r="R11" s="12" t="s">
        <v>95</v>
      </c>
      <c r="S11" s="3"/>
      <c r="T11" s="11"/>
      <c r="U11" s="7">
        <f>U10*180/PI()</f>
        <v>28.336571341839011</v>
      </c>
      <c r="V11" s="12" t="s">
        <v>152</v>
      </c>
    </row>
    <row r="12" spans="2:23" ht="18" thickBot="1" x14ac:dyDescent="0.3">
      <c r="C12" s="2" t="s">
        <v>112</v>
      </c>
      <c r="D12" s="3">
        <f>0.295*0.35</f>
        <v>0.10324999999999999</v>
      </c>
      <c r="E12" s="4" t="s">
        <v>46</v>
      </c>
      <c r="G12" s="2" t="s">
        <v>121</v>
      </c>
      <c r="H12" s="50">
        <f>H9</f>
        <v>7975.3583249999992</v>
      </c>
      <c r="I12" s="4" t="s">
        <v>95</v>
      </c>
      <c r="K12" s="15" t="s">
        <v>124</v>
      </c>
      <c r="L12" s="48" t="s">
        <v>92</v>
      </c>
      <c r="M12" s="66" t="s">
        <v>129</v>
      </c>
      <c r="P12" s="2"/>
      <c r="Q12" s="3"/>
      <c r="R12" s="3"/>
      <c r="S12" s="3"/>
      <c r="V12" s="44"/>
    </row>
    <row r="13" spans="2:23" ht="15.75" thickBot="1" x14ac:dyDescent="0.3">
      <c r="C13" s="2" t="s">
        <v>108</v>
      </c>
      <c r="D13" s="3">
        <f>(H22/2)+D11</f>
        <v>0.33975</v>
      </c>
      <c r="E13" s="4" t="s">
        <v>46</v>
      </c>
      <c r="G13" s="2" t="s">
        <v>122</v>
      </c>
      <c r="H13" s="50">
        <f>L9</f>
        <v>8993.4891750000006</v>
      </c>
      <c r="I13" s="4" t="s">
        <v>95</v>
      </c>
      <c r="K13" s="2" t="s">
        <v>110</v>
      </c>
      <c r="L13" s="52">
        <v>1</v>
      </c>
      <c r="M13" s="62">
        <v>9.81</v>
      </c>
      <c r="P13" s="129" t="s">
        <v>10</v>
      </c>
      <c r="Q13" s="130"/>
      <c r="R13" s="131"/>
      <c r="S13" s="3"/>
      <c r="T13" s="129" t="s">
        <v>167</v>
      </c>
      <c r="U13" s="130"/>
      <c r="V13" s="131"/>
    </row>
    <row r="14" spans="2:23" ht="15.75" thickBot="1" x14ac:dyDescent="0.3">
      <c r="C14" s="11" t="s">
        <v>109</v>
      </c>
      <c r="D14" s="7">
        <f>(H22/2)+D12</f>
        <v>0.35725000000000001</v>
      </c>
      <c r="E14" s="12" t="s">
        <v>46</v>
      </c>
      <c r="G14" s="11" t="s">
        <v>120</v>
      </c>
      <c r="H14" s="67">
        <f>H12+H13</f>
        <v>16968.8475</v>
      </c>
      <c r="I14" s="12" t="s">
        <v>95</v>
      </c>
      <c r="K14" s="2" t="s">
        <v>126</v>
      </c>
      <c r="L14" s="52">
        <v>0.7</v>
      </c>
      <c r="M14" s="62">
        <v>6.867</v>
      </c>
      <c r="P14" s="11" t="s">
        <v>146</v>
      </c>
      <c r="Q14" s="51">
        <f>Q7*(D9/2)</f>
        <v>1179.4147546500003</v>
      </c>
      <c r="R14" s="12" t="s">
        <v>33</v>
      </c>
      <c r="S14" s="3"/>
      <c r="T14" s="15" t="s">
        <v>168</v>
      </c>
      <c r="U14" s="48">
        <f>P20/'Lumped Mass Model'!G8</f>
        <v>1288.8603627547268</v>
      </c>
      <c r="V14" s="16" t="s">
        <v>95</v>
      </c>
    </row>
    <row r="15" spans="2:23" ht="15.75" thickBot="1" x14ac:dyDescent="0.3">
      <c r="K15" s="2" t="s">
        <v>115</v>
      </c>
      <c r="L15" s="52">
        <v>0.6</v>
      </c>
      <c r="M15" s="62">
        <v>5.8860000000000001</v>
      </c>
      <c r="P15" s="2"/>
      <c r="Q15" s="3"/>
      <c r="R15" s="3"/>
      <c r="S15" s="3"/>
      <c r="W15" s="2"/>
    </row>
    <row r="16" spans="2:23" ht="15.75" thickBot="1" x14ac:dyDescent="0.3">
      <c r="B16" s="61" t="s">
        <v>123</v>
      </c>
      <c r="C16" s="15" t="s">
        <v>133</v>
      </c>
      <c r="D16" s="48" t="s">
        <v>110</v>
      </c>
      <c r="E16" s="57">
        <v>1</v>
      </c>
      <c r="G16" s="126" t="s">
        <v>125</v>
      </c>
      <c r="H16" s="128"/>
      <c r="K16" s="2" t="s">
        <v>127</v>
      </c>
      <c r="L16" s="52">
        <v>0.15</v>
      </c>
      <c r="M16" s="62">
        <v>1.4715</v>
      </c>
      <c r="P16" s="129" t="s">
        <v>147</v>
      </c>
      <c r="Q16" s="130"/>
      <c r="R16" s="131"/>
      <c r="S16" s="3"/>
      <c r="T16" s="129" t="s">
        <v>159</v>
      </c>
      <c r="U16" s="130"/>
      <c r="V16" s="131"/>
    </row>
    <row r="17" spans="2:22" ht="15.75" thickBot="1" x14ac:dyDescent="0.3">
      <c r="B17" s="61" t="s">
        <v>123</v>
      </c>
      <c r="C17" s="15" t="s">
        <v>132</v>
      </c>
      <c r="D17" s="48" t="s">
        <v>126</v>
      </c>
      <c r="E17" s="57">
        <v>0.7</v>
      </c>
      <c r="G17" s="17" t="s">
        <v>131</v>
      </c>
      <c r="H17" s="14"/>
      <c r="K17" s="11" t="s">
        <v>128</v>
      </c>
      <c r="L17" s="53">
        <v>0.08</v>
      </c>
      <c r="M17" s="65">
        <v>0.78480000000000005</v>
      </c>
      <c r="P17" s="11" t="s">
        <v>146</v>
      </c>
      <c r="Q17" s="51">
        <f>Q11*(D10/2)</f>
        <v>1317.28164975</v>
      </c>
      <c r="R17" s="12" t="s">
        <v>33</v>
      </c>
      <c r="S17" s="3"/>
      <c r="T17" s="43" t="s">
        <v>157</v>
      </c>
      <c r="U17" s="59">
        <f>U14/U7</f>
        <v>0.87445577227405302</v>
      </c>
      <c r="V17" s="44" t="s">
        <v>158</v>
      </c>
    </row>
    <row r="18" spans="2:22" ht="15.75" thickBot="1" x14ac:dyDescent="0.3">
      <c r="B18" s="61" t="s">
        <v>123</v>
      </c>
      <c r="C18" s="15" t="s">
        <v>134</v>
      </c>
      <c r="D18" s="48" t="s">
        <v>110</v>
      </c>
      <c r="E18" s="57">
        <v>1</v>
      </c>
      <c r="G18" s="60" t="s">
        <v>130</v>
      </c>
      <c r="H18" s="63">
        <f>H14/D3</f>
        <v>8.3384999999999998</v>
      </c>
      <c r="P18" s="2"/>
      <c r="Q18" s="3"/>
      <c r="R18" s="3"/>
      <c r="S18" s="50"/>
      <c r="T18" s="11" t="s">
        <v>159</v>
      </c>
      <c r="U18" s="7">
        <f>U17*11.5</f>
        <v>10.05624138115161</v>
      </c>
      <c r="V18" s="12" t="s">
        <v>156</v>
      </c>
    </row>
    <row r="19" spans="2:22" ht="15.75" thickBot="1" x14ac:dyDescent="0.3">
      <c r="B19" s="61" t="s">
        <v>123</v>
      </c>
      <c r="C19" s="15" t="s">
        <v>135</v>
      </c>
      <c r="D19" s="48" t="s">
        <v>126</v>
      </c>
      <c r="E19" s="57">
        <v>0.7</v>
      </c>
      <c r="G19" s="64"/>
      <c r="H19" s="64"/>
      <c r="P19" s="129" t="s">
        <v>146</v>
      </c>
      <c r="Q19" s="131"/>
      <c r="R19" s="3"/>
      <c r="S19" s="3"/>
      <c r="T19" s="3"/>
      <c r="U19" s="3"/>
      <c r="V19" s="4"/>
    </row>
    <row r="20" spans="2:22" ht="15.75" thickBot="1" x14ac:dyDescent="0.3">
      <c r="P20" s="68">
        <f>(Q14+Q17)*(((D9+D10)/2)/2)</f>
        <v>2082.2448012696004</v>
      </c>
      <c r="Q20" s="69" t="s">
        <v>33</v>
      </c>
      <c r="R20" s="7"/>
      <c r="S20" s="7"/>
      <c r="T20" s="7"/>
      <c r="U20" s="7"/>
      <c r="V20" s="12"/>
    </row>
    <row r="21" spans="2:22" x14ac:dyDescent="0.25">
      <c r="C21" s="43" t="s">
        <v>14</v>
      </c>
      <c r="D21" s="44" t="s">
        <v>21</v>
      </c>
      <c r="G21" s="58" t="s">
        <v>113</v>
      </c>
      <c r="H21" s="59">
        <v>20</v>
      </c>
      <c r="I21" s="44" t="s">
        <v>114</v>
      </c>
    </row>
    <row r="22" spans="2:22" x14ac:dyDescent="0.25">
      <c r="C22" s="2" t="s">
        <v>13</v>
      </c>
      <c r="D22" s="4" t="s">
        <v>22</v>
      </c>
      <c r="G22" s="17" t="s">
        <v>113</v>
      </c>
      <c r="H22" s="3">
        <f>H21*0.0254</f>
        <v>0.50800000000000001</v>
      </c>
      <c r="I22" s="4" t="s">
        <v>46</v>
      </c>
    </row>
    <row r="23" spans="2:22" ht="15.75" thickBot="1" x14ac:dyDescent="0.3">
      <c r="C23" s="2" t="s">
        <v>15</v>
      </c>
      <c r="D23" s="4" t="s">
        <v>17</v>
      </c>
      <c r="G23" s="60" t="s">
        <v>119</v>
      </c>
      <c r="H23" s="7">
        <f>H22/2</f>
        <v>0.254</v>
      </c>
      <c r="I23" s="12" t="s">
        <v>46</v>
      </c>
    </row>
    <row r="24" spans="2:22" ht="15.75" thickBot="1" x14ac:dyDescent="0.3">
      <c r="C24" s="11" t="s">
        <v>16</v>
      </c>
      <c r="D24" s="12" t="s">
        <v>23</v>
      </c>
    </row>
    <row r="25" spans="2:22" x14ac:dyDescent="0.25">
      <c r="T25" s="71"/>
    </row>
  </sheetData>
  <mergeCells count="16">
    <mergeCell ref="P19:Q19"/>
    <mergeCell ref="P13:R13"/>
    <mergeCell ref="T4:V4"/>
    <mergeCell ref="C2:E2"/>
    <mergeCell ref="G2:I2"/>
    <mergeCell ref="K2:M2"/>
    <mergeCell ref="T16:V16"/>
    <mergeCell ref="T9:V9"/>
    <mergeCell ref="P2:V2"/>
    <mergeCell ref="P16:R16"/>
    <mergeCell ref="G11:I11"/>
    <mergeCell ref="K11:M11"/>
    <mergeCell ref="G16:H16"/>
    <mergeCell ref="T13:V13"/>
    <mergeCell ref="B3:B8"/>
    <mergeCell ref="P4:R4"/>
  </mergeCells>
  <dataValidations disablePrompts="1" count="2">
    <dataValidation type="list" allowBlank="1" showInputMessage="1" showErrorMessage="1" sqref="E16:E19" xr:uid="{243C6915-F65B-4BCB-89E0-2F99AB62549D}">
      <formula1>"1.0, 0.7, 0.6, 0.15, 0.08"</formula1>
    </dataValidation>
    <dataValidation type="list" allowBlank="1" showInputMessage="1" showErrorMessage="1" sqref="D16:D19" xr:uid="{B9257E57-E94D-4D36-AB53-8D99C2716CF8}">
      <formula1>"Dry Asphalt, Wet Asphalt, Gravel, Snow, Ice"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Ferrari FF Base Data</vt:lpstr>
      <vt:lpstr>Lumped Mass Model</vt:lpstr>
      <vt:lpstr>Clutch Pack, Axial, Power loss</vt:lpstr>
      <vt:lpstr>Longitudinal Acceleration + Yaw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Steffan Robinson</dc:creator>
  <cp:lastModifiedBy>Steffan Robinson</cp:lastModifiedBy>
  <dcterms:created xsi:type="dcterms:W3CDTF">2021-05-03T11:14:49Z</dcterms:created>
  <dcterms:modified xsi:type="dcterms:W3CDTF">2021-05-10T12:42:08Z</dcterms:modified>
</cp:coreProperties>
</file>