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C:\Users\thoma\OneDrive - University of Wales Trinity Saint David\Exam\"/>
    </mc:Choice>
  </mc:AlternateContent>
  <xr:revisionPtr revIDLastSave="364" documentId="8_{8325493F-6FD2-4674-8E40-E4932B64762C}" xr6:coauthVersionLast="45" xr6:coauthVersionMax="45" xr10:uidLastSave="{0D8BB046-CD40-4D62-8C70-034B55E7B919}"/>
  <bookViews>
    <workbookView xWindow="28680" yWindow="-120" windowWidth="29040" windowHeight="16440" xr2:uid="{00000000-000D-0000-FFFF-FFFF00000000}"/>
  </bookViews>
  <sheets>
    <sheet name="Exam Q1" sheetId="7" r:id="rId1"/>
    <sheet name="Exam Q2" sheetId="9" r:id="rId2"/>
    <sheet name="Exam Q3" sheetId="10" r:id="rId3"/>
    <sheet name="Exam Q4" sheetId="11" r:id="rId4"/>
    <sheet name="Exam Q5" sheetId="12" r:id="rId5"/>
    <sheet name="Exam Q6" sheetId="13" r:id="rId6"/>
    <sheet name="Spring Rate Conversion" sheetId="2" r:id="rId7"/>
    <sheet name="Load Spliits" sheetId="8" r:id="rId8"/>
  </sheets>
  <definedNames>
    <definedName name="Left_front__corner_sprung_mass__kg" comment="FL" localSheetId="0">#REF!</definedName>
    <definedName name="Left_front__corner_sprung_mass__kg" comment="FL" localSheetId="1">#REF!</definedName>
    <definedName name="Left_front__corner_sprung_mass__kg" comment="FL" localSheetId="2">#REF!</definedName>
    <definedName name="Left_front__corner_sprung_mass__kg" comment="FL" localSheetId="3">#REF!</definedName>
    <definedName name="Left_front__corner_sprung_mass__kg" comment="FL" localSheetId="4">#REF!</definedName>
    <definedName name="Left_front__corner_sprung_mass__kg" comment="FL" localSheetId="5">#REF!</definedName>
    <definedName name="Left_front__corner_sprung_mass__kg" comment="FL">#REF!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4" i="13" l="1"/>
  <c r="G16" i="13"/>
  <c r="G20" i="13" s="1"/>
  <c r="J15" i="13"/>
  <c r="G15" i="13"/>
  <c r="G19" i="13" s="1"/>
  <c r="G22" i="13" s="1"/>
  <c r="J5" i="13" s="1"/>
  <c r="J14" i="13"/>
  <c r="G14" i="13"/>
  <c r="G18" i="13" s="1"/>
  <c r="G13" i="13"/>
  <c r="G17" i="13" s="1"/>
  <c r="G21" i="13" s="1"/>
  <c r="J4" i="13" s="1"/>
  <c r="G12" i="13"/>
  <c r="G11" i="13"/>
  <c r="J29" i="13" s="1"/>
  <c r="G7" i="13"/>
  <c r="G6" i="13"/>
  <c r="G5" i="13"/>
  <c r="G4" i="13"/>
  <c r="G8" i="13" s="1"/>
  <c r="J26" i="12"/>
  <c r="G24" i="12"/>
  <c r="G16" i="12"/>
  <c r="G20" i="12" s="1"/>
  <c r="J15" i="12"/>
  <c r="G15" i="12"/>
  <c r="G19" i="12" s="1"/>
  <c r="J14" i="12"/>
  <c r="G14" i="12"/>
  <c r="G18" i="12" s="1"/>
  <c r="G13" i="12"/>
  <c r="G17" i="12" s="1"/>
  <c r="G21" i="12" s="1"/>
  <c r="J4" i="12" s="1"/>
  <c r="G12" i="12"/>
  <c r="G11" i="12"/>
  <c r="J29" i="12" s="1"/>
  <c r="G9" i="12"/>
  <c r="G7" i="12"/>
  <c r="G6" i="12"/>
  <c r="G5" i="12"/>
  <c r="G4" i="12"/>
  <c r="G8" i="12" s="1"/>
  <c r="J29" i="11"/>
  <c r="G24" i="11"/>
  <c r="G16" i="11"/>
  <c r="G20" i="11" s="1"/>
  <c r="J15" i="11"/>
  <c r="G15" i="11"/>
  <c r="G19" i="11" s="1"/>
  <c r="G22" i="11" s="1"/>
  <c r="J5" i="11" s="1"/>
  <c r="J14" i="11"/>
  <c r="G14" i="11"/>
  <c r="G18" i="11" s="1"/>
  <c r="G13" i="11"/>
  <c r="G17" i="11" s="1"/>
  <c r="G21" i="11" s="1"/>
  <c r="J4" i="11" s="1"/>
  <c r="G12" i="11"/>
  <c r="G11" i="11"/>
  <c r="J26" i="11" s="1"/>
  <c r="G7" i="11"/>
  <c r="G9" i="11" s="1"/>
  <c r="G6" i="11"/>
  <c r="G5" i="11"/>
  <c r="G4" i="11"/>
  <c r="G8" i="11" s="1"/>
  <c r="G24" i="10"/>
  <c r="G16" i="10"/>
  <c r="G20" i="10" s="1"/>
  <c r="J15" i="10"/>
  <c r="G15" i="10"/>
  <c r="G19" i="10" s="1"/>
  <c r="G22" i="10" s="1"/>
  <c r="J5" i="10" s="1"/>
  <c r="J14" i="10"/>
  <c r="G14" i="10"/>
  <c r="G18" i="10" s="1"/>
  <c r="G13" i="10"/>
  <c r="G17" i="10" s="1"/>
  <c r="G12" i="10"/>
  <c r="G11" i="10"/>
  <c r="J29" i="10" s="1"/>
  <c r="G9" i="10"/>
  <c r="G7" i="10"/>
  <c r="G6" i="10"/>
  <c r="G5" i="10"/>
  <c r="G4" i="10"/>
  <c r="G24" i="9"/>
  <c r="G16" i="9"/>
  <c r="G20" i="9" s="1"/>
  <c r="J15" i="9"/>
  <c r="G15" i="9"/>
  <c r="G19" i="9" s="1"/>
  <c r="J14" i="9"/>
  <c r="G14" i="9"/>
  <c r="G18" i="9" s="1"/>
  <c r="G13" i="9"/>
  <c r="G17" i="9" s="1"/>
  <c r="G12" i="9"/>
  <c r="G11" i="9"/>
  <c r="J29" i="9" s="1"/>
  <c r="G7" i="9"/>
  <c r="G6" i="9"/>
  <c r="G5" i="9"/>
  <c r="G4" i="9"/>
  <c r="G8" i="9" s="1"/>
  <c r="J26" i="10" l="1"/>
  <c r="G9" i="13"/>
  <c r="G10" i="13" s="1"/>
  <c r="J6" i="13"/>
  <c r="J12" i="13"/>
  <c r="J13" i="13"/>
  <c r="J26" i="13"/>
  <c r="G22" i="12"/>
  <c r="J5" i="12" s="1"/>
  <c r="J6" i="12" s="1"/>
  <c r="J12" i="12"/>
  <c r="G10" i="12"/>
  <c r="D26" i="12" s="1"/>
  <c r="G27" i="12" s="1"/>
  <c r="J7" i="12" s="1"/>
  <c r="G23" i="12"/>
  <c r="G25" i="12" s="1"/>
  <c r="J13" i="12"/>
  <c r="J6" i="11"/>
  <c r="J12" i="11"/>
  <c r="G10" i="11"/>
  <c r="D26" i="11" s="1"/>
  <c r="G23" i="11"/>
  <c r="G25" i="11" s="1"/>
  <c r="J13" i="11"/>
  <c r="G8" i="10"/>
  <c r="J12" i="10" s="1"/>
  <c r="G21" i="10"/>
  <c r="J4" i="10" s="1"/>
  <c r="J6" i="10" s="1"/>
  <c r="J13" i="10"/>
  <c r="G22" i="9"/>
  <c r="J5" i="9" s="1"/>
  <c r="G21" i="9"/>
  <c r="J4" i="9" s="1"/>
  <c r="G9" i="9"/>
  <c r="J13" i="9" s="1"/>
  <c r="J26" i="9"/>
  <c r="J12" i="9"/>
  <c r="G11" i="7"/>
  <c r="J26" i="7" s="1"/>
  <c r="G4" i="7"/>
  <c r="G5" i="7"/>
  <c r="G8" i="7"/>
  <c r="J12" i="7" s="1"/>
  <c r="G6" i="7"/>
  <c r="G7" i="7"/>
  <c r="G13" i="7"/>
  <c r="G17" i="7" s="1"/>
  <c r="G14" i="7"/>
  <c r="G18" i="7" s="1"/>
  <c r="G15" i="7"/>
  <c r="G19" i="7"/>
  <c r="G16" i="7"/>
  <c r="G20" i="7" s="1"/>
  <c r="J15" i="7"/>
  <c r="J14" i="7"/>
  <c r="G24" i="7"/>
  <c r="G12" i="7"/>
  <c r="J29" i="7"/>
  <c r="G10" i="10" l="1"/>
  <c r="D26" i="10" s="1"/>
  <c r="G23" i="13"/>
  <c r="G25" i="13" s="1"/>
  <c r="D26" i="13"/>
  <c r="G27" i="13" s="1"/>
  <c r="J7" i="13" s="1"/>
  <c r="J8" i="13" s="1"/>
  <c r="J10" i="13" s="1"/>
  <c r="J17" i="13" s="1"/>
  <c r="J8" i="12"/>
  <c r="J10" i="12" s="1"/>
  <c r="J17" i="12" s="1"/>
  <c r="G27" i="11"/>
  <c r="J7" i="11" s="1"/>
  <c r="J8" i="11" s="1"/>
  <c r="J6" i="9"/>
  <c r="G10" i="9"/>
  <c r="D26" i="9" s="1"/>
  <c r="G23" i="9"/>
  <c r="G25" i="9" s="1"/>
  <c r="G21" i="7"/>
  <c r="J4" i="7" s="1"/>
  <c r="G9" i="7"/>
  <c r="J13" i="7" s="1"/>
  <c r="G22" i="7"/>
  <c r="J5" i="7" s="1"/>
  <c r="J6" i="7" s="1"/>
  <c r="G23" i="10" l="1"/>
  <c r="G25" i="10" s="1"/>
  <c r="G27" i="10" s="1"/>
  <c r="J7" i="10" s="1"/>
  <c r="J8" i="10" s="1"/>
  <c r="J10" i="10" s="1"/>
  <c r="J17" i="10" s="1"/>
  <c r="K8" i="13"/>
  <c r="J9" i="13"/>
  <c r="J16" i="13" s="1"/>
  <c r="J20" i="13" s="1"/>
  <c r="J19" i="13"/>
  <c r="J18" i="13"/>
  <c r="C32" i="13" s="1"/>
  <c r="J24" i="13"/>
  <c r="J23" i="13"/>
  <c r="C30" i="13" s="1"/>
  <c r="K8" i="12"/>
  <c r="J9" i="12"/>
  <c r="J16" i="12" s="1"/>
  <c r="J20" i="12"/>
  <c r="J24" i="12"/>
  <c r="J23" i="12"/>
  <c r="J10" i="11"/>
  <c r="J17" i="11" s="1"/>
  <c r="J9" i="11"/>
  <c r="J16" i="11" s="1"/>
  <c r="K8" i="11"/>
  <c r="G27" i="9"/>
  <c r="J7" i="9" s="1"/>
  <c r="J8" i="9" s="1"/>
  <c r="J9" i="9" s="1"/>
  <c r="J16" i="9" s="1"/>
  <c r="G10" i="7"/>
  <c r="G23" i="7" s="1"/>
  <c r="G25" i="7" s="1"/>
  <c r="D26" i="7"/>
  <c r="J19" i="12" l="1"/>
  <c r="C33" i="12"/>
  <c r="J18" i="12"/>
  <c r="C32" i="12" s="1"/>
  <c r="K8" i="10"/>
  <c r="J9" i="10"/>
  <c r="J16" i="10" s="1"/>
  <c r="J20" i="10" s="1"/>
  <c r="J25" i="13"/>
  <c r="C29" i="13"/>
  <c r="C31" i="13" s="1"/>
  <c r="C30" i="12"/>
  <c r="J25" i="12"/>
  <c r="C29" i="12"/>
  <c r="C31" i="12" s="1"/>
  <c r="J19" i="11"/>
  <c r="J18" i="11"/>
  <c r="J20" i="11"/>
  <c r="J24" i="11"/>
  <c r="J23" i="11"/>
  <c r="C32" i="11"/>
  <c r="J24" i="10"/>
  <c r="J23" i="10"/>
  <c r="J10" i="9"/>
  <c r="J17" i="9" s="1"/>
  <c r="J24" i="9" s="1"/>
  <c r="K8" i="9"/>
  <c r="J20" i="9"/>
  <c r="J19" i="9"/>
  <c r="G27" i="7"/>
  <c r="J7" i="7" s="1"/>
  <c r="J8" i="7" s="1"/>
  <c r="J10" i="7" s="1"/>
  <c r="J18" i="10" l="1"/>
  <c r="C32" i="10" s="1"/>
  <c r="J19" i="10"/>
  <c r="J25" i="10" s="1"/>
  <c r="C30" i="11"/>
  <c r="C29" i="11"/>
  <c r="C31" i="11" s="1"/>
  <c r="J25" i="11"/>
  <c r="C30" i="10"/>
  <c r="J23" i="9"/>
  <c r="J18" i="9"/>
  <c r="C32" i="9" s="1"/>
  <c r="C30" i="9"/>
  <c r="J25" i="9"/>
  <c r="C29" i="9"/>
  <c r="K8" i="7"/>
  <c r="J9" i="7"/>
  <c r="J17" i="7"/>
  <c r="C29" i="10" l="1"/>
  <c r="C31" i="10" s="1"/>
  <c r="C31" i="9"/>
  <c r="J16" i="7"/>
  <c r="J23" i="7"/>
  <c r="J24" i="7"/>
  <c r="J13" i="8" s="1"/>
  <c r="F13" i="8" l="1"/>
  <c r="H14" i="8" s="1"/>
  <c r="C30" i="7"/>
  <c r="J20" i="7"/>
  <c r="J9" i="8" s="1"/>
  <c r="J19" i="7"/>
  <c r="C29" i="7" s="1"/>
  <c r="J18" i="7"/>
  <c r="C32" i="7" s="1"/>
  <c r="J14" i="8"/>
  <c r="E13" i="8"/>
  <c r="F16" i="8"/>
  <c r="J11" i="8"/>
  <c r="J25" i="7" l="1"/>
  <c r="F9" i="8"/>
  <c r="C31" i="7"/>
  <c r="F14" i="8"/>
  <c r="F11" i="8"/>
  <c r="H7" i="8"/>
  <c r="H11" i="8" s="1"/>
  <c r="H5" i="8" s="1"/>
  <c r="E9" i="8"/>
  <c r="E12" i="8" s="1"/>
  <c r="F12" i="8" l="1"/>
  <c r="F15" i="8"/>
  <c r="J8" i="8"/>
  <c r="E11" i="8"/>
  <c r="F8" i="8"/>
  <c r="K11" i="8"/>
  <c r="H16" i="8"/>
  <c r="J12" i="8"/>
</calcChain>
</file>

<file path=xl/sharedStrings.xml><?xml version="1.0" encoding="utf-8"?>
<sst xmlns="http://schemas.openxmlformats.org/spreadsheetml/2006/main" count="918" uniqueCount="192">
  <si>
    <t xml:space="preserve">Lateral Acceleration </t>
  </si>
  <si>
    <t>Measured Suspension  Data</t>
  </si>
  <si>
    <t xml:space="preserve">Calculated Suspension Data </t>
  </si>
  <si>
    <t xml:space="preserve">Results </t>
  </si>
  <si>
    <t>MR fl</t>
  </si>
  <si>
    <t>Motion Ratio front left</t>
  </si>
  <si>
    <t>Ms fl</t>
  </si>
  <si>
    <t>Front Left   corner sprung mass [kg]</t>
  </si>
  <si>
    <t>Kϕf</t>
  </si>
  <si>
    <t>Front Roll Stiffness [Nm/rad]</t>
  </si>
  <si>
    <t>MR fr</t>
  </si>
  <si>
    <t>Motion Ratio front right</t>
  </si>
  <si>
    <t>Ms fr</t>
  </si>
  <si>
    <t>Front Right corner sprung mass [kg]</t>
  </si>
  <si>
    <t>Kϕr</t>
  </si>
  <si>
    <t>Rear Roll Stiffness [Nm/rad]</t>
  </si>
  <si>
    <t>MR rl</t>
  </si>
  <si>
    <t xml:space="preserve">Motion Ratio rear left </t>
  </si>
  <si>
    <t>Ms rl</t>
  </si>
  <si>
    <t>Rear Left   corner sprung mass [kg]</t>
  </si>
  <si>
    <t>Kϕt</t>
  </si>
  <si>
    <t>Total Roll Stiffness [Nm/rad]</t>
  </si>
  <si>
    <t>MR rr</t>
  </si>
  <si>
    <t xml:space="preserve">Motion Ratio rear right </t>
  </si>
  <si>
    <t>Ms rr</t>
  </si>
  <si>
    <t>Rear Right corner sprung  mass [kg]</t>
  </si>
  <si>
    <t>Mot</t>
  </si>
  <si>
    <t>Overturning moment [Nm]</t>
  </si>
  <si>
    <t>M fl</t>
  </si>
  <si>
    <t>Front Left total measured static corner mass [kg]</t>
  </si>
  <si>
    <t>Ms f</t>
  </si>
  <si>
    <t>Total front sprung mass [kg]</t>
  </si>
  <si>
    <t>ϕ</t>
  </si>
  <si>
    <t>Roll angle  (Radians)</t>
  </si>
  <si>
    <t>deg</t>
  </si>
  <si>
    <t>M fr</t>
  </si>
  <si>
    <t>Front Right  measured static corner mass [kg]</t>
  </si>
  <si>
    <t>Ms r</t>
  </si>
  <si>
    <t>Total rear sprung mass  [kg]</t>
  </si>
  <si>
    <t>WTsf</t>
  </si>
  <si>
    <t>Front weight transfer due to spung mass [N]</t>
  </si>
  <si>
    <t>M rl</t>
  </si>
  <si>
    <t>Rear Left  total measured static corner mass [kg]</t>
  </si>
  <si>
    <t>Mstot</t>
  </si>
  <si>
    <t xml:space="preserve">Total  sprung mass </t>
  </si>
  <si>
    <t>WTsr</t>
  </si>
  <si>
    <t>Rear  weight transfer due to spung mass [N]</t>
  </si>
  <si>
    <t>M rr</t>
  </si>
  <si>
    <t>Rear Right   total measured static corner mass [kg]</t>
  </si>
  <si>
    <t>Mtot</t>
  </si>
  <si>
    <t xml:space="preserve">Total Mass </t>
  </si>
  <si>
    <t>Mus fl</t>
  </si>
  <si>
    <t>Front Left  unsprung mass  [kg]</t>
  </si>
  <si>
    <t>Mustot</t>
  </si>
  <si>
    <t>Total unsprung mass</t>
  </si>
  <si>
    <t>WTsrcf</t>
  </si>
  <si>
    <t>Front WT due to sprung mass at RC Height</t>
  </si>
  <si>
    <t>Mus fr</t>
  </si>
  <si>
    <t>Front Right total unsprung mass  [kg]</t>
  </si>
  <si>
    <t>Ks fl</t>
  </si>
  <si>
    <t>Front Left Spring rate [N/mm]</t>
  </si>
  <si>
    <t>WTsrcr</t>
  </si>
  <si>
    <t>Rear WT due to sprung mass at RC Height</t>
  </si>
  <si>
    <t>Mus rl</t>
  </si>
  <si>
    <t>Rear Left unsprung mass  [kg]</t>
  </si>
  <si>
    <t>Ks fr</t>
  </si>
  <si>
    <t>Front Right rspring rate [N/mm]</t>
  </si>
  <si>
    <t>Wtusf</t>
  </si>
  <si>
    <t>Front WT due to Unsprung mass at wheel centre height</t>
  </si>
  <si>
    <t>Mus rr</t>
  </si>
  <si>
    <t>Rear Right unsprung mass  [kg]</t>
  </si>
  <si>
    <t>Ks rl</t>
  </si>
  <si>
    <t>Rear Left  Spring rate [N/mm]</t>
  </si>
  <si>
    <t>Wtusr</t>
  </si>
  <si>
    <t>Rear WT due to Unsprung mass at wheel centre height</t>
  </si>
  <si>
    <t xml:space="preserve">Ks fl  </t>
  </si>
  <si>
    <t>Front Left Spring rate [lb/in]</t>
  </si>
  <si>
    <t>Ks rr</t>
  </si>
  <si>
    <t>Rear Right  Spring Rate [N/mm]</t>
  </si>
  <si>
    <t xml:space="preserve">Total front WT </t>
  </si>
  <si>
    <t xml:space="preserve">Ks fr </t>
  </si>
  <si>
    <t>Front Right Spring rate [lb/in]</t>
  </si>
  <si>
    <t>Kw fl</t>
  </si>
  <si>
    <t>Front Left   wheel rate  [N/mm]</t>
  </si>
  <si>
    <t>Total Rear WT</t>
  </si>
  <si>
    <t>Rear Left   Spring rate [lb/in]</t>
  </si>
  <si>
    <t>Kw fr</t>
  </si>
  <si>
    <t>Front Right wheel rate  [N/mm]</t>
  </si>
  <si>
    <t xml:space="preserve">Total WT calculated by adding alll Weight Transfers </t>
  </si>
  <si>
    <t>Rear Right  Spring rate [lb/in]</t>
  </si>
  <si>
    <t>Kw rl</t>
  </si>
  <si>
    <t>Rear Left Wheel Rate [N/mm]</t>
  </si>
  <si>
    <t>Fz fl</t>
  </si>
  <si>
    <t>Left front  vertical force [N]</t>
  </si>
  <si>
    <t>Tf</t>
  </si>
  <si>
    <t xml:space="preserve">Front Track </t>
  </si>
  <si>
    <t>Kw rr</t>
  </si>
  <si>
    <t>Rear  Right wheel  rate [N/mm]</t>
  </si>
  <si>
    <t>Fz fr</t>
  </si>
  <si>
    <t>Front Rightvertical force  [N]</t>
  </si>
  <si>
    <t>Kwf</t>
  </si>
  <si>
    <t>Average Front Wheel rate</t>
  </si>
  <si>
    <t>Kwr</t>
  </si>
  <si>
    <t>Average rear wheel rate</t>
  </si>
  <si>
    <t>Tr</t>
  </si>
  <si>
    <t xml:space="preserve">Rear track </t>
  </si>
  <si>
    <t>b</t>
  </si>
  <si>
    <t>distance of cg of sprung mass from front axle [m]</t>
  </si>
  <si>
    <t>Fz rl</t>
  </si>
  <si>
    <t>Rear Left vertical force [N]</t>
  </si>
  <si>
    <t xml:space="preserve">L </t>
  </si>
  <si>
    <t xml:space="preserve">Wheel base  </t>
  </si>
  <si>
    <t>hr -hf</t>
  </si>
  <si>
    <t>Rear -Front RC Height [m]</t>
  </si>
  <si>
    <t>Fz rr</t>
  </si>
  <si>
    <t>Rear Right  vertical force [N]</t>
  </si>
  <si>
    <t>Rrf</t>
  </si>
  <si>
    <t>Rolling  Radius front</t>
  </si>
  <si>
    <t>z</t>
  </si>
  <si>
    <t>Depth  of triangle at CG [m]</t>
  </si>
  <si>
    <t xml:space="preserve">Total wheel loads  by individual wheel load check </t>
  </si>
  <si>
    <t>Rrr</t>
  </si>
  <si>
    <t>Rolling Radius rear</t>
  </si>
  <si>
    <t>z+hf</t>
  </si>
  <si>
    <t>Height of roll axis at CG [m]</t>
  </si>
  <si>
    <t xml:space="preserve">Total  wheel load  by static corner weight check </t>
  </si>
  <si>
    <t xml:space="preserve">Ht </t>
  </si>
  <si>
    <t xml:space="preserve">Height of CG of total mass above ground </t>
  </si>
  <si>
    <t>Hsra</t>
  </si>
  <si>
    <t>Height of CG above roll axis [m]</t>
  </si>
  <si>
    <t xml:space="preserve">Hs </t>
  </si>
  <si>
    <t xml:space="preserve">Height of CG of sprung mass  above ground </t>
  </si>
  <si>
    <t xml:space="preserve">hf </t>
  </si>
  <si>
    <t xml:space="preserve">WT </t>
  </si>
  <si>
    <t xml:space="preserve">Total WT calculated for 'solid' car </t>
  </si>
  <si>
    <t xml:space="preserve">hr </t>
  </si>
  <si>
    <t xml:space="preserve">Height of Rear roll centre above ground  </t>
  </si>
  <si>
    <t>Spring Rate Conversions</t>
  </si>
  <si>
    <r>
      <rPr>
        <sz val="10"/>
        <color indexed="10"/>
        <rFont val="Verdana"/>
        <family val="2"/>
      </rPr>
      <t>By Warren Rowley</t>
    </r>
    <r>
      <rPr>
        <sz val="10"/>
        <color indexed="8"/>
        <rFont val="Verdana"/>
        <family val="2"/>
      </rPr>
      <t xml:space="preserve"> </t>
    </r>
  </si>
  <si>
    <t>kg/mm to N/m</t>
  </si>
  <si>
    <t>lb/in to N/mm</t>
  </si>
  <si>
    <t>lb/in to N/m</t>
  </si>
  <si>
    <t>lb/in to kg/mm</t>
  </si>
  <si>
    <t>N/mm to kg/mm</t>
  </si>
  <si>
    <t>N/mm to lb/in</t>
  </si>
  <si>
    <t>N/mm to N/m</t>
  </si>
  <si>
    <t>N/m to N/mm</t>
  </si>
  <si>
    <t>N/m to kg/mm</t>
  </si>
  <si>
    <t>N/m to lb/in</t>
  </si>
  <si>
    <t>N/mm</t>
  </si>
  <si>
    <t>N/m</t>
  </si>
  <si>
    <t>kg/mm</t>
  </si>
  <si>
    <t>lb/in</t>
  </si>
  <si>
    <t xml:space="preserve">Wheel load distribution </t>
  </si>
  <si>
    <t>LF+RF</t>
  </si>
  <si>
    <t>LF</t>
  </si>
  <si>
    <t>RF</t>
  </si>
  <si>
    <t xml:space="preserve">Front Split </t>
  </si>
  <si>
    <t xml:space="preserve">LF-RF </t>
  </si>
  <si>
    <t>LF+LR</t>
  </si>
  <si>
    <t xml:space="preserve">   RF+RR</t>
  </si>
  <si>
    <t xml:space="preserve"> (LR-RR) -</t>
  </si>
  <si>
    <t xml:space="preserve">(LF-RF) </t>
  </si>
  <si>
    <t xml:space="preserve">Rear Split </t>
  </si>
  <si>
    <t xml:space="preserve">LR-RR </t>
  </si>
  <si>
    <t>LR</t>
  </si>
  <si>
    <t>RR</t>
  </si>
  <si>
    <t>LR-LF Split</t>
  </si>
  <si>
    <t>RR-RF Split</t>
  </si>
  <si>
    <t>Wedge</t>
  </si>
  <si>
    <t>LR+RR</t>
  </si>
  <si>
    <t>LR-RF Split</t>
  </si>
  <si>
    <t xml:space="preserve">Height of front roll centre above ground  </t>
  </si>
  <si>
    <t>Front Split</t>
  </si>
  <si>
    <t>Rear Split</t>
  </si>
  <si>
    <t>FRLSD</t>
  </si>
  <si>
    <t>Rear WT percentage [%]</t>
  </si>
  <si>
    <t>Q3.i</t>
  </si>
  <si>
    <t>Understeer less due to the stiffer front springs</t>
  </si>
  <si>
    <t>Q3.ii</t>
  </si>
  <si>
    <t>Q3.iii</t>
  </si>
  <si>
    <t>Q4.ii</t>
  </si>
  <si>
    <t>Q6.i</t>
  </si>
  <si>
    <t>Q6.ii</t>
  </si>
  <si>
    <t>The FRLSD and Rear weight transfer are less than the setup in Q2 therefore more grip is available on the front wheels. Also the front right tyre has a larger static corner mass which again would allow it to gain more grip and lessen the effects of understeer.</t>
  </si>
  <si>
    <t>The load or vertical force on the other 3 corners would then decrease proportianlly as the total mass of the car hasn’t changed only the split.</t>
  </si>
  <si>
    <t>The wheel rate of the car has nearly halved which is a direct result of the motion ratio change, which makes sense as the wheel motion ratio has nearly halved. As such the roll stiffness and therefore the roll angle has increased. The FRLSD and Weight transfer distribution have decreased which in turn would offer the car more grip.</t>
  </si>
  <si>
    <t>Motion Ratio can be calculated as Wheel displacement / Spring Displacement. in order to reduce the motion ratio the wheel the spring displacement would need to be increased or the wheel displacement would need to be decreased. If the vehicle had a push rod and bell crank setup then the spring displacement could be changed by adjusting where the pushrod attaches to the wishbone.</t>
  </si>
  <si>
    <t>Q4.iii</t>
  </si>
  <si>
    <t>Front WT percentage [%]</t>
  </si>
  <si>
    <t>The FRLSD has increased massively from an -5.78  to 793.48. However the Rear WT percentage has only increased by 3.31%. As such the car has a greater front/rear split and the bigger the split the less the grip and therfore will understeer going into corners.</t>
  </si>
  <si>
    <t>On single directional corner circuits both the spring rate and static wheel load distribution can be adjusted as the wedge of the car can be setup for the car to best perform on a single corner. However on a road circuit with multiple directional corners the wedge of the car needs to be best setup for both left and right corners which can be adjusted through the spring rates.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</si>
</sst>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numFmt numFmtId="165" formatCode="0.000"/>
    <numFmt numFmtId="166" formatCode="0.0"/>
    <numFmt numFmtId="167" formatCode="0.0%"/>
    <numFmt numFmtId="168" formatCode="0.000000"/>
  </numFmts>
  <fonts count="18" x14ac:knownFonts="1">
    <font>
      <sz val="10"/>
      <name val="Arial"/>
    </font>
    <font>
      <sz val="8"/>
      <name val="Arial"/>
      <family val="2"/>
    </font>
    <font>
      <b/>
      <sz val="14"/>
      <color indexed="10"/>
      <name val="Verdana"/>
      <family val="2"/>
    </font>
    <font>
      <sz val="10"/>
      <color indexed="8"/>
      <name val="Verdana"/>
      <family val="2"/>
    </font>
    <font>
      <sz val="10"/>
      <color indexed="10"/>
      <name val="Verdana"/>
      <family val="2"/>
    </font>
    <font>
      <sz val="10"/>
      <color rgb="FFFF0000"/>
      <name val="Arial"/>
      <family val="2"/>
    </font>
    <font>
      <b/>
      <sz val="10"/>
      <color rgb="FFFF0000"/>
      <name val="Arial"/>
      <family val="2"/>
    </font>
    <font>
      <b/>
      <sz val="10"/>
      <name val="Arial"/>
      <family val="2"/>
    </font>
    <font>
      <b/>
      <sz val="12"/>
      <name val="Arial"/>
      <family val="2"/>
    </font>
    <font>
      <sz val="10"/>
      <name val="Arial"/>
      <family val="2"/>
    </font>
    <font>
      <sz val="14"/>
      <name val="Arial"/>
      <family val="2"/>
    </font>
    <font>
      <sz val="11"/>
      <color rgb="FF000000"/>
      <name val="Calibri"/>
      <family val="2"/>
    </font>
    <font>
      <sz val="11"/>
      <name val="Arial"/>
      <family val="2"/>
    </font>
    <font>
      <sz val="10"/>
      <name val="Calibri"/>
      <family val="2"/>
    </font>
    <font>
      <sz val="11"/>
      <color rgb="FFFF0000"/>
      <name val="Arial"/>
      <family val="2"/>
    </font>
    <font>
      <sz val="10"/>
      <name val="Arial"/>
      <family val="2"/>
    </font>
    <font>
      <sz val="12"/>
      <name val="Arial"/>
      <family val="2"/>
    </font>
    <font>
      <b/>
      <sz val="20"/>
      <name val="Arial"/>
      <family val="2"/>
    </font>
  </fonts>
  <fills count="17">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13"/>
        <bgColor indexed="64"/>
      </patternFill>
    </fill>
    <fill>
      <patternFill patternType="solid">
        <fgColor indexed="47"/>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rgb="FFCCFFCC"/>
        <bgColor indexed="64"/>
      </patternFill>
    </fill>
    <fill>
      <patternFill patternType="solid">
        <fgColor indexed="22"/>
        <bgColor indexed="64"/>
      </patternFill>
    </fill>
    <fill>
      <patternFill patternType="solid">
        <fgColor rgb="FF66FF33"/>
        <bgColor indexed="64"/>
      </patternFill>
    </fill>
    <fill>
      <patternFill patternType="solid">
        <fgColor rgb="FF92D050"/>
        <bgColor indexed="64"/>
      </patternFill>
    </fill>
    <fill>
      <patternFill patternType="solid">
        <fgColor theme="0" tint="-0.249977111117893"/>
        <bgColor indexed="64"/>
      </patternFill>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15" fillId="0" borderId="0" applyFont="0" applyFill="0" applyBorder="0" applyAlignment="0" applyProtection="0"/>
  </cellStyleXfs>
  <cellXfs count="183">
    <xf numFmtId="0" fontId="0" fillId="0" borderId="0" xfId="0"/>
    <xf numFmtId="2" fontId="0" fillId="4" borderId="7" xfId="0" applyNumberFormat="1" applyFill="1" applyBorder="1" applyAlignment="1" applyProtection="1">
      <alignment horizontal="center"/>
      <protection locked="0"/>
    </xf>
    <xf numFmtId="0" fontId="2" fillId="0" borderId="1" xfId="0" applyFont="1" applyBorder="1" applyAlignment="1" applyProtection="1">
      <alignment horizontal="left"/>
    </xf>
    <xf numFmtId="0" fontId="0" fillId="0" borderId="2" xfId="0" applyBorder="1" applyProtection="1"/>
    <xf numFmtId="0" fontId="0" fillId="0" borderId="2" xfId="0" applyBorder="1" applyProtection="1">
      <protection locked="0"/>
    </xf>
    <xf numFmtId="0" fontId="0" fillId="0" borderId="3" xfId="0" applyBorder="1" applyProtection="1"/>
    <xf numFmtId="0" fontId="3" fillId="0" borderId="4" xfId="0" applyFont="1" applyBorder="1" applyProtection="1"/>
    <xf numFmtId="0" fontId="0" fillId="0" borderId="0" xfId="0" applyBorder="1" applyProtection="1"/>
    <xf numFmtId="0" fontId="0" fillId="2" borderId="5" xfId="0" applyFill="1" applyBorder="1" applyAlignment="1" applyProtection="1">
      <alignment horizontal="center"/>
    </xf>
    <xf numFmtId="0" fontId="0" fillId="0" borderId="0" xfId="0" applyBorder="1" applyAlignment="1" applyProtection="1">
      <alignment horizontal="right"/>
    </xf>
    <xf numFmtId="0" fontId="0" fillId="0" borderId="4" xfId="0" applyBorder="1" applyProtection="1"/>
    <xf numFmtId="0" fontId="0" fillId="0" borderId="0" xfId="0" applyFill="1" applyBorder="1" applyProtection="1"/>
    <xf numFmtId="0" fontId="0" fillId="0" borderId="4" xfId="0" applyFill="1" applyBorder="1" applyProtection="1"/>
    <xf numFmtId="0" fontId="0" fillId="0" borderId="0" xfId="0" applyBorder="1" applyAlignment="1" applyProtection="1">
      <alignment horizontal="center"/>
    </xf>
    <xf numFmtId="0" fontId="0" fillId="0" borderId="6" xfId="0" applyBorder="1" applyAlignment="1" applyProtection="1">
      <alignment horizontal="center"/>
    </xf>
    <xf numFmtId="0" fontId="0" fillId="0" borderId="4" xfId="0" applyBorder="1" applyAlignment="1" applyProtection="1">
      <alignment horizontal="right"/>
    </xf>
    <xf numFmtId="0" fontId="0" fillId="0" borderId="8" xfId="0" applyBorder="1" applyAlignment="1" applyProtection="1">
      <alignment horizontal="right"/>
    </xf>
    <xf numFmtId="0" fontId="2" fillId="0" borderId="4" xfId="0" applyFont="1" applyBorder="1" applyAlignment="1" applyProtection="1">
      <alignment horizontal="left"/>
    </xf>
    <xf numFmtId="0" fontId="0" fillId="0" borderId="0" xfId="0" applyBorder="1" applyProtection="1">
      <protection locked="0"/>
    </xf>
    <xf numFmtId="0" fontId="0" fillId="0" borderId="6" xfId="0" applyBorder="1" applyProtection="1"/>
    <xf numFmtId="2" fontId="0" fillId="5" borderId="7" xfId="0" applyNumberFormat="1" applyFill="1" applyBorder="1" applyAlignment="1" applyProtection="1">
      <alignment horizontal="center"/>
    </xf>
    <xf numFmtId="2" fontId="0" fillId="5" borderId="5" xfId="0" applyNumberFormat="1" applyFill="1" applyBorder="1" applyAlignment="1" applyProtection="1">
      <alignment horizontal="center"/>
    </xf>
    <xf numFmtId="2" fontId="0" fillId="4" borderId="9" xfId="0" applyNumberFormat="1" applyFill="1" applyBorder="1" applyAlignment="1" applyProtection="1">
      <alignment horizontal="center"/>
      <protection locked="0"/>
    </xf>
    <xf numFmtId="2" fontId="0" fillId="5" borderId="9" xfId="0" applyNumberFormat="1" applyFill="1" applyBorder="1" applyAlignment="1" applyProtection="1">
      <alignment horizontal="center"/>
    </xf>
    <xf numFmtId="2" fontId="0" fillId="5" borderId="10" xfId="0" applyNumberFormat="1" applyFill="1" applyBorder="1" applyAlignment="1" applyProtection="1">
      <alignment horizontal="center"/>
    </xf>
    <xf numFmtId="2" fontId="0" fillId="3" borderId="5" xfId="0" applyNumberFormat="1" applyFill="1" applyBorder="1" applyAlignment="1" applyProtection="1">
      <alignment horizontal="center"/>
    </xf>
    <xf numFmtId="2" fontId="3" fillId="3" borderId="5" xfId="0" applyNumberFormat="1" applyFont="1" applyFill="1" applyBorder="1" applyAlignment="1" applyProtection="1">
      <alignment horizontal="center"/>
    </xf>
    <xf numFmtId="0" fontId="0" fillId="0" borderId="7" xfId="0" applyBorder="1"/>
    <xf numFmtId="0" fontId="6" fillId="0" borderId="7" xfId="0" applyFont="1" applyBorder="1"/>
    <xf numFmtId="0" fontId="9" fillId="0" borderId="7" xfId="0" applyFont="1" applyBorder="1"/>
    <xf numFmtId="0" fontId="10" fillId="6" borderId="13" xfId="0" applyFont="1" applyFill="1" applyBorder="1"/>
    <xf numFmtId="0" fontId="0" fillId="0" borderId="7" xfId="0" applyBorder="1" applyAlignment="1">
      <alignment horizontal="center" vertical="center"/>
    </xf>
    <xf numFmtId="164" fontId="0" fillId="3" borderId="5" xfId="0" applyNumberFormat="1" applyFill="1" applyBorder="1" applyAlignment="1" applyProtection="1">
      <alignment horizontal="center"/>
    </xf>
    <xf numFmtId="2" fontId="0" fillId="0" borderId="7" xfId="0" applyNumberFormat="1" applyBorder="1" applyAlignment="1">
      <alignment horizontal="center" vertical="center"/>
    </xf>
    <xf numFmtId="0" fontId="0" fillId="0" borderId="0" xfId="0" applyBorder="1"/>
    <xf numFmtId="0" fontId="8" fillId="0" borderId="15" xfId="0" applyFont="1" applyBorder="1"/>
    <xf numFmtId="0" fontId="8" fillId="0" borderId="16" xfId="0" applyFont="1" applyBorder="1"/>
    <xf numFmtId="0" fontId="0" fillId="8" borderId="7" xfId="0" applyFill="1" applyBorder="1" applyAlignment="1">
      <alignment horizontal="center" vertical="center"/>
    </xf>
    <xf numFmtId="0" fontId="12" fillId="0" borderId="0" xfId="0" applyFont="1"/>
    <xf numFmtId="0" fontId="11" fillId="0" borderId="0" xfId="0" applyFont="1"/>
    <xf numFmtId="0" fontId="14" fillId="0" borderId="0" xfId="0" applyFont="1" applyAlignment="1">
      <alignment horizontal="left" vertical="center" indent="3" readingOrder="1"/>
    </xf>
    <xf numFmtId="0" fontId="0" fillId="9" borderId="7" xfId="0" applyFill="1" applyBorder="1" applyAlignment="1">
      <alignment horizontal="center" vertical="center"/>
    </xf>
    <xf numFmtId="0" fontId="0" fillId="0" borderId="0" xfId="0" applyAlignment="1"/>
    <xf numFmtId="0" fontId="0" fillId="7" borderId="7" xfId="0" applyFill="1" applyBorder="1" applyAlignment="1">
      <alignment horizontal="center" vertical="center"/>
    </xf>
    <xf numFmtId="0" fontId="10" fillId="6" borderId="13" xfId="0" applyFont="1" applyFill="1" applyBorder="1" applyAlignment="1">
      <alignment horizontal="left"/>
    </xf>
    <xf numFmtId="166" fontId="0" fillId="0" borderId="5" xfId="0" applyNumberFormat="1" applyBorder="1" applyAlignment="1">
      <alignment horizontal="center" vertical="center"/>
    </xf>
    <xf numFmtId="166" fontId="6" fillId="0" borderId="5" xfId="0" applyNumberFormat="1" applyFont="1" applyBorder="1" applyAlignment="1">
      <alignment horizontal="center" vertical="center"/>
    </xf>
    <xf numFmtId="0" fontId="9" fillId="0" borderId="0" xfId="0" applyFont="1"/>
    <xf numFmtId="0" fontId="0" fillId="0" borderId="17" xfId="0" applyBorder="1"/>
    <xf numFmtId="0" fontId="9" fillId="0" borderId="18" xfId="0" applyFont="1" applyBorder="1"/>
    <xf numFmtId="166" fontId="0" fillId="9" borderId="5" xfId="0" applyNumberFormat="1" applyFill="1" applyBorder="1" applyAlignment="1">
      <alignment horizontal="center" vertical="center"/>
    </xf>
    <xf numFmtId="0" fontId="9" fillId="0" borderId="17" xfId="0" applyFont="1" applyBorder="1"/>
    <xf numFmtId="0" fontId="0" fillId="0" borderId="24" xfId="0" applyBorder="1"/>
    <xf numFmtId="1" fontId="0" fillId="9" borderId="5" xfId="0" applyNumberFormat="1" applyFill="1" applyBorder="1" applyAlignment="1">
      <alignment horizontal="center" vertical="center"/>
    </xf>
    <xf numFmtId="0" fontId="0" fillId="10" borderId="7" xfId="0" applyFill="1" applyBorder="1" applyAlignment="1">
      <alignment horizontal="center" vertical="center"/>
    </xf>
    <xf numFmtId="0" fontId="9" fillId="10" borderId="7" xfId="0" applyFont="1" applyFill="1" applyBorder="1" applyAlignment="1">
      <alignment horizontal="center" vertical="center"/>
    </xf>
    <xf numFmtId="0" fontId="0" fillId="0" borderId="25" xfId="0" applyBorder="1"/>
    <xf numFmtId="0" fontId="0" fillId="0" borderId="9" xfId="0" applyBorder="1"/>
    <xf numFmtId="0" fontId="8" fillId="0" borderId="1" xfId="0" applyFont="1" applyFill="1" applyBorder="1" applyAlignment="1">
      <alignment horizontal="left"/>
    </xf>
    <xf numFmtId="0" fontId="0" fillId="0" borderId="2" xfId="0" applyFill="1" applyBorder="1"/>
    <xf numFmtId="167" fontId="16" fillId="12" borderId="28" xfId="1" applyNumberFormat="1" applyFont="1" applyFill="1" applyBorder="1" applyAlignment="1">
      <alignment horizontal="center"/>
    </xf>
    <xf numFmtId="0" fontId="16" fillId="0" borderId="2" xfId="0" applyFont="1" applyFill="1" applyBorder="1"/>
    <xf numFmtId="0" fontId="16" fillId="0" borderId="2" xfId="0" applyFont="1" applyFill="1" applyBorder="1" applyAlignment="1">
      <alignment horizontal="center"/>
    </xf>
    <xf numFmtId="0" fontId="16" fillId="0" borderId="3" xfId="0" applyFont="1" applyFill="1" applyBorder="1"/>
    <xf numFmtId="0" fontId="16" fillId="0" borderId="4" xfId="0" applyFont="1" applyFill="1" applyBorder="1"/>
    <xf numFmtId="0" fontId="8" fillId="0" borderId="0" xfId="0" applyFont="1" applyFill="1" applyBorder="1"/>
    <xf numFmtId="0" fontId="16" fillId="0" borderId="0" xfId="0" applyFont="1" applyFill="1" applyBorder="1"/>
    <xf numFmtId="0" fontId="8" fillId="12" borderId="29" xfId="0" applyFont="1" applyFill="1" applyBorder="1" applyAlignment="1">
      <alignment horizontal="center"/>
    </xf>
    <xf numFmtId="0" fontId="16" fillId="0" borderId="6" xfId="0" applyFont="1" applyFill="1" applyBorder="1"/>
    <xf numFmtId="166" fontId="16" fillId="12" borderId="30" xfId="0" applyNumberFormat="1" applyFont="1" applyFill="1" applyBorder="1" applyAlignment="1">
      <alignment horizontal="center"/>
    </xf>
    <xf numFmtId="167" fontId="16" fillId="0" borderId="0" xfId="1" applyNumberFormat="1" applyFont="1" applyFill="1" applyBorder="1" applyAlignment="1">
      <alignment horizontal="center"/>
    </xf>
    <xf numFmtId="167" fontId="16" fillId="6" borderId="31" xfId="1" applyNumberFormat="1" applyFont="1" applyFill="1" applyBorder="1" applyAlignment="1">
      <alignment horizontal="center"/>
    </xf>
    <xf numFmtId="0" fontId="8" fillId="13" borderId="1" xfId="0" applyFont="1" applyFill="1" applyBorder="1" applyAlignment="1">
      <alignment horizontal="center"/>
    </xf>
    <xf numFmtId="166" fontId="7" fillId="13" borderId="2" xfId="0" applyNumberFormat="1" applyFont="1" applyFill="1" applyBorder="1" applyAlignment="1">
      <alignment horizontal="center"/>
    </xf>
    <xf numFmtId="0" fontId="8" fillId="13" borderId="3" xfId="0" applyFont="1" applyFill="1" applyBorder="1" applyAlignment="1">
      <alignment horizontal="center"/>
    </xf>
    <xf numFmtId="167" fontId="16" fillId="6" borderId="32" xfId="1" applyNumberFormat="1" applyFont="1" applyFill="1" applyBorder="1" applyAlignment="1">
      <alignment horizontal="center"/>
    </xf>
    <xf numFmtId="0" fontId="8" fillId="12" borderId="21" xfId="0" applyFont="1" applyFill="1" applyBorder="1"/>
    <xf numFmtId="0" fontId="8" fillId="12" borderId="11" xfId="0" applyFont="1" applyFill="1" applyBorder="1" applyAlignment="1">
      <alignment horizontal="right"/>
    </xf>
    <xf numFmtId="166" fontId="16" fillId="12" borderId="23" xfId="0" applyNumberFormat="1" applyFont="1" applyFill="1" applyBorder="1" applyAlignment="1">
      <alignment horizontal="center"/>
    </xf>
    <xf numFmtId="166" fontId="16" fillId="4" borderId="33" xfId="0" applyNumberFormat="1" applyFont="1" applyFill="1" applyBorder="1" applyAlignment="1">
      <alignment horizontal="center"/>
    </xf>
    <xf numFmtId="0" fontId="7" fillId="13" borderId="4" xfId="0" applyFont="1" applyFill="1" applyBorder="1"/>
    <xf numFmtId="0" fontId="8" fillId="13" borderId="0" xfId="0" applyFont="1" applyFill="1" applyBorder="1"/>
    <xf numFmtId="0" fontId="7" fillId="13" borderId="6" xfId="0" applyFont="1" applyFill="1" applyBorder="1"/>
    <xf numFmtId="166" fontId="16" fillId="4" borderId="34" xfId="0" applyNumberFormat="1" applyFont="1" applyFill="1" applyBorder="1" applyAlignment="1">
      <alignment horizontal="center"/>
    </xf>
    <xf numFmtId="0" fontId="16" fillId="0" borderId="0" xfId="0" applyFont="1" applyFill="1" applyBorder="1" applyAlignment="1">
      <alignment horizontal="center"/>
    </xf>
    <xf numFmtId="0" fontId="8" fillId="13" borderId="4" xfId="0" applyFont="1" applyFill="1" applyBorder="1" applyAlignment="1">
      <alignment horizontal="center"/>
    </xf>
    <xf numFmtId="0" fontId="8" fillId="13" borderId="6" xfId="0" applyFont="1" applyFill="1" applyBorder="1" applyAlignment="1">
      <alignment horizontal="center"/>
    </xf>
    <xf numFmtId="166" fontId="16" fillId="0" borderId="0" xfId="0" applyNumberFormat="1" applyFont="1" applyFill="1" applyBorder="1" applyAlignment="1">
      <alignment horizontal="center"/>
    </xf>
    <xf numFmtId="166" fontId="8" fillId="12" borderId="35" xfId="0" applyNumberFormat="1" applyFont="1" applyFill="1" applyBorder="1" applyAlignment="1">
      <alignment horizontal="center"/>
    </xf>
    <xf numFmtId="167" fontId="16" fillId="12" borderId="11" xfId="0" applyNumberFormat="1" applyFont="1" applyFill="1" applyBorder="1" applyAlignment="1">
      <alignment horizontal="center"/>
    </xf>
    <xf numFmtId="0" fontId="16" fillId="12" borderId="12" xfId="0" applyFont="1" applyFill="1" applyBorder="1" applyAlignment="1">
      <alignment horizontal="center"/>
    </xf>
    <xf numFmtId="0" fontId="8" fillId="13" borderId="0" xfId="0" applyFont="1" applyFill="1" applyBorder="1" applyAlignment="1">
      <alignment horizontal="center"/>
    </xf>
    <xf numFmtId="166" fontId="16" fillId="0" borderId="13" xfId="0" applyNumberFormat="1" applyFont="1" applyFill="1" applyBorder="1" applyAlignment="1">
      <alignment horizontal="center"/>
    </xf>
    <xf numFmtId="166" fontId="16" fillId="12" borderId="35" xfId="0" applyNumberFormat="1" applyFont="1" applyFill="1" applyBorder="1" applyAlignment="1">
      <alignment horizontal="center"/>
    </xf>
    <xf numFmtId="167" fontId="16" fillId="12" borderId="36" xfId="0" applyNumberFormat="1" applyFont="1" applyFill="1" applyBorder="1" applyAlignment="1">
      <alignment horizontal="center"/>
    </xf>
    <xf numFmtId="0" fontId="8" fillId="12" borderId="23" xfId="0" applyFont="1" applyFill="1" applyBorder="1" applyAlignment="1">
      <alignment horizontal="left"/>
    </xf>
    <xf numFmtId="0" fontId="8" fillId="14" borderId="37" xfId="0" applyFont="1" applyFill="1" applyBorder="1" applyAlignment="1">
      <alignment horizontal="right"/>
    </xf>
    <xf numFmtId="0" fontId="8" fillId="14" borderId="20" xfId="0" applyFont="1" applyFill="1" applyBorder="1" applyAlignment="1"/>
    <xf numFmtId="166" fontId="8" fillId="14" borderId="0" xfId="0" applyNumberFormat="1" applyFont="1" applyFill="1" applyBorder="1" applyAlignment="1">
      <alignment horizontal="center"/>
    </xf>
    <xf numFmtId="167" fontId="16" fillId="6" borderId="38" xfId="1" applyNumberFormat="1" applyFont="1" applyFill="1" applyBorder="1" applyAlignment="1">
      <alignment horizontal="center"/>
    </xf>
    <xf numFmtId="167" fontId="16" fillId="6" borderId="39" xfId="1" applyNumberFormat="1" applyFont="1" applyFill="1" applyBorder="1" applyAlignment="1">
      <alignment horizontal="center"/>
    </xf>
    <xf numFmtId="0" fontId="8" fillId="12" borderId="40" xfId="0" applyFont="1" applyFill="1" applyBorder="1" applyAlignment="1">
      <alignment horizontal="center"/>
    </xf>
    <xf numFmtId="0" fontId="8" fillId="13" borderId="8" xfId="0" applyFont="1" applyFill="1" applyBorder="1" applyAlignment="1">
      <alignment horizontal="center"/>
    </xf>
    <xf numFmtId="0" fontId="8" fillId="13" borderId="27" xfId="0" applyFont="1" applyFill="1" applyBorder="1"/>
    <xf numFmtId="0" fontId="8" fillId="13" borderId="41" xfId="0" applyFont="1" applyFill="1" applyBorder="1" applyAlignment="1">
      <alignment horizontal="center"/>
    </xf>
    <xf numFmtId="166" fontId="16" fillId="4" borderId="42" xfId="0" applyNumberFormat="1" applyFont="1" applyFill="1" applyBorder="1" applyAlignment="1">
      <alignment horizontal="center"/>
    </xf>
    <xf numFmtId="0" fontId="16" fillId="0" borderId="21" xfId="0" applyFont="1" applyFill="1" applyBorder="1" applyAlignment="1">
      <alignment horizontal="center"/>
    </xf>
    <xf numFmtId="0" fontId="8" fillId="0" borderId="22" xfId="0" applyFont="1" applyFill="1" applyBorder="1" applyAlignment="1">
      <alignment horizontal="right"/>
    </xf>
    <xf numFmtId="166" fontId="16" fillId="0" borderId="23" xfId="0" applyNumberFormat="1" applyFont="1" applyFill="1" applyBorder="1" applyAlignment="1">
      <alignment horizontal="center"/>
    </xf>
    <xf numFmtId="166" fontId="16" fillId="12" borderId="43" xfId="0" applyNumberFormat="1" applyFont="1" applyFill="1" applyBorder="1" applyAlignment="1">
      <alignment horizontal="center"/>
    </xf>
    <xf numFmtId="166" fontId="16" fillId="12" borderId="21" xfId="0" applyNumberFormat="1" applyFont="1" applyFill="1" applyBorder="1" applyAlignment="1">
      <alignment horizontal="center"/>
    </xf>
    <xf numFmtId="0" fontId="8" fillId="12" borderId="22" xfId="0" applyFont="1" applyFill="1" applyBorder="1" applyAlignment="1">
      <alignment horizontal="left"/>
    </xf>
    <xf numFmtId="0" fontId="8" fillId="12" borderId="4" xfId="0" applyFont="1" applyFill="1" applyBorder="1" applyAlignment="1">
      <alignment horizontal="right"/>
    </xf>
    <xf numFmtId="167" fontId="16" fillId="12" borderId="6" xfId="1" applyNumberFormat="1" applyFont="1" applyFill="1" applyBorder="1" applyAlignment="1">
      <alignment horizontal="center"/>
    </xf>
    <xf numFmtId="0" fontId="8" fillId="12" borderId="44" xfId="0" applyFont="1" applyFill="1" applyBorder="1" applyAlignment="1">
      <alignment horizontal="center"/>
    </xf>
    <xf numFmtId="0" fontId="16" fillId="0" borderId="8" xfId="0" applyFont="1" applyFill="1" applyBorder="1"/>
    <xf numFmtId="166" fontId="16" fillId="0" borderId="23" xfId="1" applyNumberFormat="1" applyFont="1" applyFill="1" applyBorder="1" applyAlignment="1">
      <alignment horizontal="center"/>
    </xf>
    <xf numFmtId="0" fontId="16" fillId="0" borderId="27" xfId="0" applyFont="1" applyFill="1" applyBorder="1"/>
    <xf numFmtId="167" fontId="16" fillId="12" borderId="45" xfId="1" applyNumberFormat="1" applyFont="1" applyFill="1" applyBorder="1" applyAlignment="1">
      <alignment horizontal="center"/>
    </xf>
    <xf numFmtId="2" fontId="8" fillId="7" borderId="27" xfId="0" applyNumberFormat="1" applyFont="1" applyFill="1" applyBorder="1"/>
    <xf numFmtId="0" fontId="7" fillId="7" borderId="41" xfId="0" applyFont="1" applyFill="1" applyBorder="1"/>
    <xf numFmtId="0" fontId="17" fillId="0" borderId="0" xfId="0" applyFont="1"/>
    <xf numFmtId="2" fontId="0" fillId="0" borderId="17" xfId="0" applyNumberFormat="1"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1" fontId="0" fillId="9" borderId="47" xfId="0" applyNumberFormat="1" applyFill="1" applyBorder="1" applyAlignment="1">
      <alignment horizontal="center" vertical="center"/>
    </xf>
    <xf numFmtId="0" fontId="9" fillId="0" borderId="19" xfId="0" applyFont="1" applyFill="1" applyBorder="1"/>
    <xf numFmtId="1" fontId="0" fillId="11" borderId="28" xfId="0" applyNumberFormat="1" applyFill="1" applyBorder="1" applyAlignment="1">
      <alignment horizontal="center"/>
    </xf>
    <xf numFmtId="0" fontId="0" fillId="11" borderId="30" xfId="0" applyFill="1" applyBorder="1" applyAlignment="1">
      <alignment horizontal="center" vertical="center"/>
    </xf>
    <xf numFmtId="1" fontId="0" fillId="15" borderId="13" xfId="0" applyNumberFormat="1" applyFill="1" applyBorder="1" applyAlignment="1">
      <alignment horizontal="center" vertical="center"/>
    </xf>
    <xf numFmtId="0" fontId="5" fillId="0" borderId="7" xfId="0" applyFont="1" applyBorder="1"/>
    <xf numFmtId="0" fontId="9" fillId="7" borderId="25" xfId="0" applyFont="1" applyFill="1" applyBorder="1"/>
    <xf numFmtId="0" fontId="9" fillId="7" borderId="7" xfId="0" applyFont="1" applyFill="1" applyBorder="1"/>
    <xf numFmtId="0" fontId="0" fillId="7" borderId="26" xfId="0" applyFont="1" applyFill="1" applyBorder="1"/>
    <xf numFmtId="0" fontId="9" fillId="7" borderId="14" xfId="0" applyFont="1" applyFill="1" applyBorder="1"/>
    <xf numFmtId="0" fontId="0" fillId="10" borderId="14" xfId="0" applyFill="1" applyBorder="1" applyAlignment="1">
      <alignment horizontal="center" vertical="center"/>
    </xf>
    <xf numFmtId="0" fontId="0" fillId="7" borderId="7" xfId="0" applyFill="1" applyBorder="1" applyAlignment="1">
      <alignment horizontal="center"/>
    </xf>
    <xf numFmtId="0" fontId="0" fillId="7" borderId="7" xfId="0" applyFill="1" applyBorder="1"/>
    <xf numFmtId="0" fontId="13" fillId="7" borderId="7" xfId="0" applyFont="1" applyFill="1" applyBorder="1"/>
    <xf numFmtId="0" fontId="9" fillId="7" borderId="17" xfId="0" applyFont="1" applyFill="1" applyBorder="1"/>
    <xf numFmtId="166" fontId="0" fillId="7" borderId="5" xfId="0" applyNumberFormat="1" applyFill="1" applyBorder="1" applyAlignment="1">
      <alignment horizontal="center"/>
    </xf>
    <xf numFmtId="166" fontId="0" fillId="7" borderId="46" xfId="0" applyNumberFormat="1" applyFill="1" applyBorder="1" applyAlignment="1">
      <alignment horizontal="center"/>
    </xf>
    <xf numFmtId="0" fontId="8" fillId="0" borderId="48" xfId="0" applyFont="1" applyBorder="1"/>
    <xf numFmtId="0" fontId="0" fillId="0" borderId="49" xfId="0" applyBorder="1"/>
    <xf numFmtId="0" fontId="0" fillId="0" borderId="50" xfId="0" applyBorder="1"/>
    <xf numFmtId="0" fontId="0" fillId="10" borderId="50" xfId="0" applyFill="1" applyBorder="1" applyAlignment="1">
      <alignment horizontal="center" vertical="center"/>
    </xf>
    <xf numFmtId="0" fontId="0" fillId="0" borderId="50" xfId="0" applyBorder="1" applyAlignment="1">
      <alignment horizontal="center" vertical="center"/>
    </xf>
    <xf numFmtId="0" fontId="9" fillId="0" borderId="50" xfId="0" applyFont="1" applyBorder="1"/>
    <xf numFmtId="166" fontId="0" fillId="0" borderId="51" xfId="0" applyNumberFormat="1" applyBorder="1" applyAlignment="1">
      <alignment horizontal="center" vertical="center"/>
    </xf>
    <xf numFmtId="0" fontId="0" fillId="0" borderId="52" xfId="0" applyBorder="1"/>
    <xf numFmtId="0" fontId="0" fillId="10" borderId="9" xfId="0" applyFill="1" applyBorder="1" applyAlignment="1">
      <alignment horizontal="center" vertical="center"/>
    </xf>
    <xf numFmtId="0" fontId="0" fillId="0" borderId="9" xfId="0" applyBorder="1" applyAlignment="1">
      <alignment horizontal="center" vertical="center"/>
    </xf>
    <xf numFmtId="0" fontId="0" fillId="0" borderId="53" xfId="0" applyBorder="1" applyAlignment="1">
      <alignment horizontal="center" vertical="center"/>
    </xf>
    <xf numFmtId="0" fontId="9" fillId="0" borderId="25" xfId="0" applyFont="1" applyBorder="1"/>
    <xf numFmtId="0" fontId="9" fillId="0" borderId="9" xfId="0" applyFont="1" applyBorder="1"/>
    <xf numFmtId="168" fontId="0" fillId="0" borderId="5" xfId="0" applyNumberFormat="1" applyBorder="1" applyAlignment="1">
      <alignment horizontal="center" vertical="center"/>
    </xf>
    <xf numFmtId="165" fontId="0" fillId="6" borderId="7" xfId="0" applyNumberFormat="1" applyFill="1" applyBorder="1" applyAlignment="1">
      <alignment horizontal="center" vertical="center"/>
    </xf>
    <xf numFmtId="2" fontId="0" fillId="7" borderId="5" xfId="0" applyNumberFormat="1" applyFill="1" applyBorder="1" applyAlignment="1" applyProtection="1">
      <alignment horizontal="center"/>
    </xf>
    <xf numFmtId="1" fontId="0" fillId="0" borderId="0" xfId="0" applyNumberFormat="1"/>
    <xf numFmtId="166" fontId="0" fillId="6" borderId="5" xfId="0" applyNumberFormat="1" applyFill="1" applyBorder="1" applyAlignment="1">
      <alignment horizontal="center" vertical="center"/>
    </xf>
    <xf numFmtId="0" fontId="0" fillId="6" borderId="7" xfId="0" applyFill="1" applyBorder="1" applyAlignment="1">
      <alignment horizontal="center" vertical="center"/>
    </xf>
    <xf numFmtId="2" fontId="0" fillId="6" borderId="17" xfId="0" applyNumberFormat="1" applyFill="1" applyBorder="1" applyAlignment="1">
      <alignment horizontal="center" vertical="center"/>
    </xf>
    <xf numFmtId="2" fontId="0" fillId="6" borderId="7" xfId="0" applyNumberFormat="1" applyFill="1" applyBorder="1" applyAlignment="1">
      <alignment horizontal="center" vertical="center"/>
    </xf>
    <xf numFmtId="166" fontId="0" fillId="6" borderId="51" xfId="0" applyNumberFormat="1" applyFill="1" applyBorder="1" applyAlignment="1">
      <alignment horizontal="center" vertical="center"/>
    </xf>
    <xf numFmtId="168" fontId="0" fillId="6" borderId="5" xfId="0" applyNumberFormat="1" applyFill="1" applyBorder="1" applyAlignment="1">
      <alignment horizontal="center" vertical="center"/>
    </xf>
    <xf numFmtId="166" fontId="0" fillId="6" borderId="5" xfId="0" applyNumberFormat="1" applyFill="1" applyBorder="1" applyAlignment="1">
      <alignment horizontal="center"/>
    </xf>
    <xf numFmtId="166" fontId="0" fillId="6" borderId="46" xfId="0" applyNumberFormat="1" applyFill="1" applyBorder="1" applyAlignment="1">
      <alignment horizontal="center"/>
    </xf>
    <xf numFmtId="1" fontId="0" fillId="6" borderId="47" xfId="0" applyNumberFormat="1" applyFill="1" applyBorder="1" applyAlignment="1">
      <alignment horizontal="center" vertical="center"/>
    </xf>
    <xf numFmtId="1" fontId="0" fillId="6" borderId="13" xfId="0" applyNumberFormat="1" applyFill="1" applyBorder="1" applyAlignment="1">
      <alignment horizontal="center" vertical="center"/>
    </xf>
    <xf numFmtId="1" fontId="0" fillId="6" borderId="5" xfId="0" applyNumberFormat="1" applyFill="1" applyBorder="1" applyAlignment="1">
      <alignment horizontal="center" vertical="center"/>
    </xf>
    <xf numFmtId="1" fontId="0" fillId="6" borderId="28" xfId="0" applyNumberFormat="1" applyFill="1" applyBorder="1" applyAlignment="1">
      <alignment horizontal="center"/>
    </xf>
    <xf numFmtId="0" fontId="0" fillId="6" borderId="30" xfId="0" applyFill="1" applyBorder="1" applyAlignment="1">
      <alignment horizontal="center" vertical="center"/>
    </xf>
    <xf numFmtId="1" fontId="0" fillId="6" borderId="0" xfId="0" applyNumberFormat="1" applyFill="1"/>
    <xf numFmtId="2" fontId="0" fillId="6" borderId="0" xfId="0" applyNumberFormat="1" applyFill="1"/>
    <xf numFmtId="2" fontId="0" fillId="0" borderId="0" xfId="0" applyNumberFormat="1"/>
    <xf numFmtId="0" fontId="0" fillId="16" borderId="0" xfId="0" applyFill="1"/>
    <xf numFmtId="165" fontId="0" fillId="10" borderId="7" xfId="0" applyNumberFormat="1" applyFill="1" applyBorder="1" applyAlignment="1">
      <alignment horizontal="center" vertical="center"/>
    </xf>
    <xf numFmtId="165" fontId="0" fillId="7" borderId="7" xfId="0" applyNumberFormat="1" applyFill="1" applyBorder="1" applyAlignment="1">
      <alignment horizontal="center" vertical="center"/>
    </xf>
    <xf numFmtId="1" fontId="0" fillId="7" borderId="13" xfId="0" applyNumberFormat="1" applyFill="1" applyBorder="1" applyAlignment="1">
      <alignment horizontal="center" vertical="center"/>
    </xf>
    <xf numFmtId="1" fontId="0" fillId="7" borderId="5" xfId="0" applyNumberFormat="1" applyFill="1" applyBorder="1" applyAlignment="1">
      <alignment horizontal="center" vertical="center"/>
    </xf>
    <xf numFmtId="0" fontId="0" fillId="6" borderId="24" xfId="0" applyFill="1" applyBorder="1"/>
    <xf numFmtId="166" fontId="0" fillId="0" borderId="51" xfId="0" applyNumberFormat="1" applyFill="1" applyBorder="1" applyAlignment="1">
      <alignment horizontal="center" vertical="center"/>
    </xf>
    <xf numFmtId="0" fontId="0" fillId="0" borderId="30" xfId="0" applyFill="1" applyBorder="1" applyAlignment="1">
      <alignment horizontal="center" vertical="center"/>
    </xf>
  </cellXfs>
  <cellStyles count="2">
    <cellStyle name="Normal" xfId="0" builtinId="0"/>
    <cellStyle name="Percent" xfId="1" builtinId="5"/>
  </cellStyles>
  <dxfs count="0"/>
  <tableStyles count="0" defaultTableStyle="TableStyleMedium9" defaultPivotStyle="PivotStyleLight16"/>
  <colors>
    <mruColors>
      <color rgb="FFCCFFFF"/>
      <color rgb="FF00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33"/>
  <sheetViews>
    <sheetView tabSelected="1" zoomScale="90" zoomScaleNormal="90" workbookViewId="0">
      <selection activeCell="M49" sqref="M49"/>
    </sheetView>
  </sheetViews>
  <sheetFormatPr defaultRowHeight="12.75" x14ac:dyDescent="0.2"/>
  <cols>
    <col min="2" max="2" width="33.140625" bestFit="1" customWidth="1"/>
    <col min="3" max="3" width="51.7109375" customWidth="1"/>
    <col min="4" max="4" width="39.140625" customWidth="1"/>
    <col min="6" max="6" width="41.7109375" customWidth="1"/>
    <col min="7" max="7" width="13.710937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6" ht="18" x14ac:dyDescent="0.25">
      <c r="C1" s="30" t="s">
        <v>0</v>
      </c>
      <c r="D1" s="44">
        <v>7</v>
      </c>
    </row>
    <row r="3" spans="2:16" ht="15.75" x14ac:dyDescent="0.25">
      <c r="B3" s="35" t="s">
        <v>1</v>
      </c>
      <c r="C3" s="36"/>
      <c r="D3" s="36"/>
      <c r="E3" s="36" t="s">
        <v>2</v>
      </c>
      <c r="F3" s="36"/>
      <c r="G3" s="36"/>
      <c r="H3" s="36" t="s">
        <v>3</v>
      </c>
      <c r="I3" s="36"/>
      <c r="J3" s="142"/>
    </row>
    <row r="4" spans="2:16" ht="15" thickBot="1" x14ac:dyDescent="0.25">
      <c r="B4" s="143" t="s">
        <v>4</v>
      </c>
      <c r="C4" s="147" t="s">
        <v>5</v>
      </c>
      <c r="D4" s="145">
        <v>1</v>
      </c>
      <c r="E4" s="144" t="s">
        <v>6</v>
      </c>
      <c r="F4" s="144" t="s">
        <v>7</v>
      </c>
      <c r="G4" s="146">
        <f>D8-D12</f>
        <v>225</v>
      </c>
      <c r="H4" s="147" t="s">
        <v>8</v>
      </c>
      <c r="I4" s="147" t="s">
        <v>9</v>
      </c>
      <c r="J4" s="148">
        <f>D20^2*(G21)/2*1000</f>
        <v>49254.406875000001</v>
      </c>
      <c r="M4" s="40"/>
    </row>
    <row r="5" spans="2:16" ht="12" customHeight="1" thickBot="1" x14ac:dyDescent="0.25">
      <c r="B5" s="56" t="s">
        <v>10</v>
      </c>
      <c r="C5" s="147" t="s">
        <v>11</v>
      </c>
      <c r="D5" s="54">
        <v>1</v>
      </c>
      <c r="E5" s="27" t="s">
        <v>12</v>
      </c>
      <c r="F5" s="27" t="s">
        <v>13</v>
      </c>
      <c r="G5" s="146">
        <f t="shared" ref="G5:G7" si="0">D9-D13</f>
        <v>225</v>
      </c>
      <c r="H5" s="27" t="s">
        <v>14</v>
      </c>
      <c r="I5" s="27" t="s">
        <v>15</v>
      </c>
      <c r="J5" s="148">
        <f>D21^2*(G22)/2*1000</f>
        <v>49254.406875000001</v>
      </c>
    </row>
    <row r="6" spans="2:16" ht="16.5" customHeight="1" thickBot="1" x14ac:dyDescent="0.25">
      <c r="B6" s="56" t="s">
        <v>16</v>
      </c>
      <c r="C6" s="147" t="s">
        <v>17</v>
      </c>
      <c r="D6" s="54">
        <v>1</v>
      </c>
      <c r="E6" s="27" t="s">
        <v>18</v>
      </c>
      <c r="F6" s="27" t="s">
        <v>19</v>
      </c>
      <c r="G6" s="146">
        <f t="shared" si="0"/>
        <v>225</v>
      </c>
      <c r="H6" s="27" t="s">
        <v>20</v>
      </c>
      <c r="I6" s="27" t="s">
        <v>21</v>
      </c>
      <c r="J6" s="45">
        <f>J4+J5</f>
        <v>98508.813750000001</v>
      </c>
    </row>
    <row r="7" spans="2:16" x14ac:dyDescent="0.2">
      <c r="B7" s="56" t="s">
        <v>22</v>
      </c>
      <c r="C7" s="147" t="s">
        <v>23</v>
      </c>
      <c r="D7" s="54">
        <v>1</v>
      </c>
      <c r="E7" s="27" t="s">
        <v>24</v>
      </c>
      <c r="F7" s="27" t="s">
        <v>25</v>
      </c>
      <c r="G7" s="146">
        <f t="shared" si="0"/>
        <v>225</v>
      </c>
      <c r="H7" s="27" t="s">
        <v>26</v>
      </c>
      <c r="I7" s="27" t="s">
        <v>27</v>
      </c>
      <c r="J7" s="45">
        <f>(G8+G9)*D1*G27</f>
        <v>1662.4999999999998</v>
      </c>
    </row>
    <row r="8" spans="2:16" x14ac:dyDescent="0.2">
      <c r="B8" s="56" t="s">
        <v>28</v>
      </c>
      <c r="C8" s="27" t="s">
        <v>29</v>
      </c>
      <c r="D8" s="54">
        <v>250</v>
      </c>
      <c r="E8" s="29" t="s">
        <v>30</v>
      </c>
      <c r="F8" s="27" t="s">
        <v>31</v>
      </c>
      <c r="G8" s="31">
        <f>G4+G5</f>
        <v>450</v>
      </c>
      <c r="H8" s="138" t="s">
        <v>32</v>
      </c>
      <c r="I8" s="29" t="s">
        <v>33</v>
      </c>
      <c r="J8" s="155">
        <f>J7/J6</f>
        <v>1.687666247021475E-2</v>
      </c>
      <c r="K8" s="52">
        <f>J8*180/3.142</f>
        <v>0.966836169522169</v>
      </c>
      <c r="L8" s="49" t="s">
        <v>34</v>
      </c>
      <c r="P8" s="42"/>
    </row>
    <row r="9" spans="2:16" x14ac:dyDescent="0.2">
      <c r="B9" s="56" t="s">
        <v>35</v>
      </c>
      <c r="C9" s="27" t="s">
        <v>36</v>
      </c>
      <c r="D9" s="54">
        <v>250</v>
      </c>
      <c r="E9" s="27" t="s">
        <v>37</v>
      </c>
      <c r="F9" s="27" t="s">
        <v>38</v>
      </c>
      <c r="G9" s="31">
        <f>G6+G7</f>
        <v>450</v>
      </c>
      <c r="H9" s="27" t="s">
        <v>39</v>
      </c>
      <c r="I9" s="27" t="s">
        <v>40</v>
      </c>
      <c r="J9" s="50">
        <f>((J8*G21*D20)/2)*1000</f>
        <v>554.16666666666652</v>
      </c>
      <c r="P9" s="34"/>
    </row>
    <row r="10" spans="2:16" x14ac:dyDescent="0.2">
      <c r="B10" s="56" t="s">
        <v>41</v>
      </c>
      <c r="C10" s="27" t="s">
        <v>42</v>
      </c>
      <c r="D10" s="54">
        <v>250</v>
      </c>
      <c r="E10" s="132" t="s">
        <v>43</v>
      </c>
      <c r="F10" s="132" t="s">
        <v>44</v>
      </c>
      <c r="G10" s="43">
        <f>G8+G9</f>
        <v>900</v>
      </c>
      <c r="H10" s="130" t="s">
        <v>45</v>
      </c>
      <c r="I10" s="29" t="s">
        <v>46</v>
      </c>
      <c r="J10" s="50">
        <f>((J8*G22*D21)/2)*1000</f>
        <v>554.16666666666652</v>
      </c>
    </row>
    <row r="11" spans="2:16" x14ac:dyDescent="0.2">
      <c r="B11" s="56" t="s">
        <v>47</v>
      </c>
      <c r="C11" s="27" t="s">
        <v>48</v>
      </c>
      <c r="D11" s="54">
        <v>250</v>
      </c>
      <c r="E11" s="132" t="s">
        <v>49</v>
      </c>
      <c r="F11" s="132" t="s">
        <v>50</v>
      </c>
      <c r="G11" s="136">
        <f>D8+D9+D10+D11</f>
        <v>1000</v>
      </c>
      <c r="H11" s="28"/>
      <c r="I11" s="28"/>
      <c r="J11" s="46"/>
    </row>
    <row r="12" spans="2:16" x14ac:dyDescent="0.2">
      <c r="B12" s="56" t="s">
        <v>51</v>
      </c>
      <c r="C12" s="27" t="s">
        <v>52</v>
      </c>
      <c r="D12" s="55">
        <v>25</v>
      </c>
      <c r="E12" s="137" t="s">
        <v>53</v>
      </c>
      <c r="F12" s="137" t="s">
        <v>54</v>
      </c>
      <c r="G12" s="136">
        <f>D12+D13+D14+D15</f>
        <v>100</v>
      </c>
      <c r="H12" s="27" t="s">
        <v>55</v>
      </c>
      <c r="I12" s="29" t="s">
        <v>56</v>
      </c>
      <c r="J12" s="45">
        <f>(G8*D1*D27)/D20</f>
        <v>210</v>
      </c>
    </row>
    <row r="13" spans="2:16" x14ac:dyDescent="0.2">
      <c r="B13" s="56" t="s">
        <v>57</v>
      </c>
      <c r="C13" s="27" t="s">
        <v>58</v>
      </c>
      <c r="D13" s="54">
        <v>25</v>
      </c>
      <c r="E13" s="29" t="s">
        <v>59</v>
      </c>
      <c r="F13" s="27" t="s">
        <v>60</v>
      </c>
      <c r="G13" s="157">
        <f>D16*'Spring Rate Conversion'!$H$9</f>
        <v>43.781694999999999</v>
      </c>
      <c r="H13" s="27" t="s">
        <v>61</v>
      </c>
      <c r="I13" s="29" t="s">
        <v>62</v>
      </c>
      <c r="J13" s="45">
        <f>(G9*D1*D28)/D21</f>
        <v>420</v>
      </c>
    </row>
    <row r="14" spans="2:16" x14ac:dyDescent="0.2">
      <c r="B14" s="56" t="s">
        <v>63</v>
      </c>
      <c r="C14" s="27" t="s">
        <v>64</v>
      </c>
      <c r="D14" s="54">
        <v>25</v>
      </c>
      <c r="E14" s="29" t="s">
        <v>65</v>
      </c>
      <c r="F14" s="27" t="s">
        <v>66</v>
      </c>
      <c r="G14" s="157">
        <f>D17*'Spring Rate Conversion'!$H$9</f>
        <v>43.781694999999999</v>
      </c>
      <c r="H14" s="27" t="s">
        <v>67</v>
      </c>
      <c r="I14" s="29" t="s">
        <v>68</v>
      </c>
      <c r="J14" s="45">
        <f>((D12+D13)*D1*D23)/D20</f>
        <v>64.166666666666671</v>
      </c>
    </row>
    <row r="15" spans="2:16" x14ac:dyDescent="0.2">
      <c r="B15" s="56" t="s">
        <v>69</v>
      </c>
      <c r="C15" s="27" t="s">
        <v>70</v>
      </c>
      <c r="D15" s="54">
        <v>25</v>
      </c>
      <c r="E15" s="27" t="s">
        <v>71</v>
      </c>
      <c r="F15" s="27" t="s">
        <v>72</v>
      </c>
      <c r="G15" s="157">
        <f>D18*'Spring Rate Conversion'!$H$9</f>
        <v>43.781694999999999</v>
      </c>
      <c r="H15" s="27" t="s">
        <v>73</v>
      </c>
      <c r="I15" s="29" t="s">
        <v>74</v>
      </c>
      <c r="J15" s="45">
        <f>((D14+D15)*D1*D24)/D21</f>
        <v>64.166666666666671</v>
      </c>
    </row>
    <row r="16" spans="2:16" x14ac:dyDescent="0.2">
      <c r="B16" s="56" t="s">
        <v>75</v>
      </c>
      <c r="C16" s="27" t="s">
        <v>76</v>
      </c>
      <c r="D16" s="54">
        <v>250</v>
      </c>
      <c r="E16" s="27" t="s">
        <v>77</v>
      </c>
      <c r="F16" s="27" t="s">
        <v>78</v>
      </c>
      <c r="G16" s="157">
        <f>D19*'Spring Rate Conversion'!$H$9</f>
        <v>43.781694999999999</v>
      </c>
      <c r="H16" s="27"/>
      <c r="I16" s="132" t="s">
        <v>79</v>
      </c>
      <c r="J16" s="140">
        <f>J9+J12+J14</f>
        <v>828.33333333333314</v>
      </c>
    </row>
    <row r="17" spans="2:10" ht="13.5" thickBot="1" x14ac:dyDescent="0.25">
      <c r="B17" s="56" t="s">
        <v>80</v>
      </c>
      <c r="C17" s="27" t="s">
        <v>81</v>
      </c>
      <c r="D17" s="54">
        <v>250</v>
      </c>
      <c r="E17" s="27" t="s">
        <v>82</v>
      </c>
      <c r="F17" s="27" t="s">
        <v>83</v>
      </c>
      <c r="G17" s="122">
        <f>G13*D4^2</f>
        <v>43.781694999999999</v>
      </c>
      <c r="H17" s="27"/>
      <c r="I17" s="132" t="s">
        <v>84</v>
      </c>
      <c r="J17" s="141">
        <f>J10+J13+J15</f>
        <v>1038.3333333333333</v>
      </c>
    </row>
    <row r="18" spans="2:10" ht="13.5" thickBot="1" x14ac:dyDescent="0.25">
      <c r="B18" s="56" t="s">
        <v>71</v>
      </c>
      <c r="C18" s="27" t="s">
        <v>85</v>
      </c>
      <c r="D18" s="54">
        <v>250</v>
      </c>
      <c r="E18" s="27" t="s">
        <v>86</v>
      </c>
      <c r="F18" s="27" t="s">
        <v>87</v>
      </c>
      <c r="G18" s="122">
        <f>G14*D5^2</f>
        <v>43.781694999999999</v>
      </c>
      <c r="H18" s="27"/>
      <c r="I18" s="139" t="s">
        <v>88</v>
      </c>
      <c r="J18" s="129">
        <f>J16+J17</f>
        <v>1866.6666666666665</v>
      </c>
    </row>
    <row r="19" spans="2:10" x14ac:dyDescent="0.2">
      <c r="B19" s="56" t="s">
        <v>77</v>
      </c>
      <c r="C19" s="27" t="s">
        <v>89</v>
      </c>
      <c r="D19" s="54">
        <v>250</v>
      </c>
      <c r="E19" s="27" t="s">
        <v>90</v>
      </c>
      <c r="F19" s="27" t="s">
        <v>91</v>
      </c>
      <c r="G19" s="122">
        <f>G15*D6^2</f>
        <v>43.781694999999999</v>
      </c>
      <c r="H19" s="27" t="s">
        <v>92</v>
      </c>
      <c r="I19" s="27" t="s">
        <v>93</v>
      </c>
      <c r="J19" s="125">
        <f>D8*9.81+J16</f>
        <v>3280.833333333333</v>
      </c>
    </row>
    <row r="20" spans="2:10" x14ac:dyDescent="0.2">
      <c r="B20" s="56" t="s">
        <v>94</v>
      </c>
      <c r="C20" s="27" t="s">
        <v>95</v>
      </c>
      <c r="D20" s="54">
        <v>1.5</v>
      </c>
      <c r="E20" s="27" t="s">
        <v>96</v>
      </c>
      <c r="F20" s="27" t="s">
        <v>97</v>
      </c>
      <c r="G20" s="122">
        <f t="shared" ref="G20" si="1">G16*D7^2</f>
        <v>43.781694999999999</v>
      </c>
      <c r="H20" s="29" t="s">
        <v>98</v>
      </c>
      <c r="I20" s="27" t="s">
        <v>99</v>
      </c>
      <c r="J20" s="125">
        <f>D9*9.81-J16</f>
        <v>1624.166666666667</v>
      </c>
    </row>
    <row r="21" spans="2:10" x14ac:dyDescent="0.2">
      <c r="B21" s="56" t="s">
        <v>104</v>
      </c>
      <c r="C21" s="27" t="s">
        <v>105</v>
      </c>
      <c r="D21" s="54">
        <v>1.5</v>
      </c>
      <c r="E21" s="27" t="s">
        <v>100</v>
      </c>
      <c r="F21" s="27" t="s">
        <v>101</v>
      </c>
      <c r="G21" s="33">
        <f>(G17+G18)/2</f>
        <v>43.781694999999999</v>
      </c>
      <c r="H21" s="29"/>
      <c r="I21" s="27"/>
      <c r="J21" s="53"/>
    </row>
    <row r="22" spans="2:10" x14ac:dyDescent="0.2">
      <c r="B22" s="56" t="s">
        <v>110</v>
      </c>
      <c r="C22" s="27" t="s">
        <v>111</v>
      </c>
      <c r="D22" s="54">
        <v>2.5</v>
      </c>
      <c r="E22" s="27" t="s">
        <v>102</v>
      </c>
      <c r="F22" s="27" t="s">
        <v>103</v>
      </c>
      <c r="G22" s="33">
        <f>(G19+G20)/2</f>
        <v>43.781694999999999</v>
      </c>
      <c r="H22" s="29"/>
      <c r="I22" s="27"/>
      <c r="J22" s="53"/>
    </row>
    <row r="23" spans="2:10" x14ac:dyDescent="0.2">
      <c r="B23" s="131" t="s">
        <v>116</v>
      </c>
      <c r="C23" s="132" t="s">
        <v>117</v>
      </c>
      <c r="D23" s="54">
        <v>0.27500000000000002</v>
      </c>
      <c r="E23" s="27" t="s">
        <v>106</v>
      </c>
      <c r="F23" s="29" t="s">
        <v>107</v>
      </c>
      <c r="G23" s="37">
        <f>((G9*D22)/G10)</f>
        <v>1.25</v>
      </c>
      <c r="H23" s="29" t="s">
        <v>108</v>
      </c>
      <c r="I23" s="27" t="s">
        <v>109</v>
      </c>
      <c r="J23" s="53">
        <f>D10*9.81+J17</f>
        <v>3490.833333333333</v>
      </c>
    </row>
    <row r="24" spans="2:10" ht="13.5" thickBot="1" x14ac:dyDescent="0.25">
      <c r="B24" s="133" t="s">
        <v>121</v>
      </c>
      <c r="C24" s="134" t="s">
        <v>122</v>
      </c>
      <c r="D24" s="135">
        <v>0.27500000000000002</v>
      </c>
      <c r="E24" s="27" t="s">
        <v>112</v>
      </c>
      <c r="F24" s="27" t="s">
        <v>113</v>
      </c>
      <c r="G24" s="43">
        <f>D28-D27</f>
        <v>0.1</v>
      </c>
      <c r="H24" s="27" t="s">
        <v>114</v>
      </c>
      <c r="I24" s="27" t="s">
        <v>115</v>
      </c>
      <c r="J24" s="53">
        <f>D11*9.81-J17</f>
        <v>1414.1666666666667</v>
      </c>
    </row>
    <row r="25" spans="2:10" x14ac:dyDescent="0.2">
      <c r="B25" s="153" t="s">
        <v>126</v>
      </c>
      <c r="C25" s="27" t="s">
        <v>127</v>
      </c>
      <c r="D25" s="54">
        <v>0.4</v>
      </c>
      <c r="E25" s="27" t="s">
        <v>118</v>
      </c>
      <c r="F25" s="27" t="s">
        <v>119</v>
      </c>
      <c r="G25" s="41">
        <f>(G24*G23)/D22</f>
        <v>0.05</v>
      </c>
      <c r="H25" s="27"/>
      <c r="I25" s="126" t="s">
        <v>120</v>
      </c>
      <c r="J25" s="127">
        <f>J19+J20+J23+J24</f>
        <v>9809.9999999999982</v>
      </c>
    </row>
    <row r="26" spans="2:10" ht="13.5" thickBot="1" x14ac:dyDescent="0.25">
      <c r="B26" s="56" t="s">
        <v>130</v>
      </c>
      <c r="C26" s="27" t="s">
        <v>131</v>
      </c>
      <c r="D26" s="156">
        <f>((D25*G11)-(SUM(D12:D13)*D23)-(SUM(D14:D15)*D24))/G10</f>
        <v>0.41388888888888886</v>
      </c>
      <c r="E26" s="27" t="s">
        <v>123</v>
      </c>
      <c r="F26" s="27" t="s">
        <v>124</v>
      </c>
      <c r="G26" s="43">
        <v>0.15</v>
      </c>
      <c r="H26" s="27"/>
      <c r="I26" s="51" t="s">
        <v>125</v>
      </c>
      <c r="J26" s="128">
        <f>G11*9.81</f>
        <v>9810</v>
      </c>
    </row>
    <row r="27" spans="2:10" ht="13.5" thickBot="1" x14ac:dyDescent="0.25">
      <c r="B27" s="56" t="s">
        <v>132</v>
      </c>
      <c r="C27" s="154" t="s">
        <v>172</v>
      </c>
      <c r="D27" s="54">
        <v>0.1</v>
      </c>
      <c r="E27" s="27" t="s">
        <v>128</v>
      </c>
      <c r="F27" s="27" t="s">
        <v>129</v>
      </c>
      <c r="G27" s="156">
        <f>D26-G25-D27</f>
        <v>0.26388888888888884</v>
      </c>
      <c r="H27" s="27"/>
      <c r="I27" s="27"/>
      <c r="J27" s="124"/>
    </row>
    <row r="28" spans="2:10" ht="13.5" thickBot="1" x14ac:dyDescent="0.25">
      <c r="B28" s="149" t="s">
        <v>135</v>
      </c>
      <c r="C28" s="154" t="s">
        <v>136</v>
      </c>
      <c r="D28" s="150">
        <v>0.2</v>
      </c>
      <c r="F28" s="27"/>
      <c r="G28" s="31"/>
      <c r="H28" s="27"/>
      <c r="I28" s="27"/>
      <c r="J28" s="123"/>
    </row>
    <row r="29" spans="2:10" ht="13.5" thickBot="1" x14ac:dyDescent="0.25">
      <c r="B29" t="s">
        <v>173</v>
      </c>
      <c r="C29" s="158">
        <f>J19-J20</f>
        <v>1656.6666666666661</v>
      </c>
      <c r="E29" s="27"/>
      <c r="F29" s="27"/>
      <c r="G29" s="31"/>
      <c r="H29" s="27" t="s">
        <v>133</v>
      </c>
      <c r="I29" s="48" t="s">
        <v>134</v>
      </c>
      <c r="J29" s="129">
        <f>(G11*D1*D25)/((D20+D21)/2)</f>
        <v>1866.6666666666667</v>
      </c>
    </row>
    <row r="30" spans="2:10" ht="13.5" thickBot="1" x14ac:dyDescent="0.25">
      <c r="B30" t="s">
        <v>174</v>
      </c>
      <c r="C30" s="158">
        <f>J23-J24</f>
        <v>2076.6666666666661</v>
      </c>
      <c r="E30" s="57"/>
      <c r="F30" s="57"/>
      <c r="G30" s="151"/>
      <c r="H30" s="57"/>
      <c r="I30" s="57"/>
      <c r="J30" s="152"/>
    </row>
    <row r="31" spans="2:10" x14ac:dyDescent="0.2">
      <c r="B31" t="s">
        <v>175</v>
      </c>
      <c r="C31">
        <f>C29-C30</f>
        <v>-420</v>
      </c>
    </row>
    <row r="32" spans="2:10" ht="14.25" x14ac:dyDescent="0.2">
      <c r="B32" t="s">
        <v>176</v>
      </c>
      <c r="C32">
        <f>J17/J18*100</f>
        <v>55.625</v>
      </c>
      <c r="G32" s="38"/>
      <c r="H32" s="38"/>
      <c r="I32" s="38"/>
    </row>
    <row r="33" spans="7:9" ht="15" x14ac:dyDescent="0.25">
      <c r="G33" s="38"/>
      <c r="H33" s="39"/>
      <c r="I33" s="38"/>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2CBC3-6591-4980-9707-3A01DE28072A}">
  <dimension ref="B1:P33"/>
  <sheetViews>
    <sheetView zoomScale="90" zoomScaleNormal="90" workbookViewId="0">
      <selection activeCell="D40" sqref="D40"/>
    </sheetView>
  </sheetViews>
  <sheetFormatPr defaultRowHeight="12.75" x14ac:dyDescent="0.2"/>
  <cols>
    <col min="2" max="2" width="33.140625" bestFit="1" customWidth="1"/>
    <col min="3" max="3" width="51.7109375" customWidth="1"/>
    <col min="4" max="4" width="39.140625" customWidth="1"/>
    <col min="6" max="6" width="41.7109375" customWidth="1"/>
    <col min="7" max="7" width="13.710937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6" ht="18.75" thickBot="1" x14ac:dyDescent="0.3">
      <c r="C1" s="30" t="s">
        <v>0</v>
      </c>
      <c r="D1" s="44">
        <v>8.1</v>
      </c>
    </row>
    <row r="3" spans="2:16" ht="16.5" thickBot="1" x14ac:dyDescent="0.3">
      <c r="B3" s="35" t="s">
        <v>1</v>
      </c>
      <c r="C3" s="36"/>
      <c r="D3" s="36"/>
      <c r="E3" s="36" t="s">
        <v>2</v>
      </c>
      <c r="F3" s="36"/>
      <c r="G3" s="36"/>
      <c r="H3" s="36" t="s">
        <v>3</v>
      </c>
      <c r="I3" s="36"/>
      <c r="J3" s="142"/>
    </row>
    <row r="4" spans="2:16" ht="15" thickBot="1" x14ac:dyDescent="0.25">
      <c r="B4" s="143" t="s">
        <v>4</v>
      </c>
      <c r="C4" s="147" t="s">
        <v>5</v>
      </c>
      <c r="D4" s="145">
        <v>0.87</v>
      </c>
      <c r="E4" s="144" t="s">
        <v>6</v>
      </c>
      <c r="F4" s="144" t="s">
        <v>7</v>
      </c>
      <c r="G4" s="146">
        <f>D8-D12</f>
        <v>156.80000000000001</v>
      </c>
      <c r="H4" s="147" t="s">
        <v>8</v>
      </c>
      <c r="I4" s="147" t="s">
        <v>9</v>
      </c>
      <c r="J4" s="148">
        <f>D20^2*(G21)/2*1000</f>
        <v>28882.106541489502</v>
      </c>
      <c r="M4" s="40"/>
    </row>
    <row r="5" spans="2:16" ht="12" customHeight="1" thickBot="1" x14ac:dyDescent="0.25">
      <c r="B5" s="56" t="s">
        <v>10</v>
      </c>
      <c r="C5" s="147" t="s">
        <v>11</v>
      </c>
      <c r="D5" s="54">
        <v>0.82</v>
      </c>
      <c r="E5" s="27" t="s">
        <v>12</v>
      </c>
      <c r="F5" s="27" t="s">
        <v>13</v>
      </c>
      <c r="G5" s="146">
        <f t="shared" ref="G5:G7" si="0">D9-D13</f>
        <v>177.2</v>
      </c>
      <c r="H5" s="27" t="s">
        <v>14</v>
      </c>
      <c r="I5" s="27" t="s">
        <v>15</v>
      </c>
      <c r="J5" s="148">
        <f>D21^2*(G22)/2*1000</f>
        <v>70826.397880361823</v>
      </c>
    </row>
    <row r="6" spans="2:16" ht="16.5" customHeight="1" thickBot="1" x14ac:dyDescent="0.25">
      <c r="B6" s="56" t="s">
        <v>16</v>
      </c>
      <c r="C6" s="147" t="s">
        <v>17</v>
      </c>
      <c r="D6" s="54">
        <v>1.02</v>
      </c>
      <c r="E6" s="27" t="s">
        <v>18</v>
      </c>
      <c r="F6" s="27" t="s">
        <v>19</v>
      </c>
      <c r="G6" s="146">
        <f t="shared" si="0"/>
        <v>163.80000000000001</v>
      </c>
      <c r="H6" s="27" t="s">
        <v>20</v>
      </c>
      <c r="I6" s="27" t="s">
        <v>21</v>
      </c>
      <c r="J6" s="45">
        <f>J4+J5</f>
        <v>99708.504421851321</v>
      </c>
    </row>
    <row r="7" spans="2:16" x14ac:dyDescent="0.2">
      <c r="B7" s="56" t="s">
        <v>22</v>
      </c>
      <c r="C7" s="147" t="s">
        <v>23</v>
      </c>
      <c r="D7" s="54">
        <v>1.02</v>
      </c>
      <c r="E7" s="27" t="s">
        <v>24</v>
      </c>
      <c r="F7" s="27" t="s">
        <v>25</v>
      </c>
      <c r="G7" s="146">
        <f t="shared" si="0"/>
        <v>184.2</v>
      </c>
      <c r="H7" s="27" t="s">
        <v>26</v>
      </c>
      <c r="I7" s="27" t="s">
        <v>27</v>
      </c>
      <c r="J7" s="45">
        <f>(G8+G9)*D1*G27</f>
        <v>2020.6259999999997</v>
      </c>
    </row>
    <row r="8" spans="2:16" x14ac:dyDescent="0.2">
      <c r="B8" s="56" t="s">
        <v>28</v>
      </c>
      <c r="C8" s="27" t="s">
        <v>29</v>
      </c>
      <c r="D8" s="54">
        <v>185.8</v>
      </c>
      <c r="E8" s="29" t="s">
        <v>30</v>
      </c>
      <c r="F8" s="27" t="s">
        <v>31</v>
      </c>
      <c r="G8" s="31">
        <f>G4+G5</f>
        <v>334</v>
      </c>
      <c r="H8" s="138" t="s">
        <v>32</v>
      </c>
      <c r="I8" s="29" t="s">
        <v>33</v>
      </c>
      <c r="J8" s="155">
        <f>J7/J6</f>
        <v>2.0265332548275346E-2</v>
      </c>
      <c r="K8" s="52">
        <f>J8*180/3.142</f>
        <v>1.1609674916262134</v>
      </c>
      <c r="L8" s="49" t="s">
        <v>34</v>
      </c>
      <c r="P8" s="42"/>
    </row>
    <row r="9" spans="2:16" x14ac:dyDescent="0.2">
      <c r="B9" s="56" t="s">
        <v>35</v>
      </c>
      <c r="C9" s="27" t="s">
        <v>36</v>
      </c>
      <c r="D9" s="54">
        <v>206.2</v>
      </c>
      <c r="E9" s="27" t="s">
        <v>37</v>
      </c>
      <c r="F9" s="27" t="s">
        <v>38</v>
      </c>
      <c r="G9" s="31">
        <f>G6+G7</f>
        <v>348</v>
      </c>
      <c r="H9" s="27" t="s">
        <v>39</v>
      </c>
      <c r="I9" s="27" t="s">
        <v>40</v>
      </c>
      <c r="J9" s="159">
        <f>((J8*G21*D20)/2)*1000</f>
        <v>398.16700255646504</v>
      </c>
      <c r="P9" s="34"/>
    </row>
    <row r="10" spans="2:16" x14ac:dyDescent="0.2">
      <c r="B10" s="56" t="s">
        <v>41</v>
      </c>
      <c r="C10" s="27" t="s">
        <v>42</v>
      </c>
      <c r="D10" s="54">
        <v>198.8</v>
      </c>
      <c r="E10" s="132" t="s">
        <v>43</v>
      </c>
      <c r="F10" s="132" t="s">
        <v>44</v>
      </c>
      <c r="G10" s="43">
        <f>G8+G9</f>
        <v>682</v>
      </c>
      <c r="H10" s="130" t="s">
        <v>45</v>
      </c>
      <c r="I10" s="29" t="s">
        <v>46</v>
      </c>
      <c r="J10" s="50">
        <f>((J8*G22*D21)/2)*1000</f>
        <v>944.28980673815568</v>
      </c>
    </row>
    <row r="11" spans="2:16" x14ac:dyDescent="0.2">
      <c r="B11" s="56" t="s">
        <v>47</v>
      </c>
      <c r="C11" s="27" t="s">
        <v>48</v>
      </c>
      <c r="D11" s="54">
        <v>219.2</v>
      </c>
      <c r="E11" s="132" t="s">
        <v>49</v>
      </c>
      <c r="F11" s="132" t="s">
        <v>50</v>
      </c>
      <c r="G11" s="136">
        <f>D8+D9+D10+D11</f>
        <v>810</v>
      </c>
      <c r="H11" s="28"/>
      <c r="I11" s="28"/>
      <c r="J11" s="46"/>
    </row>
    <row r="12" spans="2:16" x14ac:dyDescent="0.2">
      <c r="B12" s="56" t="s">
        <v>51</v>
      </c>
      <c r="C12" s="27" t="s">
        <v>52</v>
      </c>
      <c r="D12" s="55">
        <v>29</v>
      </c>
      <c r="E12" s="137" t="s">
        <v>53</v>
      </c>
      <c r="F12" s="137" t="s">
        <v>54</v>
      </c>
      <c r="G12" s="136">
        <f>D12+D13+D14+D15</f>
        <v>128</v>
      </c>
      <c r="H12" s="27" t="s">
        <v>55</v>
      </c>
      <c r="I12" s="29" t="s">
        <v>56</v>
      </c>
      <c r="J12" s="45">
        <f>(G8*D1*D27)/D20</f>
        <v>110.42448979591838</v>
      </c>
    </row>
    <row r="13" spans="2:16" x14ac:dyDescent="0.2">
      <c r="B13" s="56" t="s">
        <v>57</v>
      </c>
      <c r="C13" s="27" t="s">
        <v>58</v>
      </c>
      <c r="D13" s="54">
        <v>29</v>
      </c>
      <c r="E13" s="29" t="s">
        <v>59</v>
      </c>
      <c r="F13" s="27" t="s">
        <v>60</v>
      </c>
      <c r="G13" s="157">
        <f>D16*'Spring Rate Conversion'!$H$9</f>
        <v>37.6522577</v>
      </c>
      <c r="H13" s="27" t="s">
        <v>61</v>
      </c>
      <c r="I13" s="29" t="s">
        <v>62</v>
      </c>
      <c r="J13" s="45">
        <f>(G9*D1*D28)/D21</f>
        <v>315.26052631578943</v>
      </c>
    </row>
    <row r="14" spans="2:16" x14ac:dyDescent="0.2">
      <c r="B14" s="56" t="s">
        <v>63</v>
      </c>
      <c r="C14" s="27" t="s">
        <v>64</v>
      </c>
      <c r="D14" s="54">
        <v>35</v>
      </c>
      <c r="E14" s="29" t="s">
        <v>65</v>
      </c>
      <c r="F14" s="27" t="s">
        <v>66</v>
      </c>
      <c r="G14" s="157">
        <f>D17*'Spring Rate Conversion'!$H$9</f>
        <v>37.126877360000002</v>
      </c>
      <c r="H14" s="27" t="s">
        <v>67</v>
      </c>
      <c r="I14" s="29" t="s">
        <v>68</v>
      </c>
      <c r="J14" s="45">
        <f>((D12+D13)*D1*D23)/D20</f>
        <v>89.485714285714295</v>
      </c>
    </row>
    <row r="15" spans="2:16" x14ac:dyDescent="0.2">
      <c r="B15" s="56" t="s">
        <v>69</v>
      </c>
      <c r="C15" s="27" t="s">
        <v>70</v>
      </c>
      <c r="D15" s="54">
        <v>35</v>
      </c>
      <c r="E15" s="27" t="s">
        <v>71</v>
      </c>
      <c r="F15" s="27" t="s">
        <v>72</v>
      </c>
      <c r="G15" s="157">
        <f>D18*'Spring Rate Conversion'!$H$9</f>
        <v>58.842598080000002</v>
      </c>
      <c r="H15" s="27" t="s">
        <v>73</v>
      </c>
      <c r="I15" s="29" t="s">
        <v>74</v>
      </c>
      <c r="J15" s="45">
        <f>((D14+D15)*D1*D24)/D21</f>
        <v>104.44736842105264</v>
      </c>
    </row>
    <row r="16" spans="2:16" x14ac:dyDescent="0.2">
      <c r="B16" s="56" t="s">
        <v>75</v>
      </c>
      <c r="C16" s="27" t="s">
        <v>76</v>
      </c>
      <c r="D16" s="54">
        <v>215</v>
      </c>
      <c r="E16" s="27" t="s">
        <v>77</v>
      </c>
      <c r="F16" s="27" t="s">
        <v>78</v>
      </c>
      <c r="G16" s="157">
        <f>D19*'Spring Rate Conversion'!$H$9</f>
        <v>59.017724860000001</v>
      </c>
      <c r="H16" s="27"/>
      <c r="I16" s="132" t="s">
        <v>79</v>
      </c>
      <c r="J16" s="140">
        <f>J9+J12+J14</f>
        <v>598.07720663809766</v>
      </c>
    </row>
    <row r="17" spans="2:10" ht="13.5" thickBot="1" x14ac:dyDescent="0.25">
      <c r="B17" s="56" t="s">
        <v>80</v>
      </c>
      <c r="C17" s="27" t="s">
        <v>81</v>
      </c>
      <c r="D17" s="54">
        <v>212</v>
      </c>
      <c r="E17" s="27" t="s">
        <v>82</v>
      </c>
      <c r="F17" s="27" t="s">
        <v>83</v>
      </c>
      <c r="G17" s="122">
        <f>G13*D4^2</f>
        <v>28.498993853129999</v>
      </c>
      <c r="H17" s="27"/>
      <c r="I17" s="132" t="s">
        <v>84</v>
      </c>
      <c r="J17" s="141">
        <f>J10+J13+J15</f>
        <v>1363.9977014749977</v>
      </c>
    </row>
    <row r="18" spans="2:10" ht="13.5" thickBot="1" x14ac:dyDescent="0.25">
      <c r="B18" s="56" t="s">
        <v>71</v>
      </c>
      <c r="C18" s="27" t="s">
        <v>85</v>
      </c>
      <c r="D18" s="54">
        <v>336</v>
      </c>
      <c r="E18" s="27" t="s">
        <v>86</v>
      </c>
      <c r="F18" s="27" t="s">
        <v>87</v>
      </c>
      <c r="G18" s="122">
        <f>G14*D5^2</f>
        <v>24.964112336863998</v>
      </c>
      <c r="H18" s="27"/>
      <c r="I18" s="139" t="s">
        <v>88</v>
      </c>
      <c r="J18" s="129">
        <f>J16+J17</f>
        <v>1962.0749081130953</v>
      </c>
    </row>
    <row r="19" spans="2:10" x14ac:dyDescent="0.2">
      <c r="B19" s="56" t="s">
        <v>77</v>
      </c>
      <c r="C19" s="27" t="s">
        <v>89</v>
      </c>
      <c r="D19" s="54">
        <v>337</v>
      </c>
      <c r="E19" s="27" t="s">
        <v>90</v>
      </c>
      <c r="F19" s="27" t="s">
        <v>91</v>
      </c>
      <c r="G19" s="122">
        <f>G15*D6^2</f>
        <v>61.219839042432</v>
      </c>
      <c r="H19" s="27" t="s">
        <v>92</v>
      </c>
      <c r="I19" s="27" t="s">
        <v>93</v>
      </c>
      <c r="J19" s="125">
        <f>D8*9.81+J16</f>
        <v>2420.7752066380976</v>
      </c>
    </row>
    <row r="20" spans="2:10" x14ac:dyDescent="0.2">
      <c r="B20" s="56" t="s">
        <v>94</v>
      </c>
      <c r="C20" s="27" t="s">
        <v>95</v>
      </c>
      <c r="D20" s="54">
        <v>1.47</v>
      </c>
      <c r="E20" s="27" t="s">
        <v>96</v>
      </c>
      <c r="F20" s="27" t="s">
        <v>97</v>
      </c>
      <c r="G20" s="122">
        <f t="shared" ref="G20" si="1">G16*D7^2</f>
        <v>61.402040944344002</v>
      </c>
      <c r="H20" s="29" t="s">
        <v>98</v>
      </c>
      <c r="I20" s="27" t="s">
        <v>99</v>
      </c>
      <c r="J20" s="125">
        <f>D9*9.81-J16</f>
        <v>1424.7447933619023</v>
      </c>
    </row>
    <row r="21" spans="2:10" x14ac:dyDescent="0.2">
      <c r="B21" s="56" t="s">
        <v>104</v>
      </c>
      <c r="C21" s="27" t="s">
        <v>105</v>
      </c>
      <c r="D21" s="54">
        <v>1.52</v>
      </c>
      <c r="E21" s="27" t="s">
        <v>100</v>
      </c>
      <c r="F21" s="27" t="s">
        <v>101</v>
      </c>
      <c r="G21" s="33">
        <f>(G17+G18)/2</f>
        <v>26.731553094996997</v>
      </c>
      <c r="H21" s="29"/>
      <c r="I21" s="27"/>
      <c r="J21" s="53"/>
    </row>
    <row r="22" spans="2:10" x14ac:dyDescent="0.2">
      <c r="B22" s="56" t="s">
        <v>110</v>
      </c>
      <c r="C22" s="27" t="s">
        <v>111</v>
      </c>
      <c r="D22" s="54">
        <v>2.5499999999999998</v>
      </c>
      <c r="E22" s="27" t="s">
        <v>102</v>
      </c>
      <c r="F22" s="27" t="s">
        <v>103</v>
      </c>
      <c r="G22" s="33">
        <f>(G19+G20)/2</f>
        <v>61.310939993388004</v>
      </c>
      <c r="H22" s="29"/>
      <c r="I22" s="27"/>
      <c r="J22" s="53"/>
    </row>
    <row r="23" spans="2:10" x14ac:dyDescent="0.2">
      <c r="B23" s="131" t="s">
        <v>116</v>
      </c>
      <c r="C23" s="132" t="s">
        <v>117</v>
      </c>
      <c r="D23" s="54">
        <v>0.28000000000000003</v>
      </c>
      <c r="E23" s="27" t="s">
        <v>106</v>
      </c>
      <c r="F23" s="29" t="s">
        <v>107</v>
      </c>
      <c r="G23" s="37">
        <f>((G9*D22)/G10)</f>
        <v>1.3011730205278591</v>
      </c>
      <c r="H23" s="29" t="s">
        <v>108</v>
      </c>
      <c r="I23" s="27" t="s">
        <v>109</v>
      </c>
      <c r="J23" s="53">
        <f>D10*9.81+J17</f>
        <v>3314.225701474998</v>
      </c>
    </row>
    <row r="24" spans="2:10" ht="13.5" thickBot="1" x14ac:dyDescent="0.25">
      <c r="B24" s="133" t="s">
        <v>121</v>
      </c>
      <c r="C24" s="134" t="s">
        <v>122</v>
      </c>
      <c r="D24" s="135">
        <v>0.28000000000000003</v>
      </c>
      <c r="E24" s="27" t="s">
        <v>112</v>
      </c>
      <c r="F24" s="27" t="s">
        <v>113</v>
      </c>
      <c r="G24" s="43">
        <f>D28-D27</f>
        <v>0.11000000000000001</v>
      </c>
      <c r="H24" s="27" t="s">
        <v>114</v>
      </c>
      <c r="I24" s="27" t="s">
        <v>115</v>
      </c>
      <c r="J24" s="53">
        <f>D11*9.81-J17</f>
        <v>786.35429852500215</v>
      </c>
    </row>
    <row r="25" spans="2:10" x14ac:dyDescent="0.2">
      <c r="B25" s="153" t="s">
        <v>126</v>
      </c>
      <c r="C25" s="27" t="s">
        <v>127</v>
      </c>
      <c r="D25" s="54">
        <v>0.45</v>
      </c>
      <c r="E25" s="27" t="s">
        <v>118</v>
      </c>
      <c r="F25" s="27" t="s">
        <v>119</v>
      </c>
      <c r="G25" s="41">
        <f>(G24*G23)/D22</f>
        <v>5.6129032258064523E-2</v>
      </c>
      <c r="H25" s="27"/>
      <c r="I25" s="126" t="s">
        <v>120</v>
      </c>
      <c r="J25" s="127">
        <f>J19+J20+J23+J24</f>
        <v>7946.1</v>
      </c>
    </row>
    <row r="26" spans="2:10" ht="13.5" thickBot="1" x14ac:dyDescent="0.25">
      <c r="B26" s="56" t="s">
        <v>130</v>
      </c>
      <c r="C26" s="27" t="s">
        <v>131</v>
      </c>
      <c r="D26" s="156">
        <f>((D25*G11)-(SUM(D12:D13)*D23)-(SUM(D14:D15)*D24))/G10</f>
        <v>0.48190615835777123</v>
      </c>
      <c r="E26" s="27" t="s">
        <v>123</v>
      </c>
      <c r="F26" s="27" t="s">
        <v>124</v>
      </c>
      <c r="G26" s="43">
        <v>0.15</v>
      </c>
      <c r="H26" s="27"/>
      <c r="I26" s="51" t="s">
        <v>125</v>
      </c>
      <c r="J26" s="128">
        <f>G11*9.81</f>
        <v>7946.1</v>
      </c>
    </row>
    <row r="27" spans="2:10" ht="13.5" thickBot="1" x14ac:dyDescent="0.25">
      <c r="B27" s="56" t="s">
        <v>132</v>
      </c>
      <c r="C27" s="154" t="s">
        <v>172</v>
      </c>
      <c r="D27" s="54">
        <v>0.06</v>
      </c>
      <c r="E27" s="27" t="s">
        <v>128</v>
      </c>
      <c r="F27" s="27" t="s">
        <v>129</v>
      </c>
      <c r="G27" s="156">
        <f>D26-G25-D27</f>
        <v>0.3657771260997067</v>
      </c>
      <c r="H27" s="27"/>
      <c r="I27" s="27"/>
      <c r="J27" s="124"/>
    </row>
    <row r="28" spans="2:10" ht="13.5" thickBot="1" x14ac:dyDescent="0.25">
      <c r="B28" s="149" t="s">
        <v>135</v>
      </c>
      <c r="C28" s="154" t="s">
        <v>136</v>
      </c>
      <c r="D28" s="150">
        <v>0.17</v>
      </c>
      <c r="F28" s="27"/>
      <c r="G28" s="31"/>
      <c r="H28" s="27"/>
      <c r="I28" s="27"/>
      <c r="J28" s="123"/>
    </row>
    <row r="29" spans="2:10" ht="13.5" thickBot="1" x14ac:dyDescent="0.25">
      <c r="B29" t="s">
        <v>173</v>
      </c>
      <c r="C29" s="158">
        <f>J19-J20</f>
        <v>996.0304132761953</v>
      </c>
      <c r="E29" s="27"/>
      <c r="F29" s="27"/>
      <c r="G29" s="31"/>
      <c r="H29" s="27" t="s">
        <v>133</v>
      </c>
      <c r="I29" s="48" t="s">
        <v>134</v>
      </c>
      <c r="J29" s="129">
        <f>(G11*D1*D25)/((D20+D21)/2)</f>
        <v>1974.8829431438128</v>
      </c>
    </row>
    <row r="30" spans="2:10" ht="13.5" thickBot="1" x14ac:dyDescent="0.25">
      <c r="B30" t="s">
        <v>174</v>
      </c>
      <c r="C30" s="158">
        <f>J23-J24</f>
        <v>2527.8714029499961</v>
      </c>
      <c r="E30" s="57"/>
      <c r="F30" s="57"/>
      <c r="G30" s="151"/>
      <c r="H30" s="57"/>
      <c r="I30" s="57"/>
      <c r="J30" s="152"/>
    </row>
    <row r="31" spans="2:10" x14ac:dyDescent="0.2">
      <c r="B31" t="s">
        <v>175</v>
      </c>
      <c r="C31" s="174">
        <f>C29-C30</f>
        <v>-1531.8409896738008</v>
      </c>
    </row>
    <row r="32" spans="2:10" ht="14.25" x14ac:dyDescent="0.2">
      <c r="B32" t="s">
        <v>176</v>
      </c>
      <c r="C32" s="174">
        <f>J17/J18*100</f>
        <v>69.518125726746007</v>
      </c>
      <c r="G32" s="38"/>
      <c r="H32" s="38"/>
      <c r="I32" s="38"/>
    </row>
    <row r="33" spans="7:9" ht="15" x14ac:dyDescent="0.25">
      <c r="G33" s="38"/>
      <c r="H33" s="39"/>
      <c r="I33" s="38"/>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C012F-C2ED-480E-9CD5-0C79D4F4A566}">
  <dimension ref="B1:P39"/>
  <sheetViews>
    <sheetView zoomScale="90" zoomScaleNormal="90" workbookViewId="0">
      <selection activeCell="C49" sqref="C49"/>
    </sheetView>
  </sheetViews>
  <sheetFormatPr defaultRowHeight="12.75" x14ac:dyDescent="0.2"/>
  <cols>
    <col min="2" max="2" width="33.140625" bestFit="1" customWidth="1"/>
    <col min="3" max="3" width="51.7109375" customWidth="1"/>
    <col min="4" max="4" width="39.140625" customWidth="1"/>
    <col min="6" max="6" width="41.7109375" customWidth="1"/>
    <col min="7" max="7" width="13.710937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6" ht="18.75" thickBot="1" x14ac:dyDescent="0.3">
      <c r="C1" s="30" t="s">
        <v>0</v>
      </c>
      <c r="D1" s="44">
        <v>8.1</v>
      </c>
    </row>
    <row r="3" spans="2:16" ht="16.5" thickBot="1" x14ac:dyDescent="0.3">
      <c r="B3" s="35" t="s">
        <v>1</v>
      </c>
      <c r="C3" s="36"/>
      <c r="D3" s="36"/>
      <c r="E3" s="36" t="s">
        <v>2</v>
      </c>
      <c r="F3" s="36"/>
      <c r="G3" s="36"/>
      <c r="H3" s="36" t="s">
        <v>3</v>
      </c>
      <c r="I3" s="36"/>
      <c r="J3" s="142"/>
    </row>
    <row r="4" spans="2:16" ht="15" thickBot="1" x14ac:dyDescent="0.25">
      <c r="B4" s="143" t="s">
        <v>4</v>
      </c>
      <c r="C4" s="147" t="s">
        <v>5</v>
      </c>
      <c r="D4" s="145">
        <v>0.87</v>
      </c>
      <c r="E4" s="144" t="s">
        <v>6</v>
      </c>
      <c r="F4" s="144" t="s">
        <v>7</v>
      </c>
      <c r="G4" s="146">
        <f>D8-D12</f>
        <v>156.80000000000001</v>
      </c>
      <c r="H4" s="147" t="s">
        <v>8</v>
      </c>
      <c r="I4" s="147" t="s">
        <v>9</v>
      </c>
      <c r="J4" s="148">
        <f>D20^2*(G21)/2*1000</f>
        <v>31777.409947256929</v>
      </c>
      <c r="M4" s="40"/>
    </row>
    <row r="5" spans="2:16" ht="12" customHeight="1" thickBot="1" x14ac:dyDescent="0.25">
      <c r="B5" s="56" t="s">
        <v>10</v>
      </c>
      <c r="C5" s="147" t="s">
        <v>11</v>
      </c>
      <c r="D5" s="54">
        <v>0.82</v>
      </c>
      <c r="E5" s="27" t="s">
        <v>12</v>
      </c>
      <c r="F5" s="27" t="s">
        <v>13</v>
      </c>
      <c r="G5" s="146">
        <f t="shared" ref="G5:G7" si="0">D9-D13</f>
        <v>177.2</v>
      </c>
      <c r="H5" s="27" t="s">
        <v>14</v>
      </c>
      <c r="I5" s="27" t="s">
        <v>15</v>
      </c>
      <c r="J5" s="148">
        <f>D21^2*(G22)/2*1000</f>
        <v>70826.397880361823</v>
      </c>
    </row>
    <row r="6" spans="2:16" ht="16.5" customHeight="1" thickBot="1" x14ac:dyDescent="0.25">
      <c r="B6" s="56" t="s">
        <v>16</v>
      </c>
      <c r="C6" s="147" t="s">
        <v>17</v>
      </c>
      <c r="D6" s="54">
        <v>1.02</v>
      </c>
      <c r="E6" s="27" t="s">
        <v>18</v>
      </c>
      <c r="F6" s="27" t="s">
        <v>19</v>
      </c>
      <c r="G6" s="146">
        <f t="shared" si="0"/>
        <v>163.80000000000001</v>
      </c>
      <c r="H6" s="27" t="s">
        <v>20</v>
      </c>
      <c r="I6" s="27" t="s">
        <v>21</v>
      </c>
      <c r="J6" s="45">
        <f>J4+J5</f>
        <v>102603.80782761876</v>
      </c>
    </row>
    <row r="7" spans="2:16" x14ac:dyDescent="0.2">
      <c r="B7" s="56" t="s">
        <v>22</v>
      </c>
      <c r="C7" s="147" t="s">
        <v>23</v>
      </c>
      <c r="D7" s="54">
        <v>1.02</v>
      </c>
      <c r="E7" s="27" t="s">
        <v>24</v>
      </c>
      <c r="F7" s="27" t="s">
        <v>25</v>
      </c>
      <c r="G7" s="146">
        <f t="shared" si="0"/>
        <v>184.2</v>
      </c>
      <c r="H7" s="27" t="s">
        <v>26</v>
      </c>
      <c r="I7" s="27" t="s">
        <v>27</v>
      </c>
      <c r="J7" s="45">
        <f>(G8+G9)*D1*G27</f>
        <v>2020.6259999999997</v>
      </c>
    </row>
    <row r="8" spans="2:16" x14ac:dyDescent="0.2">
      <c r="B8" s="56" t="s">
        <v>28</v>
      </c>
      <c r="C8" s="27" t="s">
        <v>29</v>
      </c>
      <c r="D8" s="54">
        <v>185.8</v>
      </c>
      <c r="E8" s="29" t="s">
        <v>30</v>
      </c>
      <c r="F8" s="27" t="s">
        <v>31</v>
      </c>
      <c r="G8" s="31">
        <f>G4+G5</f>
        <v>334</v>
      </c>
      <c r="H8" s="138" t="s">
        <v>32</v>
      </c>
      <c r="I8" s="29" t="s">
        <v>33</v>
      </c>
      <c r="J8" s="155">
        <f>J7/J6</f>
        <v>1.9693479635714752E-2</v>
      </c>
      <c r="K8" s="52">
        <f>J8*180/3.142</f>
        <v>1.1282069810403106</v>
      </c>
      <c r="L8" s="49" t="s">
        <v>34</v>
      </c>
      <c r="P8" s="42"/>
    </row>
    <row r="9" spans="2:16" x14ac:dyDescent="0.2">
      <c r="B9" s="56" t="s">
        <v>35</v>
      </c>
      <c r="C9" s="27" t="s">
        <v>36</v>
      </c>
      <c r="D9" s="54">
        <v>206.2</v>
      </c>
      <c r="E9" s="27" t="s">
        <v>37</v>
      </c>
      <c r="F9" s="27" t="s">
        <v>38</v>
      </c>
      <c r="G9" s="31">
        <f>G6+G7</f>
        <v>348</v>
      </c>
      <c r="H9" s="27" t="s">
        <v>39</v>
      </c>
      <c r="I9" s="27" t="s">
        <v>40</v>
      </c>
      <c r="J9" s="159">
        <f>((J8*G21*D20)/2)*1000</f>
        <v>425.71957528711812</v>
      </c>
      <c r="P9" s="34"/>
    </row>
    <row r="10" spans="2:16" x14ac:dyDescent="0.2">
      <c r="B10" s="56" t="s">
        <v>41</v>
      </c>
      <c r="C10" s="27" t="s">
        <v>42</v>
      </c>
      <c r="D10" s="54">
        <v>198.8</v>
      </c>
      <c r="E10" s="132" t="s">
        <v>43</v>
      </c>
      <c r="F10" s="132" t="s">
        <v>44</v>
      </c>
      <c r="G10" s="43">
        <f>G8+G9</f>
        <v>682</v>
      </c>
      <c r="H10" s="130" t="s">
        <v>45</v>
      </c>
      <c r="I10" s="29" t="s">
        <v>46</v>
      </c>
      <c r="J10" s="50">
        <f>((J8*G22*D21)/2)*1000</f>
        <v>917.64356863679996</v>
      </c>
    </row>
    <row r="11" spans="2:16" x14ac:dyDescent="0.2">
      <c r="B11" s="56" t="s">
        <v>47</v>
      </c>
      <c r="C11" s="27" t="s">
        <v>48</v>
      </c>
      <c r="D11" s="54">
        <v>219.2</v>
      </c>
      <c r="E11" s="132" t="s">
        <v>49</v>
      </c>
      <c r="F11" s="132" t="s">
        <v>50</v>
      </c>
      <c r="G11" s="136">
        <f>D8+D9+D10+D11</f>
        <v>810</v>
      </c>
      <c r="H11" s="28"/>
      <c r="I11" s="28"/>
      <c r="J11" s="46"/>
    </row>
    <row r="12" spans="2:16" x14ac:dyDescent="0.2">
      <c r="B12" s="56" t="s">
        <v>51</v>
      </c>
      <c r="C12" s="27" t="s">
        <v>52</v>
      </c>
      <c r="D12" s="55">
        <v>29</v>
      </c>
      <c r="E12" s="137" t="s">
        <v>53</v>
      </c>
      <c r="F12" s="137" t="s">
        <v>54</v>
      </c>
      <c r="G12" s="136">
        <f>D12+D13+D14+D15</f>
        <v>128</v>
      </c>
      <c r="H12" s="27" t="s">
        <v>55</v>
      </c>
      <c r="I12" s="29" t="s">
        <v>56</v>
      </c>
      <c r="J12" s="45">
        <f>(G8*D1*D27)/D20</f>
        <v>110.42448979591838</v>
      </c>
    </row>
    <row r="13" spans="2:16" x14ac:dyDescent="0.2">
      <c r="B13" s="56" t="s">
        <v>57</v>
      </c>
      <c r="C13" s="27" t="s">
        <v>58</v>
      </c>
      <c r="D13" s="54">
        <v>29</v>
      </c>
      <c r="E13" s="29" t="s">
        <v>59</v>
      </c>
      <c r="F13" s="27" t="s">
        <v>60</v>
      </c>
      <c r="G13" s="157">
        <f>D16*'Spring Rate Conversion'!$H$9</f>
        <v>41.154793300000001</v>
      </c>
      <c r="H13" s="27" t="s">
        <v>61</v>
      </c>
      <c r="I13" s="29" t="s">
        <v>62</v>
      </c>
      <c r="J13" s="45">
        <f>(G9*D1*D28)/D21</f>
        <v>315.26052631578943</v>
      </c>
    </row>
    <row r="14" spans="2:16" x14ac:dyDescent="0.2">
      <c r="B14" s="56" t="s">
        <v>63</v>
      </c>
      <c r="C14" s="27" t="s">
        <v>64</v>
      </c>
      <c r="D14" s="54">
        <v>35</v>
      </c>
      <c r="E14" s="29" t="s">
        <v>65</v>
      </c>
      <c r="F14" s="27" t="s">
        <v>66</v>
      </c>
      <c r="G14" s="157">
        <f>D17*'Spring Rate Conversion'!$H$9</f>
        <v>41.154793300000001</v>
      </c>
      <c r="H14" s="27" t="s">
        <v>67</v>
      </c>
      <c r="I14" s="29" t="s">
        <v>68</v>
      </c>
      <c r="J14" s="45">
        <f>((D12+D13)*D1*D23)/D20</f>
        <v>89.485714285714295</v>
      </c>
    </row>
    <row r="15" spans="2:16" x14ac:dyDescent="0.2">
      <c r="B15" s="56" t="s">
        <v>69</v>
      </c>
      <c r="C15" s="27" t="s">
        <v>70</v>
      </c>
      <c r="D15" s="54">
        <v>35</v>
      </c>
      <c r="E15" s="27" t="s">
        <v>71</v>
      </c>
      <c r="F15" s="27" t="s">
        <v>72</v>
      </c>
      <c r="G15" s="157">
        <f>D18*'Spring Rate Conversion'!$H$9</f>
        <v>58.842598080000002</v>
      </c>
      <c r="H15" s="27" t="s">
        <v>73</v>
      </c>
      <c r="I15" s="29" t="s">
        <v>74</v>
      </c>
      <c r="J15" s="45">
        <f>((D14+D15)*D1*D24)/D21</f>
        <v>104.44736842105264</v>
      </c>
    </row>
    <row r="16" spans="2:16" x14ac:dyDescent="0.2">
      <c r="B16" s="56" t="s">
        <v>75</v>
      </c>
      <c r="C16" s="27" t="s">
        <v>76</v>
      </c>
      <c r="D16" s="160">
        <v>235</v>
      </c>
      <c r="E16" s="27" t="s">
        <v>77</v>
      </c>
      <c r="F16" s="27" t="s">
        <v>78</v>
      </c>
      <c r="G16" s="157">
        <f>D19*'Spring Rate Conversion'!$H$9</f>
        <v>59.017724860000001</v>
      </c>
      <c r="H16" s="27"/>
      <c r="I16" s="132" t="s">
        <v>79</v>
      </c>
      <c r="J16" s="140">
        <f>J9+J12+J14</f>
        <v>625.62977936875075</v>
      </c>
    </row>
    <row r="17" spans="2:10" ht="13.5" thickBot="1" x14ac:dyDescent="0.25">
      <c r="B17" s="56" t="s">
        <v>80</v>
      </c>
      <c r="C17" s="27" t="s">
        <v>81</v>
      </c>
      <c r="D17" s="160">
        <v>235</v>
      </c>
      <c r="E17" s="27" t="s">
        <v>82</v>
      </c>
      <c r="F17" s="27" t="s">
        <v>83</v>
      </c>
      <c r="G17" s="122">
        <f>G13*D4^2</f>
        <v>31.150063048770001</v>
      </c>
      <c r="H17" s="27"/>
      <c r="I17" s="132" t="s">
        <v>84</v>
      </c>
      <c r="J17" s="141">
        <f>J10+J13+J15</f>
        <v>1337.351463373642</v>
      </c>
    </row>
    <row r="18" spans="2:10" ht="13.5" thickBot="1" x14ac:dyDescent="0.25">
      <c r="B18" s="56" t="s">
        <v>71</v>
      </c>
      <c r="C18" s="27" t="s">
        <v>85</v>
      </c>
      <c r="D18" s="54">
        <v>336</v>
      </c>
      <c r="E18" s="27" t="s">
        <v>86</v>
      </c>
      <c r="F18" s="27" t="s">
        <v>87</v>
      </c>
      <c r="G18" s="122">
        <f>G14*D5^2</f>
        <v>27.672483014919997</v>
      </c>
      <c r="H18" s="27"/>
      <c r="I18" s="139" t="s">
        <v>88</v>
      </c>
      <c r="J18" s="129">
        <f>J16+J17</f>
        <v>1962.9812427423926</v>
      </c>
    </row>
    <row r="19" spans="2:10" x14ac:dyDescent="0.2">
      <c r="B19" s="56" t="s">
        <v>77</v>
      </c>
      <c r="C19" s="27" t="s">
        <v>89</v>
      </c>
      <c r="D19" s="54">
        <v>337</v>
      </c>
      <c r="E19" s="27" t="s">
        <v>90</v>
      </c>
      <c r="F19" s="27" t="s">
        <v>91</v>
      </c>
      <c r="G19" s="122">
        <f>G15*D6^2</f>
        <v>61.219839042432</v>
      </c>
      <c r="H19" s="27" t="s">
        <v>92</v>
      </c>
      <c r="I19" s="27" t="s">
        <v>93</v>
      </c>
      <c r="J19" s="125">
        <f>D8*9.81+J16</f>
        <v>2448.3277793687507</v>
      </c>
    </row>
    <row r="20" spans="2:10" x14ac:dyDescent="0.2">
      <c r="B20" s="56" t="s">
        <v>94</v>
      </c>
      <c r="C20" s="27" t="s">
        <v>95</v>
      </c>
      <c r="D20" s="54">
        <v>1.47</v>
      </c>
      <c r="E20" s="27" t="s">
        <v>96</v>
      </c>
      <c r="F20" s="27" t="s">
        <v>97</v>
      </c>
      <c r="G20" s="122">
        <f t="shared" ref="G20" si="1">G16*D7^2</f>
        <v>61.402040944344002</v>
      </c>
      <c r="H20" s="29" t="s">
        <v>98</v>
      </c>
      <c r="I20" s="27" t="s">
        <v>99</v>
      </c>
      <c r="J20" s="125">
        <f>D9*9.81-J16</f>
        <v>1397.1922206312493</v>
      </c>
    </row>
    <row r="21" spans="2:10" x14ac:dyDescent="0.2">
      <c r="B21" s="56" t="s">
        <v>104</v>
      </c>
      <c r="C21" s="27" t="s">
        <v>105</v>
      </c>
      <c r="D21" s="54">
        <v>1.52</v>
      </c>
      <c r="E21" s="27" t="s">
        <v>100</v>
      </c>
      <c r="F21" s="27" t="s">
        <v>101</v>
      </c>
      <c r="G21" s="33">
        <f>(G17+G18)/2</f>
        <v>29.411273031844999</v>
      </c>
      <c r="H21" s="29"/>
      <c r="I21" s="27"/>
      <c r="J21" s="53"/>
    </row>
    <row r="22" spans="2:10" x14ac:dyDescent="0.2">
      <c r="B22" s="56" t="s">
        <v>110</v>
      </c>
      <c r="C22" s="27" t="s">
        <v>111</v>
      </c>
      <c r="D22" s="54">
        <v>2.5499999999999998</v>
      </c>
      <c r="E22" s="27" t="s">
        <v>102</v>
      </c>
      <c r="F22" s="27" t="s">
        <v>103</v>
      </c>
      <c r="G22" s="33">
        <f>(G19+G20)/2</f>
        <v>61.310939993388004</v>
      </c>
      <c r="H22" s="29"/>
      <c r="I22" s="27"/>
      <c r="J22" s="53"/>
    </row>
    <row r="23" spans="2:10" x14ac:dyDescent="0.2">
      <c r="B23" s="131" t="s">
        <v>116</v>
      </c>
      <c r="C23" s="132" t="s">
        <v>117</v>
      </c>
      <c r="D23" s="54">
        <v>0.28000000000000003</v>
      </c>
      <c r="E23" s="27" t="s">
        <v>106</v>
      </c>
      <c r="F23" s="29" t="s">
        <v>107</v>
      </c>
      <c r="G23" s="37">
        <f>((G9*D22)/G10)</f>
        <v>1.3011730205278591</v>
      </c>
      <c r="H23" s="29" t="s">
        <v>108</v>
      </c>
      <c r="I23" s="27" t="s">
        <v>109</v>
      </c>
      <c r="J23" s="53">
        <f>D10*9.81+J17</f>
        <v>3287.5794633736423</v>
      </c>
    </row>
    <row r="24" spans="2:10" ht="13.5" thickBot="1" x14ac:dyDescent="0.25">
      <c r="B24" s="133" t="s">
        <v>121</v>
      </c>
      <c r="C24" s="134" t="s">
        <v>122</v>
      </c>
      <c r="D24" s="135">
        <v>0.28000000000000003</v>
      </c>
      <c r="E24" s="27" t="s">
        <v>112</v>
      </c>
      <c r="F24" s="27" t="s">
        <v>113</v>
      </c>
      <c r="G24" s="43">
        <f>D28-D27</f>
        <v>0.11000000000000001</v>
      </c>
      <c r="H24" s="27" t="s">
        <v>114</v>
      </c>
      <c r="I24" s="27" t="s">
        <v>115</v>
      </c>
      <c r="J24" s="53">
        <f>D11*9.81-J17</f>
        <v>813.00053662635787</v>
      </c>
    </row>
    <row r="25" spans="2:10" x14ac:dyDescent="0.2">
      <c r="B25" s="153" t="s">
        <v>126</v>
      </c>
      <c r="C25" s="27" t="s">
        <v>127</v>
      </c>
      <c r="D25" s="54">
        <v>0.45</v>
      </c>
      <c r="E25" s="27" t="s">
        <v>118</v>
      </c>
      <c r="F25" s="27" t="s">
        <v>119</v>
      </c>
      <c r="G25" s="41">
        <f>(G24*G23)/D22</f>
        <v>5.6129032258064523E-2</v>
      </c>
      <c r="H25" s="27"/>
      <c r="I25" s="126" t="s">
        <v>120</v>
      </c>
      <c r="J25" s="127">
        <f>J19+J20+J23+J24</f>
        <v>7946.1</v>
      </c>
    </row>
    <row r="26" spans="2:10" ht="13.5" thickBot="1" x14ac:dyDescent="0.25">
      <c r="B26" s="56" t="s">
        <v>130</v>
      </c>
      <c r="C26" s="27" t="s">
        <v>131</v>
      </c>
      <c r="D26" s="156">
        <f>((D25*G11)-(SUM(D12:D13)*D23)-(SUM(D14:D15)*D24))/G10</f>
        <v>0.48190615835777123</v>
      </c>
      <c r="E26" s="27" t="s">
        <v>123</v>
      </c>
      <c r="F26" s="27" t="s">
        <v>124</v>
      </c>
      <c r="G26" s="43">
        <v>0.15</v>
      </c>
      <c r="H26" s="27"/>
      <c r="I26" s="51" t="s">
        <v>125</v>
      </c>
      <c r="J26" s="128">
        <f>G11*9.81</f>
        <v>7946.1</v>
      </c>
    </row>
    <row r="27" spans="2:10" ht="13.5" thickBot="1" x14ac:dyDescent="0.25">
      <c r="B27" s="56" t="s">
        <v>132</v>
      </c>
      <c r="C27" s="154" t="s">
        <v>172</v>
      </c>
      <c r="D27" s="54">
        <v>0.06</v>
      </c>
      <c r="E27" s="27" t="s">
        <v>128</v>
      </c>
      <c r="F27" s="27" t="s">
        <v>129</v>
      </c>
      <c r="G27" s="156">
        <f>D26-G25-D27</f>
        <v>0.3657771260997067</v>
      </c>
      <c r="H27" s="27"/>
      <c r="I27" s="27"/>
      <c r="J27" s="124"/>
    </row>
    <row r="28" spans="2:10" ht="13.5" thickBot="1" x14ac:dyDescent="0.25">
      <c r="B28" s="149" t="s">
        <v>135</v>
      </c>
      <c r="C28" s="154" t="s">
        <v>136</v>
      </c>
      <c r="D28" s="150">
        <v>0.17</v>
      </c>
      <c r="F28" s="27"/>
      <c r="G28" s="31"/>
      <c r="H28" s="27"/>
      <c r="I28" s="27"/>
      <c r="J28" s="123"/>
    </row>
    <row r="29" spans="2:10" ht="13.5" thickBot="1" x14ac:dyDescent="0.25">
      <c r="B29" t="s">
        <v>173</v>
      </c>
      <c r="C29" s="158">
        <f>J19-J20</f>
        <v>1051.1355587375015</v>
      </c>
      <c r="E29" s="27"/>
      <c r="F29" s="27"/>
      <c r="G29" s="31"/>
      <c r="H29" s="27" t="s">
        <v>133</v>
      </c>
      <c r="I29" s="48" t="s">
        <v>134</v>
      </c>
      <c r="J29" s="129">
        <f>(G11*D1*D25)/((D20+D21)/2)</f>
        <v>1974.8829431438128</v>
      </c>
    </row>
    <row r="30" spans="2:10" ht="13.5" thickBot="1" x14ac:dyDescent="0.25">
      <c r="B30" t="s">
        <v>174</v>
      </c>
      <c r="C30" s="158">
        <f>J23-J24</f>
        <v>2474.5789267472846</v>
      </c>
      <c r="E30" s="57"/>
      <c r="F30" s="57"/>
      <c r="G30" s="151"/>
      <c r="H30" s="57"/>
      <c r="I30" s="57"/>
      <c r="J30" s="152"/>
    </row>
    <row r="31" spans="2:10" x14ac:dyDescent="0.2">
      <c r="B31" t="s">
        <v>175</v>
      </c>
      <c r="C31" s="174">
        <f>C29-C30</f>
        <v>-1423.4433680097832</v>
      </c>
    </row>
    <row r="32" spans="2:10" ht="14.25" x14ac:dyDescent="0.2">
      <c r="B32" t="s">
        <v>176</v>
      </c>
      <c r="C32" s="174">
        <f>J17/J18*100</f>
        <v>68.128591055984245</v>
      </c>
      <c r="G32" s="38"/>
      <c r="H32" s="38"/>
      <c r="I32" s="38"/>
    </row>
    <row r="33" spans="2:9" ht="15" x14ac:dyDescent="0.25">
      <c r="G33" s="38"/>
      <c r="H33" s="39"/>
      <c r="I33" s="38"/>
    </row>
    <row r="37" spans="2:9" x14ac:dyDescent="0.2">
      <c r="B37" s="175" t="s">
        <v>177</v>
      </c>
      <c r="C37" s="175" t="s">
        <v>178</v>
      </c>
      <c r="D37" s="175"/>
      <c r="E37" s="175"/>
      <c r="F37" s="175"/>
      <c r="G37" s="175"/>
      <c r="H37" s="175"/>
      <c r="I37" s="175"/>
    </row>
    <row r="38" spans="2:9" x14ac:dyDescent="0.2">
      <c r="B38" s="175" t="s">
        <v>179</v>
      </c>
      <c r="C38" s="175" t="s">
        <v>184</v>
      </c>
      <c r="D38" s="175"/>
      <c r="E38" s="175"/>
      <c r="F38" s="175"/>
      <c r="G38" s="175"/>
      <c r="H38" s="175"/>
      <c r="I38" s="175"/>
    </row>
    <row r="39" spans="2:9" x14ac:dyDescent="0.2">
      <c r="B39" s="175" t="s">
        <v>180</v>
      </c>
      <c r="C39" s="175" t="s">
        <v>185</v>
      </c>
      <c r="D39" s="175"/>
      <c r="E39" s="175"/>
      <c r="F39" s="175"/>
      <c r="G39" s="175"/>
      <c r="H39" s="175"/>
      <c r="I39" s="17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11A2D-077A-4E50-8456-CB3060B7D404}">
  <dimension ref="B1:V38"/>
  <sheetViews>
    <sheetView zoomScale="90" zoomScaleNormal="90" workbookViewId="0">
      <selection activeCell="L29" sqref="L29"/>
    </sheetView>
  </sheetViews>
  <sheetFormatPr defaultRowHeight="12.75" x14ac:dyDescent="0.2"/>
  <cols>
    <col min="2" max="2" width="33.140625" bestFit="1" customWidth="1"/>
    <col min="3" max="3" width="51.7109375" customWidth="1"/>
    <col min="4" max="4" width="39.140625" customWidth="1"/>
    <col min="6" max="6" width="41.7109375" customWidth="1"/>
    <col min="7" max="7" width="13.710937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6" ht="18.75" thickBot="1" x14ac:dyDescent="0.3">
      <c r="C1" s="30" t="s">
        <v>0</v>
      </c>
      <c r="D1" s="44">
        <v>8.1</v>
      </c>
    </row>
    <row r="3" spans="2:16" ht="16.5" thickBot="1" x14ac:dyDescent="0.3">
      <c r="B3" s="35" t="s">
        <v>1</v>
      </c>
      <c r="C3" s="36"/>
      <c r="D3" s="36"/>
      <c r="E3" s="36" t="s">
        <v>2</v>
      </c>
      <c r="F3" s="36"/>
      <c r="G3" s="36"/>
      <c r="H3" s="36" t="s">
        <v>3</v>
      </c>
      <c r="I3" s="36"/>
      <c r="J3" s="142"/>
    </row>
    <row r="4" spans="2:16" ht="15" thickBot="1" x14ac:dyDescent="0.25">
      <c r="B4" s="143" t="s">
        <v>4</v>
      </c>
      <c r="C4" s="147" t="s">
        <v>5</v>
      </c>
      <c r="D4" s="145">
        <v>0.87</v>
      </c>
      <c r="E4" s="144" t="s">
        <v>6</v>
      </c>
      <c r="F4" s="144" t="s">
        <v>7</v>
      </c>
      <c r="G4" s="146">
        <f>D8-D12</f>
        <v>156.80000000000001</v>
      </c>
      <c r="H4" s="147" t="s">
        <v>8</v>
      </c>
      <c r="I4" s="147" t="s">
        <v>9</v>
      </c>
      <c r="J4" s="181">
        <f>D20^2*(G21)/2*1000</f>
        <v>31777.409947256929</v>
      </c>
      <c r="M4" s="40"/>
    </row>
    <row r="5" spans="2:16" ht="12" customHeight="1" thickBot="1" x14ac:dyDescent="0.25">
      <c r="B5" s="56" t="s">
        <v>10</v>
      </c>
      <c r="C5" s="147" t="s">
        <v>11</v>
      </c>
      <c r="D5" s="54">
        <v>0.82</v>
      </c>
      <c r="E5" s="27" t="s">
        <v>12</v>
      </c>
      <c r="F5" s="27" t="s">
        <v>13</v>
      </c>
      <c r="G5" s="146">
        <f t="shared" ref="G5:G7" si="0">D9-D13</f>
        <v>177.2</v>
      </c>
      <c r="H5" s="27" t="s">
        <v>14</v>
      </c>
      <c r="I5" s="27" t="s">
        <v>15</v>
      </c>
      <c r="J5" s="163">
        <f>D21^2*(G22)/2*1000</f>
        <v>33357.300039770555</v>
      </c>
    </row>
    <row r="6" spans="2:16" ht="16.5" customHeight="1" thickBot="1" x14ac:dyDescent="0.25">
      <c r="B6" s="56" t="s">
        <v>16</v>
      </c>
      <c r="C6" s="147" t="s">
        <v>17</v>
      </c>
      <c r="D6" s="160">
        <v>0.7</v>
      </c>
      <c r="E6" s="27" t="s">
        <v>18</v>
      </c>
      <c r="F6" s="27" t="s">
        <v>19</v>
      </c>
      <c r="G6" s="146">
        <f t="shared" si="0"/>
        <v>163.80000000000001</v>
      </c>
      <c r="H6" s="27" t="s">
        <v>20</v>
      </c>
      <c r="I6" s="27" t="s">
        <v>21</v>
      </c>
      <c r="J6" s="159">
        <f>J4+J5</f>
        <v>65134.709987027483</v>
      </c>
    </row>
    <row r="7" spans="2:16" x14ac:dyDescent="0.2">
      <c r="B7" s="56" t="s">
        <v>22</v>
      </c>
      <c r="C7" s="147" t="s">
        <v>23</v>
      </c>
      <c r="D7" s="160">
        <v>0.7</v>
      </c>
      <c r="E7" s="27" t="s">
        <v>24</v>
      </c>
      <c r="F7" s="27" t="s">
        <v>25</v>
      </c>
      <c r="G7" s="146">
        <f t="shared" si="0"/>
        <v>184.2</v>
      </c>
      <c r="H7" s="27" t="s">
        <v>26</v>
      </c>
      <c r="I7" s="27" t="s">
        <v>27</v>
      </c>
      <c r="J7" s="45">
        <f>(G8+G9)*D1*G27</f>
        <v>2020.6259999999997</v>
      </c>
    </row>
    <row r="8" spans="2:16" x14ac:dyDescent="0.2">
      <c r="B8" s="56" t="s">
        <v>28</v>
      </c>
      <c r="C8" s="27" t="s">
        <v>29</v>
      </c>
      <c r="D8" s="54">
        <v>185.8</v>
      </c>
      <c r="E8" s="29" t="s">
        <v>30</v>
      </c>
      <c r="F8" s="27" t="s">
        <v>31</v>
      </c>
      <c r="G8" s="31">
        <f>G4+G5</f>
        <v>334</v>
      </c>
      <c r="H8" s="138" t="s">
        <v>32</v>
      </c>
      <c r="I8" s="29" t="s">
        <v>33</v>
      </c>
      <c r="J8" s="164">
        <f>J7/J6</f>
        <v>3.1022261408739465E-2</v>
      </c>
      <c r="K8" s="180">
        <f>J8*180/3.142</f>
        <v>1.7772142118310326</v>
      </c>
      <c r="L8" s="49" t="s">
        <v>34</v>
      </c>
      <c r="P8" s="42"/>
    </row>
    <row r="9" spans="2:16" x14ac:dyDescent="0.2">
      <c r="B9" s="56" t="s">
        <v>35</v>
      </c>
      <c r="C9" s="27" t="s">
        <v>36</v>
      </c>
      <c r="D9" s="54">
        <v>206.2</v>
      </c>
      <c r="E9" s="27" t="s">
        <v>37</v>
      </c>
      <c r="F9" s="27" t="s">
        <v>38</v>
      </c>
      <c r="G9" s="31">
        <f>G6+G7</f>
        <v>348</v>
      </c>
      <c r="H9" s="27" t="s">
        <v>39</v>
      </c>
      <c r="I9" s="27" t="s">
        <v>40</v>
      </c>
      <c r="J9" s="159">
        <f>((J8*G21*D20)/2)*1000</f>
        <v>670.61708726291306</v>
      </c>
      <c r="P9" s="34"/>
    </row>
    <row r="10" spans="2:16" x14ac:dyDescent="0.2">
      <c r="B10" s="56" t="s">
        <v>41</v>
      </c>
      <c r="C10" s="27" t="s">
        <v>42</v>
      </c>
      <c r="D10" s="54">
        <v>198.8</v>
      </c>
      <c r="E10" s="132" t="s">
        <v>43</v>
      </c>
      <c r="F10" s="132" t="s">
        <v>44</v>
      </c>
      <c r="G10" s="43">
        <f>G8+G9</f>
        <v>682</v>
      </c>
      <c r="H10" s="130" t="s">
        <v>45</v>
      </c>
      <c r="I10" s="29" t="s">
        <v>46</v>
      </c>
      <c r="J10" s="159">
        <f>((J8*G22*D21)/2)*1000</f>
        <v>680.80189587073528</v>
      </c>
    </row>
    <row r="11" spans="2:16" x14ac:dyDescent="0.2">
      <c r="B11" s="56" t="s">
        <v>47</v>
      </c>
      <c r="C11" s="27" t="s">
        <v>48</v>
      </c>
      <c r="D11" s="54">
        <v>219.2</v>
      </c>
      <c r="E11" s="132" t="s">
        <v>49</v>
      </c>
      <c r="F11" s="132" t="s">
        <v>50</v>
      </c>
      <c r="G11" s="136">
        <f>D8+D9+D10+D11</f>
        <v>810</v>
      </c>
      <c r="H11" s="28"/>
      <c r="I11" s="28"/>
      <c r="J11" s="46"/>
    </row>
    <row r="12" spans="2:16" x14ac:dyDescent="0.2">
      <c r="B12" s="56" t="s">
        <v>51</v>
      </c>
      <c r="C12" s="27" t="s">
        <v>52</v>
      </c>
      <c r="D12" s="55">
        <v>29</v>
      </c>
      <c r="E12" s="137" t="s">
        <v>53</v>
      </c>
      <c r="F12" s="137" t="s">
        <v>54</v>
      </c>
      <c r="G12" s="136">
        <f>D12+D13+D14+D15</f>
        <v>128</v>
      </c>
      <c r="H12" s="27" t="s">
        <v>55</v>
      </c>
      <c r="I12" s="29" t="s">
        <v>56</v>
      </c>
      <c r="J12" s="45">
        <f>(G8*D1*D27)/D20</f>
        <v>110.42448979591838</v>
      </c>
    </row>
    <row r="13" spans="2:16" x14ac:dyDescent="0.2">
      <c r="B13" s="56" t="s">
        <v>57</v>
      </c>
      <c r="C13" s="27" t="s">
        <v>58</v>
      </c>
      <c r="D13" s="54">
        <v>29</v>
      </c>
      <c r="E13" s="29" t="s">
        <v>59</v>
      </c>
      <c r="F13" s="27" t="s">
        <v>60</v>
      </c>
      <c r="G13" s="157">
        <f>D16*'Spring Rate Conversion'!$H$9</f>
        <v>41.154793300000001</v>
      </c>
      <c r="H13" s="27" t="s">
        <v>61</v>
      </c>
      <c r="I13" s="29" t="s">
        <v>62</v>
      </c>
      <c r="J13" s="45">
        <f>(G9*D1*D28)/D21</f>
        <v>315.26052631578943</v>
      </c>
    </row>
    <row r="14" spans="2:16" x14ac:dyDescent="0.2">
      <c r="B14" s="56" t="s">
        <v>63</v>
      </c>
      <c r="C14" s="27" t="s">
        <v>64</v>
      </c>
      <c r="D14" s="54">
        <v>35</v>
      </c>
      <c r="E14" s="29" t="s">
        <v>65</v>
      </c>
      <c r="F14" s="27" t="s">
        <v>66</v>
      </c>
      <c r="G14" s="157">
        <f>D17*'Spring Rate Conversion'!$H$9</f>
        <v>41.154793300000001</v>
      </c>
      <c r="H14" s="27" t="s">
        <v>67</v>
      </c>
      <c r="I14" s="29" t="s">
        <v>68</v>
      </c>
      <c r="J14" s="45">
        <f>((D12+D13)*D1*D23)/D20</f>
        <v>89.485714285714295</v>
      </c>
    </row>
    <row r="15" spans="2:16" x14ac:dyDescent="0.2">
      <c r="B15" s="56" t="s">
        <v>69</v>
      </c>
      <c r="C15" s="27" t="s">
        <v>70</v>
      </c>
      <c r="D15" s="54">
        <v>35</v>
      </c>
      <c r="E15" s="27" t="s">
        <v>71</v>
      </c>
      <c r="F15" s="27" t="s">
        <v>72</v>
      </c>
      <c r="G15" s="157">
        <f>D18*'Spring Rate Conversion'!$H$9</f>
        <v>58.842598080000002</v>
      </c>
      <c r="H15" s="27" t="s">
        <v>73</v>
      </c>
      <c r="I15" s="29" t="s">
        <v>74</v>
      </c>
      <c r="J15" s="45">
        <f>((D14+D15)*D1*D24)/D21</f>
        <v>104.44736842105264</v>
      </c>
    </row>
    <row r="16" spans="2:16" x14ac:dyDescent="0.2">
      <c r="B16" s="56" t="s">
        <v>75</v>
      </c>
      <c r="C16" s="27" t="s">
        <v>76</v>
      </c>
      <c r="D16" s="54">
        <v>235</v>
      </c>
      <c r="E16" s="27" t="s">
        <v>77</v>
      </c>
      <c r="F16" s="27" t="s">
        <v>78</v>
      </c>
      <c r="G16" s="157">
        <f>D19*'Spring Rate Conversion'!$H$9</f>
        <v>59.017724860000001</v>
      </c>
      <c r="H16" s="27"/>
      <c r="I16" s="132" t="s">
        <v>79</v>
      </c>
      <c r="J16" s="165">
        <f>J9+J12+J14</f>
        <v>870.52729134454569</v>
      </c>
    </row>
    <row r="17" spans="2:10" ht="13.5" thickBot="1" x14ac:dyDescent="0.25">
      <c r="B17" s="56" t="s">
        <v>80</v>
      </c>
      <c r="C17" s="27" t="s">
        <v>81</v>
      </c>
      <c r="D17" s="54">
        <v>235</v>
      </c>
      <c r="E17" s="27" t="s">
        <v>82</v>
      </c>
      <c r="F17" s="27" t="s">
        <v>83</v>
      </c>
      <c r="G17" s="122">
        <f>G13*D4^2</f>
        <v>31.150063048770001</v>
      </c>
      <c r="H17" s="27"/>
      <c r="I17" s="132" t="s">
        <v>84</v>
      </c>
      <c r="J17" s="166">
        <f>J10+J13+J15</f>
        <v>1100.5097906075773</v>
      </c>
    </row>
    <row r="18" spans="2:10" ht="13.5" thickBot="1" x14ac:dyDescent="0.25">
      <c r="B18" s="56" t="s">
        <v>71</v>
      </c>
      <c r="C18" s="27" t="s">
        <v>85</v>
      </c>
      <c r="D18" s="54">
        <v>336</v>
      </c>
      <c r="E18" s="27" t="s">
        <v>86</v>
      </c>
      <c r="F18" s="27" t="s">
        <v>87</v>
      </c>
      <c r="G18" s="122">
        <f>G14*D5^2</f>
        <v>27.672483014919997</v>
      </c>
      <c r="H18" s="27"/>
      <c r="I18" s="139" t="s">
        <v>88</v>
      </c>
      <c r="J18" s="168">
        <f>J16+J17</f>
        <v>1971.0370819521231</v>
      </c>
    </row>
    <row r="19" spans="2:10" x14ac:dyDescent="0.2">
      <c r="B19" s="56" t="s">
        <v>77</v>
      </c>
      <c r="C19" s="27" t="s">
        <v>89</v>
      </c>
      <c r="D19" s="54">
        <v>337</v>
      </c>
      <c r="E19" s="27" t="s">
        <v>90</v>
      </c>
      <c r="F19" s="27" t="s">
        <v>91</v>
      </c>
      <c r="G19" s="161">
        <f>G15*D6^2</f>
        <v>28.832873059199997</v>
      </c>
      <c r="H19" s="27" t="s">
        <v>92</v>
      </c>
      <c r="I19" s="27" t="s">
        <v>93</v>
      </c>
      <c r="J19" s="167">
        <f>D8*9.81+J16</f>
        <v>2693.2252913445459</v>
      </c>
    </row>
    <row r="20" spans="2:10" x14ac:dyDescent="0.2">
      <c r="B20" s="56" t="s">
        <v>94</v>
      </c>
      <c r="C20" s="27" t="s">
        <v>95</v>
      </c>
      <c r="D20" s="54">
        <v>1.47</v>
      </c>
      <c r="E20" s="27" t="s">
        <v>96</v>
      </c>
      <c r="F20" s="27" t="s">
        <v>97</v>
      </c>
      <c r="G20" s="161">
        <f t="shared" ref="G20" si="1">G16*D7^2</f>
        <v>28.918685181399997</v>
      </c>
      <c r="H20" s="29" t="s">
        <v>98</v>
      </c>
      <c r="I20" s="27" t="s">
        <v>99</v>
      </c>
      <c r="J20" s="167">
        <f>D9*9.81-J16</f>
        <v>1152.2947086554541</v>
      </c>
    </row>
    <row r="21" spans="2:10" x14ac:dyDescent="0.2">
      <c r="B21" s="56" t="s">
        <v>104</v>
      </c>
      <c r="C21" s="27" t="s">
        <v>105</v>
      </c>
      <c r="D21" s="54">
        <v>1.52</v>
      </c>
      <c r="E21" s="27" t="s">
        <v>100</v>
      </c>
      <c r="F21" s="27" t="s">
        <v>101</v>
      </c>
      <c r="G21" s="162">
        <f>(G17+G18)/2</f>
        <v>29.411273031844999</v>
      </c>
      <c r="H21" s="29"/>
      <c r="I21" s="27"/>
      <c r="J21" s="179"/>
    </row>
    <row r="22" spans="2:10" x14ac:dyDescent="0.2">
      <c r="B22" s="56" t="s">
        <v>110</v>
      </c>
      <c r="C22" s="27" t="s">
        <v>111</v>
      </c>
      <c r="D22" s="54">
        <v>2.5499999999999998</v>
      </c>
      <c r="E22" s="27" t="s">
        <v>102</v>
      </c>
      <c r="F22" s="27" t="s">
        <v>103</v>
      </c>
      <c r="G22" s="162">
        <f>(G19+G20)/2</f>
        <v>28.875779120299995</v>
      </c>
      <c r="H22" s="29"/>
      <c r="I22" s="27"/>
      <c r="J22" s="179"/>
    </row>
    <row r="23" spans="2:10" x14ac:dyDescent="0.2">
      <c r="B23" s="131" t="s">
        <v>116</v>
      </c>
      <c r="C23" s="132" t="s">
        <v>117</v>
      </c>
      <c r="D23" s="54">
        <v>0.28000000000000003</v>
      </c>
      <c r="E23" s="27" t="s">
        <v>106</v>
      </c>
      <c r="F23" s="29" t="s">
        <v>107</v>
      </c>
      <c r="G23" s="43">
        <f>((G9*D22)/G10)</f>
        <v>1.3011730205278591</v>
      </c>
      <c r="H23" s="29" t="s">
        <v>108</v>
      </c>
      <c r="I23" s="27" t="s">
        <v>109</v>
      </c>
      <c r="J23" s="169">
        <f>D10*9.81+J17</f>
        <v>3050.7377906075776</v>
      </c>
    </row>
    <row r="24" spans="2:10" ht="13.5" thickBot="1" x14ac:dyDescent="0.25">
      <c r="B24" s="133" t="s">
        <v>121</v>
      </c>
      <c r="C24" s="134" t="s">
        <v>122</v>
      </c>
      <c r="D24" s="135">
        <v>0.28000000000000003</v>
      </c>
      <c r="E24" s="27" t="s">
        <v>112</v>
      </c>
      <c r="F24" s="27" t="s">
        <v>113</v>
      </c>
      <c r="G24" s="43">
        <f>D28-D27</f>
        <v>0.11000000000000001</v>
      </c>
      <c r="H24" s="27" t="s">
        <v>114</v>
      </c>
      <c r="I24" s="27" t="s">
        <v>115</v>
      </c>
      <c r="J24" s="169">
        <f>D11*9.81-J17</f>
        <v>1049.8422093924225</v>
      </c>
    </row>
    <row r="25" spans="2:10" x14ac:dyDescent="0.2">
      <c r="B25" s="153" t="s">
        <v>126</v>
      </c>
      <c r="C25" s="27" t="s">
        <v>127</v>
      </c>
      <c r="D25" s="54">
        <v>0.45</v>
      </c>
      <c r="E25" s="27" t="s">
        <v>118</v>
      </c>
      <c r="F25" s="27" t="s">
        <v>119</v>
      </c>
      <c r="G25" s="43">
        <f>(G24*G23)/D22</f>
        <v>5.6129032258064523E-2</v>
      </c>
      <c r="H25" s="27"/>
      <c r="I25" s="126" t="s">
        <v>120</v>
      </c>
      <c r="J25" s="170">
        <f>J19+J20+J23+J24</f>
        <v>7946.1</v>
      </c>
    </row>
    <row r="26" spans="2:10" ht="13.5" thickBot="1" x14ac:dyDescent="0.25">
      <c r="B26" s="56" t="s">
        <v>130</v>
      </c>
      <c r="C26" s="27" t="s">
        <v>131</v>
      </c>
      <c r="D26" s="176">
        <f>((D25*G11)-(SUM(D12:D13)*D23)-(SUM(D14:D15)*D24))/G10</f>
        <v>0.48190615835777123</v>
      </c>
      <c r="E26" s="27" t="s">
        <v>123</v>
      </c>
      <c r="F26" s="27" t="s">
        <v>124</v>
      </c>
      <c r="G26" s="43">
        <v>0.15</v>
      </c>
      <c r="H26" s="27"/>
      <c r="I26" s="51" t="s">
        <v>125</v>
      </c>
      <c r="J26" s="182">
        <f>G11*9.81</f>
        <v>7946.1</v>
      </c>
    </row>
    <row r="27" spans="2:10" ht="13.5" thickBot="1" x14ac:dyDescent="0.25">
      <c r="B27" s="56" t="s">
        <v>132</v>
      </c>
      <c r="C27" s="154" t="s">
        <v>172</v>
      </c>
      <c r="D27" s="54">
        <v>0.06</v>
      </c>
      <c r="E27" s="27" t="s">
        <v>128</v>
      </c>
      <c r="F27" s="27" t="s">
        <v>129</v>
      </c>
      <c r="G27" s="177">
        <f>D26-G25-D27</f>
        <v>0.3657771260997067</v>
      </c>
      <c r="H27" s="27"/>
      <c r="I27" s="27"/>
      <c r="J27" s="124"/>
    </row>
    <row r="28" spans="2:10" ht="13.5" thickBot="1" x14ac:dyDescent="0.25">
      <c r="B28" s="149" t="s">
        <v>135</v>
      </c>
      <c r="C28" s="154" t="s">
        <v>136</v>
      </c>
      <c r="D28" s="150">
        <v>0.17</v>
      </c>
      <c r="F28" s="27"/>
      <c r="G28" s="31"/>
      <c r="H28" s="27"/>
      <c r="I28" s="27"/>
      <c r="J28" s="123"/>
    </row>
    <row r="29" spans="2:10" ht="13.5" thickBot="1" x14ac:dyDescent="0.25">
      <c r="B29" t="s">
        <v>173</v>
      </c>
      <c r="C29" s="172">
        <f>J19-J20</f>
        <v>1540.9305826890918</v>
      </c>
      <c r="E29" s="27"/>
      <c r="F29" s="27"/>
      <c r="G29" s="31"/>
      <c r="H29" s="27" t="s">
        <v>133</v>
      </c>
      <c r="I29" s="48" t="s">
        <v>134</v>
      </c>
      <c r="J29" s="178">
        <f>(G11*D1*D25)/((D20+D21)/2)</f>
        <v>1974.8829431438128</v>
      </c>
    </row>
    <row r="30" spans="2:10" ht="13.5" thickBot="1" x14ac:dyDescent="0.25">
      <c r="B30" t="s">
        <v>174</v>
      </c>
      <c r="C30" s="172">
        <f>J23-J24</f>
        <v>2000.8955812151551</v>
      </c>
      <c r="E30" s="57"/>
      <c r="F30" s="57"/>
      <c r="G30" s="151"/>
      <c r="H30" s="57"/>
      <c r="I30" s="57"/>
      <c r="J30" s="152"/>
    </row>
    <row r="31" spans="2:10" x14ac:dyDescent="0.2">
      <c r="B31" t="s">
        <v>175</v>
      </c>
      <c r="C31" s="173">
        <f>C29-C30</f>
        <v>-459.96499852606325</v>
      </c>
    </row>
    <row r="32" spans="2:10" ht="14.25" x14ac:dyDescent="0.2">
      <c r="B32" t="s">
        <v>176</v>
      </c>
      <c r="C32" s="173">
        <f>J17/J18*100</f>
        <v>55.834048008758309</v>
      </c>
      <c r="G32" s="38"/>
      <c r="H32" s="38"/>
      <c r="I32" s="38"/>
    </row>
    <row r="33" spans="2:22" ht="15" x14ac:dyDescent="0.25">
      <c r="G33" s="38"/>
      <c r="H33" s="39"/>
      <c r="I33" s="38"/>
    </row>
    <row r="37" spans="2:22" x14ac:dyDescent="0.2">
      <c r="B37" s="175" t="s">
        <v>181</v>
      </c>
      <c r="C37" s="175" t="s">
        <v>186</v>
      </c>
      <c r="D37" s="175"/>
      <c r="E37" s="175"/>
      <c r="F37" s="175"/>
      <c r="G37" s="175"/>
      <c r="H37" s="175"/>
      <c r="I37" s="175"/>
      <c r="J37" s="175"/>
      <c r="K37" s="175"/>
      <c r="L37" s="175"/>
      <c r="M37" s="175"/>
      <c r="N37" s="175"/>
      <c r="O37" s="175"/>
      <c r="P37" s="175"/>
      <c r="Q37" s="175"/>
      <c r="R37" s="175"/>
      <c r="S37" s="175"/>
      <c r="T37" s="175"/>
      <c r="U37" s="175"/>
      <c r="V37" s="175"/>
    </row>
    <row r="38" spans="2:22" x14ac:dyDescent="0.2">
      <c r="B38" s="175" t="s">
        <v>188</v>
      </c>
      <c r="C38" s="175" t="s">
        <v>187</v>
      </c>
      <c r="D38" s="175"/>
      <c r="E38" s="175"/>
      <c r="F38" s="175"/>
      <c r="G38" s="175"/>
      <c r="H38" s="175"/>
      <c r="I38" s="175"/>
      <c r="J38" s="175"/>
      <c r="K38" s="175"/>
      <c r="L38" s="175"/>
      <c r="M38" s="175"/>
      <c r="N38" s="175"/>
      <c r="O38" s="175"/>
      <c r="P38" s="175"/>
      <c r="Q38" s="175"/>
      <c r="R38" s="175"/>
      <c r="S38" s="175"/>
      <c r="T38" s="175"/>
      <c r="U38" s="175"/>
      <c r="V38" s="175"/>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F66A8-7E07-4D80-A99A-126F325A3042}">
  <dimension ref="B1:P33"/>
  <sheetViews>
    <sheetView zoomScale="90" zoomScaleNormal="90" workbookViewId="0">
      <selection activeCell="C35" sqref="C35"/>
    </sheetView>
  </sheetViews>
  <sheetFormatPr defaultRowHeight="12.75" x14ac:dyDescent="0.2"/>
  <cols>
    <col min="2" max="2" width="33.140625" bestFit="1" customWidth="1"/>
    <col min="3" max="3" width="51.7109375" customWidth="1"/>
    <col min="4" max="4" width="39.140625" customWidth="1"/>
    <col min="6" max="6" width="41.7109375" customWidth="1"/>
    <col min="7" max="7" width="13.710937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6" ht="18.75" thickBot="1" x14ac:dyDescent="0.3">
      <c r="C1" s="30" t="s">
        <v>0</v>
      </c>
      <c r="D1" s="44">
        <v>8.1</v>
      </c>
    </row>
    <row r="3" spans="2:16" ht="16.5" thickBot="1" x14ac:dyDescent="0.3">
      <c r="B3" s="35" t="s">
        <v>1</v>
      </c>
      <c r="C3" s="36"/>
      <c r="D3" s="36"/>
      <c r="E3" s="36" t="s">
        <v>2</v>
      </c>
      <c r="F3" s="36"/>
      <c r="G3" s="36"/>
      <c r="H3" s="36" t="s">
        <v>3</v>
      </c>
      <c r="I3" s="36"/>
      <c r="J3" s="142"/>
    </row>
    <row r="4" spans="2:16" ht="15" thickBot="1" x14ac:dyDescent="0.25">
      <c r="B4" s="143" t="s">
        <v>4</v>
      </c>
      <c r="C4" s="147" t="s">
        <v>5</v>
      </c>
      <c r="D4" s="145">
        <v>0.87</v>
      </c>
      <c r="E4" s="144" t="s">
        <v>6</v>
      </c>
      <c r="F4" s="144" t="s">
        <v>7</v>
      </c>
      <c r="G4" s="146">
        <f>D8-D12</f>
        <v>156.80000000000001</v>
      </c>
      <c r="H4" s="147" t="s">
        <v>8</v>
      </c>
      <c r="I4" s="147" t="s">
        <v>9</v>
      </c>
      <c r="J4" s="163">
        <f>D20^2*(G21)/2*1000</f>
        <v>31777.409947256929</v>
      </c>
      <c r="M4" s="40"/>
    </row>
    <row r="5" spans="2:16" ht="12" customHeight="1" thickBot="1" x14ac:dyDescent="0.25">
      <c r="B5" s="56" t="s">
        <v>10</v>
      </c>
      <c r="C5" s="147" t="s">
        <v>11</v>
      </c>
      <c r="D5" s="54">
        <v>0.82</v>
      </c>
      <c r="E5" s="27" t="s">
        <v>12</v>
      </c>
      <c r="F5" s="27" t="s">
        <v>13</v>
      </c>
      <c r="G5" s="146">
        <f t="shared" ref="G5:G7" si="0">D9-D13</f>
        <v>177.2</v>
      </c>
      <c r="H5" s="27" t="s">
        <v>14</v>
      </c>
      <c r="I5" s="27" t="s">
        <v>15</v>
      </c>
      <c r="J5" s="163">
        <f>D21^2*(G22)/2*1000</f>
        <v>23692.109092140156</v>
      </c>
    </row>
    <row r="6" spans="2:16" ht="16.5" customHeight="1" thickBot="1" x14ac:dyDescent="0.25">
      <c r="B6" s="56" t="s">
        <v>16</v>
      </c>
      <c r="C6" s="147" t="s">
        <v>17</v>
      </c>
      <c r="D6" s="160">
        <v>0.7</v>
      </c>
      <c r="E6" s="27" t="s">
        <v>18</v>
      </c>
      <c r="F6" s="27" t="s">
        <v>19</v>
      </c>
      <c r="G6" s="146">
        <f t="shared" si="0"/>
        <v>163.80000000000001</v>
      </c>
      <c r="H6" s="27" t="s">
        <v>20</v>
      </c>
      <c r="I6" s="27" t="s">
        <v>21</v>
      </c>
      <c r="J6" s="159">
        <f>J4+J5</f>
        <v>55469.519039397084</v>
      </c>
    </row>
    <row r="7" spans="2:16" x14ac:dyDescent="0.2">
      <c r="B7" s="56" t="s">
        <v>22</v>
      </c>
      <c r="C7" s="147" t="s">
        <v>23</v>
      </c>
      <c r="D7" s="160">
        <v>0.7</v>
      </c>
      <c r="E7" s="27" t="s">
        <v>24</v>
      </c>
      <c r="F7" s="27" t="s">
        <v>25</v>
      </c>
      <c r="G7" s="146">
        <f t="shared" si="0"/>
        <v>184.2</v>
      </c>
      <c r="H7" s="27" t="s">
        <v>26</v>
      </c>
      <c r="I7" s="27" t="s">
        <v>27</v>
      </c>
      <c r="J7" s="45">
        <f>(G8+G9)*D1*G27</f>
        <v>2020.6259999999997</v>
      </c>
    </row>
    <row r="8" spans="2:16" x14ac:dyDescent="0.2">
      <c r="B8" s="56" t="s">
        <v>28</v>
      </c>
      <c r="C8" s="27" t="s">
        <v>29</v>
      </c>
      <c r="D8" s="54">
        <v>185.8</v>
      </c>
      <c r="E8" s="29" t="s">
        <v>30</v>
      </c>
      <c r="F8" s="27" t="s">
        <v>31</v>
      </c>
      <c r="G8" s="31">
        <f>G4+G5</f>
        <v>334</v>
      </c>
      <c r="H8" s="138" t="s">
        <v>32</v>
      </c>
      <c r="I8" s="29" t="s">
        <v>33</v>
      </c>
      <c r="J8" s="164">
        <f>J7/J6</f>
        <v>3.6427681995310893E-2</v>
      </c>
      <c r="K8" s="52">
        <f>J8*180/3.142</f>
        <v>2.0868818456893576</v>
      </c>
      <c r="L8" s="49" t="s">
        <v>34</v>
      </c>
      <c r="P8" s="42"/>
    </row>
    <row r="9" spans="2:16" x14ac:dyDescent="0.2">
      <c r="B9" s="56" t="s">
        <v>35</v>
      </c>
      <c r="C9" s="27" t="s">
        <v>36</v>
      </c>
      <c r="D9" s="54">
        <v>206.2</v>
      </c>
      <c r="E9" s="27" t="s">
        <v>37</v>
      </c>
      <c r="F9" s="27" t="s">
        <v>38</v>
      </c>
      <c r="G9" s="31">
        <f>G6+G7</f>
        <v>348</v>
      </c>
      <c r="H9" s="27" t="s">
        <v>39</v>
      </c>
      <c r="I9" s="27" t="s">
        <v>40</v>
      </c>
      <c r="J9" s="159">
        <f>((J8*G21*D20)/2)*1000</f>
        <v>787.46760829476489</v>
      </c>
      <c r="P9" s="34"/>
    </row>
    <row r="10" spans="2:16" x14ac:dyDescent="0.2">
      <c r="B10" s="56" t="s">
        <v>41</v>
      </c>
      <c r="C10" s="27" t="s">
        <v>42</v>
      </c>
      <c r="D10" s="54">
        <v>198.8</v>
      </c>
      <c r="E10" s="132" t="s">
        <v>43</v>
      </c>
      <c r="F10" s="132" t="s">
        <v>44</v>
      </c>
      <c r="G10" s="43">
        <f>G8+G9</f>
        <v>682</v>
      </c>
      <c r="H10" s="130" t="s">
        <v>45</v>
      </c>
      <c r="I10" s="29" t="s">
        <v>46</v>
      </c>
      <c r="J10" s="159">
        <f>((J8*G22*D21)/2)*1000</f>
        <v>567.79514197808908</v>
      </c>
    </row>
    <row r="11" spans="2:16" x14ac:dyDescent="0.2">
      <c r="B11" s="56" t="s">
        <v>47</v>
      </c>
      <c r="C11" s="27" t="s">
        <v>48</v>
      </c>
      <c r="D11" s="54">
        <v>219.2</v>
      </c>
      <c r="E11" s="132" t="s">
        <v>49</v>
      </c>
      <c r="F11" s="132" t="s">
        <v>50</v>
      </c>
      <c r="G11" s="136">
        <f>D8+D9+D10+D11</f>
        <v>810</v>
      </c>
      <c r="H11" s="28"/>
      <c r="I11" s="28"/>
      <c r="J11" s="46"/>
    </row>
    <row r="12" spans="2:16" x14ac:dyDescent="0.2">
      <c r="B12" s="56" t="s">
        <v>51</v>
      </c>
      <c r="C12" s="27" t="s">
        <v>52</v>
      </c>
      <c r="D12" s="55">
        <v>29</v>
      </c>
      <c r="E12" s="137" t="s">
        <v>53</v>
      </c>
      <c r="F12" s="137" t="s">
        <v>54</v>
      </c>
      <c r="G12" s="136">
        <f>D12+D13+D14+D15</f>
        <v>128</v>
      </c>
      <c r="H12" s="27" t="s">
        <v>55</v>
      </c>
      <c r="I12" s="29" t="s">
        <v>56</v>
      </c>
      <c r="J12" s="45">
        <f>(G8*D1*D27)/D20</f>
        <v>110.42448979591838</v>
      </c>
    </row>
    <row r="13" spans="2:16" x14ac:dyDescent="0.2">
      <c r="B13" s="56" t="s">
        <v>57</v>
      </c>
      <c r="C13" s="27" t="s">
        <v>58</v>
      </c>
      <c r="D13" s="54">
        <v>29</v>
      </c>
      <c r="E13" s="29" t="s">
        <v>59</v>
      </c>
      <c r="F13" s="27" t="s">
        <v>60</v>
      </c>
      <c r="G13" s="157">
        <f>D16*'Spring Rate Conversion'!$H$9</f>
        <v>41.154793300000001</v>
      </c>
      <c r="H13" s="27" t="s">
        <v>61</v>
      </c>
      <c r="I13" s="29" t="s">
        <v>62</v>
      </c>
      <c r="J13" s="45">
        <f>(G9*D1*D28)/D21</f>
        <v>315.26052631578943</v>
      </c>
    </row>
    <row r="14" spans="2:16" x14ac:dyDescent="0.2">
      <c r="B14" s="56" t="s">
        <v>63</v>
      </c>
      <c r="C14" s="27" t="s">
        <v>64</v>
      </c>
      <c r="D14" s="54">
        <v>35</v>
      </c>
      <c r="E14" s="29" t="s">
        <v>65</v>
      </c>
      <c r="F14" s="27" t="s">
        <v>66</v>
      </c>
      <c r="G14" s="157">
        <f>D17*'Spring Rate Conversion'!$H$9</f>
        <v>41.154793300000001</v>
      </c>
      <c r="H14" s="27" t="s">
        <v>67</v>
      </c>
      <c r="I14" s="29" t="s">
        <v>68</v>
      </c>
      <c r="J14" s="45">
        <f>((D12+D13)*D1*D23)/D20</f>
        <v>89.485714285714295</v>
      </c>
    </row>
    <row r="15" spans="2:16" x14ac:dyDescent="0.2">
      <c r="B15" s="56" t="s">
        <v>69</v>
      </c>
      <c r="C15" s="27" t="s">
        <v>70</v>
      </c>
      <c r="D15" s="54">
        <v>35</v>
      </c>
      <c r="E15" s="27" t="s">
        <v>71</v>
      </c>
      <c r="F15" s="27" t="s">
        <v>72</v>
      </c>
      <c r="G15" s="157">
        <f>D18*'Spring Rate Conversion'!$H$9</f>
        <v>41.855300419999999</v>
      </c>
      <c r="H15" s="27" t="s">
        <v>73</v>
      </c>
      <c r="I15" s="29" t="s">
        <v>74</v>
      </c>
      <c r="J15" s="45">
        <f>((D14+D15)*D1*D24)/D21</f>
        <v>104.44736842105264</v>
      </c>
    </row>
    <row r="16" spans="2:16" x14ac:dyDescent="0.2">
      <c r="B16" s="56" t="s">
        <v>75</v>
      </c>
      <c r="C16" s="27" t="s">
        <v>76</v>
      </c>
      <c r="D16" s="55">
        <v>235</v>
      </c>
      <c r="E16" s="27" t="s">
        <v>77</v>
      </c>
      <c r="F16" s="27" t="s">
        <v>78</v>
      </c>
      <c r="G16" s="157">
        <f>D19*'Spring Rate Conversion'!$H$9</f>
        <v>41.855300419999999</v>
      </c>
      <c r="H16" s="27"/>
      <c r="I16" s="132" t="s">
        <v>79</v>
      </c>
      <c r="J16" s="165">
        <f>J9+J12+J14</f>
        <v>987.37781237639751</v>
      </c>
    </row>
    <row r="17" spans="2:10" ht="13.5" thickBot="1" x14ac:dyDescent="0.25">
      <c r="B17" s="56" t="s">
        <v>80</v>
      </c>
      <c r="C17" s="27" t="s">
        <v>81</v>
      </c>
      <c r="D17" s="55">
        <v>235</v>
      </c>
      <c r="E17" s="27" t="s">
        <v>82</v>
      </c>
      <c r="F17" s="27" t="s">
        <v>83</v>
      </c>
      <c r="G17" s="122">
        <f>G13*D4^2</f>
        <v>31.150063048770001</v>
      </c>
      <c r="H17" s="27"/>
      <c r="I17" s="132" t="s">
        <v>84</v>
      </c>
      <c r="J17" s="166">
        <f>J10+J13+J15</f>
        <v>987.50303671493111</v>
      </c>
    </row>
    <row r="18" spans="2:10" ht="13.5" thickBot="1" x14ac:dyDescent="0.25">
      <c r="B18" s="56" t="s">
        <v>71</v>
      </c>
      <c r="C18" s="27" t="s">
        <v>85</v>
      </c>
      <c r="D18" s="160">
        <v>239</v>
      </c>
      <c r="E18" s="27" t="s">
        <v>86</v>
      </c>
      <c r="F18" s="27" t="s">
        <v>87</v>
      </c>
      <c r="G18" s="122">
        <f>G14*D5^2</f>
        <v>27.672483014919997</v>
      </c>
      <c r="H18" s="27"/>
      <c r="I18" s="139" t="s">
        <v>88</v>
      </c>
      <c r="J18" s="168">
        <f>J16+J17</f>
        <v>1974.8808490913286</v>
      </c>
    </row>
    <row r="19" spans="2:10" x14ac:dyDescent="0.2">
      <c r="B19" s="56" t="s">
        <v>77</v>
      </c>
      <c r="C19" s="27" t="s">
        <v>89</v>
      </c>
      <c r="D19" s="160">
        <v>239</v>
      </c>
      <c r="E19" s="27" t="s">
        <v>90</v>
      </c>
      <c r="F19" s="27" t="s">
        <v>91</v>
      </c>
      <c r="G19" s="161">
        <f>G15*D6^2</f>
        <v>20.509097205799996</v>
      </c>
      <c r="H19" s="27" t="s">
        <v>92</v>
      </c>
      <c r="I19" s="27" t="s">
        <v>93</v>
      </c>
      <c r="J19" s="167">
        <f>D8*9.81+J16</f>
        <v>2810.0758123763976</v>
      </c>
    </row>
    <row r="20" spans="2:10" x14ac:dyDescent="0.2">
      <c r="B20" s="56" t="s">
        <v>94</v>
      </c>
      <c r="C20" s="27" t="s">
        <v>95</v>
      </c>
      <c r="D20" s="54">
        <v>1.47</v>
      </c>
      <c r="E20" s="27" t="s">
        <v>96</v>
      </c>
      <c r="F20" s="27" t="s">
        <v>97</v>
      </c>
      <c r="G20" s="161">
        <f t="shared" ref="G20" si="1">G16*D7^2</f>
        <v>20.509097205799996</v>
      </c>
      <c r="H20" s="29" t="s">
        <v>98</v>
      </c>
      <c r="I20" s="27" t="s">
        <v>99</v>
      </c>
      <c r="J20" s="167">
        <f>D9*9.81-J16</f>
        <v>1035.4441876236024</v>
      </c>
    </row>
    <row r="21" spans="2:10" x14ac:dyDescent="0.2">
      <c r="B21" s="56" t="s">
        <v>104</v>
      </c>
      <c r="C21" s="27" t="s">
        <v>105</v>
      </c>
      <c r="D21" s="54">
        <v>1.52</v>
      </c>
      <c r="E21" s="27" t="s">
        <v>100</v>
      </c>
      <c r="F21" s="27" t="s">
        <v>101</v>
      </c>
      <c r="G21" s="162">
        <f>(G17+G18)/2</f>
        <v>29.411273031844999</v>
      </c>
      <c r="H21" s="29"/>
      <c r="I21" s="27"/>
      <c r="J21" s="53"/>
    </row>
    <row r="22" spans="2:10" x14ac:dyDescent="0.2">
      <c r="B22" s="56" t="s">
        <v>110</v>
      </c>
      <c r="C22" s="27" t="s">
        <v>111</v>
      </c>
      <c r="D22" s="54">
        <v>2.5499999999999998</v>
      </c>
      <c r="E22" s="27" t="s">
        <v>102</v>
      </c>
      <c r="F22" s="27" t="s">
        <v>103</v>
      </c>
      <c r="G22" s="162">
        <f>(G19+G20)/2</f>
        <v>20.509097205799996</v>
      </c>
      <c r="H22" s="29"/>
      <c r="I22" s="27"/>
      <c r="J22" s="53"/>
    </row>
    <row r="23" spans="2:10" x14ac:dyDescent="0.2">
      <c r="B23" s="131" t="s">
        <v>116</v>
      </c>
      <c r="C23" s="132" t="s">
        <v>117</v>
      </c>
      <c r="D23" s="54">
        <v>0.28000000000000003</v>
      </c>
      <c r="E23" s="27" t="s">
        <v>106</v>
      </c>
      <c r="F23" s="29" t="s">
        <v>107</v>
      </c>
      <c r="G23" s="37">
        <f>((G9*D22)/G10)</f>
        <v>1.3011730205278591</v>
      </c>
      <c r="H23" s="29" t="s">
        <v>108</v>
      </c>
      <c r="I23" s="27" t="s">
        <v>109</v>
      </c>
      <c r="J23" s="169">
        <f>D10*9.81+J17</f>
        <v>2937.7310367149312</v>
      </c>
    </row>
    <row r="24" spans="2:10" ht="13.5" thickBot="1" x14ac:dyDescent="0.25">
      <c r="B24" s="133" t="s">
        <v>121</v>
      </c>
      <c r="C24" s="134" t="s">
        <v>122</v>
      </c>
      <c r="D24" s="135">
        <v>0.28000000000000003</v>
      </c>
      <c r="E24" s="27" t="s">
        <v>112</v>
      </c>
      <c r="F24" s="27" t="s">
        <v>113</v>
      </c>
      <c r="G24" s="43">
        <f>D28-D27</f>
        <v>0.11000000000000001</v>
      </c>
      <c r="H24" s="27" t="s">
        <v>114</v>
      </c>
      <c r="I24" s="27" t="s">
        <v>115</v>
      </c>
      <c r="J24" s="169">
        <f>D11*9.81-J17</f>
        <v>1162.8489632850687</v>
      </c>
    </row>
    <row r="25" spans="2:10" x14ac:dyDescent="0.2">
      <c r="B25" s="153" t="s">
        <v>126</v>
      </c>
      <c r="C25" s="27" t="s">
        <v>127</v>
      </c>
      <c r="D25" s="54">
        <v>0.45</v>
      </c>
      <c r="E25" s="27" t="s">
        <v>118</v>
      </c>
      <c r="F25" s="27" t="s">
        <v>119</v>
      </c>
      <c r="G25" s="41">
        <f>(G24*G23)/D22</f>
        <v>5.6129032258064523E-2</v>
      </c>
      <c r="H25" s="27"/>
      <c r="I25" s="126" t="s">
        <v>120</v>
      </c>
      <c r="J25" s="170">
        <f>J19+J20+J23+J24</f>
        <v>7946.1</v>
      </c>
    </row>
    <row r="26" spans="2:10" ht="13.5" thickBot="1" x14ac:dyDescent="0.25">
      <c r="B26" s="56" t="s">
        <v>130</v>
      </c>
      <c r="C26" s="27" t="s">
        <v>131</v>
      </c>
      <c r="D26" s="156">
        <f>((D25*G11)-(SUM(D12:D13)*D23)-(SUM(D14:D15)*D24))/G10</f>
        <v>0.48190615835777123</v>
      </c>
      <c r="E26" s="27" t="s">
        <v>123</v>
      </c>
      <c r="F26" s="27" t="s">
        <v>124</v>
      </c>
      <c r="G26" s="43">
        <v>0.15</v>
      </c>
      <c r="H26" s="27"/>
      <c r="I26" s="51" t="s">
        <v>125</v>
      </c>
      <c r="J26" s="171">
        <f>G11*9.81</f>
        <v>7946.1</v>
      </c>
    </row>
    <row r="27" spans="2:10" ht="13.5" thickBot="1" x14ac:dyDescent="0.25">
      <c r="B27" s="56" t="s">
        <v>132</v>
      </c>
      <c r="C27" s="154" t="s">
        <v>172</v>
      </c>
      <c r="D27" s="54">
        <v>0.06</v>
      </c>
      <c r="E27" s="27" t="s">
        <v>128</v>
      </c>
      <c r="F27" s="27" t="s">
        <v>129</v>
      </c>
      <c r="G27" s="156">
        <f>D26-G25-D27</f>
        <v>0.3657771260997067</v>
      </c>
      <c r="H27" s="27"/>
      <c r="I27" s="27"/>
      <c r="J27" s="124"/>
    </row>
    <row r="28" spans="2:10" ht="13.5" thickBot="1" x14ac:dyDescent="0.25">
      <c r="B28" s="149" t="s">
        <v>135</v>
      </c>
      <c r="C28" s="154" t="s">
        <v>136</v>
      </c>
      <c r="D28" s="150">
        <v>0.17</v>
      </c>
      <c r="F28" s="27"/>
      <c r="G28" s="31"/>
      <c r="H28" s="27"/>
      <c r="I28" s="27"/>
      <c r="J28" s="123"/>
    </row>
    <row r="29" spans="2:10" ht="13.5" thickBot="1" x14ac:dyDescent="0.25">
      <c r="B29" t="s">
        <v>173</v>
      </c>
      <c r="C29" s="172">
        <f>J19-J20</f>
        <v>1774.6316247527952</v>
      </c>
      <c r="E29" s="27"/>
      <c r="F29" s="27"/>
      <c r="G29" s="31"/>
      <c r="H29" s="27" t="s">
        <v>133</v>
      </c>
      <c r="I29" s="48" t="s">
        <v>134</v>
      </c>
      <c r="J29" s="129">
        <f>(G11*D1*D25)/((D20+D21)/2)</f>
        <v>1974.8829431438128</v>
      </c>
    </row>
    <row r="30" spans="2:10" ht="13.5" thickBot="1" x14ac:dyDescent="0.25">
      <c r="B30" t="s">
        <v>174</v>
      </c>
      <c r="C30" s="172">
        <f>J23-J24</f>
        <v>1774.8820734298624</v>
      </c>
      <c r="E30" s="57"/>
      <c r="F30" s="57"/>
      <c r="G30" s="151"/>
      <c r="H30" s="57"/>
      <c r="I30" s="57"/>
      <c r="J30" s="152"/>
    </row>
    <row r="31" spans="2:10" x14ac:dyDescent="0.2">
      <c r="B31" t="s">
        <v>175</v>
      </c>
      <c r="C31" s="173">
        <f>C29-C30</f>
        <v>-0.25044867706719742</v>
      </c>
    </row>
    <row r="32" spans="2:10" ht="14.25" x14ac:dyDescent="0.2">
      <c r="B32" t="s">
        <v>176</v>
      </c>
      <c r="C32" s="173">
        <f>J17/J18*100</f>
        <v>50.003170427689128</v>
      </c>
      <c r="G32" s="38"/>
      <c r="H32" s="38"/>
      <c r="I32" s="38"/>
    </row>
    <row r="33" spans="2:9" ht="15" x14ac:dyDescent="0.25">
      <c r="B33" t="s">
        <v>189</v>
      </c>
      <c r="C33" s="173">
        <f>J16/J18*100</f>
        <v>49.996829572310872</v>
      </c>
      <c r="G33" s="38"/>
      <c r="H33" s="39"/>
      <c r="I33" s="38"/>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D6128-7975-46E0-9E3D-518210C50192}">
  <dimension ref="B1:Q37"/>
  <sheetViews>
    <sheetView zoomScale="90" zoomScaleNormal="90" workbookViewId="0">
      <selection activeCell="C37" sqref="C37"/>
    </sheetView>
  </sheetViews>
  <sheetFormatPr defaultRowHeight="12.75" x14ac:dyDescent="0.2"/>
  <cols>
    <col min="2" max="2" width="33.140625" bestFit="1" customWidth="1"/>
    <col min="3" max="3" width="51.7109375" customWidth="1"/>
    <col min="4" max="4" width="39.140625" customWidth="1"/>
    <col min="6" max="6" width="41.7109375" customWidth="1"/>
    <col min="7" max="7" width="13.7109375" customWidth="1"/>
    <col min="9" max="9" width="53.42578125" customWidth="1"/>
    <col min="10" max="10" width="12.140625" customWidth="1"/>
    <col min="11" max="11" width="7.42578125" customWidth="1"/>
    <col min="12" max="14" width="9.140625" customWidth="1"/>
    <col min="15" max="15" width="11.140625" customWidth="1"/>
    <col min="16" max="16" width="10.140625" customWidth="1"/>
  </cols>
  <sheetData>
    <row r="1" spans="2:16" ht="18.75" thickBot="1" x14ac:dyDescent="0.3">
      <c r="C1" s="30" t="s">
        <v>0</v>
      </c>
      <c r="D1" s="44">
        <v>8.1</v>
      </c>
    </row>
    <row r="3" spans="2:16" ht="16.5" thickBot="1" x14ac:dyDescent="0.3">
      <c r="B3" s="35" t="s">
        <v>1</v>
      </c>
      <c r="C3" s="36"/>
      <c r="D3" s="36"/>
      <c r="E3" s="36" t="s">
        <v>2</v>
      </c>
      <c r="F3" s="36"/>
      <c r="G3" s="36"/>
      <c r="H3" s="36" t="s">
        <v>3</v>
      </c>
      <c r="I3" s="36"/>
      <c r="J3" s="142"/>
    </row>
    <row r="4" spans="2:16" ht="15" thickBot="1" x14ac:dyDescent="0.25">
      <c r="B4" s="143" t="s">
        <v>4</v>
      </c>
      <c r="C4" s="147" t="s">
        <v>5</v>
      </c>
      <c r="D4" s="145">
        <v>0.87</v>
      </c>
      <c r="E4" s="144" t="s">
        <v>6</v>
      </c>
      <c r="F4" s="144" t="s">
        <v>7</v>
      </c>
      <c r="G4" s="146">
        <f>D8-D12</f>
        <v>181.8</v>
      </c>
      <c r="H4" s="147" t="s">
        <v>8</v>
      </c>
      <c r="I4" s="147" t="s">
        <v>9</v>
      </c>
      <c r="J4" s="163">
        <f>D20^2*(G21)/2*1000</f>
        <v>31777.409947256929</v>
      </c>
      <c r="M4" s="40"/>
    </row>
    <row r="5" spans="2:16" ht="12" customHeight="1" thickBot="1" x14ac:dyDescent="0.25">
      <c r="B5" s="56" t="s">
        <v>10</v>
      </c>
      <c r="C5" s="147" t="s">
        <v>11</v>
      </c>
      <c r="D5" s="54">
        <v>0.82</v>
      </c>
      <c r="E5" s="27" t="s">
        <v>12</v>
      </c>
      <c r="F5" s="27" t="s">
        <v>13</v>
      </c>
      <c r="G5" s="146">
        <f t="shared" ref="G5:G7" si="0">D9-D13</f>
        <v>152.19999999999999</v>
      </c>
      <c r="H5" s="27" t="s">
        <v>14</v>
      </c>
      <c r="I5" s="27" t="s">
        <v>15</v>
      </c>
      <c r="J5" s="163">
        <f>D21^2*(G22)/2*1000</f>
        <v>27260.794980496001</v>
      </c>
    </row>
    <row r="6" spans="2:16" ht="16.5" customHeight="1" thickBot="1" x14ac:dyDescent="0.25">
      <c r="B6" s="56" t="s">
        <v>16</v>
      </c>
      <c r="C6" s="147" t="s">
        <v>17</v>
      </c>
      <c r="D6" s="160">
        <v>0.7</v>
      </c>
      <c r="E6" s="27" t="s">
        <v>18</v>
      </c>
      <c r="F6" s="27" t="s">
        <v>19</v>
      </c>
      <c r="G6" s="146">
        <f t="shared" si="0"/>
        <v>138.80000000000001</v>
      </c>
      <c r="H6" s="27" t="s">
        <v>20</v>
      </c>
      <c r="I6" s="27" t="s">
        <v>21</v>
      </c>
      <c r="J6" s="159">
        <f>J4+J5</f>
        <v>59038.20492775293</v>
      </c>
    </row>
    <row r="7" spans="2:16" x14ac:dyDescent="0.2">
      <c r="B7" s="56" t="s">
        <v>22</v>
      </c>
      <c r="C7" s="147" t="s">
        <v>23</v>
      </c>
      <c r="D7" s="160">
        <v>0.7</v>
      </c>
      <c r="E7" s="27" t="s">
        <v>24</v>
      </c>
      <c r="F7" s="27" t="s">
        <v>25</v>
      </c>
      <c r="G7" s="146">
        <f t="shared" si="0"/>
        <v>209.2</v>
      </c>
      <c r="H7" s="27" t="s">
        <v>26</v>
      </c>
      <c r="I7" s="27" t="s">
        <v>27</v>
      </c>
      <c r="J7" s="45">
        <f>(G8+G9)*D1*G27</f>
        <v>2020.6259999999997</v>
      </c>
    </row>
    <row r="8" spans="2:16" x14ac:dyDescent="0.2">
      <c r="B8" s="56" t="s">
        <v>28</v>
      </c>
      <c r="C8" s="27" t="s">
        <v>29</v>
      </c>
      <c r="D8" s="54">
        <v>210.8</v>
      </c>
      <c r="E8" s="29" t="s">
        <v>30</v>
      </c>
      <c r="F8" s="27" t="s">
        <v>31</v>
      </c>
      <c r="G8" s="31">
        <f>G4+G5</f>
        <v>334</v>
      </c>
      <c r="H8" s="138" t="s">
        <v>32</v>
      </c>
      <c r="I8" s="29" t="s">
        <v>33</v>
      </c>
      <c r="J8" s="164">
        <f>J7/J6</f>
        <v>3.4225735732864998E-2</v>
      </c>
      <c r="K8" s="52">
        <f>J8*180/3.142</f>
        <v>1.9607359745116804</v>
      </c>
      <c r="L8" s="49" t="s">
        <v>34</v>
      </c>
      <c r="P8" s="42"/>
    </row>
    <row r="9" spans="2:16" x14ac:dyDescent="0.2">
      <c r="B9" s="56" t="s">
        <v>35</v>
      </c>
      <c r="C9" s="27" t="s">
        <v>36</v>
      </c>
      <c r="D9" s="54">
        <v>181.2</v>
      </c>
      <c r="E9" s="27" t="s">
        <v>37</v>
      </c>
      <c r="F9" s="27" t="s">
        <v>38</v>
      </c>
      <c r="G9" s="31">
        <f>G6+G7</f>
        <v>348</v>
      </c>
      <c r="H9" s="27" t="s">
        <v>39</v>
      </c>
      <c r="I9" s="27" t="s">
        <v>40</v>
      </c>
      <c r="J9" s="159">
        <f>((J8*G21*D20)/2)*1000</f>
        <v>739.86750689097346</v>
      </c>
      <c r="P9" s="34"/>
    </row>
    <row r="10" spans="2:16" x14ac:dyDescent="0.2">
      <c r="B10" s="56" t="s">
        <v>41</v>
      </c>
      <c r="C10" s="27" t="s">
        <v>42</v>
      </c>
      <c r="D10" s="54">
        <v>173.8</v>
      </c>
      <c r="E10" s="132" t="s">
        <v>43</v>
      </c>
      <c r="F10" s="132" t="s">
        <v>44</v>
      </c>
      <c r="G10" s="43">
        <f>G8+G9</f>
        <v>682</v>
      </c>
      <c r="H10" s="130" t="s">
        <v>45</v>
      </c>
      <c r="I10" s="29" t="s">
        <v>46</v>
      </c>
      <c r="J10" s="159">
        <f>((J8*G22*D21)/2)*1000</f>
        <v>613.82945057254528</v>
      </c>
    </row>
    <row r="11" spans="2:16" x14ac:dyDescent="0.2">
      <c r="B11" s="56" t="s">
        <v>47</v>
      </c>
      <c r="C11" s="27" t="s">
        <v>48</v>
      </c>
      <c r="D11" s="54">
        <v>244.2</v>
      </c>
      <c r="E11" s="132" t="s">
        <v>49</v>
      </c>
      <c r="F11" s="132" t="s">
        <v>50</v>
      </c>
      <c r="G11" s="136">
        <f>D8+D9+D10+D11</f>
        <v>810</v>
      </c>
      <c r="H11" s="28"/>
      <c r="I11" s="28"/>
      <c r="J11" s="46"/>
    </row>
    <row r="12" spans="2:16" x14ac:dyDescent="0.2">
      <c r="B12" s="56" t="s">
        <v>51</v>
      </c>
      <c r="C12" s="27" t="s">
        <v>52</v>
      </c>
      <c r="D12" s="55">
        <v>29</v>
      </c>
      <c r="E12" s="137" t="s">
        <v>53</v>
      </c>
      <c r="F12" s="137" t="s">
        <v>54</v>
      </c>
      <c r="G12" s="136">
        <f>D12+D13+D14+D15</f>
        <v>128</v>
      </c>
      <c r="H12" s="27" t="s">
        <v>55</v>
      </c>
      <c r="I12" s="29" t="s">
        <v>56</v>
      </c>
      <c r="J12" s="45">
        <f>(G8*D1*D27)/D20</f>
        <v>110.42448979591838</v>
      </c>
    </row>
    <row r="13" spans="2:16" x14ac:dyDescent="0.2">
      <c r="B13" s="56" t="s">
        <v>57</v>
      </c>
      <c r="C13" s="27" t="s">
        <v>58</v>
      </c>
      <c r="D13" s="54">
        <v>29</v>
      </c>
      <c r="E13" s="29" t="s">
        <v>59</v>
      </c>
      <c r="F13" s="27" t="s">
        <v>60</v>
      </c>
      <c r="G13" s="157">
        <f>D16*'Spring Rate Conversion'!$H$9</f>
        <v>41.154793300000001</v>
      </c>
      <c r="H13" s="27" t="s">
        <v>61</v>
      </c>
      <c r="I13" s="29" t="s">
        <v>62</v>
      </c>
      <c r="J13" s="45">
        <f>(G9*D1*D28)/D21</f>
        <v>315.26052631578943</v>
      </c>
    </row>
    <row r="14" spans="2:16" x14ac:dyDescent="0.2">
      <c r="B14" s="56" t="s">
        <v>63</v>
      </c>
      <c r="C14" s="27" t="s">
        <v>64</v>
      </c>
      <c r="D14" s="54">
        <v>35</v>
      </c>
      <c r="E14" s="29" t="s">
        <v>65</v>
      </c>
      <c r="F14" s="27" t="s">
        <v>66</v>
      </c>
      <c r="G14" s="157">
        <f>D17*'Spring Rate Conversion'!$H$9</f>
        <v>41.154793300000001</v>
      </c>
      <c r="H14" s="27" t="s">
        <v>67</v>
      </c>
      <c r="I14" s="29" t="s">
        <v>68</v>
      </c>
      <c r="J14" s="45">
        <f>((D12+D13)*D1*D23)/D20</f>
        <v>89.485714285714295</v>
      </c>
    </row>
    <row r="15" spans="2:16" x14ac:dyDescent="0.2">
      <c r="B15" s="56" t="s">
        <v>69</v>
      </c>
      <c r="C15" s="27" t="s">
        <v>70</v>
      </c>
      <c r="D15" s="54">
        <v>35</v>
      </c>
      <c r="E15" s="27" t="s">
        <v>71</v>
      </c>
      <c r="F15" s="27" t="s">
        <v>72</v>
      </c>
      <c r="G15" s="157">
        <f>D18*'Spring Rate Conversion'!$H$9</f>
        <v>48.159864500000005</v>
      </c>
      <c r="H15" s="27" t="s">
        <v>73</v>
      </c>
      <c r="I15" s="29" t="s">
        <v>74</v>
      </c>
      <c r="J15" s="45">
        <f>((D14+D15)*D1*D24)/D21</f>
        <v>104.44736842105264</v>
      </c>
    </row>
    <row r="16" spans="2:16" x14ac:dyDescent="0.2">
      <c r="B16" s="56" t="s">
        <v>75</v>
      </c>
      <c r="C16" s="27" t="s">
        <v>76</v>
      </c>
      <c r="D16" s="160">
        <v>235</v>
      </c>
      <c r="E16" s="27" t="s">
        <v>77</v>
      </c>
      <c r="F16" s="27" t="s">
        <v>78</v>
      </c>
      <c r="G16" s="157">
        <f>D19*'Spring Rate Conversion'!$H$9</f>
        <v>48.159864500000005</v>
      </c>
      <c r="H16" s="27"/>
      <c r="I16" s="132" t="s">
        <v>79</v>
      </c>
      <c r="J16" s="165">
        <f>J9+J12+J14</f>
        <v>939.77771097260609</v>
      </c>
    </row>
    <row r="17" spans="2:10" ht="13.5" thickBot="1" x14ac:dyDescent="0.25">
      <c r="B17" s="56" t="s">
        <v>80</v>
      </c>
      <c r="C17" s="27" t="s">
        <v>81</v>
      </c>
      <c r="D17" s="160">
        <v>235</v>
      </c>
      <c r="E17" s="27" t="s">
        <v>82</v>
      </c>
      <c r="F17" s="27" t="s">
        <v>83</v>
      </c>
      <c r="G17" s="122">
        <f>G13*D4^2</f>
        <v>31.150063048770001</v>
      </c>
      <c r="H17" s="27"/>
      <c r="I17" s="132" t="s">
        <v>84</v>
      </c>
      <c r="J17" s="166">
        <f>J10+J13+J15</f>
        <v>1033.5373453093873</v>
      </c>
    </row>
    <row r="18" spans="2:10" ht="13.5" thickBot="1" x14ac:dyDescent="0.25">
      <c r="B18" s="56" t="s">
        <v>71</v>
      </c>
      <c r="C18" s="27" t="s">
        <v>85</v>
      </c>
      <c r="D18" s="54">
        <v>275</v>
      </c>
      <c r="E18" s="27" t="s">
        <v>86</v>
      </c>
      <c r="F18" s="27" t="s">
        <v>87</v>
      </c>
      <c r="G18" s="122">
        <f>G14*D5^2</f>
        <v>27.672483014919997</v>
      </c>
      <c r="H18" s="27"/>
      <c r="I18" s="139" t="s">
        <v>88</v>
      </c>
      <c r="J18" s="168">
        <f>J16+J17</f>
        <v>1973.3150562819933</v>
      </c>
    </row>
    <row r="19" spans="2:10" x14ac:dyDescent="0.2">
      <c r="B19" s="56" t="s">
        <v>77</v>
      </c>
      <c r="C19" s="27" t="s">
        <v>89</v>
      </c>
      <c r="D19" s="54">
        <v>275</v>
      </c>
      <c r="E19" s="27" t="s">
        <v>90</v>
      </c>
      <c r="F19" s="27" t="s">
        <v>91</v>
      </c>
      <c r="G19" s="161">
        <f>G15*D6^2</f>
        <v>23.598333605000001</v>
      </c>
      <c r="H19" s="27" t="s">
        <v>92</v>
      </c>
      <c r="I19" s="27" t="s">
        <v>93</v>
      </c>
      <c r="J19" s="167">
        <f>D8*9.81+J16</f>
        <v>3007.7257109726065</v>
      </c>
    </row>
    <row r="20" spans="2:10" x14ac:dyDescent="0.2">
      <c r="B20" s="56" t="s">
        <v>94</v>
      </c>
      <c r="C20" s="27" t="s">
        <v>95</v>
      </c>
      <c r="D20" s="54">
        <v>1.47</v>
      </c>
      <c r="E20" s="27" t="s">
        <v>96</v>
      </c>
      <c r="F20" s="27" t="s">
        <v>97</v>
      </c>
      <c r="G20" s="161">
        <f t="shared" ref="G20" si="1">G16*D7^2</f>
        <v>23.598333605000001</v>
      </c>
      <c r="H20" s="29" t="s">
        <v>98</v>
      </c>
      <c r="I20" s="27" t="s">
        <v>99</v>
      </c>
      <c r="J20" s="167">
        <f>D9*9.81-J16</f>
        <v>837.7942890273938</v>
      </c>
    </row>
    <row r="21" spans="2:10" x14ac:dyDescent="0.2">
      <c r="B21" s="56" t="s">
        <v>104</v>
      </c>
      <c r="C21" s="27" t="s">
        <v>105</v>
      </c>
      <c r="D21" s="54">
        <v>1.52</v>
      </c>
      <c r="E21" s="27" t="s">
        <v>100</v>
      </c>
      <c r="F21" s="27" t="s">
        <v>101</v>
      </c>
      <c r="G21" s="162">
        <f>(G17+G18)/2</f>
        <v>29.411273031844999</v>
      </c>
      <c r="H21" s="29"/>
      <c r="I21" s="27"/>
      <c r="J21" s="53"/>
    </row>
    <row r="22" spans="2:10" x14ac:dyDescent="0.2">
      <c r="B22" s="56" t="s">
        <v>110</v>
      </c>
      <c r="C22" s="27" t="s">
        <v>111</v>
      </c>
      <c r="D22" s="54">
        <v>2.5499999999999998</v>
      </c>
      <c r="E22" s="27" t="s">
        <v>102</v>
      </c>
      <c r="F22" s="27" t="s">
        <v>103</v>
      </c>
      <c r="G22" s="162">
        <f>(G19+G20)/2</f>
        <v>23.598333605000001</v>
      </c>
      <c r="H22" s="29"/>
      <c r="I22" s="27"/>
      <c r="J22" s="53"/>
    </row>
    <row r="23" spans="2:10" x14ac:dyDescent="0.2">
      <c r="B23" s="131" t="s">
        <v>116</v>
      </c>
      <c r="C23" s="132" t="s">
        <v>117</v>
      </c>
      <c r="D23" s="54">
        <v>0.28000000000000003</v>
      </c>
      <c r="E23" s="27" t="s">
        <v>106</v>
      </c>
      <c r="F23" s="29" t="s">
        <v>107</v>
      </c>
      <c r="G23" s="37">
        <f>((G9*D22)/G10)</f>
        <v>1.3011730205278591</v>
      </c>
      <c r="H23" s="29" t="s">
        <v>108</v>
      </c>
      <c r="I23" s="27" t="s">
        <v>109</v>
      </c>
      <c r="J23" s="169">
        <f>D10*9.81+J17</f>
        <v>2738.5153453093876</v>
      </c>
    </row>
    <row r="24" spans="2:10" ht="13.5" thickBot="1" x14ac:dyDescent="0.25">
      <c r="B24" s="133" t="s">
        <v>121</v>
      </c>
      <c r="C24" s="134" t="s">
        <v>122</v>
      </c>
      <c r="D24" s="135">
        <v>0.28000000000000003</v>
      </c>
      <c r="E24" s="27" t="s">
        <v>112</v>
      </c>
      <c r="F24" s="27" t="s">
        <v>113</v>
      </c>
      <c r="G24" s="43">
        <f>D28-D27</f>
        <v>0.11000000000000001</v>
      </c>
      <c r="H24" s="27" t="s">
        <v>114</v>
      </c>
      <c r="I24" s="27" t="s">
        <v>115</v>
      </c>
      <c r="J24" s="169">
        <f>D11*9.81-J17</f>
        <v>1362.0646546906125</v>
      </c>
    </row>
    <row r="25" spans="2:10" x14ac:dyDescent="0.2">
      <c r="B25" s="153" t="s">
        <v>126</v>
      </c>
      <c r="C25" s="27" t="s">
        <v>127</v>
      </c>
      <c r="D25" s="54">
        <v>0.45</v>
      </c>
      <c r="E25" s="27" t="s">
        <v>118</v>
      </c>
      <c r="F25" s="27" t="s">
        <v>119</v>
      </c>
      <c r="G25" s="41">
        <f>(G24*G23)/D22</f>
        <v>5.6129032258064523E-2</v>
      </c>
      <c r="H25" s="27"/>
      <c r="I25" s="126" t="s">
        <v>120</v>
      </c>
      <c r="J25" s="170">
        <f>J19+J20+J23+J24</f>
        <v>7946.1000000000013</v>
      </c>
    </row>
    <row r="26" spans="2:10" ht="13.5" thickBot="1" x14ac:dyDescent="0.25">
      <c r="B26" s="56" t="s">
        <v>130</v>
      </c>
      <c r="C26" s="27" t="s">
        <v>131</v>
      </c>
      <c r="D26" s="156">
        <f>((D25*G11)-(SUM(D12:D13)*D23)-(SUM(D14:D15)*D24))/G10</f>
        <v>0.48190615835777123</v>
      </c>
      <c r="E26" s="27" t="s">
        <v>123</v>
      </c>
      <c r="F26" s="27" t="s">
        <v>124</v>
      </c>
      <c r="G26" s="43">
        <v>0.15</v>
      </c>
      <c r="H26" s="27"/>
      <c r="I26" s="51" t="s">
        <v>125</v>
      </c>
      <c r="J26" s="171">
        <f>G11*9.81</f>
        <v>7946.1</v>
      </c>
    </row>
    <row r="27" spans="2:10" ht="13.5" thickBot="1" x14ac:dyDescent="0.25">
      <c r="B27" s="56" t="s">
        <v>132</v>
      </c>
      <c r="C27" s="154" t="s">
        <v>172</v>
      </c>
      <c r="D27" s="54">
        <v>0.06</v>
      </c>
      <c r="E27" s="27" t="s">
        <v>128</v>
      </c>
      <c r="F27" s="27" t="s">
        <v>129</v>
      </c>
      <c r="G27" s="156">
        <f>D26-G25-D27</f>
        <v>0.3657771260997067</v>
      </c>
      <c r="H27" s="27"/>
      <c r="I27" s="27"/>
      <c r="J27" s="124"/>
    </row>
    <row r="28" spans="2:10" ht="13.5" thickBot="1" x14ac:dyDescent="0.25">
      <c r="B28" s="149" t="s">
        <v>135</v>
      </c>
      <c r="C28" s="154" t="s">
        <v>136</v>
      </c>
      <c r="D28" s="150">
        <v>0.17</v>
      </c>
      <c r="F28" s="27"/>
      <c r="G28" s="31"/>
      <c r="H28" s="27"/>
      <c r="I28" s="27"/>
      <c r="J28" s="123"/>
    </row>
    <row r="29" spans="2:10" ht="13.5" thickBot="1" x14ac:dyDescent="0.25">
      <c r="B29" t="s">
        <v>173</v>
      </c>
      <c r="C29" s="172">
        <f>J19-J20</f>
        <v>2169.9314219452126</v>
      </c>
      <c r="E29" s="27"/>
      <c r="F29" s="27"/>
      <c r="G29" s="31"/>
      <c r="H29" s="27" t="s">
        <v>133</v>
      </c>
      <c r="I29" s="48" t="s">
        <v>134</v>
      </c>
      <c r="J29" s="129">
        <f>(G11*D1*D25)/((D20+D21)/2)</f>
        <v>1974.8829431438128</v>
      </c>
    </row>
    <row r="30" spans="2:10" ht="13.5" thickBot="1" x14ac:dyDescent="0.25">
      <c r="B30" t="s">
        <v>174</v>
      </c>
      <c r="C30" s="172">
        <f>J23-J24</f>
        <v>1376.4506906187751</v>
      </c>
      <c r="E30" s="57"/>
      <c r="F30" s="57"/>
      <c r="G30" s="151"/>
      <c r="H30" s="57"/>
      <c r="I30" s="57"/>
      <c r="J30" s="152"/>
    </row>
    <row r="31" spans="2:10" x14ac:dyDescent="0.2">
      <c r="B31" t="s">
        <v>175</v>
      </c>
      <c r="C31" s="173">
        <f>C29-C30</f>
        <v>793.48073132643754</v>
      </c>
    </row>
    <row r="32" spans="2:10" ht="14.25" x14ac:dyDescent="0.2">
      <c r="B32" t="s">
        <v>176</v>
      </c>
      <c r="C32" s="173">
        <f>J17/J18*100</f>
        <v>52.375688414232194</v>
      </c>
      <c r="G32" s="38"/>
      <c r="H32" s="38"/>
      <c r="I32" s="38"/>
    </row>
    <row r="33" spans="2:17" ht="15" x14ac:dyDescent="0.25">
      <c r="G33" s="38"/>
      <c r="H33" s="39"/>
      <c r="I33" s="38"/>
    </row>
    <row r="36" spans="2:17" x14ac:dyDescent="0.2">
      <c r="B36" s="175" t="s">
        <v>182</v>
      </c>
      <c r="C36" s="175" t="s">
        <v>190</v>
      </c>
      <c r="D36" s="175"/>
      <c r="E36" s="175"/>
      <c r="F36" s="175"/>
      <c r="G36" s="175"/>
      <c r="H36" s="175"/>
      <c r="I36" s="175"/>
      <c r="J36" s="175"/>
      <c r="K36" s="175"/>
      <c r="L36" s="175"/>
      <c r="M36" s="175"/>
      <c r="N36" s="175"/>
      <c r="O36" s="175"/>
      <c r="P36" s="175"/>
      <c r="Q36" s="175"/>
    </row>
    <row r="37" spans="2:17" x14ac:dyDescent="0.2">
      <c r="B37" s="175" t="s">
        <v>183</v>
      </c>
      <c r="C37" s="175" t="s">
        <v>191</v>
      </c>
      <c r="D37" s="175"/>
      <c r="E37" s="175"/>
      <c r="F37" s="175"/>
      <c r="G37" s="175"/>
      <c r="H37" s="175"/>
      <c r="I37" s="175"/>
      <c r="J37" s="175"/>
      <c r="K37" s="175"/>
      <c r="L37" s="175"/>
      <c r="M37" s="175"/>
      <c r="N37" s="175"/>
      <c r="O37" s="175"/>
      <c r="P37" s="175"/>
      <c r="Q37" s="175"/>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H23"/>
  <sheetViews>
    <sheetView topLeftCell="B1" workbookViewId="0">
      <selection activeCell="D31" sqref="D31:E33"/>
    </sheetView>
  </sheetViews>
  <sheetFormatPr defaultRowHeight="12.75" x14ac:dyDescent="0.2"/>
  <cols>
    <col min="6" max="6" width="12.140625" customWidth="1"/>
  </cols>
  <sheetData>
    <row r="4" spans="3:8" ht="13.5" thickBot="1" x14ac:dyDescent="0.25"/>
    <row r="5" spans="3:8" ht="18" x14ac:dyDescent="0.25">
      <c r="C5" s="2" t="s">
        <v>137</v>
      </c>
      <c r="D5" s="3"/>
      <c r="E5" s="3"/>
      <c r="F5" s="3"/>
      <c r="G5" s="4"/>
      <c r="H5" s="5"/>
    </row>
    <row r="6" spans="3:8" ht="18" x14ac:dyDescent="0.25">
      <c r="C6" s="17"/>
      <c r="D6" s="7"/>
      <c r="E6" s="7"/>
      <c r="F6" s="7"/>
      <c r="G6" s="18"/>
      <c r="H6" s="19"/>
    </row>
    <row r="7" spans="3:8" x14ac:dyDescent="0.2">
      <c r="C7" s="6" t="s">
        <v>138</v>
      </c>
      <c r="D7" s="7"/>
      <c r="E7" s="7"/>
      <c r="F7" s="7"/>
      <c r="G7" s="7"/>
      <c r="H7" s="8">
        <v>1</v>
      </c>
    </row>
    <row r="8" spans="3:8" x14ac:dyDescent="0.2">
      <c r="C8" s="6"/>
      <c r="D8" s="7"/>
      <c r="E8" s="11"/>
      <c r="F8" s="7"/>
      <c r="G8" s="9" t="s">
        <v>139</v>
      </c>
      <c r="H8" s="25">
        <v>9806.65</v>
      </c>
    </row>
    <row r="9" spans="3:8" x14ac:dyDescent="0.2">
      <c r="C9" s="6"/>
      <c r="D9" s="7"/>
      <c r="E9" s="7"/>
      <c r="F9" s="7"/>
      <c r="G9" s="9" t="s">
        <v>140</v>
      </c>
      <c r="H9" s="32">
        <v>0.17512678000000001</v>
      </c>
    </row>
    <row r="10" spans="3:8" x14ac:dyDescent="0.2">
      <c r="C10" s="6"/>
      <c r="D10" s="7"/>
      <c r="E10" s="7"/>
      <c r="F10" s="7"/>
      <c r="G10" s="9"/>
      <c r="H10" s="25"/>
    </row>
    <row r="11" spans="3:8" x14ac:dyDescent="0.2">
      <c r="C11" s="12"/>
      <c r="D11" s="7"/>
      <c r="E11" s="7"/>
      <c r="F11" s="7"/>
      <c r="G11" s="9" t="s">
        <v>141</v>
      </c>
      <c r="H11" s="25">
        <v>175.126777258</v>
      </c>
    </row>
    <row r="12" spans="3:8" x14ac:dyDescent="0.2">
      <c r="C12" s="6"/>
      <c r="D12" s="7"/>
      <c r="E12" s="7"/>
      <c r="F12" s="7"/>
      <c r="G12" s="9" t="s">
        <v>142</v>
      </c>
      <c r="H12" s="25">
        <v>1.7857959999999999E-2</v>
      </c>
    </row>
    <row r="13" spans="3:8" x14ac:dyDescent="0.2">
      <c r="C13" s="6"/>
      <c r="D13" s="7"/>
      <c r="E13" s="7"/>
      <c r="F13" s="7"/>
      <c r="G13" s="9" t="s">
        <v>143</v>
      </c>
      <c r="H13" s="25">
        <v>0.10197162</v>
      </c>
    </row>
    <row r="14" spans="3:8" x14ac:dyDescent="0.2">
      <c r="C14" s="10"/>
      <c r="D14" s="9"/>
      <c r="E14" s="13"/>
      <c r="F14" s="7"/>
      <c r="G14" s="9" t="s">
        <v>144</v>
      </c>
      <c r="H14" s="25">
        <v>5.7101490500000001</v>
      </c>
    </row>
    <row r="15" spans="3:8" x14ac:dyDescent="0.2">
      <c r="C15" s="10"/>
      <c r="D15" s="7"/>
      <c r="E15" s="7"/>
      <c r="F15" s="7"/>
      <c r="G15" s="9" t="s">
        <v>145</v>
      </c>
      <c r="H15" s="25">
        <v>1000</v>
      </c>
    </row>
    <row r="16" spans="3:8" x14ac:dyDescent="0.2">
      <c r="C16" s="10"/>
      <c r="D16" s="7"/>
      <c r="E16" s="7"/>
      <c r="F16" s="7"/>
      <c r="G16" s="9" t="s">
        <v>146</v>
      </c>
      <c r="H16" s="25">
        <v>1E-3</v>
      </c>
    </row>
    <row r="17" spans="3:8" x14ac:dyDescent="0.2">
      <c r="C17" s="10"/>
      <c r="D17" s="7"/>
      <c r="E17" s="7"/>
      <c r="F17" s="7"/>
      <c r="G17" s="9" t="s">
        <v>147</v>
      </c>
      <c r="H17" s="25">
        <v>1.0197E-4</v>
      </c>
    </row>
    <row r="18" spans="3:8" x14ac:dyDescent="0.2">
      <c r="C18" s="10"/>
      <c r="D18" s="7"/>
      <c r="E18" s="7"/>
      <c r="F18" s="7"/>
      <c r="G18" s="9" t="s">
        <v>148</v>
      </c>
      <c r="H18" s="26">
        <v>5.7101499999999998E-3</v>
      </c>
    </row>
    <row r="19" spans="3:8" x14ac:dyDescent="0.2">
      <c r="C19" s="10"/>
      <c r="D19" s="7"/>
      <c r="E19" s="13" t="s">
        <v>149</v>
      </c>
      <c r="F19" s="13" t="s">
        <v>150</v>
      </c>
      <c r="G19" s="13" t="s">
        <v>151</v>
      </c>
      <c r="H19" s="14" t="s">
        <v>152</v>
      </c>
    </row>
    <row r="20" spans="3:8" x14ac:dyDescent="0.2">
      <c r="C20" s="15" t="s">
        <v>149</v>
      </c>
      <c r="D20" s="1">
        <v>148.85776300000003</v>
      </c>
      <c r="E20" s="20">
        <v>148.85776300000003</v>
      </c>
      <c r="F20" s="20">
        <v>148857.76300000004</v>
      </c>
      <c r="G20" s="20">
        <v>15.179267242686063</v>
      </c>
      <c r="H20" s="21">
        <v>850.00001397957533</v>
      </c>
    </row>
    <row r="21" spans="3:8" x14ac:dyDescent="0.2">
      <c r="C21" s="15" t="s">
        <v>150</v>
      </c>
      <c r="D21" s="1">
        <v>100</v>
      </c>
      <c r="E21" s="20">
        <v>0.1</v>
      </c>
      <c r="F21" s="20">
        <v>100</v>
      </c>
      <c r="G21" s="20">
        <v>1.0196999999999999E-2</v>
      </c>
      <c r="H21" s="21">
        <v>0.57101499999999994</v>
      </c>
    </row>
    <row r="22" spans="3:8" x14ac:dyDescent="0.2">
      <c r="C22" s="15" t="s">
        <v>151</v>
      </c>
      <c r="D22" s="1">
        <v>1.0197162000000001E-2</v>
      </c>
      <c r="E22" s="20">
        <v>9.9999998727300005E-2</v>
      </c>
      <c r="F22" s="20">
        <v>99.99999872730001</v>
      </c>
      <c r="G22" s="20">
        <v>1.0197162000000001E-2</v>
      </c>
      <c r="H22" s="21">
        <v>0.57101489731274868</v>
      </c>
    </row>
    <row r="23" spans="3:8" ht="13.5" thickBot="1" x14ac:dyDescent="0.25">
      <c r="C23" s="16" t="s">
        <v>152</v>
      </c>
      <c r="D23" s="22">
        <v>900</v>
      </c>
      <c r="E23" s="23">
        <v>157.614102</v>
      </c>
      <c r="F23" s="23">
        <v>157614.09953219999</v>
      </c>
      <c r="G23" s="23">
        <v>16.072164000000001</v>
      </c>
      <c r="H23" s="24">
        <v>900</v>
      </c>
    </row>
  </sheetData>
  <phoneticPr fontId="1" type="noConversion"/>
  <pageMargins left="0.75" right="0.75" top="1" bottom="1" header="0.5" footer="0.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2:L23"/>
  <sheetViews>
    <sheetView workbookViewId="0">
      <selection activeCell="J9" sqref="J9"/>
    </sheetView>
  </sheetViews>
  <sheetFormatPr defaultRowHeight="12.75" x14ac:dyDescent="0.2"/>
  <cols>
    <col min="2" max="2" width="3.85546875" customWidth="1"/>
    <col min="3" max="3" width="19.7109375" customWidth="1"/>
    <col min="8" max="8" width="12.28515625" customWidth="1"/>
    <col min="12" max="12" width="21.140625" customWidth="1"/>
  </cols>
  <sheetData>
    <row r="2" spans="3:12" ht="26.25" x14ac:dyDescent="0.4">
      <c r="C2" s="121" t="s">
        <v>153</v>
      </c>
      <c r="D2" s="121"/>
      <c r="E2" s="121"/>
    </row>
    <row r="4" spans="3:12" ht="13.5" thickBot="1" x14ac:dyDescent="0.25"/>
    <row r="5" spans="3:12" ht="15.75" x14ac:dyDescent="0.25">
      <c r="C5" s="58"/>
      <c r="D5" s="59"/>
      <c r="E5" s="59"/>
      <c r="F5" s="59"/>
      <c r="G5" s="59"/>
      <c r="H5" s="60">
        <f>H7/H11</f>
        <v>0.5</v>
      </c>
      <c r="I5" s="61"/>
      <c r="J5" s="62"/>
      <c r="K5" s="61"/>
      <c r="L5" s="63"/>
    </row>
    <row r="6" spans="3:12" ht="15.75" x14ac:dyDescent="0.25">
      <c r="C6" s="64"/>
      <c r="D6" s="65"/>
      <c r="E6" s="66"/>
      <c r="F6" s="66"/>
      <c r="G6" s="66"/>
      <c r="H6" s="67" t="s">
        <v>154</v>
      </c>
      <c r="I6" s="66"/>
      <c r="J6" s="66"/>
      <c r="K6" s="66"/>
      <c r="L6" s="68"/>
    </row>
    <row r="7" spans="3:12" ht="15.75" thickBot="1" x14ac:dyDescent="0.25">
      <c r="C7" s="64"/>
      <c r="D7" s="66"/>
      <c r="E7" s="66"/>
      <c r="F7" s="66"/>
      <c r="G7" s="66"/>
      <c r="H7" s="69">
        <f>F9+J9</f>
        <v>4905</v>
      </c>
      <c r="I7" s="66"/>
      <c r="J7" s="66"/>
      <c r="K7" s="66"/>
      <c r="L7" s="68"/>
    </row>
    <row r="8" spans="3:12" ht="16.5" thickBot="1" x14ac:dyDescent="0.3">
      <c r="C8" s="64"/>
      <c r="D8" s="66"/>
      <c r="E8" s="70"/>
      <c r="F8" s="71">
        <f>F9/H11</f>
        <v>0.3344376486578321</v>
      </c>
      <c r="G8" s="72" t="s">
        <v>155</v>
      </c>
      <c r="H8" s="73"/>
      <c r="I8" s="74" t="s">
        <v>156</v>
      </c>
      <c r="J8" s="75">
        <f>J9/H11</f>
        <v>0.16556235134216787</v>
      </c>
      <c r="K8" s="66"/>
      <c r="L8" s="68"/>
    </row>
    <row r="9" spans="3:12" ht="16.5" thickBot="1" x14ac:dyDescent="0.3">
      <c r="C9" s="76" t="s">
        <v>157</v>
      </c>
      <c r="D9" s="77" t="s">
        <v>158</v>
      </c>
      <c r="E9" s="78">
        <f>F9-J9</f>
        <v>1656.6666666666661</v>
      </c>
      <c r="F9" s="79">
        <f>'Exam Q1'!J19</f>
        <v>3280.833333333333</v>
      </c>
      <c r="G9" s="80"/>
      <c r="H9" s="81"/>
      <c r="I9" s="82"/>
      <c r="J9" s="83">
        <f>'Exam Q1'!J20</f>
        <v>1624.166666666667</v>
      </c>
      <c r="K9" s="66"/>
      <c r="L9" s="68"/>
    </row>
    <row r="10" spans="3:12" ht="16.5" thickBot="1" x14ac:dyDescent="0.3">
      <c r="C10" s="64"/>
      <c r="D10" s="84"/>
      <c r="E10" s="66"/>
      <c r="F10" s="84"/>
      <c r="G10" s="85"/>
      <c r="H10" s="81"/>
      <c r="I10" s="86"/>
      <c r="J10" s="87"/>
      <c r="K10" s="66"/>
      <c r="L10" s="68"/>
    </row>
    <row r="11" spans="3:12" ht="16.5" thickBot="1" x14ac:dyDescent="0.3">
      <c r="C11" s="64"/>
      <c r="D11" s="88" t="s">
        <v>159</v>
      </c>
      <c r="E11" s="89">
        <f>F11/H11</f>
        <v>0.69028202514441039</v>
      </c>
      <c r="F11" s="90">
        <f>F9+F13</f>
        <v>6771.6666666666661</v>
      </c>
      <c r="G11" s="91"/>
      <c r="H11" s="92">
        <f>H7+H14</f>
        <v>9810</v>
      </c>
      <c r="I11" s="91"/>
      <c r="J11" s="93">
        <f>J9+J13</f>
        <v>3038.3333333333339</v>
      </c>
      <c r="K11" s="94">
        <f>J11/H11</f>
        <v>0.30971797485558961</v>
      </c>
      <c r="L11" s="95" t="s">
        <v>160</v>
      </c>
    </row>
    <row r="12" spans="3:12" ht="16.5" thickBot="1" x14ac:dyDescent="0.3">
      <c r="C12" s="96" t="s">
        <v>161</v>
      </c>
      <c r="D12" s="97" t="s">
        <v>162</v>
      </c>
      <c r="E12" s="98">
        <f>E13-E9</f>
        <v>420</v>
      </c>
      <c r="F12" s="99">
        <f>F13/H11</f>
        <v>0.3558443764865783</v>
      </c>
      <c r="G12" s="85"/>
      <c r="H12" s="81"/>
      <c r="I12" s="86"/>
      <c r="J12" s="100">
        <f>J13/H11</f>
        <v>0.14415562351342168</v>
      </c>
      <c r="K12" s="66"/>
      <c r="L12" s="68"/>
    </row>
    <row r="13" spans="3:12" ht="16.5" thickBot="1" x14ac:dyDescent="0.3">
      <c r="C13" s="76" t="s">
        <v>163</v>
      </c>
      <c r="D13" s="101" t="s">
        <v>164</v>
      </c>
      <c r="E13" s="78">
        <f>F13-J13</f>
        <v>2076.6666666666661</v>
      </c>
      <c r="F13" s="79">
        <f>'Exam Q1'!J23</f>
        <v>3490.833333333333</v>
      </c>
      <c r="G13" s="102" t="s">
        <v>165</v>
      </c>
      <c r="H13" s="103"/>
      <c r="I13" s="104" t="s">
        <v>166</v>
      </c>
      <c r="J13" s="105">
        <f>'Exam Q1'!J24</f>
        <v>1414.1666666666667</v>
      </c>
      <c r="K13" s="66"/>
      <c r="L13" s="68"/>
    </row>
    <row r="14" spans="3:12" ht="16.5" thickBot="1" x14ac:dyDescent="0.3">
      <c r="C14" s="64"/>
      <c r="D14" s="106"/>
      <c r="E14" s="107" t="s">
        <v>167</v>
      </c>
      <c r="F14" s="108">
        <f>F13-F9</f>
        <v>210</v>
      </c>
      <c r="G14" s="70"/>
      <c r="H14" s="109">
        <f>F13+J13</f>
        <v>4905</v>
      </c>
      <c r="I14" s="70"/>
      <c r="J14" s="110">
        <f>J13-J9</f>
        <v>-210.00000000000023</v>
      </c>
      <c r="K14" s="111" t="s">
        <v>168</v>
      </c>
      <c r="L14" s="95"/>
    </row>
    <row r="15" spans="3:12" ht="16.5" thickBot="1" x14ac:dyDescent="0.3">
      <c r="C15" s="64"/>
      <c r="D15" s="84"/>
      <c r="E15" s="112" t="s">
        <v>169</v>
      </c>
      <c r="F15" s="113">
        <f>(F13+J9)/H11</f>
        <v>0.5214067278287462</v>
      </c>
      <c r="G15" s="66"/>
      <c r="H15" s="114" t="s">
        <v>170</v>
      </c>
      <c r="I15" s="66"/>
      <c r="J15" s="66"/>
      <c r="K15" s="66"/>
      <c r="L15" s="68"/>
    </row>
    <row r="16" spans="3:12" ht="16.5" thickBot="1" x14ac:dyDescent="0.3">
      <c r="C16" s="115"/>
      <c r="D16" s="106"/>
      <c r="E16" s="107" t="s">
        <v>171</v>
      </c>
      <c r="F16" s="116">
        <f>F13-J9</f>
        <v>1866.6666666666661</v>
      </c>
      <c r="G16" s="117"/>
      <c r="H16" s="118">
        <f>H14/H11</f>
        <v>0.5</v>
      </c>
      <c r="I16" s="117"/>
      <c r="J16" s="117"/>
      <c r="K16" s="119"/>
      <c r="L16" s="120"/>
    </row>
    <row r="19" spans="5:10" x14ac:dyDescent="0.2">
      <c r="E19">
        <v>156</v>
      </c>
    </row>
    <row r="23" spans="5:10" x14ac:dyDescent="0.2">
      <c r="J23" s="4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CCDFCBBBA200248B32B2A626FE8B273" ma:contentTypeVersion="11" ma:contentTypeDescription="Create a new document." ma:contentTypeScope="" ma:versionID="9e81955918c055f95409edb81cafe850">
  <xsd:schema xmlns:xsd="http://www.w3.org/2001/XMLSchema" xmlns:xs="http://www.w3.org/2001/XMLSchema" xmlns:p="http://schemas.microsoft.com/office/2006/metadata/properties" xmlns:ns3="ada16477-4a9e-4f32-8a2f-23c8ffb0c900" xmlns:ns4="09ebbee8-2921-4cc3-be77-564d5a35cca5" targetNamespace="http://schemas.microsoft.com/office/2006/metadata/properties" ma:root="true" ma:fieldsID="3aac94a685b73aec419be0f1499ddba7" ns3:_="" ns4:_="">
    <xsd:import namespace="ada16477-4a9e-4f32-8a2f-23c8ffb0c900"/>
    <xsd:import namespace="09ebbee8-2921-4cc3-be77-564d5a35cca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a16477-4a9e-4f32-8a2f-23c8ffb0c9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ebbee8-2921-4cc3-be77-564d5a35cca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BABB0F7-CBA0-4A31-80A3-6822C9C23A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a16477-4a9e-4f32-8a2f-23c8ffb0c900"/>
    <ds:schemaRef ds:uri="09ebbee8-2921-4cc3-be77-564d5a35cc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D98334E-260A-409B-BD5D-373436ED993D}">
  <ds:schemaRefs>
    <ds:schemaRef ds:uri="http://schemas.microsoft.com/sharepoint/v3/contenttype/forms"/>
  </ds:schemaRefs>
</ds:datastoreItem>
</file>

<file path=customXml/itemProps3.xml><?xml version="1.0" encoding="utf-8"?>
<ds:datastoreItem xmlns:ds="http://schemas.openxmlformats.org/officeDocument/2006/customXml" ds:itemID="{4A43B0BC-5BC7-4524-BC7D-8A3E979CBA2B}">
  <ds:schemaRefs>
    <ds:schemaRef ds:uri="http://purl.org/dc/dcmitype/"/>
    <ds:schemaRef ds:uri="http://purl.org/dc/elements/1.1/"/>
    <ds:schemaRef ds:uri="ada16477-4a9e-4f32-8a2f-23c8ffb0c900"/>
    <ds:schemaRef ds:uri="http://www.w3.org/XML/1998/namespace"/>
    <ds:schemaRef ds:uri="http://purl.org/dc/terms/"/>
    <ds:schemaRef ds:uri="http://schemas.microsoft.com/office/2006/metadata/properties"/>
    <ds:schemaRef ds:uri="09ebbee8-2921-4cc3-be77-564d5a35cca5"/>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Exam Q1</vt:lpstr>
      <vt:lpstr>Exam Q2</vt:lpstr>
      <vt:lpstr>Exam Q3</vt:lpstr>
      <vt:lpstr>Exam Q4</vt:lpstr>
      <vt:lpstr>Exam Q5</vt:lpstr>
      <vt:lpstr>Exam Q6</vt:lpstr>
      <vt:lpstr>Spring Rate Conversion</vt:lpstr>
      <vt:lpstr>Load Spliits</vt:lpstr>
    </vt:vector>
  </TitlesOfParts>
  <Manager/>
  <Company>Swansea Institute of Higher Education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Roger Dowden</dc:creator>
  <cp:keywords/>
  <dc:description/>
  <cp:lastModifiedBy>Tom Lynn</cp:lastModifiedBy>
  <cp:revision/>
  <dcterms:created xsi:type="dcterms:W3CDTF">2008-02-09T17:39:24Z</dcterms:created>
  <dcterms:modified xsi:type="dcterms:W3CDTF">2020-05-04T13:38:29Z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0x0101000CCDFCBBBA200248B32B2A626FE8B273</vt:lpwstr>
  </property>
</Properties>
</file>